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I:\__Incoming Students\"/>
    </mc:Choice>
  </mc:AlternateContent>
  <xr:revisionPtr revIDLastSave="0" documentId="13_ncr:1_{3F1B4EE3-6B5C-46FA-8C78-84FCE2DA567F}" xr6:coauthVersionLast="45" xr6:coauthVersionMax="45" xr10:uidLastSave="{00000000-0000-0000-0000-000000000000}"/>
  <bookViews>
    <workbookView xWindow="-120" yWindow="-120" windowWidth="29040" windowHeight="15840" activeTab="1" xr2:uid="{00000000-000D-0000-FFFF-FFFF00000000}"/>
  </bookViews>
  <sheets>
    <sheet name="ALE" sheetId="5" r:id="rId1"/>
    <sheet name="RawData" sheetId="6" r:id="rId2"/>
    <sheet name="Cancel" sheetId="19" r:id="rId3"/>
    <sheet name="PellTable" sheetId="4" r:id="rId4"/>
    <sheet name="Alpha" sheetId="13" r:id="rId5"/>
    <sheet name="SSR" sheetId="10" r:id="rId6"/>
    <sheet name="ISIR" sheetId="16" r:id="rId7"/>
    <sheet name="Watson, Austin" sheetId="20" r:id="rId8"/>
  </sheets>
  <functionGroups builtInGroupCount="19"/>
  <definedNames>
    <definedName name="_xlnm._FilterDatabase" localSheetId="6" hidden="1">ISIR!$A$1:$T$1828</definedName>
    <definedName name="_xlnm._FilterDatabase" localSheetId="1" hidden="1">RawData!$A$1:$AG$247</definedName>
    <definedName name="_xlnm._FilterDatabase" localSheetId="5" hidden="1">SSR!$A$1:$CC$523</definedName>
    <definedName name="_xlnm.Print_Area" localSheetId="0">ALE!$A$1:$O$62</definedName>
    <definedName name="_xlnm.Print_Area" localSheetId="7">'Watson, Austin'!$A$1:$O$62</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921" i="16" l="1" a="1"/>
  <c r="F1921" i="16" s="1"/>
  <c r="F1920" i="16" a="1"/>
  <c r="F1920" i="16" s="1"/>
  <c r="F1919" i="16" a="1"/>
  <c r="F1919" i="16" s="1"/>
  <c r="F1918" i="16" a="1"/>
  <c r="F1918" i="16" s="1"/>
  <c r="F1917" i="16" a="1"/>
  <c r="F1917" i="16" s="1"/>
  <c r="F1916" i="16" a="1"/>
  <c r="F1916" i="16" s="1"/>
  <c r="F1915" i="16" a="1"/>
  <c r="F1915" i="16" s="1"/>
  <c r="F1914" i="16" a="1"/>
  <c r="F1914" i="16" s="1"/>
  <c r="F1913" i="16" a="1"/>
  <c r="F1913" i="16" s="1"/>
  <c r="F1912" i="16" a="1"/>
  <c r="F1912" i="16" s="1"/>
  <c r="F1911" i="16" a="1"/>
  <c r="F1911" i="16" s="1"/>
  <c r="F1910" i="16" a="1"/>
  <c r="F1910" i="16" s="1"/>
  <c r="F1909" i="16" a="1"/>
  <c r="F1909" i="16" s="1"/>
  <c r="F1908" i="16" a="1"/>
  <c r="F1908" i="16" s="1"/>
  <c r="F1907" i="16" a="1"/>
  <c r="F1907" i="16" s="1"/>
  <c r="F1906" i="16" a="1"/>
  <c r="F1906" i="16" s="1"/>
  <c r="F1905" i="16" a="1"/>
  <c r="F1905" i="16" s="1"/>
  <c r="F1904" i="16" a="1"/>
  <c r="F1904" i="16" s="1"/>
  <c r="F1903" i="16" a="1"/>
  <c r="F1903" i="16" s="1"/>
  <c r="F1902" i="16" a="1"/>
  <c r="F1902" i="16" s="1"/>
  <c r="F1901" i="16" a="1"/>
  <c r="F1901" i="16" s="1"/>
  <c r="F1900" i="16" a="1"/>
  <c r="F1900" i="16" s="1"/>
  <c r="F1899" i="16" a="1"/>
  <c r="F1899" i="16" s="1"/>
  <c r="F1898" i="16" a="1"/>
  <c r="F1898" i="16" s="1"/>
  <c r="F1897" i="16" a="1"/>
  <c r="F1897" i="16" s="1"/>
  <c r="F1896" i="16" a="1"/>
  <c r="F1896" i="16" s="1"/>
  <c r="F1895" i="16" a="1"/>
  <c r="F1895" i="16" s="1"/>
  <c r="F1894" i="16" a="1"/>
  <c r="F1894" i="16" s="1"/>
  <c r="F1893" i="16" a="1"/>
  <c r="F1893" i="16" s="1"/>
  <c r="F1892" i="16" a="1"/>
  <c r="F1892" i="16" s="1"/>
  <c r="F1891" i="16" a="1"/>
  <c r="F1891" i="16" s="1"/>
  <c r="F1890" i="16" a="1"/>
  <c r="F1890" i="16" s="1"/>
  <c r="F1889" i="16" a="1"/>
  <c r="F1889" i="16" s="1"/>
  <c r="F1888" i="16" a="1"/>
  <c r="F1888" i="16" s="1"/>
  <c r="F1887" i="16" a="1"/>
  <c r="F1887" i="16" s="1"/>
  <c r="F1886" i="16" a="1"/>
  <c r="F1886" i="16" s="1"/>
  <c r="F1885" i="16" a="1"/>
  <c r="F1885" i="16" s="1"/>
  <c r="F1884" i="16" a="1"/>
  <c r="F1884" i="16" s="1"/>
  <c r="F1883" i="16" a="1"/>
  <c r="F1883" i="16" s="1"/>
  <c r="F1882" i="16" a="1"/>
  <c r="F1882" i="16" s="1"/>
  <c r="F1881" i="16" a="1"/>
  <c r="F1881" i="16" s="1"/>
  <c r="F1880" i="16" a="1"/>
  <c r="F1880" i="16" s="1"/>
  <c r="F1879" i="16" a="1"/>
  <c r="F1879" i="16" s="1"/>
  <c r="F1878" i="16" a="1"/>
  <c r="F1878" i="16" s="1"/>
  <c r="F1877" i="16" a="1"/>
  <c r="F1877" i="16" s="1"/>
  <c r="F1876" i="16" a="1"/>
  <c r="F1876" i="16" s="1"/>
  <c r="F1875" i="16" a="1"/>
  <c r="F1875" i="16" s="1"/>
  <c r="F1874" i="16" a="1"/>
  <c r="F1874" i="16" s="1"/>
  <c r="F1873" i="16" a="1"/>
  <c r="F1873" i="16" s="1"/>
  <c r="F1872" i="16" a="1"/>
  <c r="F1872" i="16" s="1"/>
  <c r="F1871" i="16" a="1"/>
  <c r="F1871" i="16" s="1"/>
  <c r="F1870" i="16" a="1"/>
  <c r="F1870" i="16" s="1"/>
  <c r="F1869" i="16" a="1"/>
  <c r="F1869" i="16" s="1"/>
  <c r="F1868" i="16" a="1"/>
  <c r="F1868" i="16" s="1"/>
  <c r="F1867" i="16" a="1"/>
  <c r="F1867" i="16" s="1"/>
  <c r="F1866" i="16" a="1"/>
  <c r="F1866" i="16" s="1"/>
  <c r="F1865" i="16" a="1"/>
  <c r="F1865" i="16" s="1"/>
  <c r="F1864" i="16" a="1"/>
  <c r="F1864" i="16" s="1"/>
  <c r="F1863" i="16" a="1"/>
  <c r="F1863" i="16" s="1"/>
  <c r="F1862" i="16" a="1"/>
  <c r="F1862" i="16" s="1"/>
  <c r="F1861" i="16" a="1"/>
  <c r="F1861" i="16" s="1"/>
  <c r="F1860" i="16" a="1"/>
  <c r="F1860" i="16" s="1"/>
  <c r="F1859" i="16" a="1"/>
  <c r="F1859" i="16" s="1"/>
  <c r="F1858" i="16" a="1"/>
  <c r="F1858" i="16" s="1"/>
  <c r="F1857" i="16" a="1"/>
  <c r="F1857" i="16" s="1"/>
  <c r="F1856" i="16" a="1"/>
  <c r="F1856" i="16" s="1"/>
  <c r="F1855" i="16" a="1"/>
  <c r="F1855" i="16" s="1"/>
  <c r="F1854" i="16" a="1"/>
  <c r="F1854" i="16" s="1"/>
  <c r="F1853" i="16" a="1"/>
  <c r="F1853" i="16" s="1"/>
  <c r="F1852" i="16" a="1"/>
  <c r="F1852" i="16" s="1"/>
  <c r="F1851" i="16" a="1"/>
  <c r="F1851" i="16" s="1"/>
  <c r="F1850" i="16" a="1"/>
  <c r="F1850" i="16" s="1"/>
  <c r="F1849" i="16" a="1"/>
  <c r="F1849" i="16" s="1"/>
  <c r="F1848" i="16" a="1"/>
  <c r="F1848" i="16" s="1"/>
  <c r="F1847" i="16" a="1"/>
  <c r="F1847" i="16" s="1"/>
  <c r="F1846" i="16" a="1"/>
  <c r="F1846" i="16" s="1"/>
  <c r="F1845" i="16" a="1"/>
  <c r="F1845" i="16" s="1"/>
  <c r="F1844" i="16" a="1"/>
  <c r="F1844" i="16" s="1"/>
  <c r="F1843" i="16" a="1"/>
  <c r="F1843" i="16" s="1"/>
  <c r="F1842" i="16" a="1"/>
  <c r="F1842" i="16" s="1"/>
  <c r="F1841" i="16" a="1"/>
  <c r="F1841" i="16" s="1"/>
  <c r="F1840" i="16" a="1"/>
  <c r="F1840" i="16" s="1"/>
  <c r="F1839" i="16" a="1"/>
  <c r="F1839" i="16" s="1"/>
  <c r="F1838" i="16" a="1"/>
  <c r="F1838" i="16" s="1"/>
  <c r="F1837" i="16" a="1"/>
  <c r="F1837" i="16" s="1"/>
  <c r="F1836" i="16" a="1"/>
  <c r="F1836" i="16" s="1"/>
  <c r="F1835" i="16" a="1"/>
  <c r="F1835" i="16" s="1"/>
  <c r="F1834" i="16" a="1"/>
  <c r="F1834" i="16" s="1"/>
  <c r="F1833" i="16" a="1"/>
  <c r="F1833" i="16" s="1"/>
  <c r="F1832" i="16" a="1"/>
  <c r="F1832" i="16" s="1"/>
  <c r="F1831" i="16" a="1"/>
  <c r="F1831" i="16" s="1"/>
  <c r="F1830" i="16" a="1"/>
  <c r="F1830" i="16" s="1"/>
  <c r="F1829" i="16" a="1"/>
  <c r="F1829" i="16" s="1"/>
  <c r="F1828" i="16" a="1"/>
  <c r="F1828" i="16" s="1"/>
  <c r="F1827" i="16" a="1"/>
  <c r="F1827" i="16" s="1"/>
  <c r="F1826" i="16" a="1"/>
  <c r="F1826" i="16" s="1"/>
  <c r="F1825" i="16" a="1"/>
  <c r="F1825" i="16" s="1"/>
  <c r="F1824" i="16" a="1"/>
  <c r="F1824" i="16" s="1"/>
  <c r="F1823" i="16" a="1"/>
  <c r="F1823" i="16" s="1"/>
  <c r="F1822" i="16" a="1"/>
  <c r="F1822" i="16" s="1"/>
  <c r="F1821" i="16" a="1"/>
  <c r="F1821" i="16" s="1"/>
  <c r="F1820" i="16" a="1"/>
  <c r="F1820" i="16" s="1"/>
  <c r="F1819" i="16" a="1"/>
  <c r="F1819" i="16" s="1"/>
  <c r="F1818" i="16" a="1"/>
  <c r="F1818" i="16" s="1"/>
  <c r="F1817" i="16" a="1"/>
  <c r="F1817" i="16" s="1"/>
  <c r="F1816" i="16" a="1"/>
  <c r="F1816" i="16" s="1"/>
  <c r="F1815" i="16" a="1"/>
  <c r="F1815" i="16" s="1"/>
  <c r="F1814" i="16" a="1"/>
  <c r="F1814" i="16" s="1"/>
  <c r="F1813" i="16" a="1"/>
  <c r="F1813" i="16" s="1"/>
  <c r="F1812" i="16" a="1"/>
  <c r="F1812" i="16" s="1"/>
  <c r="F1811" i="16" a="1"/>
  <c r="F1811" i="16" s="1"/>
  <c r="F1810" i="16" a="1"/>
  <c r="F1810" i="16" s="1"/>
  <c r="F1809" i="16" a="1"/>
  <c r="F1809" i="16" s="1"/>
  <c r="F1808" i="16" a="1"/>
  <c r="F1808" i="16" s="1"/>
  <c r="F1807" i="16" a="1"/>
  <c r="F1807" i="16" s="1"/>
  <c r="F1806" i="16" a="1"/>
  <c r="F1806" i="16" s="1"/>
  <c r="F1805" i="16" a="1"/>
  <c r="F1805" i="16" s="1"/>
  <c r="F1804" i="16" a="1"/>
  <c r="F1804" i="16" s="1"/>
  <c r="F1803" i="16" a="1"/>
  <c r="F1803" i="16" s="1"/>
  <c r="F1802" i="16" a="1"/>
  <c r="F1802" i="16" s="1"/>
  <c r="F1801" i="16" a="1"/>
  <c r="F1801" i="16" s="1"/>
  <c r="F1800" i="16" a="1"/>
  <c r="F1800" i="16" s="1"/>
  <c r="F1799" i="16" a="1"/>
  <c r="F1799" i="16" s="1"/>
  <c r="F1798" i="16" a="1"/>
  <c r="F1798" i="16" s="1"/>
  <c r="F1797" i="16" a="1"/>
  <c r="F1797" i="16" s="1"/>
  <c r="F1796" i="16" a="1"/>
  <c r="F1796" i="16" s="1"/>
  <c r="F1795" i="16" a="1"/>
  <c r="F1795" i="16" s="1"/>
  <c r="F1794" i="16" a="1"/>
  <c r="F1794" i="16" s="1"/>
  <c r="F1793" i="16" a="1"/>
  <c r="F1793" i="16" s="1"/>
  <c r="F1792" i="16" a="1"/>
  <c r="F1792" i="16" s="1"/>
  <c r="F1791" i="16" a="1"/>
  <c r="F1791" i="16" s="1"/>
  <c r="F1790" i="16" a="1"/>
  <c r="F1790" i="16" s="1"/>
  <c r="F1789" i="16" a="1"/>
  <c r="F1789" i="16" s="1"/>
  <c r="F1788" i="16" a="1"/>
  <c r="F1788" i="16" s="1"/>
  <c r="F1787" i="16" a="1"/>
  <c r="F1787" i="16" s="1"/>
  <c r="F1786" i="16" a="1"/>
  <c r="F1786" i="16" s="1"/>
  <c r="F1785" i="16" a="1"/>
  <c r="F1785" i="16" s="1"/>
  <c r="F1784" i="16" a="1"/>
  <c r="F1784" i="16" s="1"/>
  <c r="F1783" i="16" a="1"/>
  <c r="F1783" i="16" s="1"/>
  <c r="F1782" i="16" a="1"/>
  <c r="F1782" i="16" s="1"/>
  <c r="F1781" i="16" a="1"/>
  <c r="F1781" i="16" s="1"/>
  <c r="F1780" i="16" a="1"/>
  <c r="F1780" i="16" s="1"/>
  <c r="F1779" i="16" a="1"/>
  <c r="F1779" i="16" s="1"/>
  <c r="F1778" i="16" a="1"/>
  <c r="F1778" i="16" s="1"/>
  <c r="F1777" i="16" a="1"/>
  <c r="F1777" i="16" s="1"/>
  <c r="F1776" i="16" a="1"/>
  <c r="F1776" i="16" s="1"/>
  <c r="F1775" i="16" a="1"/>
  <c r="F1775" i="16" s="1"/>
  <c r="F1774" i="16" a="1"/>
  <c r="F1774" i="16" s="1"/>
  <c r="F1773" i="16" a="1"/>
  <c r="F1773" i="16" s="1"/>
  <c r="F1772" i="16" a="1"/>
  <c r="F1772" i="16" s="1"/>
  <c r="F1771" i="16" a="1"/>
  <c r="F1771" i="16" s="1"/>
  <c r="F1770" i="16" a="1"/>
  <c r="F1770" i="16" s="1"/>
  <c r="F1769" i="16" a="1"/>
  <c r="F1769" i="16" s="1"/>
  <c r="F1768" i="16" a="1"/>
  <c r="F1768" i="16" s="1"/>
  <c r="F1767" i="16" a="1"/>
  <c r="F1767" i="16" s="1"/>
  <c r="F1766" i="16" a="1"/>
  <c r="F1766" i="16" s="1"/>
  <c r="F1765" i="16" a="1"/>
  <c r="F1765" i="16" s="1"/>
  <c r="F1764" i="16" a="1"/>
  <c r="F1764" i="16" s="1"/>
  <c r="F1763" i="16" a="1"/>
  <c r="F1763" i="16" s="1"/>
  <c r="F1762" i="16" a="1"/>
  <c r="F1762" i="16" s="1"/>
  <c r="F1761" i="16" a="1"/>
  <c r="F1761" i="16" s="1"/>
  <c r="F1760" i="16" a="1"/>
  <c r="F1760" i="16" s="1"/>
  <c r="F1759" i="16" a="1"/>
  <c r="F1759" i="16" s="1"/>
  <c r="F1758" i="16" a="1"/>
  <c r="F1758" i="16" s="1"/>
  <c r="F1757" i="16" a="1"/>
  <c r="F1757" i="16" s="1"/>
  <c r="F1756" i="16" a="1"/>
  <c r="F1756" i="16" s="1"/>
  <c r="F1755" i="16" a="1"/>
  <c r="F1755" i="16" s="1"/>
  <c r="F1754" i="16" a="1"/>
  <c r="F1754" i="16" s="1"/>
  <c r="F1753" i="16" a="1"/>
  <c r="F1753" i="16" s="1"/>
  <c r="F1752" i="16" a="1"/>
  <c r="F1752" i="16" s="1"/>
  <c r="F1751" i="16" a="1"/>
  <c r="F1751" i="16" s="1"/>
  <c r="F1750" i="16" a="1"/>
  <c r="F1750" i="16" s="1"/>
  <c r="F1749" i="16" a="1"/>
  <c r="F1749" i="16" s="1"/>
  <c r="F1748" i="16" a="1"/>
  <c r="F1748" i="16" s="1"/>
  <c r="F1747" i="16" a="1"/>
  <c r="F1747" i="16" s="1"/>
  <c r="F1746" i="16" a="1"/>
  <c r="F1746" i="16" s="1"/>
  <c r="F1745" i="16"/>
  <c r="F1745" i="16" a="1"/>
  <c r="F1744" i="16" a="1"/>
  <c r="F1744" i="16" s="1"/>
  <c r="F1743" i="16" a="1"/>
  <c r="F1743" i="16" s="1"/>
  <c r="F1742" i="16" a="1"/>
  <c r="F1742" i="16" s="1"/>
  <c r="F1741" i="16" a="1"/>
  <c r="F1741" i="16" s="1"/>
  <c r="F1740" i="16" a="1"/>
  <c r="F1740" i="16" s="1"/>
  <c r="F1739" i="16" a="1"/>
  <c r="F1739" i="16" s="1"/>
  <c r="F1738" i="16" a="1"/>
  <c r="F1738" i="16" s="1"/>
  <c r="F1737" i="16" a="1"/>
  <c r="F1737" i="16" s="1"/>
  <c r="F1736" i="16" a="1"/>
  <c r="F1736" i="16" s="1"/>
  <c r="F1735" i="16" a="1"/>
  <c r="F1735" i="16" s="1"/>
  <c r="F1734" i="16" a="1"/>
  <c r="F1734" i="16" s="1"/>
  <c r="F1733" i="16" a="1"/>
  <c r="F1733" i="16" s="1"/>
  <c r="F1732" i="16" a="1"/>
  <c r="F1732" i="16" s="1"/>
  <c r="F1731" i="16"/>
  <c r="F1731" i="16" a="1"/>
  <c r="F1730" i="16" a="1"/>
  <c r="F1730" i="16" s="1"/>
  <c r="F1729" i="16"/>
  <c r="F1729" i="16" a="1"/>
  <c r="F1728" i="16" a="1"/>
  <c r="F1728" i="16" s="1"/>
  <c r="F1727" i="16" a="1"/>
  <c r="F1727" i="16" s="1"/>
  <c r="F1726" i="16" a="1"/>
  <c r="F1726" i="16" s="1"/>
  <c r="F1725" i="16" a="1"/>
  <c r="F1725" i="16" s="1"/>
  <c r="F1724" i="16" a="1"/>
  <c r="F1724" i="16" s="1"/>
  <c r="F1723" i="16" a="1"/>
  <c r="F1723" i="16" s="1"/>
  <c r="F1722" i="16" a="1"/>
  <c r="F1722" i="16" s="1"/>
  <c r="F1721" i="16"/>
  <c r="F1721" i="16" a="1"/>
  <c r="F1720" i="16" a="1"/>
  <c r="F1720" i="16" s="1"/>
  <c r="F1719" i="16" a="1"/>
  <c r="F1719" i="16" s="1"/>
  <c r="F1718" i="16" a="1"/>
  <c r="F1718" i="16" s="1"/>
  <c r="F1717" i="16" a="1"/>
  <c r="F1717" i="16" s="1"/>
  <c r="F1716" i="16" a="1"/>
  <c r="F1716" i="16" s="1"/>
  <c r="F1715" i="16" a="1"/>
  <c r="F1715" i="16" s="1"/>
  <c r="F1714" i="16" a="1"/>
  <c r="F1714" i="16" s="1"/>
  <c r="F1713" i="16" a="1"/>
  <c r="F1713" i="16" s="1"/>
  <c r="F1712" i="16" a="1"/>
  <c r="F1712" i="16" s="1"/>
  <c r="F1711" i="16" a="1"/>
  <c r="F1711" i="16" s="1"/>
  <c r="F1710" i="16" a="1"/>
  <c r="F1710" i="16" s="1"/>
  <c r="F1709" i="16"/>
  <c r="F1709" i="16" a="1"/>
  <c r="F1708" i="16" a="1"/>
  <c r="F1708" i="16" s="1"/>
  <c r="F1707" i="16" a="1"/>
  <c r="F1707" i="16" s="1"/>
  <c r="F1706" i="16" a="1"/>
  <c r="F1706" i="16" s="1"/>
  <c r="F1705" i="16"/>
  <c r="F1705" i="16" a="1"/>
  <c r="F1704" i="16" a="1"/>
  <c r="F1704" i="16" s="1"/>
  <c r="F1703" i="16" a="1"/>
  <c r="F1703" i="16" s="1"/>
  <c r="F1702" i="16" a="1"/>
  <c r="F1702" i="16" s="1"/>
  <c r="F1701" i="16" a="1"/>
  <c r="F1701" i="16" s="1"/>
  <c r="F1700" i="16" a="1"/>
  <c r="F1700" i="16" s="1"/>
  <c r="F1699" i="16" a="1"/>
  <c r="F1699" i="16" s="1"/>
  <c r="F1698" i="16" a="1"/>
  <c r="F1698" i="16" s="1"/>
  <c r="F1697" i="16" a="1"/>
  <c r="F1697" i="16" s="1"/>
  <c r="F1696" i="16" a="1"/>
  <c r="F1696" i="16" s="1"/>
  <c r="F1695" i="16" a="1"/>
  <c r="F1695" i="16" s="1"/>
  <c r="F1694" i="16" a="1"/>
  <c r="F1694" i="16" s="1"/>
  <c r="F1693" i="16"/>
  <c r="F1693" i="16" a="1"/>
  <c r="F1692" i="16" a="1"/>
  <c r="F1692" i="16" s="1"/>
  <c r="F1691" i="16" a="1"/>
  <c r="F1691" i="16" s="1"/>
  <c r="F1690" i="16" a="1"/>
  <c r="F1690" i="16" s="1"/>
  <c r="F1689" i="16"/>
  <c r="F1689" i="16" a="1"/>
  <c r="F1688" i="16" a="1"/>
  <c r="F1688" i="16" s="1"/>
  <c r="F1687" i="16" a="1"/>
  <c r="F1687" i="16" s="1"/>
  <c r="F1686" i="16" a="1"/>
  <c r="F1686" i="16" s="1"/>
  <c r="F1685" i="16" a="1"/>
  <c r="F1685" i="16" s="1"/>
  <c r="F1684" i="16" a="1"/>
  <c r="F1684" i="16" s="1"/>
  <c r="F1683" i="16" a="1"/>
  <c r="F1683" i="16" s="1"/>
  <c r="F1682" i="16" a="1"/>
  <c r="F1682" i="16" s="1"/>
  <c r="F1681" i="16" a="1"/>
  <c r="F1681" i="16" s="1"/>
  <c r="F1680" i="16" a="1"/>
  <c r="F1680" i="16" s="1"/>
  <c r="F1679" i="16" a="1"/>
  <c r="F1679" i="16" s="1"/>
  <c r="F1678" i="16" a="1"/>
  <c r="F1678" i="16" s="1"/>
  <c r="F1677" i="16"/>
  <c r="F1677" i="16" a="1"/>
  <c r="F1676" i="16" a="1"/>
  <c r="F1676" i="16" s="1"/>
  <c r="F1675" i="16" a="1"/>
  <c r="F1675" i="16" s="1"/>
  <c r="F1674" i="16" a="1"/>
  <c r="F1674" i="16" s="1"/>
  <c r="F1673" i="16" a="1"/>
  <c r="F1673" i="16" s="1"/>
  <c r="F1672" i="16" a="1"/>
  <c r="F1672" i="16" s="1"/>
  <c r="F1671" i="16" a="1"/>
  <c r="F1671" i="16" s="1"/>
  <c r="F1670" i="16" a="1"/>
  <c r="F1670" i="16" s="1"/>
  <c r="F1669" i="16"/>
  <c r="F1669" i="16" a="1"/>
  <c r="F1668" i="16" a="1"/>
  <c r="F1668" i="16" s="1"/>
  <c r="F1667" i="16" a="1"/>
  <c r="F1667" i="16" s="1"/>
  <c r="F1666" i="16" a="1"/>
  <c r="F1666" i="16" s="1"/>
  <c r="F1665" i="16" a="1"/>
  <c r="F1665" i="16" s="1"/>
  <c r="F1664" i="16" a="1"/>
  <c r="F1664" i="16" s="1"/>
  <c r="F1663" i="16" a="1"/>
  <c r="F1663" i="16" s="1"/>
  <c r="F1662" i="16" a="1"/>
  <c r="F1662" i="16" s="1"/>
  <c r="F1661" i="16"/>
  <c r="F1661" i="16" a="1"/>
  <c r="F1660" i="16" a="1"/>
  <c r="F1660" i="16" s="1"/>
  <c r="F1659" i="16" a="1"/>
  <c r="F1659" i="16" s="1"/>
  <c r="F1658" i="16" a="1"/>
  <c r="F1658" i="16" s="1"/>
  <c r="F1657" i="16"/>
  <c r="F1657" i="16" a="1"/>
  <c r="F1656" i="16" a="1"/>
  <c r="F1656" i="16" s="1"/>
  <c r="F1655" i="16" a="1"/>
  <c r="F1655" i="16" s="1"/>
  <c r="F1654" i="16" a="1"/>
  <c r="F1654" i="16" s="1"/>
  <c r="F1653" i="16"/>
  <c r="F1653" i="16" a="1"/>
  <c r="F1652" i="16" a="1"/>
  <c r="F1652" i="16" s="1"/>
  <c r="F1651" i="16" a="1"/>
  <c r="F1651" i="16" s="1"/>
  <c r="F1650" i="16" a="1"/>
  <c r="F1650" i="16" s="1"/>
  <c r="F1649" i="16" a="1"/>
  <c r="F1649" i="16" s="1"/>
  <c r="F1648" i="16" a="1"/>
  <c r="F1648" i="16" s="1"/>
  <c r="F1647" i="16" a="1"/>
  <c r="F1647" i="16" s="1"/>
  <c r="F1646" i="16" a="1"/>
  <c r="F1646" i="16" s="1"/>
  <c r="F1645" i="16"/>
  <c r="F1645" i="16" a="1"/>
  <c r="F1644" i="16" a="1"/>
  <c r="F1644" i="16" s="1"/>
  <c r="F1643" i="16" a="1"/>
  <c r="F1643" i="16" s="1"/>
  <c r="F1642" i="16" a="1"/>
  <c r="F1642" i="16" s="1"/>
  <c r="F1641" i="16"/>
  <c r="F1641" i="16" a="1"/>
  <c r="F1640" i="16" a="1"/>
  <c r="F1640" i="16" s="1"/>
  <c r="F1639" i="16" a="1"/>
  <c r="F1639" i="16" s="1"/>
  <c r="F1638" i="16" a="1"/>
  <c r="F1638" i="16" s="1"/>
  <c r="F1637" i="16"/>
  <c r="F1637" i="16" a="1"/>
  <c r="F1636" i="16" a="1"/>
  <c r="F1636" i="16" s="1"/>
  <c r="F1635" i="16" a="1"/>
  <c r="F1635" i="16" s="1"/>
  <c r="F1634" i="16" a="1"/>
  <c r="F1634" i="16" s="1"/>
  <c r="F1633" i="16" a="1"/>
  <c r="F1633" i="16" s="1"/>
  <c r="F1632" i="16" a="1"/>
  <c r="F1632" i="16" s="1"/>
  <c r="F1631" i="16" a="1"/>
  <c r="F1631" i="16" s="1"/>
  <c r="F1630" i="16" a="1"/>
  <c r="F1630" i="16" s="1"/>
  <c r="F1629" i="16"/>
  <c r="F1629" i="16" a="1"/>
  <c r="F1628" i="16" a="1"/>
  <c r="F1628" i="16" s="1"/>
  <c r="F1627" i="16" a="1"/>
  <c r="F1627" i="16" s="1"/>
  <c r="F1626" i="16" a="1"/>
  <c r="F1626" i="16" s="1"/>
  <c r="F1625" i="16"/>
  <c r="F1625" i="16" a="1"/>
  <c r="F1624" i="16" a="1"/>
  <c r="F1624" i="16" s="1"/>
  <c r="F1623" i="16" a="1"/>
  <c r="F1623" i="16" s="1"/>
  <c r="F1622" i="16" a="1"/>
  <c r="F1622" i="16" s="1"/>
  <c r="F1621" i="16"/>
  <c r="F1621" i="16" a="1"/>
  <c r="F1620" i="16" a="1"/>
  <c r="F1620" i="16" s="1"/>
  <c r="F1619" i="16" a="1"/>
  <c r="F1619" i="16" s="1"/>
  <c r="F1618" i="16" a="1"/>
  <c r="F1618" i="16" s="1"/>
  <c r="F1617" i="16" a="1"/>
  <c r="F1617" i="16" s="1"/>
  <c r="F1616" i="16" a="1"/>
  <c r="F1616" i="16" s="1"/>
  <c r="F1615" i="16" a="1"/>
  <c r="F1615" i="16" s="1"/>
  <c r="F1614" i="16" a="1"/>
  <c r="F1614" i="16" s="1"/>
  <c r="F1613" i="16"/>
  <c r="F1613" i="16" a="1"/>
  <c r="F1612" i="16" a="1"/>
  <c r="F1612" i="16" s="1"/>
  <c r="F1611" i="16" a="1"/>
  <c r="F1611" i="16" s="1"/>
  <c r="F1610" i="16" a="1"/>
  <c r="F1610" i="16" s="1"/>
  <c r="F1609" i="16"/>
  <c r="F1609" i="16" a="1"/>
  <c r="F1608" i="16" a="1"/>
  <c r="F1608" i="16" s="1"/>
  <c r="F1607" i="16" a="1"/>
  <c r="F1607" i="16" s="1"/>
  <c r="F1606" i="16" a="1"/>
  <c r="F1606" i="16" s="1"/>
  <c r="F1605" i="16"/>
  <c r="F1605" i="16" a="1"/>
  <c r="F1604" i="16" a="1"/>
  <c r="F1604" i="16" s="1"/>
  <c r="F1603" i="16" a="1"/>
  <c r="F1603" i="16" s="1"/>
  <c r="F1602" i="16" a="1"/>
  <c r="F1602" i="16" s="1"/>
  <c r="F1601" i="16" a="1"/>
  <c r="F1601" i="16" s="1"/>
  <c r="F1600" i="16" a="1"/>
  <c r="F1600" i="16" s="1"/>
  <c r="F1599" i="16" a="1"/>
  <c r="F1599" i="16" s="1"/>
  <c r="F1598" i="16" a="1"/>
  <c r="F1598" i="16" s="1"/>
  <c r="F1597" i="16"/>
  <c r="F1597" i="16" a="1"/>
  <c r="F1596" i="16" a="1"/>
  <c r="F1596" i="16" s="1"/>
  <c r="F1595" i="16" a="1"/>
  <c r="F1595" i="16" s="1"/>
  <c r="F1594" i="16" a="1"/>
  <c r="F1594" i="16" s="1"/>
  <c r="F1593" i="16"/>
  <c r="F1593" i="16" a="1"/>
  <c r="F1592" i="16" a="1"/>
  <c r="F1592" i="16" s="1"/>
  <c r="F1591" i="16" a="1"/>
  <c r="F1591" i="16" s="1"/>
  <c r="F1590" i="16" a="1"/>
  <c r="F1590" i="16" s="1"/>
  <c r="F1589" i="16" a="1"/>
  <c r="F1589" i="16" s="1"/>
  <c r="F1588" i="16" a="1"/>
  <c r="F1588" i="16" s="1"/>
  <c r="F1587" i="16" a="1"/>
  <c r="F1587" i="16" s="1"/>
  <c r="F1586" i="16" a="1"/>
  <c r="F1586" i="16" s="1"/>
  <c r="F1585" i="16" a="1"/>
  <c r="F1585" i="16" s="1"/>
  <c r="F1584" i="16" a="1"/>
  <c r="F1584" i="16" s="1"/>
  <c r="F1583" i="16" a="1"/>
  <c r="F1583" i="16" s="1"/>
  <c r="F1582" i="16" a="1"/>
  <c r="F1582" i="16" s="1"/>
  <c r="F1581" i="16"/>
  <c r="F1581" i="16" a="1"/>
  <c r="F1580" i="16" a="1"/>
  <c r="F1580" i="16" s="1"/>
  <c r="F1579" i="16" a="1"/>
  <c r="F1579" i="16" s="1"/>
  <c r="F1578" i="16" a="1"/>
  <c r="F1578" i="16" s="1"/>
  <c r="F1577" i="16"/>
  <c r="F1577" i="16" a="1"/>
  <c r="F1576" i="16" a="1"/>
  <c r="F1576" i="16" s="1"/>
  <c r="F1575" i="16" a="1"/>
  <c r="F1575" i="16" s="1"/>
  <c r="F1574" i="16" a="1"/>
  <c r="F1574" i="16" s="1"/>
  <c r="F1573" i="16"/>
  <c r="F1573" i="16" a="1"/>
  <c r="F1572" i="16" a="1"/>
  <c r="F1572" i="16" s="1"/>
  <c r="F1571" i="16" a="1"/>
  <c r="F1571" i="16" s="1"/>
  <c r="F1570" i="16" a="1"/>
  <c r="F1570" i="16" s="1"/>
  <c r="F1569" i="16" a="1"/>
  <c r="F1569" i="16" s="1"/>
  <c r="F1568" i="16" a="1"/>
  <c r="F1568" i="16" s="1"/>
  <c r="F1567" i="16" a="1"/>
  <c r="F1567" i="16" s="1"/>
  <c r="F1566" i="16" a="1"/>
  <c r="F1566" i="16" s="1"/>
  <c r="F1565" i="16"/>
  <c r="F1565" i="16" a="1"/>
  <c r="F1564" i="16" a="1"/>
  <c r="F1564" i="16" s="1"/>
  <c r="F1563" i="16" a="1"/>
  <c r="F1563" i="16" s="1"/>
  <c r="F1562" i="16" a="1"/>
  <c r="F1562" i="16" s="1"/>
  <c r="F1561" i="16"/>
  <c r="F1561" i="16" a="1"/>
  <c r="F1560" i="16" a="1"/>
  <c r="F1560" i="16" s="1"/>
  <c r="F1559" i="16" a="1"/>
  <c r="F1559" i="16" s="1"/>
  <c r="F1558" i="16" a="1"/>
  <c r="F1558" i="16" s="1"/>
  <c r="F1557" i="16"/>
  <c r="F1557" i="16" a="1"/>
  <c r="F1556" i="16" a="1"/>
  <c r="F1556" i="16" s="1"/>
  <c r="F1555" i="16" a="1"/>
  <c r="F1555" i="16" s="1"/>
  <c r="F1554" i="16" a="1"/>
  <c r="F1554" i="16" s="1"/>
  <c r="F1553" i="16" a="1"/>
  <c r="F1553" i="16" s="1"/>
  <c r="F1552" i="16" a="1"/>
  <c r="F1552" i="16" s="1"/>
  <c r="F1551" i="16" a="1"/>
  <c r="F1551" i="16" s="1"/>
  <c r="F1550" i="16" a="1"/>
  <c r="F1550" i="16" s="1"/>
  <c r="F1549" i="16"/>
  <c r="F1549" i="16" a="1"/>
  <c r="F1548" i="16" a="1"/>
  <c r="F1548" i="16" s="1"/>
  <c r="F1547" i="16" a="1"/>
  <c r="F1547" i="16" s="1"/>
  <c r="F1546" i="16" a="1"/>
  <c r="F1546" i="16" s="1"/>
  <c r="F1545" i="16"/>
  <c r="F1545" i="16" a="1"/>
  <c r="F1544" i="16" a="1"/>
  <c r="F1544" i="16" s="1"/>
  <c r="F1543" i="16" a="1"/>
  <c r="F1543" i="16" s="1"/>
  <c r="F1542" i="16" a="1"/>
  <c r="F1542" i="16" s="1"/>
  <c r="F1541" i="16"/>
  <c r="F1541" i="16" a="1"/>
  <c r="F1540" i="16" a="1"/>
  <c r="F1540" i="16" s="1"/>
  <c r="F1539" i="16" a="1"/>
  <c r="F1539" i="16" s="1"/>
  <c r="F1538" i="16" a="1"/>
  <c r="F1538" i="16" s="1"/>
  <c r="F1537" i="16" a="1"/>
  <c r="F1537" i="16" s="1"/>
  <c r="F1536" i="16" a="1"/>
  <c r="F1536" i="16" s="1"/>
  <c r="F1535" i="16" a="1"/>
  <c r="F1535" i="16" s="1"/>
  <c r="F1534" i="16" a="1"/>
  <c r="F1534" i="16" s="1"/>
  <c r="F1533" i="16"/>
  <c r="F1533" i="16" a="1"/>
  <c r="F1532" i="16" a="1"/>
  <c r="F1532" i="16" s="1"/>
  <c r="F1531" i="16" a="1"/>
  <c r="F1531" i="16" s="1"/>
  <c r="F1530" i="16" a="1"/>
  <c r="F1530" i="16" s="1"/>
  <c r="F1529" i="16"/>
  <c r="F1529" i="16" a="1"/>
  <c r="F1528" i="16" a="1"/>
  <c r="F1528" i="16" s="1"/>
  <c r="F1527" i="16" a="1"/>
  <c r="F1527" i="16" s="1"/>
  <c r="F1526" i="16" a="1"/>
  <c r="F1526" i="16" s="1"/>
  <c r="F1525" i="16"/>
  <c r="F1525" i="16" a="1"/>
  <c r="F1524" i="16" a="1"/>
  <c r="F1524" i="16" s="1"/>
  <c r="F1523" i="16" a="1"/>
  <c r="F1523" i="16" s="1"/>
  <c r="F1522" i="16" a="1"/>
  <c r="F1522" i="16" s="1"/>
  <c r="F1521" i="16" a="1"/>
  <c r="F1521" i="16" s="1"/>
  <c r="F1520" i="16" a="1"/>
  <c r="F1520" i="16" s="1"/>
  <c r="F1519" i="16" a="1"/>
  <c r="F1519" i="16" s="1"/>
  <c r="F1518" i="16" a="1"/>
  <c r="F1518" i="16" s="1"/>
  <c r="F1517" i="16"/>
  <c r="F1517" i="16" a="1"/>
  <c r="F1516" i="16" a="1"/>
  <c r="F1516" i="16" s="1"/>
  <c r="F1515" i="16" a="1"/>
  <c r="F1515" i="16" s="1"/>
  <c r="F1514" i="16" a="1"/>
  <c r="F1514" i="16" s="1"/>
  <c r="F1513" i="16"/>
  <c r="F1513" i="16" a="1"/>
  <c r="F1512" i="16" a="1"/>
  <c r="F1512" i="16" s="1"/>
  <c r="F1511" i="16" a="1"/>
  <c r="F1511" i="16" s="1"/>
  <c r="F1510" i="16" a="1"/>
  <c r="F1510" i="16" s="1"/>
  <c r="F1509" i="16"/>
  <c r="F1509" i="16" a="1"/>
  <c r="F1508" i="16" a="1"/>
  <c r="F1508" i="16" s="1"/>
  <c r="F1507" i="16" a="1"/>
  <c r="F1507" i="16" s="1"/>
  <c r="F1506" i="16" a="1"/>
  <c r="F1506" i="16" s="1"/>
  <c r="F1505" i="16" a="1"/>
  <c r="F1505" i="16" s="1"/>
  <c r="F1504" i="16" a="1"/>
  <c r="F1504" i="16" s="1"/>
  <c r="F1503" i="16" a="1"/>
  <c r="F1503" i="16" s="1"/>
  <c r="F1502" i="16" a="1"/>
  <c r="F1502" i="16" s="1"/>
  <c r="F1501" i="16"/>
  <c r="F1501" i="16" a="1"/>
  <c r="F1500" i="16" a="1"/>
  <c r="F1500" i="16" s="1"/>
  <c r="F1499" i="16" a="1"/>
  <c r="F1499" i="16" s="1"/>
  <c r="F1498" i="16" a="1"/>
  <c r="F1498" i="16" s="1"/>
  <c r="F1497" i="16" a="1"/>
  <c r="F1497" i="16" s="1"/>
  <c r="F1496" i="16" a="1"/>
  <c r="F1496" i="16" s="1"/>
  <c r="F1495" i="16" a="1"/>
  <c r="F1495" i="16" s="1"/>
  <c r="F1494" i="16" a="1"/>
  <c r="F1494" i="16" s="1"/>
  <c r="F1493" i="16"/>
  <c r="F1493" i="16" a="1"/>
  <c r="F1492" i="16" a="1"/>
  <c r="F1492" i="16" s="1"/>
  <c r="F1491" i="16" a="1"/>
  <c r="F1491" i="16" s="1"/>
  <c r="F1490" i="16" a="1"/>
  <c r="F1490" i="16" s="1"/>
  <c r="F1489" i="16" a="1"/>
  <c r="F1489" i="16" s="1"/>
  <c r="F1488" i="16" a="1"/>
  <c r="F1488" i="16" s="1"/>
  <c r="F1487" i="16" a="1"/>
  <c r="F1487" i="16" s="1"/>
  <c r="F1486" i="16" a="1"/>
  <c r="F1486" i="16" s="1"/>
  <c r="F1485" i="16" a="1"/>
  <c r="F1485" i="16" s="1"/>
  <c r="F1484" i="16" a="1"/>
  <c r="F1484" i="16" s="1"/>
  <c r="F1483" i="16" a="1"/>
  <c r="F1483" i="16" s="1"/>
  <c r="F1482" i="16" a="1"/>
  <c r="F1482" i="16" s="1"/>
  <c r="F1481" i="16"/>
  <c r="F1481" i="16" a="1"/>
  <c r="F1480" i="16" a="1"/>
  <c r="F1480" i="16" s="1"/>
  <c r="F1479" i="16" a="1"/>
  <c r="F1479" i="16" s="1"/>
  <c r="F1478" i="16" a="1"/>
  <c r="F1478" i="16" s="1"/>
  <c r="F1477" i="16" a="1"/>
  <c r="F1477" i="16" s="1"/>
  <c r="F1476" i="16" a="1"/>
  <c r="F1476" i="16" s="1"/>
  <c r="F1475" i="16" a="1"/>
  <c r="F1475" i="16" s="1"/>
  <c r="F1474" i="16" a="1"/>
  <c r="F1474" i="16" s="1"/>
  <c r="F1473" i="16"/>
  <c r="F1473" i="16" a="1"/>
  <c r="F1472" i="16" a="1"/>
  <c r="F1472" i="16" s="1"/>
  <c r="F1471" i="16" a="1"/>
  <c r="F1471" i="16" s="1"/>
  <c r="F1470" i="16" a="1"/>
  <c r="F1470" i="16" s="1"/>
  <c r="F1469" i="16" a="1"/>
  <c r="F1469" i="16" s="1"/>
  <c r="F1468" i="16" a="1"/>
  <c r="F1468" i="16" s="1"/>
  <c r="F1467" i="16" a="1"/>
  <c r="F1467" i="16" s="1"/>
  <c r="F1466" i="16" a="1"/>
  <c r="F1466" i="16" s="1"/>
  <c r="F1465" i="16"/>
  <c r="F1465" i="16" a="1"/>
  <c r="F1464" i="16" a="1"/>
  <c r="F1464" i="16" s="1"/>
  <c r="F1463" i="16" a="1"/>
  <c r="F1463" i="16" s="1"/>
  <c r="F1462" i="16" a="1"/>
  <c r="F1462" i="16" s="1"/>
  <c r="F1461" i="16" a="1"/>
  <c r="F1461" i="16" s="1"/>
  <c r="F1460" i="16" a="1"/>
  <c r="F1460" i="16" s="1"/>
  <c r="F1459" i="16" a="1"/>
  <c r="F1459" i="16" s="1"/>
  <c r="F1458" i="16" a="1"/>
  <c r="F1458" i="16" s="1"/>
  <c r="F1457" i="16" a="1"/>
  <c r="F1457" i="16" s="1"/>
  <c r="F1456" i="16" a="1"/>
  <c r="F1456" i="16" s="1"/>
  <c r="F1455" i="16" a="1"/>
  <c r="F1455" i="16" s="1"/>
  <c r="F1454" i="16" a="1"/>
  <c r="F1454" i="16" s="1"/>
  <c r="F1453" i="16"/>
  <c r="F1453" i="16" a="1"/>
  <c r="F1452" i="16" a="1"/>
  <c r="F1452" i="16" s="1"/>
  <c r="F1451" i="16" a="1"/>
  <c r="F1451" i="16" s="1"/>
  <c r="F1450" i="16" a="1"/>
  <c r="F1450" i="16" s="1"/>
  <c r="F1449" i="16"/>
  <c r="F1449" i="16" a="1"/>
  <c r="F1448" i="16" a="1"/>
  <c r="F1448" i="16" s="1"/>
  <c r="F1447" i="16" a="1"/>
  <c r="F1447" i="16" s="1"/>
  <c r="F1446" i="16" a="1"/>
  <c r="F1446" i="16" s="1"/>
  <c r="F1445" i="16"/>
  <c r="F1445" i="16" a="1"/>
  <c r="F1444" i="16" a="1"/>
  <c r="F1444" i="16" s="1"/>
  <c r="F1443" i="16" a="1"/>
  <c r="F1443" i="16" s="1"/>
  <c r="F1442" i="16" a="1"/>
  <c r="F1442" i="16" s="1"/>
  <c r="F1441" i="16" a="1"/>
  <c r="F1441" i="16" s="1"/>
  <c r="F1440" i="16" a="1"/>
  <c r="F1440" i="16" s="1"/>
  <c r="F1439" i="16" a="1"/>
  <c r="F1439" i="16" s="1"/>
  <c r="F1438" i="16" a="1"/>
  <c r="F1438" i="16" s="1"/>
  <c r="F1437" i="16"/>
  <c r="F1437" i="16" a="1"/>
  <c r="F1436" i="16" a="1"/>
  <c r="F1436" i="16" s="1"/>
  <c r="F1435" i="16" a="1"/>
  <c r="F1435" i="16" s="1"/>
  <c r="F1434" i="16" a="1"/>
  <c r="F1434" i="16" s="1"/>
  <c r="F1433" i="16"/>
  <c r="F1433" i="16" a="1"/>
  <c r="F1432" i="16" a="1"/>
  <c r="F1432" i="16" s="1"/>
  <c r="F1431" i="16" a="1"/>
  <c r="F1431" i="16" s="1"/>
  <c r="F1430" i="16" a="1"/>
  <c r="F1430" i="16" s="1"/>
  <c r="F1429" i="16"/>
  <c r="F1429" i="16" a="1"/>
  <c r="F1428" i="16" a="1"/>
  <c r="F1428" i="16" s="1"/>
  <c r="F1427" i="16" a="1"/>
  <c r="F1427" i="16" s="1"/>
  <c r="F1426" i="16" a="1"/>
  <c r="F1426" i="16" s="1"/>
  <c r="F1425" i="16" a="1"/>
  <c r="F1425" i="16" s="1"/>
  <c r="F1424" i="16" a="1"/>
  <c r="F1424" i="16" s="1"/>
  <c r="F1423" i="16" a="1"/>
  <c r="F1423" i="16" s="1"/>
  <c r="F1422" i="16" a="1"/>
  <c r="F1422" i="16" s="1"/>
  <c r="F1421" i="16"/>
  <c r="F1421" i="16" a="1"/>
  <c r="F1420" i="16" a="1"/>
  <c r="F1420" i="16" s="1"/>
  <c r="F1419" i="16" a="1"/>
  <c r="F1419" i="16" s="1"/>
  <c r="F1418" i="16" a="1"/>
  <c r="F1418" i="16" s="1"/>
  <c r="F1417" i="16" a="1"/>
  <c r="F1417" i="16" s="1"/>
  <c r="F1416" i="16" a="1"/>
  <c r="F1416" i="16" s="1"/>
  <c r="F1415" i="16" a="1"/>
  <c r="F1415" i="16" s="1"/>
  <c r="F1414" i="16" a="1"/>
  <c r="F1414" i="16" s="1"/>
  <c r="F1413" i="16" a="1"/>
  <c r="F1413" i="16" s="1"/>
  <c r="F1412" i="16" a="1"/>
  <c r="F1412" i="16" s="1"/>
  <c r="F1411" i="16" a="1"/>
  <c r="F1411" i="16" s="1"/>
  <c r="F1410" i="16" a="1"/>
  <c r="F1410" i="16" s="1"/>
  <c r="F1409" i="16" a="1"/>
  <c r="F1409" i="16" s="1"/>
  <c r="F1408" i="16" a="1"/>
  <c r="F1408" i="16" s="1"/>
  <c r="F1407" i="16" a="1"/>
  <c r="F1407" i="16" s="1"/>
  <c r="F1406" i="16" a="1"/>
  <c r="F1406" i="16" s="1"/>
  <c r="F1405" i="16" a="1"/>
  <c r="F1405" i="16" s="1"/>
  <c r="F1404" i="16" a="1"/>
  <c r="F1404" i="16" s="1"/>
  <c r="F1403" i="16" a="1"/>
  <c r="F1403" i="16" s="1"/>
  <c r="F1402" i="16" a="1"/>
  <c r="F1402" i="16" s="1"/>
  <c r="F1401" i="16" a="1"/>
  <c r="F1401" i="16" s="1"/>
  <c r="F1400" i="16" a="1"/>
  <c r="F1400" i="16" s="1"/>
  <c r="F1399" i="16" a="1"/>
  <c r="F1399" i="16" s="1"/>
  <c r="F1398" i="16" a="1"/>
  <c r="F1398" i="16" s="1"/>
  <c r="F1397" i="16" a="1"/>
  <c r="F1397" i="16" s="1"/>
  <c r="F1396" i="16" a="1"/>
  <c r="F1396" i="16" s="1"/>
  <c r="F1395" i="16" a="1"/>
  <c r="F1395" i="16" s="1"/>
  <c r="F1394" i="16" a="1"/>
  <c r="F1394" i="16" s="1"/>
  <c r="F1393" i="16" a="1"/>
  <c r="F1393" i="16" s="1"/>
  <c r="F1392" i="16"/>
  <c r="F1392" i="16" a="1"/>
  <c r="F1391" i="16" a="1"/>
  <c r="F1391" i="16" s="1"/>
  <c r="F1390" i="16" a="1"/>
  <c r="F1390" i="16" s="1"/>
  <c r="F1389" i="16" a="1"/>
  <c r="F1389" i="16" s="1"/>
  <c r="F1388" i="16"/>
  <c r="F1388" i="16" a="1"/>
  <c r="F1387" i="16" a="1"/>
  <c r="F1387" i="16" s="1"/>
  <c r="F1386" i="16" a="1"/>
  <c r="F1386" i="16" s="1"/>
  <c r="F1385" i="16" a="1"/>
  <c r="F1385" i="16" s="1"/>
  <c r="F1384" i="16" a="1"/>
  <c r="F1384" i="16" s="1"/>
  <c r="F1383" i="16" a="1"/>
  <c r="F1383" i="16" s="1"/>
  <c r="F1382" i="16" a="1"/>
  <c r="F1382" i="16" s="1"/>
  <c r="F1381" i="16" a="1"/>
  <c r="F1381" i="16" s="1"/>
  <c r="F1380" i="16"/>
  <c r="F1380" i="16" a="1"/>
  <c r="F1379" i="16" a="1"/>
  <c r="F1379" i="16" s="1"/>
  <c r="F1378" i="16" a="1"/>
  <c r="F1378" i="16" s="1"/>
  <c r="F1377" i="16" a="1"/>
  <c r="F1377" i="16" s="1"/>
  <c r="F1376" i="16" a="1"/>
  <c r="F1376" i="16" s="1"/>
  <c r="F1375" i="16" a="1"/>
  <c r="F1375" i="16" s="1"/>
  <c r="F1374" i="16" a="1"/>
  <c r="F1374" i="16" s="1"/>
  <c r="F1373" i="16" a="1"/>
  <c r="F1373" i="16" s="1"/>
  <c r="F1372" i="16" a="1"/>
  <c r="F1372" i="16" s="1"/>
  <c r="F1371" i="16" a="1"/>
  <c r="F1371" i="16" s="1"/>
  <c r="F1370" i="16" a="1"/>
  <c r="F1370" i="16" s="1"/>
  <c r="F1369" i="16" a="1"/>
  <c r="F1369" i="16" s="1"/>
  <c r="F1368" i="16" a="1"/>
  <c r="F1368" i="16" s="1"/>
  <c r="F1367" i="16" a="1"/>
  <c r="F1367" i="16" s="1"/>
  <c r="F1366" i="16" a="1"/>
  <c r="F1366" i="16" s="1"/>
  <c r="F1365" i="16" a="1"/>
  <c r="F1365" i="16" s="1"/>
  <c r="F1364" i="16"/>
  <c r="F1364" i="16" a="1"/>
  <c r="F1363" i="16" a="1"/>
  <c r="F1363" i="16" s="1"/>
  <c r="F1362" i="16" a="1"/>
  <c r="F1362" i="16" s="1"/>
  <c r="F1361" i="16" a="1"/>
  <c r="F1361" i="16" s="1"/>
  <c r="F1360" i="16" a="1"/>
  <c r="F1360" i="16" s="1"/>
  <c r="F1359" i="16" a="1"/>
  <c r="F1359" i="16" s="1"/>
  <c r="F1358" i="16" a="1"/>
  <c r="F1358" i="16" s="1"/>
  <c r="F1357" i="16" a="1"/>
  <c r="F1357" i="16" s="1"/>
  <c r="F1356" i="16"/>
  <c r="F1356" i="16" a="1"/>
  <c r="F1355" i="16" a="1"/>
  <c r="F1355" i="16" s="1"/>
  <c r="F1354" i="16" a="1"/>
  <c r="F1354" i="16" s="1"/>
  <c r="F1353" i="16" a="1"/>
  <c r="F1353" i="16" s="1"/>
  <c r="F1352" i="16" a="1"/>
  <c r="F1352" i="16" s="1"/>
  <c r="F1351" i="16" a="1"/>
  <c r="F1351" i="16" s="1"/>
  <c r="F1350" i="16" a="1"/>
  <c r="F1350" i="16" s="1"/>
  <c r="F1349" i="16" a="1"/>
  <c r="F1349" i="16" s="1"/>
  <c r="F1348" i="16"/>
  <c r="F1348" i="16" a="1"/>
  <c r="F1347" i="16" a="1"/>
  <c r="F1347" i="16" s="1"/>
  <c r="F1346" i="16" a="1"/>
  <c r="F1346" i="16" s="1"/>
  <c r="F1345" i="16" a="1"/>
  <c r="F1345" i="16" s="1"/>
  <c r="F1344" i="16" a="1"/>
  <c r="F1344" i="16" s="1"/>
  <c r="F1343" i="16" a="1"/>
  <c r="F1343" i="16" s="1"/>
  <c r="F1342" i="16" a="1"/>
  <c r="F1342" i="16" s="1"/>
  <c r="F1341" i="16" a="1"/>
  <c r="F1341" i="16" s="1"/>
  <c r="F1340" i="16" a="1"/>
  <c r="F1340" i="16" s="1"/>
  <c r="F1339" i="16" a="1"/>
  <c r="F1339" i="16" s="1"/>
  <c r="F1338" i="16" a="1"/>
  <c r="F1338" i="16" s="1"/>
  <c r="F1337" i="16" a="1"/>
  <c r="F1337" i="16" s="1"/>
  <c r="F1336" i="16"/>
  <c r="F1336" i="16" a="1"/>
  <c r="F1335" i="16" a="1"/>
  <c r="F1335" i="16" s="1"/>
  <c r="F1334" i="16" a="1"/>
  <c r="F1334" i="16" s="1"/>
  <c r="F1333" i="16" a="1"/>
  <c r="F1333" i="16" s="1"/>
  <c r="F1332" i="16" a="1"/>
  <c r="F1332" i="16" s="1"/>
  <c r="F1331" i="16" a="1"/>
  <c r="F1331" i="16" s="1"/>
  <c r="F1330" i="16" a="1"/>
  <c r="F1330" i="16" s="1"/>
  <c r="F1329" i="16" a="1"/>
  <c r="F1329" i="16" s="1"/>
  <c r="F1328" i="16"/>
  <c r="F1328" i="16" a="1"/>
  <c r="F1327" i="16" a="1"/>
  <c r="F1327" i="16" s="1"/>
  <c r="F1326" i="16" a="1"/>
  <c r="F1326" i="16" s="1"/>
  <c r="F1325" i="16" a="1"/>
  <c r="F1325" i="16" s="1"/>
  <c r="F1324" i="16" a="1"/>
  <c r="F1324" i="16" s="1"/>
  <c r="F1323" i="16" a="1"/>
  <c r="F1323" i="16" s="1"/>
  <c r="F1322" i="16" a="1"/>
  <c r="F1322" i="16" s="1"/>
  <c r="F1321" i="16" a="1"/>
  <c r="F1321" i="16" s="1"/>
  <c r="F1320" i="16"/>
  <c r="F1320" i="16" a="1"/>
  <c r="F1319" i="16" a="1"/>
  <c r="F1319" i="16" s="1"/>
  <c r="F1318" i="16" a="1"/>
  <c r="F1318" i="16" s="1"/>
  <c r="F1317" i="16" a="1"/>
  <c r="F1317" i="16" s="1"/>
  <c r="F1316" i="16"/>
  <c r="F1316" i="16" a="1"/>
  <c r="F1315" i="16" a="1"/>
  <c r="F1315" i="16" s="1"/>
  <c r="F1314" i="16" a="1"/>
  <c r="F1314" i="16" s="1"/>
  <c r="F1313" i="16" a="1"/>
  <c r="F1313" i="16" s="1"/>
  <c r="F1312" i="16"/>
  <c r="F1312" i="16" a="1"/>
  <c r="F1311" i="16" a="1"/>
  <c r="F1311" i="16" s="1"/>
  <c r="F1310" i="16" a="1"/>
  <c r="F1310" i="16" s="1"/>
  <c r="F1309" i="16" a="1"/>
  <c r="F1309" i="16" s="1"/>
  <c r="F1308" i="16" a="1"/>
  <c r="F1308" i="16" s="1"/>
  <c r="F1307" i="16" a="1"/>
  <c r="F1307" i="16" s="1"/>
  <c r="F1306" i="16" a="1"/>
  <c r="F1306" i="16" s="1"/>
  <c r="F1305" i="16" a="1"/>
  <c r="F1305" i="16" s="1"/>
  <c r="F1304" i="16"/>
  <c r="F1304" i="16" a="1"/>
  <c r="F1303" i="16" a="1"/>
  <c r="F1303" i="16" s="1"/>
  <c r="F1302" i="16" a="1"/>
  <c r="F1302" i="16" s="1"/>
  <c r="F1301" i="16" a="1"/>
  <c r="F1301" i="16" s="1"/>
  <c r="F1300" i="16"/>
  <c r="F1300" i="16" a="1"/>
  <c r="F1299" i="16" a="1"/>
  <c r="F1299" i="16" s="1"/>
  <c r="F1298" i="16" a="1"/>
  <c r="F1298" i="16" s="1"/>
  <c r="F1297" i="16" a="1"/>
  <c r="F1297" i="16" s="1"/>
  <c r="F1296" i="16"/>
  <c r="F1296" i="16" a="1"/>
  <c r="F1295" i="16" a="1"/>
  <c r="F1295" i="16" s="1"/>
  <c r="F1294" i="16" a="1"/>
  <c r="F1294" i="16" s="1"/>
  <c r="F1293" i="16" a="1"/>
  <c r="F1293" i="16" s="1"/>
  <c r="F1292" i="16" a="1"/>
  <c r="F1292" i="16" s="1"/>
  <c r="F1291" i="16" a="1"/>
  <c r="F1291" i="16" s="1"/>
  <c r="F1290" i="16" a="1"/>
  <c r="F1290" i="16" s="1"/>
  <c r="F1289" i="16" a="1"/>
  <c r="F1289" i="16" s="1"/>
  <c r="F1288" i="16"/>
  <c r="F1288" i="16" a="1"/>
  <c r="F1287" i="16" a="1"/>
  <c r="F1287" i="16" s="1"/>
  <c r="F1286" i="16" a="1"/>
  <c r="F1286" i="16" s="1"/>
  <c r="F1285" i="16" a="1"/>
  <c r="F1285" i="16" s="1"/>
  <c r="F1284" i="16"/>
  <c r="F1284" i="16" a="1"/>
  <c r="F1283" i="16" a="1"/>
  <c r="F1283" i="16" s="1"/>
  <c r="F1282" i="16" a="1"/>
  <c r="F1282" i="16" s="1"/>
  <c r="F1281" i="16" a="1"/>
  <c r="F1281" i="16" s="1"/>
  <c r="F1280" i="16"/>
  <c r="F1280" i="16" a="1"/>
  <c r="F1279" i="16" a="1"/>
  <c r="F1279" i="16" s="1"/>
  <c r="F1278" i="16" a="1"/>
  <c r="F1278" i="16" s="1"/>
  <c r="F1277" i="16" a="1"/>
  <c r="F1277" i="16" s="1"/>
  <c r="F1276" i="16" a="1"/>
  <c r="F1276" i="16" s="1"/>
  <c r="F1275" i="16" a="1"/>
  <c r="F1275" i="16" s="1"/>
  <c r="F1274" i="16" a="1"/>
  <c r="F1274" i="16" s="1"/>
  <c r="F1273" i="16" a="1"/>
  <c r="F1273" i="16" s="1"/>
  <c r="F1272" i="16"/>
  <c r="F1272" i="16" a="1"/>
  <c r="F1271" i="16" a="1"/>
  <c r="F1271" i="16" s="1"/>
  <c r="F1270" i="16" a="1"/>
  <c r="F1270" i="16" s="1"/>
  <c r="F1269" i="16" a="1"/>
  <c r="F1269" i="16" s="1"/>
  <c r="F1268" i="16"/>
  <c r="F1268" i="16" a="1"/>
  <c r="F1267" i="16" a="1"/>
  <c r="F1267" i="16" s="1"/>
  <c r="F1266" i="16" a="1"/>
  <c r="F1266" i="16" s="1"/>
  <c r="F1265" i="16" a="1"/>
  <c r="F1265" i="16" s="1"/>
  <c r="F1264" i="16"/>
  <c r="F1264" i="16" a="1"/>
  <c r="F1263" i="16" a="1"/>
  <c r="F1263" i="16" s="1"/>
  <c r="F1262" i="16" a="1"/>
  <c r="F1262" i="16" s="1"/>
  <c r="F1261" i="16" a="1"/>
  <c r="F1261" i="16" s="1"/>
  <c r="F1260" i="16" a="1"/>
  <c r="F1260" i="16" s="1"/>
  <c r="F1259" i="16" a="1"/>
  <c r="F1259" i="16" s="1"/>
  <c r="F1258" i="16" a="1"/>
  <c r="F1258" i="16" s="1"/>
  <c r="F1257" i="16" a="1"/>
  <c r="F1257" i="16" s="1"/>
  <c r="F1256" i="16"/>
  <c r="F1256" i="16" a="1"/>
  <c r="F1255" i="16" a="1"/>
  <c r="F1255" i="16" s="1"/>
  <c r="F1254" i="16" a="1"/>
  <c r="F1254" i="16" s="1"/>
  <c r="F1253" i="16" a="1"/>
  <c r="F1253" i="16" s="1"/>
  <c r="F1252" i="16"/>
  <c r="F1252" i="16" a="1"/>
  <c r="F1251" i="16" a="1"/>
  <c r="F1251" i="16" s="1"/>
  <c r="F1250" i="16" a="1"/>
  <c r="F1250" i="16" s="1"/>
  <c r="F1249" i="16" a="1"/>
  <c r="F1249" i="16" s="1"/>
  <c r="F1248" i="16" a="1"/>
  <c r="F1248" i="16" s="1"/>
  <c r="F1247" i="16" a="1"/>
  <c r="F1247" i="16" s="1"/>
  <c r="F1246" i="16" a="1"/>
  <c r="F1246" i="16" s="1"/>
  <c r="F1245" i="16" a="1"/>
  <c r="F1245" i="16" s="1"/>
  <c r="F1244" i="16" a="1"/>
  <c r="F1244" i="16" s="1"/>
  <c r="F1243" i="16" a="1"/>
  <c r="F1243" i="16" s="1"/>
  <c r="F1242" i="16" a="1"/>
  <c r="F1242" i="16" s="1"/>
  <c r="F1241" i="16" a="1"/>
  <c r="F1241" i="16" s="1"/>
  <c r="F1240" i="16" a="1"/>
  <c r="F1240" i="16" s="1"/>
  <c r="F1239" i="16" a="1"/>
  <c r="F1239" i="16" s="1"/>
  <c r="F1238" i="16" a="1"/>
  <c r="F1238" i="16" s="1"/>
  <c r="F1237" i="16" a="1"/>
  <c r="F1237" i="16" s="1"/>
  <c r="F1236" i="16"/>
  <c r="F1236" i="16" a="1"/>
  <c r="F1235" i="16" a="1"/>
  <c r="F1235" i="16" s="1"/>
  <c r="F1234" i="16" a="1"/>
  <c r="F1234" i="16" s="1"/>
  <c r="F1233" i="16" a="1"/>
  <c r="F1233" i="16" s="1"/>
  <c r="F1232" i="16" a="1"/>
  <c r="F1232" i="16" s="1"/>
  <c r="F1231" i="16" a="1"/>
  <c r="F1231" i="16" s="1"/>
  <c r="F1230" i="16" a="1"/>
  <c r="F1230" i="16" s="1"/>
  <c r="F1229" i="16" a="1"/>
  <c r="F1229" i="16" s="1"/>
  <c r="F1228" i="16"/>
  <c r="F1228" i="16" a="1"/>
  <c r="F1227" i="16" a="1"/>
  <c r="F1227" i="16" s="1"/>
  <c r="F1226" i="16" a="1"/>
  <c r="F1226" i="16" s="1"/>
  <c r="F1225" i="16" a="1"/>
  <c r="F1225" i="16" s="1"/>
  <c r="F1224" i="16" a="1"/>
  <c r="F1224" i="16" s="1"/>
  <c r="F1223" i="16" a="1"/>
  <c r="F1223" i="16" s="1"/>
  <c r="F1222" i="16" a="1"/>
  <c r="F1222" i="16" s="1"/>
  <c r="F1221" i="16" a="1"/>
  <c r="F1221" i="16" s="1"/>
  <c r="F1220" i="16"/>
  <c r="F1220" i="16" a="1"/>
  <c r="F1219" i="16" a="1"/>
  <c r="F1219" i="16" s="1"/>
  <c r="F1218" i="16" a="1"/>
  <c r="F1218" i="16" s="1"/>
  <c r="F1217" i="16" a="1"/>
  <c r="F1217" i="16" s="1"/>
  <c r="F1216" i="16" a="1"/>
  <c r="F1216" i="16" s="1"/>
  <c r="F1215" i="16" a="1"/>
  <c r="F1215" i="16" s="1"/>
  <c r="F1214" i="16" a="1"/>
  <c r="F1214" i="16" s="1"/>
  <c r="F1213" i="16" a="1"/>
  <c r="F1213" i="16" s="1"/>
  <c r="F1212" i="16" a="1"/>
  <c r="F1212" i="16" s="1"/>
  <c r="F1211" i="16" a="1"/>
  <c r="F1211" i="16" s="1"/>
  <c r="F1210" i="16" a="1"/>
  <c r="F1210" i="16" s="1"/>
  <c r="F1209" i="16" a="1"/>
  <c r="F1209" i="16" s="1"/>
  <c r="F1208" i="16" a="1"/>
  <c r="F1208" i="16" s="1"/>
  <c r="F1207" i="16" a="1"/>
  <c r="F1207" i="16" s="1"/>
  <c r="F1206" i="16" a="1"/>
  <c r="F1206" i="16" s="1"/>
  <c r="F1205" i="16" a="1"/>
  <c r="F1205" i="16" s="1"/>
  <c r="F1204" i="16"/>
  <c r="F1204" i="16" a="1"/>
  <c r="F1203" i="16" a="1"/>
  <c r="F1203" i="16" s="1"/>
  <c r="F1202" i="16" a="1"/>
  <c r="F1202" i="16" s="1"/>
  <c r="F1201" i="16" a="1"/>
  <c r="F1201" i="16" s="1"/>
  <c r="F1200" i="16" a="1"/>
  <c r="F1200" i="16" s="1"/>
  <c r="F1199" i="16" a="1"/>
  <c r="F1199" i="16" s="1"/>
  <c r="F1198" i="16" a="1"/>
  <c r="F1198" i="16" s="1"/>
  <c r="F1197" i="16" a="1"/>
  <c r="F1197" i="16" s="1"/>
  <c r="F1196" i="16"/>
  <c r="F1196" i="16" a="1"/>
  <c r="F1195" i="16" a="1"/>
  <c r="F1195" i="16" s="1"/>
  <c r="F1194" i="16" a="1"/>
  <c r="F1194" i="16" s="1"/>
  <c r="F1193" i="16" a="1"/>
  <c r="F1193" i="16" s="1"/>
  <c r="F1192" i="16"/>
  <c r="F1192" i="16" a="1"/>
  <c r="F1191" i="16" a="1"/>
  <c r="F1191" i="16" s="1"/>
  <c r="F1190" i="16" a="1"/>
  <c r="F1190" i="16" s="1"/>
  <c r="F1189" i="16" a="1"/>
  <c r="F1189" i="16" s="1"/>
  <c r="F1188" i="16" a="1"/>
  <c r="F1188" i="16" s="1"/>
  <c r="F1187" i="16" a="1"/>
  <c r="F1187" i="16" s="1"/>
  <c r="F1186" i="16" a="1"/>
  <c r="F1186" i="16" s="1"/>
  <c r="F1185" i="16" a="1"/>
  <c r="F1185" i="16" s="1"/>
  <c r="F1184" i="16"/>
  <c r="F1184" i="16" a="1"/>
  <c r="F1183" i="16" a="1"/>
  <c r="F1183" i="16" s="1"/>
  <c r="F1182" i="16" a="1"/>
  <c r="F1182" i="16" s="1"/>
  <c r="F1181" i="16" a="1"/>
  <c r="F1181" i="16" s="1"/>
  <c r="F1180" i="16"/>
  <c r="F1180" i="16" a="1"/>
  <c r="F1179" i="16" a="1"/>
  <c r="F1179" i="16" s="1"/>
  <c r="F1178" i="16" a="1"/>
  <c r="F1178" i="16" s="1"/>
  <c r="F1177" i="16" a="1"/>
  <c r="F1177" i="16" s="1"/>
  <c r="F1176" i="16"/>
  <c r="F1176" i="16" a="1"/>
  <c r="F1175" i="16" a="1"/>
  <c r="F1175" i="16" s="1"/>
  <c r="F1174" i="16" a="1"/>
  <c r="F1174" i="16" s="1"/>
  <c r="F1173" i="16" a="1"/>
  <c r="F1173" i="16" s="1"/>
  <c r="F1172" i="16" a="1"/>
  <c r="F1172" i="16" s="1"/>
  <c r="F1171" i="16" a="1"/>
  <c r="F1171" i="16" s="1"/>
  <c r="F1170" i="16" a="1"/>
  <c r="F1170" i="16" s="1"/>
  <c r="F1169" i="16" a="1"/>
  <c r="F1169" i="16" s="1"/>
  <c r="F1168" i="16"/>
  <c r="F1168" i="16" a="1"/>
  <c r="F1167" i="16" a="1"/>
  <c r="F1167" i="16" s="1"/>
  <c r="F1166" i="16" a="1"/>
  <c r="F1166" i="16" s="1"/>
  <c r="F1165" i="16" a="1"/>
  <c r="F1165" i="16" s="1"/>
  <c r="F1164" i="16"/>
  <c r="F1164" i="16" a="1"/>
  <c r="F1163" i="16" a="1"/>
  <c r="F1163" i="16" s="1"/>
  <c r="F1162" i="16" a="1"/>
  <c r="F1162" i="16" s="1"/>
  <c r="F1161" i="16" a="1"/>
  <c r="F1161" i="16" s="1"/>
  <c r="F1160" i="16" a="1"/>
  <c r="F1160" i="16" s="1"/>
  <c r="F1159" i="16" a="1"/>
  <c r="F1159" i="16" s="1"/>
  <c r="F1158" i="16" a="1"/>
  <c r="F1158" i="16" s="1"/>
  <c r="F1157" i="16" a="1"/>
  <c r="F1157" i="16" s="1"/>
  <c r="F1156" i="16" a="1"/>
  <c r="F1156" i="16" s="1"/>
  <c r="F1155" i="16" a="1"/>
  <c r="F1155" i="16" s="1"/>
  <c r="F1154" i="16" a="1"/>
  <c r="F1154" i="16" s="1"/>
  <c r="F1153" i="16" a="1"/>
  <c r="F1153" i="16" s="1"/>
  <c r="F1152" i="16"/>
  <c r="F1152" i="16" a="1"/>
  <c r="F1151" i="16" a="1"/>
  <c r="F1151" i="16" s="1"/>
  <c r="F1150" i="16" a="1"/>
  <c r="F1150" i="16" s="1"/>
  <c r="F1149" i="16" a="1"/>
  <c r="F1149" i="16" s="1"/>
  <c r="F1148" i="16"/>
  <c r="F1148" i="16" a="1"/>
  <c r="F1147" i="16" a="1"/>
  <c r="F1147" i="16" s="1"/>
  <c r="F1146" i="16" a="1"/>
  <c r="F1146" i="16" s="1"/>
  <c r="F1145" i="16" a="1"/>
  <c r="F1145" i="16" s="1"/>
  <c r="F1144" i="16"/>
  <c r="F1144" i="16" a="1"/>
  <c r="F1143" i="16" a="1"/>
  <c r="F1143" i="16" s="1"/>
  <c r="F1142" i="16" a="1"/>
  <c r="F1142" i="16" s="1"/>
  <c r="F1141" i="16" a="1"/>
  <c r="F1141" i="16" s="1"/>
  <c r="F1140" i="16" a="1"/>
  <c r="F1140" i="16" s="1"/>
  <c r="F1139" i="16" a="1"/>
  <c r="F1139" i="16" s="1"/>
  <c r="F1138" i="16" a="1"/>
  <c r="F1138" i="16" s="1"/>
  <c r="F1137" i="16" a="1"/>
  <c r="F1137" i="16" s="1"/>
  <c r="F1136" i="16"/>
  <c r="F1136" i="16" a="1"/>
  <c r="F1135" i="16" a="1"/>
  <c r="F1135" i="16" s="1"/>
  <c r="F1134" i="16" a="1"/>
  <c r="F1134" i="16" s="1"/>
  <c r="F1133" i="16" a="1"/>
  <c r="F1133" i="16" s="1"/>
  <c r="F1132" i="16"/>
  <c r="F1132" i="16" a="1"/>
  <c r="F1131" i="16" a="1"/>
  <c r="F1131" i="16" s="1"/>
  <c r="F1130" i="16" a="1"/>
  <c r="F1130" i="16" s="1"/>
  <c r="F1129" i="16" a="1"/>
  <c r="F1129" i="16" s="1"/>
  <c r="F1128" i="16"/>
  <c r="F1128" i="16" a="1"/>
  <c r="F1127" i="16" a="1"/>
  <c r="F1127" i="16" s="1"/>
  <c r="F1126" i="16" a="1"/>
  <c r="F1126" i="16" s="1"/>
  <c r="F1125" i="16" a="1"/>
  <c r="F1125" i="16" s="1"/>
  <c r="F1124" i="16" a="1"/>
  <c r="F1124" i="16" s="1"/>
  <c r="F1123" i="16" a="1"/>
  <c r="F1123" i="16" s="1"/>
  <c r="F1122" i="16" a="1"/>
  <c r="F1122" i="16" s="1"/>
  <c r="F1121" i="16" a="1"/>
  <c r="F1121" i="16" s="1"/>
  <c r="F1120" i="16"/>
  <c r="F1120" i="16" a="1"/>
  <c r="F1119" i="16" a="1"/>
  <c r="F1119" i="16" s="1"/>
  <c r="F1118" i="16" a="1"/>
  <c r="F1118" i="16" s="1"/>
  <c r="F1117" i="16" a="1"/>
  <c r="F1117" i="16" s="1"/>
  <c r="F1116" i="16"/>
  <c r="F1116" i="16" a="1"/>
  <c r="F1115" i="16" a="1"/>
  <c r="F1115" i="16" s="1"/>
  <c r="F1114" i="16" a="1"/>
  <c r="F1114" i="16" s="1"/>
  <c r="F1113" i="16" a="1"/>
  <c r="F1113" i="16" s="1"/>
  <c r="F1112" i="16"/>
  <c r="F1112" i="16" a="1"/>
  <c r="F1111" i="16" a="1"/>
  <c r="F1111" i="16" s="1"/>
  <c r="F1110" i="16" a="1"/>
  <c r="F1110" i="16" s="1"/>
  <c r="F1109" i="16" a="1"/>
  <c r="F1109" i="16" s="1"/>
  <c r="F1108" i="16" a="1"/>
  <c r="F1108" i="16" s="1"/>
  <c r="F1107" i="16" a="1"/>
  <c r="F1107" i="16" s="1"/>
  <c r="F1106" i="16" a="1"/>
  <c r="F1106" i="16" s="1"/>
  <c r="F1105" i="16" a="1"/>
  <c r="F1105" i="16" s="1"/>
  <c r="F1104" i="16"/>
  <c r="F1104" i="16" a="1"/>
  <c r="F1103" i="16" a="1"/>
  <c r="F1103" i="16" s="1"/>
  <c r="F1102" i="16" a="1"/>
  <c r="F1102" i="16" s="1"/>
  <c r="F1101" i="16" a="1"/>
  <c r="F1101" i="16" s="1"/>
  <c r="F1100" i="16"/>
  <c r="F1100" i="16" a="1"/>
  <c r="F1099" i="16" a="1"/>
  <c r="F1099" i="16" s="1"/>
  <c r="F1098" i="16" a="1"/>
  <c r="F1098" i="16" s="1"/>
  <c r="F1097" i="16" a="1"/>
  <c r="F1097" i="16" s="1"/>
  <c r="F1096" i="16"/>
  <c r="F1096" i="16" a="1"/>
  <c r="F1095" i="16" a="1"/>
  <c r="F1095" i="16" s="1"/>
  <c r="F1094" i="16" a="1"/>
  <c r="F1094" i="16" s="1"/>
  <c r="F1093" i="16" a="1"/>
  <c r="F1093" i="16" s="1"/>
  <c r="F1092" i="16" a="1"/>
  <c r="F1092" i="16" s="1"/>
  <c r="F1091" i="16" a="1"/>
  <c r="F1091" i="16" s="1"/>
  <c r="F1090" i="16" a="1"/>
  <c r="F1090" i="16" s="1"/>
  <c r="F1089" i="16" a="1"/>
  <c r="F1089" i="16" s="1"/>
  <c r="F1088" i="16"/>
  <c r="F1088" i="16" a="1"/>
  <c r="F1087" i="16" a="1"/>
  <c r="F1087" i="16" s="1"/>
  <c r="F1086" i="16" a="1"/>
  <c r="F1086" i="16" s="1"/>
  <c r="F1085" i="16" a="1"/>
  <c r="F1085" i="16" s="1"/>
  <c r="F1084" i="16"/>
  <c r="F1084" i="16" a="1"/>
  <c r="F1083" i="16" a="1"/>
  <c r="F1083" i="16" s="1"/>
  <c r="F1082" i="16" a="1"/>
  <c r="F1082" i="16" s="1"/>
  <c r="F1081" i="16" a="1"/>
  <c r="F1081" i="16" s="1"/>
  <c r="F1080" i="16"/>
  <c r="F1080" i="16" a="1"/>
  <c r="F1079" i="16" a="1"/>
  <c r="F1079" i="16" s="1"/>
  <c r="F1078" i="16" a="1"/>
  <c r="F1078" i="16" s="1"/>
  <c r="F1077" i="16" a="1"/>
  <c r="F1077" i="16" s="1"/>
  <c r="F1076" i="16" a="1"/>
  <c r="F1076" i="16" s="1"/>
  <c r="F1075" i="16" a="1"/>
  <c r="F1075" i="16" s="1"/>
  <c r="F1074" i="16" a="1"/>
  <c r="F1074" i="16" s="1"/>
  <c r="F1073" i="16" a="1"/>
  <c r="F1073" i="16" s="1"/>
  <c r="F1072" i="16"/>
  <c r="F1072" i="16" a="1"/>
  <c r="F1071" i="16" a="1"/>
  <c r="F1071" i="16" s="1"/>
  <c r="F1070" i="16" a="1"/>
  <c r="F1070" i="16" s="1"/>
  <c r="F1069" i="16" a="1"/>
  <c r="F1069" i="16" s="1"/>
  <c r="F1068" i="16" a="1"/>
  <c r="F1068" i="16" s="1"/>
  <c r="F1067" i="16" a="1"/>
  <c r="F1067" i="16" s="1"/>
  <c r="F1066" i="16" a="1"/>
  <c r="F1066" i="16" s="1"/>
  <c r="F1065" i="16" a="1"/>
  <c r="F1065" i="16" s="1"/>
  <c r="F1064" i="16"/>
  <c r="F1064" i="16" a="1"/>
  <c r="F1063" i="16" a="1"/>
  <c r="F1063" i="16" s="1"/>
  <c r="F1062" i="16" a="1"/>
  <c r="F1062" i="16" s="1"/>
  <c r="F1061" i="16" a="1"/>
  <c r="F1061" i="16" s="1"/>
  <c r="F1060" i="16" a="1"/>
  <c r="F1060" i="16" s="1"/>
  <c r="F1059" i="16" a="1"/>
  <c r="F1059" i="16" s="1"/>
  <c r="F1058" i="16" a="1"/>
  <c r="F1058" i="16" s="1"/>
  <c r="F1057" i="16" a="1"/>
  <c r="F1057" i="16" s="1"/>
  <c r="F1056" i="16"/>
  <c r="F1056" i="16" a="1"/>
  <c r="F1055" i="16" a="1"/>
  <c r="F1055" i="16" s="1"/>
  <c r="F1054" i="16" a="1"/>
  <c r="F1054" i="16" s="1"/>
  <c r="F1053" i="16" a="1"/>
  <c r="F1053" i="16" s="1"/>
  <c r="F1052" i="16"/>
  <c r="F1052" i="16" a="1"/>
  <c r="F1051" i="16" a="1"/>
  <c r="F1051" i="16" s="1"/>
  <c r="F1050" i="16" a="1"/>
  <c r="F1050" i="16" s="1"/>
  <c r="F1049" i="16" a="1"/>
  <c r="F1049" i="16" s="1"/>
  <c r="F1048" i="16"/>
  <c r="F1048" i="16" a="1"/>
  <c r="F1047" i="16" a="1"/>
  <c r="F1047" i="16" s="1"/>
  <c r="F1046" i="16" a="1"/>
  <c r="F1046" i="16" s="1"/>
  <c r="F1045" i="16" a="1"/>
  <c r="F1045" i="16" s="1"/>
  <c r="F1044" i="16" a="1"/>
  <c r="F1044" i="16" s="1"/>
  <c r="F1043" i="16" a="1"/>
  <c r="F1043" i="16" s="1"/>
  <c r="F1042" i="16" a="1"/>
  <c r="F1042" i="16" s="1"/>
  <c r="F1041" i="16" a="1"/>
  <c r="F1041" i="16" s="1"/>
  <c r="F1040" i="16"/>
  <c r="F1040" i="16" a="1"/>
  <c r="F1039" i="16" a="1"/>
  <c r="F1039" i="16" s="1"/>
  <c r="F1038" i="16" a="1"/>
  <c r="F1038" i="16" s="1"/>
  <c r="F1037" i="16" a="1"/>
  <c r="F1037" i="16" s="1"/>
  <c r="F1036" i="16"/>
  <c r="F1036" i="16" a="1"/>
  <c r="F1035" i="16" a="1"/>
  <c r="F1035" i="16" s="1"/>
  <c r="F1034" i="16" a="1"/>
  <c r="F1034" i="16" s="1"/>
  <c r="F1033" i="16" a="1"/>
  <c r="F1033" i="16" s="1"/>
  <c r="F1032" i="16"/>
  <c r="F1032" i="16" a="1"/>
  <c r="F1031" i="16" a="1"/>
  <c r="F1031" i="16" s="1"/>
  <c r="F1030" i="16" a="1"/>
  <c r="F1030" i="16" s="1"/>
  <c r="F1029" i="16" a="1"/>
  <c r="F1029" i="16" s="1"/>
  <c r="F1028" i="16" a="1"/>
  <c r="F1028" i="16" s="1"/>
  <c r="F1027" i="16" a="1"/>
  <c r="F1027" i="16" s="1"/>
  <c r="F1026" i="16" a="1"/>
  <c r="F1026" i="16" s="1"/>
  <c r="F1025" i="16" a="1"/>
  <c r="F1025" i="16" s="1"/>
  <c r="F1024" i="16"/>
  <c r="F1024" i="16" a="1"/>
  <c r="F1023" i="16" a="1"/>
  <c r="F1023" i="16" s="1"/>
  <c r="F1022" i="16" a="1"/>
  <c r="F1022" i="16" s="1"/>
  <c r="F1021" i="16" a="1"/>
  <c r="F1021" i="16" s="1"/>
  <c r="F1020" i="16"/>
  <c r="F1020" i="16" a="1"/>
  <c r="F1019" i="16" a="1"/>
  <c r="F1019" i="16" s="1"/>
  <c r="F1018" i="16" a="1"/>
  <c r="F1018" i="16" s="1"/>
  <c r="F1017" i="16" a="1"/>
  <c r="F1017" i="16" s="1"/>
  <c r="F1016" i="16"/>
  <c r="F1016" i="16" a="1"/>
  <c r="F1015" i="16" a="1"/>
  <c r="F1015" i="16" s="1"/>
  <c r="F1014" i="16" a="1"/>
  <c r="F1014" i="16" s="1"/>
  <c r="F1013" i="16" a="1"/>
  <c r="F1013" i="16" s="1"/>
  <c r="F1012" i="16" a="1"/>
  <c r="F1012" i="16" s="1"/>
  <c r="F1011" i="16" a="1"/>
  <c r="F1011" i="16" s="1"/>
  <c r="F1010" i="16" a="1"/>
  <c r="F1010" i="16" s="1"/>
  <c r="F1009" i="16" a="1"/>
  <c r="F1009" i="16" s="1"/>
  <c r="F1008" i="16"/>
  <c r="F1008" i="16" a="1"/>
  <c r="F1007" i="16" a="1"/>
  <c r="F1007" i="16" s="1"/>
  <c r="F1006" i="16" a="1"/>
  <c r="F1006" i="16" s="1"/>
  <c r="F1005" i="16" a="1"/>
  <c r="F1005" i="16" s="1"/>
  <c r="F1004" i="16"/>
  <c r="F1004" i="16" a="1"/>
  <c r="F1003" i="16" a="1"/>
  <c r="F1003" i="16" s="1"/>
  <c r="F1002" i="16" a="1"/>
  <c r="F1002" i="16" s="1"/>
  <c r="F1001" i="16" a="1"/>
  <c r="F1001" i="16" s="1"/>
  <c r="F1000" i="16"/>
  <c r="F1000" i="16" a="1"/>
  <c r="F999" i="16" a="1"/>
  <c r="F999" i="16" s="1"/>
  <c r="F998" i="16" a="1"/>
  <c r="F998" i="16" s="1"/>
  <c r="F997" i="16" a="1"/>
  <c r="F997" i="16" s="1"/>
  <c r="F996" i="16" a="1"/>
  <c r="F996" i="16" s="1"/>
  <c r="F995" i="16" a="1"/>
  <c r="F995" i="16" s="1"/>
  <c r="F994" i="16" a="1"/>
  <c r="F994" i="16" s="1"/>
  <c r="F993" i="16" a="1"/>
  <c r="F993" i="16" s="1"/>
  <c r="F992" i="16"/>
  <c r="F992" i="16" a="1"/>
  <c r="F991" i="16" a="1"/>
  <c r="F991" i="16" s="1"/>
  <c r="F990" i="16" a="1"/>
  <c r="F990" i="16" s="1"/>
  <c r="F989" i="16" a="1"/>
  <c r="F989" i="16" s="1"/>
  <c r="F988" i="16" a="1"/>
  <c r="F988" i="16" s="1"/>
  <c r="F987" i="16" a="1"/>
  <c r="F987" i="16" s="1"/>
  <c r="F986" i="16" a="1"/>
  <c r="F986" i="16" s="1"/>
  <c r="F985" i="16" a="1"/>
  <c r="F985" i="16" s="1"/>
  <c r="F984" i="16" a="1"/>
  <c r="F984" i="16" s="1"/>
  <c r="F983" i="16" a="1"/>
  <c r="F983" i="16" s="1"/>
  <c r="F982" i="16" a="1"/>
  <c r="F982" i="16" s="1"/>
  <c r="F981" i="16" a="1"/>
  <c r="F981" i="16" s="1"/>
  <c r="F980" i="16"/>
  <c r="F980" i="16" a="1"/>
  <c r="F979" i="16" a="1"/>
  <c r="F979" i="16" s="1"/>
  <c r="F978" i="16" a="1"/>
  <c r="F978" i="16" s="1"/>
  <c r="F977" i="16" a="1"/>
  <c r="F977" i="16" s="1"/>
  <c r="F976" i="16" a="1"/>
  <c r="F976" i="16" s="1"/>
  <c r="F975" i="16" a="1"/>
  <c r="F975" i="16" s="1"/>
  <c r="F974" i="16" a="1"/>
  <c r="F974" i="16" s="1"/>
  <c r="F973" i="16" a="1"/>
  <c r="F973" i="16" s="1"/>
  <c r="F972" i="16" a="1"/>
  <c r="F972" i="16" s="1"/>
  <c r="F971" i="16" a="1"/>
  <c r="F971" i="16" s="1"/>
  <c r="F970" i="16"/>
  <c r="F970" i="16" a="1"/>
  <c r="F969" i="16" a="1"/>
  <c r="F969" i="16" s="1"/>
  <c r="F968" i="16" a="1"/>
  <c r="F968" i="16" s="1"/>
  <c r="F967" i="16" a="1"/>
  <c r="F967" i="16" s="1"/>
  <c r="F966" i="16" a="1"/>
  <c r="F966" i="16" s="1"/>
  <c r="F965" i="16" a="1"/>
  <c r="F965" i="16" s="1"/>
  <c r="F964" i="16"/>
  <c r="F964" i="16" a="1"/>
  <c r="F963" i="16" a="1"/>
  <c r="F963" i="16" s="1"/>
  <c r="F962" i="16"/>
  <c r="F962" i="16" a="1"/>
  <c r="F961" i="16" a="1"/>
  <c r="F961" i="16" s="1"/>
  <c r="F960" i="16" a="1"/>
  <c r="F960" i="16" s="1"/>
  <c r="F959" i="16" a="1"/>
  <c r="F959" i="16" s="1"/>
  <c r="F958" i="16" a="1"/>
  <c r="F958" i="16" s="1"/>
  <c r="F957" i="16" a="1"/>
  <c r="F957" i="16" s="1"/>
  <c r="F956" i="16" a="1"/>
  <c r="F956" i="16" s="1"/>
  <c r="F955" i="16" a="1"/>
  <c r="F955" i="16" s="1"/>
  <c r="F954" i="16"/>
  <c r="F954" i="16" a="1"/>
  <c r="F953" i="16" a="1"/>
  <c r="F953" i="16" s="1"/>
  <c r="F952" i="16" a="1"/>
  <c r="F952" i="16" s="1"/>
  <c r="F951" i="16" a="1"/>
  <c r="F951" i="16" s="1"/>
  <c r="F950" i="16" a="1"/>
  <c r="F950" i="16" s="1"/>
  <c r="F949" i="16" a="1"/>
  <c r="F949" i="16" s="1"/>
  <c r="F948" i="16"/>
  <c r="F948" i="16" a="1"/>
  <c r="F947" i="16" a="1"/>
  <c r="F947" i="16" s="1"/>
  <c r="F946" i="16"/>
  <c r="F946" i="16" a="1"/>
  <c r="F945" i="16" a="1"/>
  <c r="F945" i="16" s="1"/>
  <c r="F944" i="16" a="1"/>
  <c r="F944" i="16" s="1"/>
  <c r="F943" i="16" a="1"/>
  <c r="F943" i="16" s="1"/>
  <c r="F942" i="16" a="1"/>
  <c r="F942" i="16" s="1"/>
  <c r="F941" i="16" a="1"/>
  <c r="F941" i="16" s="1"/>
  <c r="F940" i="16" a="1"/>
  <c r="F940" i="16" s="1"/>
  <c r="F939" i="16" a="1"/>
  <c r="F939" i="16" s="1"/>
  <c r="F938" i="16"/>
  <c r="F938" i="16" a="1"/>
  <c r="F937" i="16" a="1"/>
  <c r="F937" i="16" s="1"/>
  <c r="F936" i="16"/>
  <c r="F936" i="16" a="1"/>
  <c r="F935" i="16" a="1"/>
  <c r="F935" i="16" s="1"/>
  <c r="F934" i="16" a="1"/>
  <c r="F934" i="16" s="1"/>
  <c r="F933" i="16" a="1"/>
  <c r="F933" i="16" s="1"/>
  <c r="F932" i="16"/>
  <c r="F932" i="16" a="1"/>
  <c r="F931" i="16" a="1"/>
  <c r="F931" i="16" s="1"/>
  <c r="F930" i="16"/>
  <c r="F930" i="16" a="1"/>
  <c r="F929" i="16" a="1"/>
  <c r="F929" i="16" s="1"/>
  <c r="F928" i="16"/>
  <c r="F928" i="16" a="1"/>
  <c r="F927" i="16" a="1"/>
  <c r="F927" i="16" s="1"/>
  <c r="F926" i="16" a="1"/>
  <c r="F926" i="16" s="1"/>
  <c r="F925" i="16" a="1"/>
  <c r="F925" i="16" s="1"/>
  <c r="F924" i="16"/>
  <c r="F924" i="16" a="1"/>
  <c r="F923" i="16" a="1"/>
  <c r="F923" i="16" s="1"/>
  <c r="F922" i="16"/>
  <c r="F922" i="16" a="1"/>
  <c r="F921" i="16" a="1"/>
  <c r="F921" i="16" s="1"/>
  <c r="F920" i="16" a="1"/>
  <c r="F920" i="16" s="1"/>
  <c r="F919" i="16" a="1"/>
  <c r="F919" i="16" s="1"/>
  <c r="F918" i="16" a="1"/>
  <c r="F918" i="16" s="1"/>
  <c r="F917" i="16" a="1"/>
  <c r="F917" i="16" s="1"/>
  <c r="F916" i="16" a="1"/>
  <c r="F916" i="16" s="1"/>
  <c r="F915" i="16" a="1"/>
  <c r="F915" i="16" s="1"/>
  <c r="F914" i="16" a="1"/>
  <c r="F914" i="16" s="1"/>
  <c r="F913" i="16" a="1"/>
  <c r="F913" i="16" s="1"/>
  <c r="F912" i="16" a="1"/>
  <c r="F912" i="16" s="1"/>
  <c r="F911" i="16" a="1"/>
  <c r="F911" i="16" s="1"/>
  <c r="F910" i="16" a="1"/>
  <c r="F910" i="16" s="1"/>
  <c r="F909" i="16" a="1"/>
  <c r="F909" i="16" s="1"/>
  <c r="F908" i="16"/>
  <c r="F908" i="16" a="1"/>
  <c r="F907" i="16" a="1"/>
  <c r="F907" i="16" s="1"/>
  <c r="F906" i="16"/>
  <c r="F906" i="16" a="1"/>
  <c r="F905" i="16" a="1"/>
  <c r="F905" i="16" s="1"/>
  <c r="F904" i="16" a="1"/>
  <c r="F904" i="16" s="1"/>
  <c r="F903" i="16" a="1"/>
  <c r="F903" i="16" s="1"/>
  <c r="F902" i="16" a="1"/>
  <c r="F902" i="16" s="1"/>
  <c r="F901" i="16" a="1"/>
  <c r="F901" i="16" s="1"/>
  <c r="F900" i="16"/>
  <c r="F900" i="16" a="1"/>
  <c r="F899" i="16" a="1"/>
  <c r="F899" i="16" s="1"/>
  <c r="F898" i="16" a="1"/>
  <c r="F898" i="16" s="1"/>
  <c r="F897" i="16" a="1"/>
  <c r="F897" i="16" s="1"/>
  <c r="F896" i="16" a="1"/>
  <c r="F896" i="16" s="1"/>
  <c r="F895" i="16" a="1"/>
  <c r="F895" i="16" s="1"/>
  <c r="F894" i="16" a="1"/>
  <c r="F894" i="16" s="1"/>
  <c r="F893" i="16" a="1"/>
  <c r="F893" i="16" s="1"/>
  <c r="F892" i="16" a="1"/>
  <c r="F892" i="16" s="1"/>
  <c r="F891" i="16" a="1"/>
  <c r="F891" i="16" s="1"/>
  <c r="F890" i="16" a="1"/>
  <c r="F890" i="16" s="1"/>
  <c r="F889" i="16" a="1"/>
  <c r="F889" i="16" s="1"/>
  <c r="F888" i="16"/>
  <c r="F888" i="16" a="1"/>
  <c r="F887" i="16" a="1"/>
  <c r="F887" i="16" s="1"/>
  <c r="F886" i="16" a="1"/>
  <c r="F886" i="16" s="1"/>
  <c r="F885" i="16" a="1"/>
  <c r="F885" i="16" s="1"/>
  <c r="F884" i="16" a="1"/>
  <c r="F884" i="16" s="1"/>
  <c r="F883" i="16" a="1"/>
  <c r="F883" i="16" s="1"/>
  <c r="F882" i="16"/>
  <c r="F882" i="16" a="1"/>
  <c r="F881" i="16" a="1"/>
  <c r="F881" i="16" s="1"/>
  <c r="F880" i="16"/>
  <c r="F880" i="16" a="1"/>
  <c r="F879" i="16" a="1"/>
  <c r="F879" i="16" s="1"/>
  <c r="F878" i="16" a="1"/>
  <c r="F878" i="16" s="1"/>
  <c r="F877" i="16" a="1"/>
  <c r="F877" i="16" s="1"/>
  <c r="F876" i="16"/>
  <c r="F876" i="16" a="1"/>
  <c r="F875" i="16" a="1"/>
  <c r="F875" i="16" s="1"/>
  <c r="F874" i="16"/>
  <c r="F874" i="16" a="1"/>
  <c r="F873" i="16" a="1"/>
  <c r="F873" i="16" s="1"/>
  <c r="F872" i="16" a="1"/>
  <c r="F872" i="16" s="1"/>
  <c r="F871" i="16" a="1"/>
  <c r="F871" i="16" s="1"/>
  <c r="F870" i="16" a="1"/>
  <c r="F870" i="16" s="1"/>
  <c r="F869" i="16" a="1"/>
  <c r="F869" i="16" s="1"/>
  <c r="F868" i="16"/>
  <c r="F868" i="16" a="1"/>
  <c r="F867" i="16" a="1"/>
  <c r="F867" i="16" s="1"/>
  <c r="F866" i="16" a="1"/>
  <c r="F866" i="16" s="1"/>
  <c r="F865" i="16" a="1"/>
  <c r="F865" i="16" s="1"/>
  <c r="F864" i="16" a="1"/>
  <c r="F864" i="16" s="1"/>
  <c r="F863" i="16" a="1"/>
  <c r="F863" i="16" s="1"/>
  <c r="F862" i="16" a="1"/>
  <c r="F862" i="16" s="1"/>
  <c r="F861" i="16" a="1"/>
  <c r="F861" i="16" s="1"/>
  <c r="F860" i="16" a="1"/>
  <c r="F860" i="16" s="1"/>
  <c r="F859" i="16" a="1"/>
  <c r="F859" i="16" s="1"/>
  <c r="F858" i="16" a="1"/>
  <c r="F858" i="16" s="1"/>
  <c r="F857" i="16" a="1"/>
  <c r="F857" i="16" s="1"/>
  <c r="F856" i="16"/>
  <c r="F856" i="16" a="1"/>
  <c r="F855" i="16" a="1"/>
  <c r="F855" i="16" s="1"/>
  <c r="F854" i="16" a="1"/>
  <c r="F854" i="16" s="1"/>
  <c r="F853" i="16" a="1"/>
  <c r="F853" i="16" s="1"/>
  <c r="F852" i="16" a="1"/>
  <c r="F852" i="16" s="1"/>
  <c r="F851" i="16" a="1"/>
  <c r="F851" i="16" s="1"/>
  <c r="F850" i="16" a="1"/>
  <c r="F850" i="16" s="1"/>
  <c r="F849" i="16" a="1"/>
  <c r="F849" i="16" s="1"/>
  <c r="F848" i="16" a="1"/>
  <c r="F848" i="16" s="1"/>
  <c r="F847" i="16" a="1"/>
  <c r="F847" i="16" s="1"/>
  <c r="F846" i="16" a="1"/>
  <c r="F846" i="16" s="1"/>
  <c r="F845" i="16" a="1"/>
  <c r="F845" i="16" s="1"/>
  <c r="F844" i="16"/>
  <c r="F844" i="16" a="1"/>
  <c r="F843" i="16" a="1"/>
  <c r="F843" i="16" s="1"/>
  <c r="F842" i="16" a="1"/>
  <c r="F842" i="16" s="1"/>
  <c r="F841" i="16" a="1"/>
  <c r="F841" i="16" s="1"/>
  <c r="F840" i="16"/>
  <c r="F840" i="16" a="1"/>
  <c r="F839" i="16" a="1"/>
  <c r="F839" i="16" s="1"/>
  <c r="F838" i="16" a="1"/>
  <c r="F838" i="16" s="1"/>
  <c r="F837" i="16" a="1"/>
  <c r="F837" i="16" s="1"/>
  <c r="F836" i="16" a="1"/>
  <c r="F836" i="16" s="1"/>
  <c r="F835" i="16" a="1"/>
  <c r="F835" i="16" s="1"/>
  <c r="F834" i="16" a="1"/>
  <c r="F834" i="16" s="1"/>
  <c r="F833" i="16" a="1"/>
  <c r="F833" i="16" s="1"/>
  <c r="F832" i="16" a="1"/>
  <c r="F832" i="16" s="1"/>
  <c r="F831" i="16" a="1"/>
  <c r="F831" i="16" s="1"/>
  <c r="F830" i="16" a="1"/>
  <c r="F830" i="16" s="1"/>
  <c r="F829" i="16" a="1"/>
  <c r="F829" i="16" s="1"/>
  <c r="F828" i="16"/>
  <c r="F828" i="16" a="1"/>
  <c r="F827" i="16" a="1"/>
  <c r="F827" i="16" s="1"/>
  <c r="F826" i="16" a="1"/>
  <c r="F826" i="16" s="1"/>
  <c r="F825" i="16" a="1"/>
  <c r="F825" i="16" s="1"/>
  <c r="F824" i="16"/>
  <c r="F824" i="16" a="1"/>
  <c r="F823" i="16" a="1"/>
  <c r="F823" i="16" s="1"/>
  <c r="F822" i="16" a="1"/>
  <c r="F822" i="16" s="1"/>
  <c r="F821" i="16" a="1"/>
  <c r="F821" i="16" s="1"/>
  <c r="F820" i="16" a="1"/>
  <c r="F820" i="16" s="1"/>
  <c r="F819" i="16" a="1"/>
  <c r="F819" i="16" s="1"/>
  <c r="F818" i="16" a="1"/>
  <c r="F818" i="16" s="1"/>
  <c r="F817" i="16" a="1"/>
  <c r="F817" i="16" s="1"/>
  <c r="F816" i="16" a="1"/>
  <c r="F816" i="16" s="1"/>
  <c r="F815" i="16" a="1"/>
  <c r="F815" i="16" s="1"/>
  <c r="F814" i="16" a="1"/>
  <c r="F814" i="16" s="1"/>
  <c r="F813" i="16" a="1"/>
  <c r="F813" i="16" s="1"/>
  <c r="F812" i="16"/>
  <c r="F812" i="16" a="1"/>
  <c r="F811" i="16" a="1"/>
  <c r="F811" i="16" s="1"/>
  <c r="F810" i="16" a="1"/>
  <c r="F810" i="16" s="1"/>
  <c r="F809" i="16" a="1"/>
  <c r="F809" i="16" s="1"/>
  <c r="F808" i="16" a="1"/>
  <c r="F808" i="16" s="1"/>
  <c r="F807" i="16" a="1"/>
  <c r="F807" i="16" s="1"/>
  <c r="F806" i="16"/>
  <c r="F806" i="16" a="1"/>
  <c r="F805" i="16" a="1"/>
  <c r="F805" i="16" s="1"/>
  <c r="F804" i="16"/>
  <c r="F804" i="16" a="1"/>
  <c r="F803" i="16" a="1"/>
  <c r="F803" i="16" s="1"/>
  <c r="F802" i="16" a="1"/>
  <c r="F802" i="16" s="1"/>
  <c r="F801" i="16" a="1"/>
  <c r="F801" i="16" s="1"/>
  <c r="F800" i="16" a="1"/>
  <c r="F800" i="16" s="1"/>
  <c r="F799" i="16" a="1"/>
  <c r="F799" i="16" s="1"/>
  <c r="F798" i="16"/>
  <c r="F798" i="16" a="1"/>
  <c r="F797" i="16" a="1"/>
  <c r="F797" i="16" s="1"/>
  <c r="F796" i="16"/>
  <c r="F796" i="16" a="1"/>
  <c r="F795" i="16" a="1"/>
  <c r="F795" i="16" s="1"/>
  <c r="F794" i="16" a="1"/>
  <c r="F794" i="16" s="1"/>
  <c r="F793" i="16" a="1"/>
  <c r="F793" i="16" s="1"/>
  <c r="F792" i="16" a="1"/>
  <c r="F792" i="16" s="1"/>
  <c r="F791" i="16" a="1"/>
  <c r="F791" i="16" s="1"/>
  <c r="F790" i="16"/>
  <c r="F790" i="16" a="1"/>
  <c r="F789" i="16" a="1"/>
  <c r="F789" i="16" s="1"/>
  <c r="F788" i="16"/>
  <c r="F788" i="16" a="1"/>
  <c r="F787" i="16" a="1"/>
  <c r="F787" i="16" s="1"/>
  <c r="F786" i="16" a="1"/>
  <c r="F786" i="16" s="1"/>
  <c r="F785" i="16" a="1"/>
  <c r="F785" i="16" s="1"/>
  <c r="F784" i="16" a="1"/>
  <c r="F784" i="16" s="1"/>
  <c r="F783" i="16" a="1"/>
  <c r="F783" i="16" s="1"/>
  <c r="F782" i="16"/>
  <c r="F782" i="16" a="1"/>
  <c r="F781" i="16" a="1"/>
  <c r="F781" i="16" s="1"/>
  <c r="F780" i="16"/>
  <c r="F780" i="16" a="1"/>
  <c r="F779" i="16" a="1"/>
  <c r="F779" i="16" s="1"/>
  <c r="F778" i="16" a="1"/>
  <c r="F778" i="16" s="1"/>
  <c r="F777" i="16" a="1"/>
  <c r="F777" i="16" s="1"/>
  <c r="F776" i="16" a="1"/>
  <c r="F776" i="16" s="1"/>
  <c r="F775" i="16" a="1"/>
  <c r="F775" i="16" s="1"/>
  <c r="F774" i="16"/>
  <c r="F774" i="16" a="1"/>
  <c r="F773" i="16" a="1"/>
  <c r="F773" i="16" s="1"/>
  <c r="F772" i="16" a="1"/>
  <c r="F772" i="16" s="1"/>
  <c r="F771" i="16" a="1"/>
  <c r="F771" i="16" s="1"/>
  <c r="F770" i="16" a="1"/>
  <c r="F770" i="16" s="1"/>
  <c r="F769" i="16" a="1"/>
  <c r="F769" i="16" s="1"/>
  <c r="F768" i="16" a="1"/>
  <c r="F768" i="16" s="1"/>
  <c r="F767" i="16" a="1"/>
  <c r="F767" i="16" s="1"/>
  <c r="F766" i="16" a="1"/>
  <c r="F766" i="16" s="1"/>
  <c r="F765" i="16" a="1"/>
  <c r="F765" i="16" s="1"/>
  <c r="F764" i="16" a="1"/>
  <c r="F764" i="16" s="1"/>
  <c r="F763" i="16" a="1"/>
  <c r="F763" i="16" s="1"/>
  <c r="F762" i="16"/>
  <c r="F762" i="16" a="1"/>
  <c r="F761" i="16" a="1"/>
  <c r="F761" i="16" s="1"/>
  <c r="F760" i="16" a="1"/>
  <c r="F760" i="16" s="1"/>
  <c r="F759" i="16" a="1"/>
  <c r="F759" i="16" s="1"/>
  <c r="F758" i="16"/>
  <c r="F758" i="16" a="1"/>
  <c r="F757" i="16" a="1"/>
  <c r="F757" i="16" s="1"/>
  <c r="F756" i="16" a="1"/>
  <c r="F756" i="16" s="1"/>
  <c r="F755" i="16" a="1"/>
  <c r="F755" i="16" s="1"/>
  <c r="F754" i="16" a="1"/>
  <c r="F754" i="16" s="1"/>
  <c r="F753" i="16" a="1"/>
  <c r="F753" i="16" s="1"/>
  <c r="F752" i="16" a="1"/>
  <c r="F752" i="16" s="1"/>
  <c r="F751" i="16" a="1"/>
  <c r="F751" i="16" s="1"/>
  <c r="F750" i="16" a="1"/>
  <c r="F750" i="16" s="1"/>
  <c r="F749" i="16" a="1"/>
  <c r="F749" i="16" s="1"/>
  <c r="F748" i="16" a="1"/>
  <c r="F748" i="16" s="1"/>
  <c r="F747" i="16" a="1"/>
  <c r="F747" i="16" s="1"/>
  <c r="F746" i="16"/>
  <c r="F746" i="16" a="1"/>
  <c r="F745" i="16" a="1"/>
  <c r="F745" i="16" s="1"/>
  <c r="F744" i="16" a="1"/>
  <c r="F744" i="16" s="1"/>
  <c r="F743" i="16" a="1"/>
  <c r="F743" i="16" s="1"/>
  <c r="F742" i="16" a="1"/>
  <c r="F742" i="16" s="1"/>
  <c r="F741" i="16" a="1"/>
  <c r="F741" i="16" s="1"/>
  <c r="F740" i="16" a="1"/>
  <c r="F740" i="16" s="1"/>
  <c r="F739" i="16" a="1"/>
  <c r="F739" i="16" s="1"/>
  <c r="F738" i="16"/>
  <c r="F738" i="16" a="1"/>
  <c r="F737" i="16" a="1"/>
  <c r="F737" i="16" s="1"/>
  <c r="F736" i="16" a="1"/>
  <c r="F736" i="16" s="1"/>
  <c r="F735" i="16" a="1"/>
  <c r="F735" i="16" s="1"/>
  <c r="F734" i="16" a="1"/>
  <c r="F734" i="16" s="1"/>
  <c r="F733" i="16" a="1"/>
  <c r="F733" i="16" s="1"/>
  <c r="F732" i="16" a="1"/>
  <c r="F732" i="16" s="1"/>
  <c r="F731" i="16" a="1"/>
  <c r="F731" i="16" s="1"/>
  <c r="F730" i="16"/>
  <c r="F730" i="16" a="1"/>
  <c r="F729" i="16" a="1"/>
  <c r="F729" i="16" s="1"/>
  <c r="F728" i="16" a="1"/>
  <c r="F728" i="16" s="1"/>
  <c r="F727" i="16" a="1"/>
  <c r="F727" i="16" s="1"/>
  <c r="F726" i="16"/>
  <c r="F726" i="16" a="1"/>
  <c r="F725" i="16" a="1"/>
  <c r="F725" i="16" s="1"/>
  <c r="F724" i="16" a="1"/>
  <c r="F724" i="16" s="1"/>
  <c r="F723" i="16" a="1"/>
  <c r="F723" i="16" s="1"/>
  <c r="F722" i="16"/>
  <c r="F722" i="16" a="1"/>
  <c r="F721" i="16" a="1"/>
  <c r="F721" i="16" s="1"/>
  <c r="F720" i="16" a="1"/>
  <c r="F720" i="16" s="1"/>
  <c r="F719" i="16" a="1"/>
  <c r="F719" i="16" s="1"/>
  <c r="F718" i="16" a="1"/>
  <c r="F718" i="16" s="1"/>
  <c r="F717" i="16" a="1"/>
  <c r="F717" i="16" s="1"/>
  <c r="F716" i="16" a="1"/>
  <c r="F716" i="16" s="1"/>
  <c r="F715" i="16" a="1"/>
  <c r="F715" i="16" s="1"/>
  <c r="F714" i="16"/>
  <c r="F714" i="16" a="1"/>
  <c r="F713" i="16" a="1"/>
  <c r="F713" i="16" s="1"/>
  <c r="F712" i="16" a="1"/>
  <c r="F712" i="16" s="1"/>
  <c r="F711" i="16" a="1"/>
  <c r="F711" i="16" s="1"/>
  <c r="F710" i="16"/>
  <c r="F710" i="16" a="1"/>
  <c r="F709" i="16" a="1"/>
  <c r="F709" i="16" s="1"/>
  <c r="F708" i="16" a="1"/>
  <c r="F708" i="16" s="1"/>
  <c r="F707" i="16" a="1"/>
  <c r="F707" i="16" s="1"/>
  <c r="F706" i="16"/>
  <c r="F706" i="16" a="1"/>
  <c r="F705" i="16" a="1"/>
  <c r="F705" i="16" s="1"/>
  <c r="F704" i="16" a="1"/>
  <c r="F704" i="16" s="1"/>
  <c r="F703" i="16" a="1"/>
  <c r="F703" i="16" s="1"/>
  <c r="F702" i="16" a="1"/>
  <c r="F702" i="16" s="1"/>
  <c r="F701" i="16" a="1"/>
  <c r="F701" i="16" s="1"/>
  <c r="F700" i="16" a="1"/>
  <c r="F700" i="16" s="1"/>
  <c r="F699" i="16" a="1"/>
  <c r="F699" i="16" s="1"/>
  <c r="F698" i="16"/>
  <c r="F698" i="16" a="1"/>
  <c r="F697" i="16" a="1"/>
  <c r="F697" i="16" s="1"/>
  <c r="F696" i="16" a="1"/>
  <c r="F696" i="16" s="1"/>
  <c r="F695" i="16" a="1"/>
  <c r="F695" i="16" s="1"/>
  <c r="F694" i="16"/>
  <c r="F694" i="16" a="1"/>
  <c r="F693" i="16" a="1"/>
  <c r="F693" i="16" s="1"/>
  <c r="F692" i="16" a="1"/>
  <c r="F692" i="16" s="1"/>
  <c r="F691" i="16" a="1"/>
  <c r="F691" i="16" s="1"/>
  <c r="F690" i="16"/>
  <c r="F690" i="16" a="1"/>
  <c r="F689" i="16" a="1"/>
  <c r="F689" i="16" s="1"/>
  <c r="F688" i="16" a="1"/>
  <c r="F688" i="16" s="1"/>
  <c r="F687" i="16" a="1"/>
  <c r="F687" i="16" s="1"/>
  <c r="F686" i="16" a="1"/>
  <c r="F686" i="16" s="1"/>
  <c r="F685" i="16" a="1"/>
  <c r="F685" i="16" s="1"/>
  <c r="F684" i="16" a="1"/>
  <c r="F684" i="16" s="1"/>
  <c r="F683" i="16" a="1"/>
  <c r="F683" i="16" s="1"/>
  <c r="F682" i="16" a="1"/>
  <c r="F682" i="16" s="1"/>
  <c r="F681" i="16" a="1"/>
  <c r="F681" i="16" s="1"/>
  <c r="F680" i="16" a="1"/>
  <c r="F680" i="16" s="1"/>
  <c r="F679" i="16"/>
  <c r="F679" i="16" a="1"/>
  <c r="F678" i="16" a="1"/>
  <c r="F678" i="16" s="1"/>
  <c r="F677" i="16" a="1"/>
  <c r="F677" i="16" s="1"/>
  <c r="F676" i="16" a="1"/>
  <c r="F676" i="16" s="1"/>
  <c r="F675" i="16"/>
  <c r="F675" i="16" a="1"/>
  <c r="F674" i="16" a="1"/>
  <c r="F674" i="16" s="1"/>
  <c r="F673" i="16"/>
  <c r="F673" i="16" a="1"/>
  <c r="F672" i="16" a="1"/>
  <c r="F672" i="16" s="1"/>
  <c r="F671" i="16" a="1"/>
  <c r="F671" i="16" s="1"/>
  <c r="F670" i="16" a="1"/>
  <c r="F670" i="16" s="1"/>
  <c r="F669" i="16" a="1"/>
  <c r="F669" i="16" s="1"/>
  <c r="F668" i="16" a="1"/>
  <c r="F668" i="16" s="1"/>
  <c r="F667" i="16" a="1"/>
  <c r="F667" i="16" s="1"/>
  <c r="F666" i="16" a="1"/>
  <c r="F666" i="16" s="1"/>
  <c r="F665" i="16"/>
  <c r="F665" i="16" a="1"/>
  <c r="F664" i="16" a="1"/>
  <c r="F664" i="16" s="1"/>
  <c r="F663" i="16" a="1"/>
  <c r="F663" i="16" s="1"/>
  <c r="F662" i="16" a="1"/>
  <c r="F662" i="16" s="1"/>
  <c r="F661" i="16" a="1"/>
  <c r="F661" i="16" s="1"/>
  <c r="F660" i="16" a="1"/>
  <c r="F660" i="16" s="1"/>
  <c r="F659" i="16"/>
  <c r="F659" i="16" a="1"/>
  <c r="F658" i="16" a="1"/>
  <c r="F658" i="16" s="1"/>
  <c r="F657" i="16"/>
  <c r="F657" i="16" a="1"/>
  <c r="F656" i="16" a="1"/>
  <c r="F656" i="16" s="1"/>
  <c r="F655" i="16" a="1"/>
  <c r="F655" i="16" s="1"/>
  <c r="F654" i="16" a="1"/>
  <c r="F654" i="16" s="1"/>
  <c r="F653" i="16" a="1"/>
  <c r="F653" i="16" s="1"/>
  <c r="F652" i="16" a="1"/>
  <c r="F652" i="16" s="1"/>
  <c r="F651" i="16" a="1"/>
  <c r="F651" i="16" s="1"/>
  <c r="F650" i="16" a="1"/>
  <c r="F650" i="16" s="1"/>
  <c r="F649" i="16"/>
  <c r="F649" i="16" a="1"/>
  <c r="F648" i="16" a="1"/>
  <c r="F648" i="16" s="1"/>
  <c r="F647" i="16" a="1"/>
  <c r="F647" i="16" s="1"/>
  <c r="F646" i="16" a="1"/>
  <c r="F646" i="16" s="1"/>
  <c r="F645" i="16" a="1"/>
  <c r="F645" i="16" s="1"/>
  <c r="F644" i="16" a="1"/>
  <c r="F644" i="16" s="1"/>
  <c r="F643" i="16"/>
  <c r="F643" i="16" a="1"/>
  <c r="F642" i="16" a="1"/>
  <c r="F642" i="16" s="1"/>
  <c r="F641" i="16"/>
  <c r="F641" i="16" a="1"/>
  <c r="F640" i="16" a="1"/>
  <c r="F640" i="16" s="1"/>
  <c r="F639" i="16" a="1"/>
  <c r="F639" i="16" s="1"/>
  <c r="F638" i="16" a="1"/>
  <c r="F638" i="16" s="1"/>
  <c r="F637" i="16" a="1"/>
  <c r="F637" i="16" s="1"/>
  <c r="F636" i="16" a="1"/>
  <c r="F636" i="16" s="1"/>
  <c r="F635" i="16" a="1"/>
  <c r="F635" i="16" s="1"/>
  <c r="F634" i="16" a="1"/>
  <c r="F634" i="16" s="1"/>
  <c r="F633" i="16"/>
  <c r="F633" i="16" a="1"/>
  <c r="F632" i="16" a="1"/>
  <c r="F632" i="16" s="1"/>
  <c r="F631" i="16" a="1"/>
  <c r="F631" i="16" s="1"/>
  <c r="F630" i="16" a="1"/>
  <c r="F630" i="16" s="1"/>
  <c r="F629" i="16" a="1"/>
  <c r="F629" i="16" s="1"/>
  <c r="F628" i="16" a="1"/>
  <c r="F628" i="16" s="1"/>
  <c r="F627" i="16"/>
  <c r="F627" i="16" a="1"/>
  <c r="F626" i="16" a="1"/>
  <c r="F626" i="16" s="1"/>
  <c r="F625" i="16"/>
  <c r="F625" i="16" a="1"/>
  <c r="F624" i="16" a="1"/>
  <c r="F624" i="16" s="1"/>
  <c r="F623" i="16" a="1"/>
  <c r="F623" i="16" s="1"/>
  <c r="F622" i="16" a="1"/>
  <c r="F622" i="16" s="1"/>
  <c r="F621" i="16" a="1"/>
  <c r="F621" i="16" s="1"/>
  <c r="F620" i="16" a="1"/>
  <c r="F620" i="16" s="1"/>
  <c r="F619" i="16" a="1"/>
  <c r="F619" i="16" s="1"/>
  <c r="F618" i="16" a="1"/>
  <c r="F618" i="16" s="1"/>
  <c r="F617" i="16"/>
  <c r="F617" i="16" a="1"/>
  <c r="F616" i="16" a="1"/>
  <c r="F616" i="16" s="1"/>
  <c r="F615" i="16" a="1"/>
  <c r="F615" i="16" s="1"/>
  <c r="F614" i="16" a="1"/>
  <c r="F614" i="16" s="1"/>
  <c r="F613" i="16" a="1"/>
  <c r="F613" i="16" s="1"/>
  <c r="F612" i="16" a="1"/>
  <c r="F612" i="16" s="1"/>
  <c r="F611" i="16"/>
  <c r="F611" i="16" a="1"/>
  <c r="F610" i="16" a="1"/>
  <c r="F610" i="16" s="1"/>
  <c r="F609" i="16"/>
  <c r="F609" i="16" a="1"/>
  <c r="F608" i="16" a="1"/>
  <c r="F608" i="16" s="1"/>
  <c r="F607" i="16" a="1"/>
  <c r="F607" i="16" s="1"/>
  <c r="F606" i="16" a="1"/>
  <c r="F606" i="16" s="1"/>
  <c r="F605" i="16" a="1"/>
  <c r="F605" i="16" s="1"/>
  <c r="F604" i="16" a="1"/>
  <c r="F604" i="16" s="1"/>
  <c r="F603" i="16" a="1"/>
  <c r="F603" i="16" s="1"/>
  <c r="F602" i="16" a="1"/>
  <c r="F602" i="16" s="1"/>
  <c r="F601" i="16"/>
  <c r="F601" i="16" a="1"/>
  <c r="F600" i="16" a="1"/>
  <c r="F600" i="16" s="1"/>
  <c r="F599" i="16" a="1"/>
  <c r="F599" i="16" s="1"/>
  <c r="F598" i="16" a="1"/>
  <c r="F598" i="16" s="1"/>
  <c r="F597" i="16" a="1"/>
  <c r="F597" i="16" s="1"/>
  <c r="F596" i="16" a="1"/>
  <c r="F596" i="16" s="1"/>
  <c r="F595" i="16"/>
  <c r="F595" i="16" a="1"/>
  <c r="F594" i="16" a="1"/>
  <c r="F594" i="16" s="1"/>
  <c r="F593" i="16"/>
  <c r="F593" i="16" a="1"/>
  <c r="F592" i="16" a="1"/>
  <c r="F592" i="16" s="1"/>
  <c r="F591" i="16" a="1"/>
  <c r="F591" i="16" s="1"/>
  <c r="F590" i="16" a="1"/>
  <c r="F590" i="16" s="1"/>
  <c r="F589" i="16" a="1"/>
  <c r="F589" i="16" s="1"/>
  <c r="F588" i="16" a="1"/>
  <c r="F588" i="16" s="1"/>
  <c r="F587" i="16" a="1"/>
  <c r="F587" i="16" s="1"/>
  <c r="F586" i="16" a="1"/>
  <c r="F586" i="16" s="1"/>
  <c r="F585" i="16"/>
  <c r="F585" i="16" a="1"/>
  <c r="F584" i="16" a="1"/>
  <c r="F584" i="16" s="1"/>
  <c r="F583" i="16" a="1"/>
  <c r="F583" i="16" s="1"/>
  <c r="F582" i="16" a="1"/>
  <c r="F582" i="16" s="1"/>
  <c r="F581" i="16" a="1"/>
  <c r="F581" i="16" s="1"/>
  <c r="F580" i="16" a="1"/>
  <c r="F580" i="16" s="1"/>
  <c r="F579" i="16"/>
  <c r="F579" i="16" a="1"/>
  <c r="F578" i="16" a="1"/>
  <c r="F578" i="16" s="1"/>
  <c r="F577" i="16"/>
  <c r="F577" i="16" a="1"/>
  <c r="F576" i="16" a="1"/>
  <c r="F576" i="16" s="1"/>
  <c r="F575" i="16" a="1"/>
  <c r="F575" i="16" s="1"/>
  <c r="F574" i="16" a="1"/>
  <c r="F574" i="16" s="1"/>
  <c r="F573" i="16" a="1"/>
  <c r="F573" i="16" s="1"/>
  <c r="F572" i="16" a="1"/>
  <c r="F572" i="16" s="1"/>
  <c r="F571" i="16" a="1"/>
  <c r="F571" i="16" s="1"/>
  <c r="F570" i="16" a="1"/>
  <c r="F570" i="16" s="1"/>
  <c r="F569" i="16"/>
  <c r="F569" i="16" a="1"/>
  <c r="F568" i="16" a="1"/>
  <c r="F568" i="16" s="1"/>
  <c r="F567" i="16" a="1"/>
  <c r="F567" i="16" s="1"/>
  <c r="F566" i="16" a="1"/>
  <c r="F566" i="16" s="1"/>
  <c r="F565" i="16" a="1"/>
  <c r="F565" i="16" s="1"/>
  <c r="F564" i="16" a="1"/>
  <c r="F564" i="16" s="1"/>
  <c r="F563" i="16" a="1"/>
  <c r="F563" i="16" s="1"/>
  <c r="F562" i="16" a="1"/>
  <c r="F562" i="16" s="1"/>
  <c r="F561" i="16"/>
  <c r="F561" i="16" a="1"/>
  <c r="F560" i="16" a="1"/>
  <c r="F560" i="16" s="1"/>
  <c r="F559" i="16" a="1"/>
  <c r="F559" i="16" s="1"/>
  <c r="F558" i="16" a="1"/>
  <c r="F558" i="16" s="1"/>
  <c r="F557" i="16"/>
  <c r="F557" i="16" a="1"/>
  <c r="F556" i="16" a="1"/>
  <c r="F556" i="16" s="1"/>
  <c r="F555" i="16" a="1"/>
  <c r="F555" i="16" s="1"/>
  <c r="F554" i="16" a="1"/>
  <c r="F554" i="16" s="1"/>
  <c r="F553" i="16"/>
  <c r="F553" i="16" a="1"/>
  <c r="F552" i="16" a="1"/>
  <c r="F552" i="16" s="1"/>
  <c r="F551" i="16" a="1"/>
  <c r="F551" i="16" s="1"/>
  <c r="F550" i="16" a="1"/>
  <c r="F550" i="16" s="1"/>
  <c r="F549" i="16" a="1"/>
  <c r="F549" i="16" s="1"/>
  <c r="F548" i="16" a="1"/>
  <c r="F548" i="16" s="1"/>
  <c r="F547" i="16" a="1"/>
  <c r="F547" i="16" s="1"/>
  <c r="F546" i="16" a="1"/>
  <c r="F546" i="16" s="1"/>
  <c r="F545" i="16"/>
  <c r="F545" i="16" a="1"/>
  <c r="F544" i="16" a="1"/>
  <c r="F544" i="16" s="1"/>
  <c r="F543" i="16" a="1"/>
  <c r="F543" i="16" s="1"/>
  <c r="F542" i="16" a="1"/>
  <c r="F542" i="16" s="1"/>
  <c r="F541" i="16"/>
  <c r="F541" i="16" a="1"/>
  <c r="F540" i="16" a="1"/>
  <c r="F540" i="16" s="1"/>
  <c r="F539" i="16" a="1"/>
  <c r="F539" i="16" s="1"/>
  <c r="F538" i="16" a="1"/>
  <c r="F538" i="16" s="1"/>
  <c r="F537" i="16"/>
  <c r="F537" i="16" a="1"/>
  <c r="F536" i="16"/>
  <c r="F536" i="16" a="1"/>
  <c r="F535" i="16"/>
  <c r="F535" i="16" a="1"/>
  <c r="F534" i="16"/>
  <c r="F534" i="16" a="1"/>
  <c r="F533" i="16"/>
  <c r="F533" i="16" a="1"/>
  <c r="F532" i="16"/>
  <c r="F532" i="16" a="1"/>
  <c r="F531" i="16"/>
  <c r="F531" i="16" a="1"/>
  <c r="F530" i="16" a="1"/>
  <c r="F530" i="16" s="1"/>
  <c r="F529" i="16"/>
  <c r="F529" i="16" a="1"/>
  <c r="F528" i="16" a="1"/>
  <c r="F528" i="16" s="1"/>
  <c r="F527" i="16" a="1"/>
  <c r="F527" i="16" s="1"/>
  <c r="F526" i="16" a="1"/>
  <c r="F526" i="16" s="1"/>
  <c r="F525" i="16"/>
  <c r="F525" i="16" a="1"/>
  <c r="F524" i="16" a="1"/>
  <c r="F524" i="16" s="1"/>
  <c r="F523" i="16" a="1"/>
  <c r="F523" i="16" s="1"/>
  <c r="F522" i="16" a="1"/>
  <c r="F522" i="16" s="1"/>
  <c r="F521" i="16" a="1"/>
  <c r="F521" i="16" s="1"/>
  <c r="F520" i="16" a="1"/>
  <c r="F520" i="16" s="1"/>
  <c r="F519" i="16" a="1"/>
  <c r="F519" i="16" s="1"/>
  <c r="F518" i="16" a="1"/>
  <c r="F518" i="16" s="1"/>
  <c r="F517" i="16"/>
  <c r="F517" i="16" a="1"/>
  <c r="F516" i="16" a="1"/>
  <c r="F516" i="16" s="1"/>
  <c r="F515" i="16" a="1"/>
  <c r="F515" i="16" s="1"/>
  <c r="F514" i="16" a="1"/>
  <c r="F514" i="16" s="1"/>
  <c r="F513" i="16"/>
  <c r="F513" i="16" a="1"/>
  <c r="F512" i="16" a="1"/>
  <c r="F512" i="16" s="1"/>
  <c r="F511" i="16" a="1"/>
  <c r="F511" i="16" s="1"/>
  <c r="F510" i="16" a="1"/>
  <c r="F510" i="16" s="1"/>
  <c r="F509" i="16"/>
  <c r="F509" i="16" a="1"/>
  <c r="F508" i="16" a="1"/>
  <c r="F508" i="16" s="1"/>
  <c r="F507" i="16" a="1"/>
  <c r="F507" i="16" s="1"/>
  <c r="F506" i="16" a="1"/>
  <c r="F506" i="16" s="1"/>
  <c r="F505" i="16" a="1"/>
  <c r="F505" i="16" s="1"/>
  <c r="F504" i="16" a="1"/>
  <c r="F504" i="16" s="1"/>
  <c r="F503" i="16" a="1"/>
  <c r="F503" i="16" s="1"/>
  <c r="F502" i="16" a="1"/>
  <c r="F502" i="16" s="1"/>
  <c r="F501" i="16"/>
  <c r="F501" i="16" a="1"/>
  <c r="F500" i="16" a="1"/>
  <c r="F500" i="16" s="1"/>
  <c r="F499" i="16" a="1"/>
  <c r="F499" i="16" s="1"/>
  <c r="F498" i="16" a="1"/>
  <c r="F498" i="16" s="1"/>
  <c r="F497" i="16"/>
  <c r="F497" i="16" a="1"/>
  <c r="F496" i="16" a="1"/>
  <c r="F496" i="16" s="1"/>
  <c r="F495" i="16" a="1"/>
  <c r="F495" i="16" s="1"/>
  <c r="F494" i="16" a="1"/>
  <c r="F494" i="16" s="1"/>
  <c r="F493" i="16"/>
  <c r="F493" i="16" a="1"/>
  <c r="F492" i="16" a="1"/>
  <c r="F492" i="16" s="1"/>
  <c r="F491" i="16" a="1"/>
  <c r="F491" i="16" s="1"/>
  <c r="F490" i="16" a="1"/>
  <c r="F490" i="16" s="1"/>
  <c r="F489" i="16" a="1"/>
  <c r="F489" i="16" s="1"/>
  <c r="F488" i="16" a="1"/>
  <c r="F488" i="16" s="1"/>
  <c r="F487" i="16" a="1"/>
  <c r="F487" i="16" s="1"/>
  <c r="F486" i="16" a="1"/>
  <c r="F486" i="16" s="1"/>
  <c r="F485" i="16"/>
  <c r="F485" i="16" a="1"/>
  <c r="F484" i="16" a="1"/>
  <c r="F484" i="16" s="1"/>
  <c r="F483" i="16" a="1"/>
  <c r="F483" i="16" s="1"/>
  <c r="F482" i="16" a="1"/>
  <c r="F482" i="16" s="1"/>
  <c r="F481" i="16"/>
  <c r="F481" i="16" a="1"/>
  <c r="F480" i="16" a="1"/>
  <c r="F480" i="16" s="1"/>
  <c r="F479" i="16" a="1"/>
  <c r="F479" i="16" s="1"/>
  <c r="F478" i="16" a="1"/>
  <c r="F478" i="16" s="1"/>
  <c r="F477" i="16"/>
  <c r="F477" i="16" a="1"/>
  <c r="F476" i="16" a="1"/>
  <c r="F476" i="16" s="1"/>
  <c r="F475" i="16" a="1"/>
  <c r="F475" i="16" s="1"/>
  <c r="F474" i="16" a="1"/>
  <c r="F474" i="16" s="1"/>
  <c r="F473" i="16" a="1"/>
  <c r="F473" i="16" s="1"/>
  <c r="F472" i="16" a="1"/>
  <c r="F472" i="16" s="1"/>
  <c r="F471" i="16" a="1"/>
  <c r="F471" i="16" s="1"/>
  <c r="F470" i="16" a="1"/>
  <c r="F470" i="16" s="1"/>
  <c r="F469" i="16"/>
  <c r="F469" i="16" a="1"/>
  <c r="F468" i="16" a="1"/>
  <c r="F468" i="16" s="1"/>
  <c r="F467" i="16" a="1"/>
  <c r="F467" i="16" s="1"/>
  <c r="F466" i="16" a="1"/>
  <c r="F466" i="16" s="1"/>
  <c r="F465" i="16"/>
  <c r="F465" i="16" a="1"/>
  <c r="F464" i="16" a="1"/>
  <c r="F464" i="16" s="1"/>
  <c r="F463" i="16" a="1"/>
  <c r="F463" i="16" s="1"/>
  <c r="F462" i="16" a="1"/>
  <c r="F462" i="16" s="1"/>
  <c r="F461" i="16"/>
  <c r="F461" i="16" a="1"/>
  <c r="F460" i="16" a="1"/>
  <c r="F460" i="16" s="1"/>
  <c r="F459" i="16" a="1"/>
  <c r="F459" i="16" s="1"/>
  <c r="F458" i="16" a="1"/>
  <c r="F458" i="16" s="1"/>
  <c r="F457" i="16" a="1"/>
  <c r="F457" i="16" s="1"/>
  <c r="F456" i="16" a="1"/>
  <c r="F456" i="16" s="1"/>
  <c r="F455" i="16" a="1"/>
  <c r="F455" i="16" s="1"/>
  <c r="F454" i="16" a="1"/>
  <c r="F454" i="16" s="1"/>
  <c r="F453" i="16"/>
  <c r="F453" i="16" a="1"/>
  <c r="F452" i="16" a="1"/>
  <c r="F452" i="16" s="1"/>
  <c r="F451" i="16" a="1"/>
  <c r="F451" i="16" s="1"/>
  <c r="F450" i="16" a="1"/>
  <c r="F450" i="16" s="1"/>
  <c r="F449" i="16"/>
  <c r="F449" i="16" a="1"/>
  <c r="F448" i="16" a="1"/>
  <c r="F448" i="16" s="1"/>
  <c r="F447" i="16" a="1"/>
  <c r="F447" i="16" s="1"/>
  <c r="F446" i="16" a="1"/>
  <c r="F446" i="16" s="1"/>
  <c r="F445" i="16"/>
  <c r="F445" i="16" a="1"/>
  <c r="F444" i="16" a="1"/>
  <c r="F444" i="16" s="1"/>
  <c r="F443" i="16" a="1"/>
  <c r="F443" i="16" s="1"/>
  <c r="F442" i="16" a="1"/>
  <c r="F442" i="16" s="1"/>
  <c r="F441" i="16" a="1"/>
  <c r="F441" i="16" s="1"/>
  <c r="F440" i="16" a="1"/>
  <c r="F440" i="16" s="1"/>
  <c r="F439" i="16" a="1"/>
  <c r="F439" i="16" s="1"/>
  <c r="F438" i="16" a="1"/>
  <c r="F438" i="16" s="1"/>
  <c r="F437" i="16"/>
  <c r="F437" i="16" a="1"/>
  <c r="F436" i="16" a="1"/>
  <c r="F436" i="16" s="1"/>
  <c r="F435" i="16" a="1"/>
  <c r="F435" i="16" s="1"/>
  <c r="F434" i="16" a="1"/>
  <c r="F434" i="16" s="1"/>
  <c r="F433" i="16"/>
  <c r="F433" i="16" a="1"/>
  <c r="F432" i="16" a="1"/>
  <c r="F432" i="16" s="1"/>
  <c r="F431" i="16" a="1"/>
  <c r="F431" i="16" s="1"/>
  <c r="F430" i="16" a="1"/>
  <c r="F430" i="16" s="1"/>
  <c r="F429" i="16"/>
  <c r="F429" i="16" a="1"/>
  <c r="F428" i="16" a="1"/>
  <c r="F428" i="16" s="1"/>
  <c r="F427" i="16" a="1"/>
  <c r="F427" i="16" s="1"/>
  <c r="F426" i="16" a="1"/>
  <c r="F426" i="16" s="1"/>
  <c r="F425" i="16" a="1"/>
  <c r="F425" i="16" s="1"/>
  <c r="F424" i="16" a="1"/>
  <c r="F424" i="16" s="1"/>
  <c r="F423" i="16" a="1"/>
  <c r="F423" i="16" s="1"/>
  <c r="F422" i="16" a="1"/>
  <c r="F422" i="16" s="1"/>
  <c r="F421" i="16"/>
  <c r="F421" i="16" a="1"/>
  <c r="F420" i="16" a="1"/>
  <c r="F420" i="16" s="1"/>
  <c r="F419" i="16" a="1"/>
  <c r="F419" i="16" s="1"/>
  <c r="F418" i="16" a="1"/>
  <c r="F418" i="16" s="1"/>
  <c r="F417" i="16"/>
  <c r="F417" i="16" a="1"/>
  <c r="F416" i="16" a="1"/>
  <c r="F416" i="16" s="1"/>
  <c r="F415" i="16" a="1"/>
  <c r="F415" i="16" s="1"/>
  <c r="F414" i="16" a="1"/>
  <c r="F414" i="16" s="1"/>
  <c r="F413" i="16"/>
  <c r="F413" i="16" a="1"/>
  <c r="F412" i="16" a="1"/>
  <c r="F412" i="16" s="1"/>
  <c r="F411" i="16" a="1"/>
  <c r="F411" i="16" s="1"/>
  <c r="F410" i="16" a="1"/>
  <c r="F410" i="16" s="1"/>
  <c r="F409" i="16" a="1"/>
  <c r="F409" i="16" s="1"/>
  <c r="F408" i="16" a="1"/>
  <c r="F408" i="16" s="1"/>
  <c r="F407" i="16" a="1"/>
  <c r="F407" i="16" s="1"/>
  <c r="F406" i="16" a="1"/>
  <c r="F406" i="16" s="1"/>
  <c r="F405" i="16"/>
  <c r="F405" i="16" a="1"/>
  <c r="F404" i="16" a="1"/>
  <c r="F404" i="16" s="1"/>
  <c r="F403" i="16" a="1"/>
  <c r="F403" i="16" s="1"/>
  <c r="F402" i="16" a="1"/>
  <c r="F402" i="16" s="1"/>
  <c r="F401" i="16"/>
  <c r="F401" i="16" a="1"/>
  <c r="F400" i="16" a="1"/>
  <c r="F400" i="16" s="1"/>
  <c r="F399" i="16" a="1"/>
  <c r="F399" i="16" s="1"/>
  <c r="F398" i="16" a="1"/>
  <c r="F398" i="16" s="1"/>
  <c r="F397" i="16"/>
  <c r="F397" i="16" a="1"/>
  <c r="F396" i="16" a="1"/>
  <c r="F396" i="16" s="1"/>
  <c r="F395" i="16" a="1"/>
  <c r="F395" i="16" s="1"/>
  <c r="F394" i="16" a="1"/>
  <c r="F394" i="16" s="1"/>
  <c r="F393" i="16" a="1"/>
  <c r="F393" i="16" s="1"/>
  <c r="F392" i="16" a="1"/>
  <c r="F392" i="16" s="1"/>
  <c r="F391" i="16" a="1"/>
  <c r="F391" i="16" s="1"/>
  <c r="F390" i="16" a="1"/>
  <c r="F390" i="16" s="1"/>
  <c r="F389" i="16" a="1"/>
  <c r="F389" i="16" s="1"/>
  <c r="F388" i="16" a="1"/>
  <c r="F388" i="16" s="1"/>
  <c r="F387" i="16" a="1"/>
  <c r="F387" i="16" s="1"/>
  <c r="F386" i="16" a="1"/>
  <c r="F386" i="16" s="1"/>
  <c r="F385" i="16" a="1"/>
  <c r="F385" i="16" s="1"/>
  <c r="F384" i="16" a="1"/>
  <c r="F384" i="16" s="1"/>
  <c r="F383" i="16" a="1"/>
  <c r="F383" i="16" s="1"/>
  <c r="F382" i="16" a="1"/>
  <c r="F382" i="16" s="1"/>
  <c r="F381" i="16"/>
  <c r="F381" i="16" a="1"/>
  <c r="F380" i="16" a="1"/>
  <c r="F380" i="16" s="1"/>
  <c r="F379" i="16" a="1"/>
  <c r="F379" i="16" s="1"/>
  <c r="F378" i="16" a="1"/>
  <c r="F378" i="16" s="1"/>
  <c r="F377" i="16" a="1"/>
  <c r="F377" i="16" s="1"/>
  <c r="F376" i="16" a="1"/>
  <c r="F376" i="16" s="1"/>
  <c r="F375" i="16" a="1"/>
  <c r="F375" i="16" s="1"/>
  <c r="F374" i="16" a="1"/>
  <c r="F374" i="16" s="1"/>
  <c r="F373" i="16" a="1"/>
  <c r="F373" i="16" s="1"/>
  <c r="F372" i="16" a="1"/>
  <c r="F372" i="16" s="1"/>
  <c r="F371" i="16" a="1"/>
  <c r="F371" i="16" s="1"/>
  <c r="F370" i="16" a="1"/>
  <c r="F370" i="16" s="1"/>
  <c r="F369" i="16" a="1"/>
  <c r="F369" i="16" s="1"/>
  <c r="F368" i="16" a="1"/>
  <c r="F368" i="16" s="1"/>
  <c r="F367" i="16" a="1"/>
  <c r="F367" i="16" s="1"/>
  <c r="F366" i="16" a="1"/>
  <c r="F366" i="16" s="1"/>
  <c r="F365" i="16" a="1"/>
  <c r="F365" i="16" s="1"/>
  <c r="F364" i="16" a="1"/>
  <c r="F364" i="16" s="1"/>
  <c r="F363" i="16" a="1"/>
  <c r="F363" i="16" s="1"/>
  <c r="F362" i="16" a="1"/>
  <c r="F362" i="16" s="1"/>
  <c r="F361" i="16"/>
  <c r="F361" i="16" a="1"/>
  <c r="F360" i="16" a="1"/>
  <c r="F360" i="16" s="1"/>
  <c r="F359" i="16" a="1"/>
  <c r="F359" i="16" s="1"/>
  <c r="F358" i="16" a="1"/>
  <c r="F358" i="16" s="1"/>
  <c r="F357" i="16" a="1"/>
  <c r="F357" i="16" s="1"/>
  <c r="F356" i="16" a="1"/>
  <c r="F356" i="16" s="1"/>
  <c r="F355" i="16" a="1"/>
  <c r="F355" i="16" s="1"/>
  <c r="F354" i="16" a="1"/>
  <c r="F354" i="16" s="1"/>
  <c r="F353" i="16" a="1"/>
  <c r="F353" i="16" s="1"/>
  <c r="F352" i="16" a="1"/>
  <c r="F352" i="16" s="1"/>
  <c r="F351" i="16" a="1"/>
  <c r="F351" i="16" s="1"/>
  <c r="F350" i="16" a="1"/>
  <c r="F350" i="16" s="1"/>
  <c r="F349" i="16" a="1"/>
  <c r="F349" i="16" s="1"/>
  <c r="F348" i="16" a="1"/>
  <c r="F348" i="16" s="1"/>
  <c r="F347" i="16" a="1"/>
  <c r="F347" i="16" s="1"/>
  <c r="F346" i="16" a="1"/>
  <c r="F346" i="16" s="1"/>
  <c r="F345" i="16"/>
  <c r="F345" i="16" a="1"/>
  <c r="F344" i="16" a="1"/>
  <c r="F344" i="16" s="1"/>
  <c r="F343" i="16" a="1"/>
  <c r="F343" i="16" s="1"/>
  <c r="F342" i="16" a="1"/>
  <c r="F342" i="16" s="1"/>
  <c r="F341" i="16" a="1"/>
  <c r="F341" i="16" s="1"/>
  <c r="F340" i="16" a="1"/>
  <c r="F340" i="16" s="1"/>
  <c r="F339" i="16" a="1"/>
  <c r="F339" i="16" s="1"/>
  <c r="F338" i="16" a="1"/>
  <c r="F338" i="16" s="1"/>
  <c r="F337" i="16" a="1"/>
  <c r="F337" i="16" s="1"/>
  <c r="F336" i="16" a="1"/>
  <c r="F336" i="16" s="1"/>
  <c r="F335" i="16" a="1"/>
  <c r="F335" i="16" s="1"/>
  <c r="F334" i="16" a="1"/>
  <c r="F334" i="16" s="1"/>
  <c r="F333" i="16" a="1"/>
  <c r="F333" i="16" s="1"/>
  <c r="F332" i="16" a="1"/>
  <c r="F332" i="16" s="1"/>
  <c r="F331" i="16" a="1"/>
  <c r="F331" i="16" s="1"/>
  <c r="F330" i="16" a="1"/>
  <c r="F330" i="16" s="1"/>
  <c r="F329" i="16"/>
  <c r="F329" i="16" a="1"/>
  <c r="F328" i="16" a="1"/>
  <c r="F328" i="16" s="1"/>
  <c r="F327" i="16" a="1"/>
  <c r="F327" i="16" s="1"/>
  <c r="F326" i="16" a="1"/>
  <c r="F326" i="16" s="1"/>
  <c r="F325" i="16" a="1"/>
  <c r="F325" i="16" s="1"/>
  <c r="F324" i="16" a="1"/>
  <c r="F324" i="16" s="1"/>
  <c r="F323" i="16" a="1"/>
  <c r="F323" i="16" s="1"/>
  <c r="F322" i="16" a="1"/>
  <c r="F322" i="16" s="1"/>
  <c r="F321" i="16" a="1"/>
  <c r="F321" i="16" s="1"/>
  <c r="F320" i="16" a="1"/>
  <c r="F320" i="16" s="1"/>
  <c r="F319" i="16" a="1"/>
  <c r="F319" i="16" s="1"/>
  <c r="F318" i="16" a="1"/>
  <c r="F318" i="16" s="1"/>
  <c r="F317" i="16" a="1"/>
  <c r="F317" i="16" s="1"/>
  <c r="F316" i="16" a="1"/>
  <c r="F316" i="16" s="1"/>
  <c r="F315" i="16" a="1"/>
  <c r="F315" i="16" s="1"/>
  <c r="F314" i="16" a="1"/>
  <c r="F314" i="16" s="1"/>
  <c r="F313" i="16"/>
  <c r="F313" i="16" a="1"/>
  <c r="F312" i="16" a="1"/>
  <c r="F312" i="16" s="1"/>
  <c r="F311" i="16" a="1"/>
  <c r="F311" i="16" s="1"/>
  <c r="F310" i="16" a="1"/>
  <c r="F310" i="16" s="1"/>
  <c r="F309" i="16" a="1"/>
  <c r="F309" i="16" s="1"/>
  <c r="F308" i="16" a="1"/>
  <c r="F308" i="16" s="1"/>
  <c r="F307" i="16" a="1"/>
  <c r="F307" i="16" s="1"/>
  <c r="F306" i="16" a="1"/>
  <c r="F306" i="16" s="1"/>
  <c r="F305" i="16" a="1"/>
  <c r="F305" i="16" s="1"/>
  <c r="F304" i="16" a="1"/>
  <c r="F304" i="16" s="1"/>
  <c r="F303" i="16" a="1"/>
  <c r="F303" i="16" s="1"/>
  <c r="F302" i="16" a="1"/>
  <c r="F302" i="16" s="1"/>
  <c r="F301" i="16" a="1"/>
  <c r="F301" i="16" s="1"/>
  <c r="F300" i="16" a="1"/>
  <c r="F300" i="16" s="1"/>
  <c r="F299" i="16" a="1"/>
  <c r="F299" i="16" s="1"/>
  <c r="F298" i="16" a="1"/>
  <c r="F298" i="16" s="1"/>
  <c r="F297" i="16"/>
  <c r="F297" i="16" a="1"/>
  <c r="F296" i="16" a="1"/>
  <c r="F296" i="16" s="1"/>
  <c r="F295" i="16" a="1"/>
  <c r="F295" i="16" s="1"/>
  <c r="F294" i="16" a="1"/>
  <c r="F294" i="16" s="1"/>
  <c r="F293" i="16" a="1"/>
  <c r="F293" i="16" s="1"/>
  <c r="F292" i="16" a="1"/>
  <c r="F292" i="16" s="1"/>
  <c r="F291" i="16" a="1"/>
  <c r="F291" i="16" s="1"/>
  <c r="F290" i="16" a="1"/>
  <c r="F290" i="16" s="1"/>
  <c r="F289" i="16" a="1"/>
  <c r="F289" i="16" s="1"/>
  <c r="F288" i="16" a="1"/>
  <c r="F288" i="16" s="1"/>
  <c r="F287" i="16" a="1"/>
  <c r="F287" i="16" s="1"/>
  <c r="F286" i="16" a="1"/>
  <c r="F286" i="16" s="1"/>
  <c r="F285" i="16" a="1"/>
  <c r="F285" i="16" s="1"/>
  <c r="F284" i="16" a="1"/>
  <c r="F284" i="16" s="1"/>
  <c r="F283" i="16" a="1"/>
  <c r="F283" i="16" s="1"/>
  <c r="F282" i="16" a="1"/>
  <c r="F282" i="16" s="1"/>
  <c r="F281" i="16"/>
  <c r="F281" i="16" a="1"/>
  <c r="F280" i="16" a="1"/>
  <c r="F280" i="16" s="1"/>
  <c r="F279" i="16" a="1"/>
  <c r="F279" i="16" s="1"/>
  <c r="F278" i="16" a="1"/>
  <c r="F278" i="16" s="1"/>
  <c r="F277" i="16" a="1"/>
  <c r="F277" i="16" s="1"/>
  <c r="F276" i="16" a="1"/>
  <c r="F276" i="16" s="1"/>
  <c r="F275" i="16" a="1"/>
  <c r="F275" i="16" s="1"/>
  <c r="F274" i="16" a="1"/>
  <c r="F274" i="16" s="1"/>
  <c r="F273" i="16" a="1"/>
  <c r="F273" i="16" s="1"/>
  <c r="F272" i="16" a="1"/>
  <c r="F272" i="16" s="1"/>
  <c r="F271" i="16" a="1"/>
  <c r="F271" i="16" s="1"/>
  <c r="F270" i="16" a="1"/>
  <c r="F270" i="16" s="1"/>
  <c r="F269" i="16" a="1"/>
  <c r="F269" i="16" s="1"/>
  <c r="F268" i="16" a="1"/>
  <c r="F268" i="16" s="1"/>
  <c r="F267" i="16" a="1"/>
  <c r="F267" i="16" s="1"/>
  <c r="F266" i="16" a="1"/>
  <c r="F266" i="16" s="1"/>
  <c r="F265" i="16"/>
  <c r="F265" i="16" a="1"/>
  <c r="F264" i="16" a="1"/>
  <c r="F264" i="16" s="1"/>
  <c r="F263" i="16" a="1"/>
  <c r="F263" i="16" s="1"/>
  <c r="F262" i="16" a="1"/>
  <c r="F262" i="16" s="1"/>
  <c r="F261" i="16" a="1"/>
  <c r="F261" i="16" s="1"/>
  <c r="F260" i="16" a="1"/>
  <c r="F260" i="16" s="1"/>
  <c r="F259" i="16" a="1"/>
  <c r="F259" i="16" s="1"/>
  <c r="F258" i="16" a="1"/>
  <c r="F258" i="16" s="1"/>
  <c r="F257" i="16" a="1"/>
  <c r="F257" i="16" s="1"/>
  <c r="F256" i="16" a="1"/>
  <c r="F256" i="16" s="1"/>
  <c r="F255" i="16" a="1"/>
  <c r="F255" i="16" s="1"/>
  <c r="F254" i="16" a="1"/>
  <c r="F254" i="16" s="1"/>
  <c r="F253" i="16" a="1"/>
  <c r="F253" i="16" s="1"/>
  <c r="F252" i="16" a="1"/>
  <c r="F252" i="16" s="1"/>
  <c r="F251" i="16" a="1"/>
  <c r="F251" i="16" s="1"/>
  <c r="F250" i="16" a="1"/>
  <c r="F250" i="16" s="1"/>
  <c r="F249" i="16" a="1"/>
  <c r="F249" i="16" s="1"/>
  <c r="F248" i="16" a="1"/>
  <c r="F248" i="16" s="1"/>
  <c r="F247" i="16" a="1"/>
  <c r="F247" i="16" s="1"/>
  <c r="F246" i="16" a="1"/>
  <c r="F246" i="16" s="1"/>
  <c r="F245" i="16" a="1"/>
  <c r="F245" i="16" s="1"/>
  <c r="F244" i="16" a="1"/>
  <c r="F244" i="16" s="1"/>
  <c r="F243" i="16" a="1"/>
  <c r="F243" i="16" s="1"/>
  <c r="F242" i="16" a="1"/>
  <c r="F242" i="16" s="1"/>
  <c r="F241" i="16" a="1"/>
  <c r="F241" i="16" s="1"/>
  <c r="F240" i="16" a="1"/>
  <c r="F240" i="16" s="1"/>
  <c r="F239" i="16" a="1"/>
  <c r="F239" i="16" s="1"/>
  <c r="F238" i="16" a="1"/>
  <c r="F238" i="16" s="1"/>
  <c r="F237" i="16" a="1"/>
  <c r="F237" i="16" s="1"/>
  <c r="F236" i="16" a="1"/>
  <c r="F236" i="16" s="1"/>
  <c r="F235" i="16" a="1"/>
  <c r="F235" i="16" s="1"/>
  <c r="F234" i="16" a="1"/>
  <c r="F234" i="16" s="1"/>
  <c r="F233" i="16" a="1"/>
  <c r="F233" i="16" s="1"/>
  <c r="F232" i="16" a="1"/>
  <c r="F232" i="16" s="1"/>
  <c r="F231" i="16" a="1"/>
  <c r="F231" i="16" s="1"/>
  <c r="F230" i="16" a="1"/>
  <c r="F230" i="16" s="1"/>
  <c r="F229" i="16" a="1"/>
  <c r="F229" i="16" s="1"/>
  <c r="F228" i="16" a="1"/>
  <c r="F228" i="16" s="1"/>
  <c r="F227" i="16" a="1"/>
  <c r="F227" i="16" s="1"/>
  <c r="F226" i="16" a="1"/>
  <c r="F226" i="16" s="1"/>
  <c r="F225" i="16" a="1"/>
  <c r="F225" i="16" s="1"/>
  <c r="F224" i="16" a="1"/>
  <c r="F224" i="16" s="1"/>
  <c r="F223" i="16" a="1"/>
  <c r="F223" i="16" s="1"/>
  <c r="F222" i="16" a="1"/>
  <c r="F222" i="16" s="1"/>
  <c r="F221" i="16"/>
  <c r="F221" i="16" a="1"/>
  <c r="F220" i="16" a="1"/>
  <c r="F220" i="16" s="1"/>
  <c r="F219" i="16" a="1"/>
  <c r="F219" i="16" s="1"/>
  <c r="F218" i="16" a="1"/>
  <c r="F218" i="16" s="1"/>
  <c r="F217" i="16" a="1"/>
  <c r="F217" i="16" s="1"/>
  <c r="F216" i="16" a="1"/>
  <c r="F216" i="16" s="1"/>
  <c r="F215" i="16" a="1"/>
  <c r="F215" i="16" s="1"/>
  <c r="F214" i="16" a="1"/>
  <c r="F214" i="16" s="1"/>
  <c r="F213" i="16" a="1"/>
  <c r="F213" i="16" s="1"/>
  <c r="F212" i="16" a="1"/>
  <c r="F212" i="16" s="1"/>
  <c r="F211" i="16" a="1"/>
  <c r="F211" i="16" s="1"/>
  <c r="F210" i="16" a="1"/>
  <c r="F210" i="16" s="1"/>
  <c r="F209" i="16" a="1"/>
  <c r="F209" i="16" s="1"/>
  <c r="F208" i="16" a="1"/>
  <c r="F208" i="16" s="1"/>
  <c r="F207" i="16" a="1"/>
  <c r="F207" i="16" s="1"/>
  <c r="F206" i="16" a="1"/>
  <c r="F206" i="16" s="1"/>
  <c r="F205" i="16" a="1"/>
  <c r="F205" i="16" s="1"/>
  <c r="F204" i="16" a="1"/>
  <c r="F204" i="16" s="1"/>
  <c r="F203" i="16" a="1"/>
  <c r="F203" i="16" s="1"/>
  <c r="F202" i="16" a="1"/>
  <c r="F202" i="16" s="1"/>
  <c r="F201" i="16" a="1"/>
  <c r="F201" i="16" s="1"/>
  <c r="F200" i="16" a="1"/>
  <c r="F200" i="16" s="1"/>
  <c r="F199" i="16" a="1"/>
  <c r="F199" i="16" s="1"/>
  <c r="F198" i="16" a="1"/>
  <c r="F198" i="16" s="1"/>
  <c r="F197" i="16" a="1"/>
  <c r="F197" i="16" s="1"/>
  <c r="F196" i="16" a="1"/>
  <c r="F196" i="16" s="1"/>
  <c r="F195" i="16" a="1"/>
  <c r="F195" i="16" s="1"/>
  <c r="F194" i="16" a="1"/>
  <c r="F194" i="16" s="1"/>
  <c r="F193" i="16" a="1"/>
  <c r="F193" i="16" s="1"/>
  <c r="F192" i="16" a="1"/>
  <c r="F192" i="16" s="1"/>
  <c r="F191" i="16" a="1"/>
  <c r="F191" i="16" s="1"/>
  <c r="F190" i="16" a="1"/>
  <c r="F190" i="16" s="1"/>
  <c r="F189" i="16" a="1"/>
  <c r="F189" i="16" s="1"/>
  <c r="F188" i="16" a="1"/>
  <c r="F188" i="16" s="1"/>
  <c r="F187" i="16" a="1"/>
  <c r="F187" i="16" s="1"/>
  <c r="F186" i="16" a="1"/>
  <c r="F186" i="16" s="1"/>
  <c r="F185" i="16" a="1"/>
  <c r="F185" i="16" s="1"/>
  <c r="F184" i="16" a="1"/>
  <c r="F184" i="16" s="1"/>
  <c r="F183" i="16" a="1"/>
  <c r="F183" i="16" s="1"/>
  <c r="F182" i="16" a="1"/>
  <c r="F182" i="16" s="1"/>
  <c r="F181" i="16" a="1"/>
  <c r="F181" i="16" s="1"/>
  <c r="F180" i="16" a="1"/>
  <c r="F180" i="16" s="1"/>
  <c r="F179" i="16" a="1"/>
  <c r="F179" i="16" s="1"/>
  <c r="F178" i="16" a="1"/>
  <c r="F178" i="16" s="1"/>
  <c r="F177" i="16" a="1"/>
  <c r="F177" i="16" s="1"/>
  <c r="F176" i="16" a="1"/>
  <c r="F176" i="16" s="1"/>
  <c r="F175" i="16" a="1"/>
  <c r="F175" i="16" s="1"/>
  <c r="F174" i="16" a="1"/>
  <c r="F174" i="16" s="1"/>
  <c r="F173" i="16" a="1"/>
  <c r="F173" i="16" s="1"/>
  <c r="F172" i="16" a="1"/>
  <c r="F172" i="16" s="1"/>
  <c r="F171" i="16" a="1"/>
  <c r="F171" i="16" s="1"/>
  <c r="F170" i="16" a="1"/>
  <c r="F170" i="16" s="1"/>
  <c r="F169" i="16" a="1"/>
  <c r="F169" i="16" s="1"/>
  <c r="F168" i="16" a="1"/>
  <c r="F168" i="16" s="1"/>
  <c r="F167" i="16" a="1"/>
  <c r="F167" i="16" s="1"/>
  <c r="F166" i="16" a="1"/>
  <c r="F166" i="16" s="1"/>
  <c r="F165" i="16" a="1"/>
  <c r="F165" i="16" s="1"/>
  <c r="F164" i="16" a="1"/>
  <c r="F164" i="16" s="1"/>
  <c r="F163" i="16" a="1"/>
  <c r="F163" i="16" s="1"/>
  <c r="F162" i="16" a="1"/>
  <c r="F162" i="16" s="1"/>
  <c r="F161" i="16" a="1"/>
  <c r="F161" i="16" s="1"/>
  <c r="F160" i="16" a="1"/>
  <c r="F160" i="16" s="1"/>
  <c r="F159" i="16" a="1"/>
  <c r="F159" i="16" s="1"/>
  <c r="F158" i="16" a="1"/>
  <c r="F158" i="16" s="1"/>
  <c r="F157" i="16" a="1"/>
  <c r="F157" i="16" s="1"/>
  <c r="F156" i="16" a="1"/>
  <c r="F156" i="16" s="1"/>
  <c r="F155" i="16" a="1"/>
  <c r="F155" i="16" s="1"/>
  <c r="F154" i="16" a="1"/>
  <c r="F154" i="16" s="1"/>
  <c r="F153" i="16" a="1"/>
  <c r="F153" i="16" s="1"/>
  <c r="F152" i="16" a="1"/>
  <c r="F152" i="16" s="1"/>
  <c r="F151" i="16" a="1"/>
  <c r="F151" i="16" s="1"/>
  <c r="F150" i="16" a="1"/>
  <c r="F150" i="16" s="1"/>
  <c r="F149" i="16" a="1"/>
  <c r="F149" i="16" s="1"/>
  <c r="F148" i="16" a="1"/>
  <c r="F148" i="16" s="1"/>
  <c r="F147" i="16" a="1"/>
  <c r="F147" i="16" s="1"/>
  <c r="F146" i="16" a="1"/>
  <c r="F146" i="16" s="1"/>
  <c r="F145" i="16" a="1"/>
  <c r="F145" i="16" s="1"/>
  <c r="F144" i="16" a="1"/>
  <c r="F144" i="16" s="1"/>
  <c r="F143" i="16" a="1"/>
  <c r="F143" i="16" s="1"/>
  <c r="F142" i="16" a="1"/>
  <c r="F142" i="16" s="1"/>
  <c r="F141" i="16" a="1"/>
  <c r="F141" i="16" s="1"/>
  <c r="F140" i="16" a="1"/>
  <c r="F140" i="16" s="1"/>
  <c r="F139" i="16" a="1"/>
  <c r="F139" i="16" s="1"/>
  <c r="F138" i="16" a="1"/>
  <c r="F138" i="16" s="1"/>
  <c r="F137" i="16" a="1"/>
  <c r="F137" i="16" s="1"/>
  <c r="F136" i="16" a="1"/>
  <c r="F136" i="16" s="1"/>
  <c r="F135" i="16" a="1"/>
  <c r="F135" i="16" s="1"/>
  <c r="F134" i="16" a="1"/>
  <c r="F134" i="16" s="1"/>
  <c r="F133" i="16" a="1"/>
  <c r="F133" i="16" s="1"/>
  <c r="F132" i="16" a="1"/>
  <c r="F132" i="16" s="1"/>
  <c r="F131" i="16" a="1"/>
  <c r="F131" i="16" s="1"/>
  <c r="F130" i="16" a="1"/>
  <c r="F130" i="16" s="1"/>
  <c r="F129" i="16" a="1"/>
  <c r="F129" i="16" s="1"/>
  <c r="F128" i="16" a="1"/>
  <c r="F128" i="16" s="1"/>
  <c r="F127" i="16" a="1"/>
  <c r="F127" i="16" s="1"/>
  <c r="F126" i="16" a="1"/>
  <c r="F126" i="16" s="1"/>
  <c r="F125" i="16" a="1"/>
  <c r="F125" i="16" s="1"/>
  <c r="F124" i="16" a="1"/>
  <c r="F124" i="16" s="1"/>
  <c r="F123" i="16" a="1"/>
  <c r="F123" i="16" s="1"/>
  <c r="F122" i="16" a="1"/>
  <c r="F122" i="16" s="1"/>
  <c r="F121" i="16" a="1"/>
  <c r="F121" i="16" s="1"/>
  <c r="F120" i="16" a="1"/>
  <c r="F120" i="16" s="1"/>
  <c r="F119" i="16" a="1"/>
  <c r="F119" i="16" s="1"/>
  <c r="F118" i="16" a="1"/>
  <c r="F118" i="16" s="1"/>
  <c r="F117" i="16" a="1"/>
  <c r="F117" i="16" s="1"/>
  <c r="F116" i="16" a="1"/>
  <c r="F116" i="16" s="1"/>
  <c r="F115" i="16" a="1"/>
  <c r="F115" i="16" s="1"/>
  <c r="F114" i="16" a="1"/>
  <c r="F114" i="16" s="1"/>
  <c r="F113" i="16" a="1"/>
  <c r="F113" i="16" s="1"/>
  <c r="F112" i="16" a="1"/>
  <c r="F112" i="16" s="1"/>
  <c r="F111" i="16" a="1"/>
  <c r="F111" i="16" s="1"/>
  <c r="F110" i="16" a="1"/>
  <c r="F110" i="16" s="1"/>
  <c r="F109" i="16" a="1"/>
  <c r="F109" i="16" s="1"/>
  <c r="F108" i="16" a="1"/>
  <c r="F108" i="16" s="1"/>
  <c r="F107" i="16" a="1"/>
  <c r="F107" i="16" s="1"/>
  <c r="F106" i="16" a="1"/>
  <c r="F106" i="16" s="1"/>
  <c r="F105" i="16" a="1"/>
  <c r="F105" i="16" s="1"/>
  <c r="F104" i="16" a="1"/>
  <c r="F104" i="16" s="1"/>
  <c r="F103" i="16" a="1"/>
  <c r="F103" i="16" s="1"/>
  <c r="F102" i="16" a="1"/>
  <c r="F102" i="16" s="1"/>
  <c r="F101" i="16" a="1"/>
  <c r="F101" i="16" s="1"/>
  <c r="F100" i="16" a="1"/>
  <c r="F100" i="16" s="1"/>
  <c r="F99" i="16" a="1"/>
  <c r="F99" i="16" s="1"/>
  <c r="F98" i="16" a="1"/>
  <c r="F98" i="16" s="1"/>
  <c r="F97" i="16" a="1"/>
  <c r="F97" i="16" s="1"/>
  <c r="F96" i="16" a="1"/>
  <c r="F96" i="16" s="1"/>
  <c r="F95" i="16" a="1"/>
  <c r="F95" i="16" s="1"/>
  <c r="F94" i="16" a="1"/>
  <c r="F94" i="16" s="1"/>
  <c r="F93" i="16" a="1"/>
  <c r="F93" i="16" s="1"/>
  <c r="F92" i="16" a="1"/>
  <c r="F92" i="16" s="1"/>
  <c r="F91" i="16" a="1"/>
  <c r="F91" i="16" s="1"/>
  <c r="F90" i="16" a="1"/>
  <c r="F90" i="16" s="1"/>
  <c r="F89" i="16" a="1"/>
  <c r="F89" i="16" s="1"/>
  <c r="F88" i="16" a="1"/>
  <c r="F88" i="16" s="1"/>
  <c r="F87" i="16" a="1"/>
  <c r="F87" i="16" s="1"/>
  <c r="F86" i="16" a="1"/>
  <c r="F86" i="16" s="1"/>
  <c r="F85" i="16" a="1"/>
  <c r="F85" i="16" s="1"/>
  <c r="F84" i="16" a="1"/>
  <c r="F84" i="16" s="1"/>
  <c r="F83" i="16" a="1"/>
  <c r="F83" i="16" s="1"/>
  <c r="F82" i="16" a="1"/>
  <c r="F82" i="16" s="1"/>
  <c r="F81" i="16" a="1"/>
  <c r="F81" i="16" s="1"/>
  <c r="F80" i="16" a="1"/>
  <c r="F80" i="16" s="1"/>
  <c r="F79" i="16" a="1"/>
  <c r="F79" i="16" s="1"/>
  <c r="F78" i="16" a="1"/>
  <c r="F78" i="16" s="1"/>
  <c r="F77" i="16" a="1"/>
  <c r="F77" i="16" s="1"/>
  <c r="F76" i="16" a="1"/>
  <c r="F76" i="16" s="1"/>
  <c r="F75" i="16" a="1"/>
  <c r="F75" i="16" s="1"/>
  <c r="F74" i="16" a="1"/>
  <c r="F74" i="16" s="1"/>
  <c r="F73" i="16" a="1"/>
  <c r="F73" i="16" s="1"/>
  <c r="F72" i="16" a="1"/>
  <c r="F72" i="16" s="1"/>
  <c r="F71" i="16" a="1"/>
  <c r="F71" i="16" s="1"/>
  <c r="F70" i="16" a="1"/>
  <c r="F70" i="16" s="1"/>
  <c r="F69" i="16" a="1"/>
  <c r="F69" i="16" s="1"/>
  <c r="F68" i="16" a="1"/>
  <c r="F68" i="16" s="1"/>
  <c r="F67" i="16" a="1"/>
  <c r="F67" i="16" s="1"/>
  <c r="F66" i="16" a="1"/>
  <c r="F66" i="16" s="1"/>
  <c r="F65" i="16" a="1"/>
  <c r="F65" i="16" s="1"/>
  <c r="F64" i="16" a="1"/>
  <c r="F64" i="16" s="1"/>
  <c r="F63" i="16" a="1"/>
  <c r="F63" i="16" s="1"/>
  <c r="F62" i="16" a="1"/>
  <c r="F62" i="16" s="1"/>
  <c r="F61" i="16" a="1"/>
  <c r="F61" i="16" s="1"/>
  <c r="F60" i="16" a="1"/>
  <c r="F60" i="16" s="1"/>
  <c r="F59" i="16" a="1"/>
  <c r="F59" i="16" s="1"/>
  <c r="F58" i="16" a="1"/>
  <c r="F58" i="16" s="1"/>
  <c r="F57" i="16" a="1"/>
  <c r="F57" i="16" s="1"/>
  <c r="F56" i="16" a="1"/>
  <c r="F56" i="16" s="1"/>
  <c r="F55" i="16" a="1"/>
  <c r="F55" i="16" s="1"/>
  <c r="F54" i="16" a="1"/>
  <c r="F54" i="16" s="1"/>
  <c r="F53" i="16" a="1"/>
  <c r="F53" i="16" s="1"/>
  <c r="F52" i="16" a="1"/>
  <c r="F52" i="16" s="1"/>
  <c r="F51" i="16" a="1"/>
  <c r="F51" i="16" s="1"/>
  <c r="F50" i="16" a="1"/>
  <c r="F50" i="16" s="1"/>
  <c r="F49" i="16" a="1"/>
  <c r="F49" i="16" s="1"/>
  <c r="F48" i="16" a="1"/>
  <c r="F48" i="16" s="1"/>
  <c r="F47" i="16" a="1"/>
  <c r="F47" i="16" s="1"/>
  <c r="F46" i="16" a="1"/>
  <c r="F46" i="16" s="1"/>
  <c r="F45" i="16" a="1"/>
  <c r="F45" i="16" s="1"/>
  <c r="F44" i="16" a="1"/>
  <c r="F44" i="16" s="1"/>
  <c r="F43" i="16" a="1"/>
  <c r="F43" i="16" s="1"/>
  <c r="F42" i="16" a="1"/>
  <c r="F42" i="16" s="1"/>
  <c r="F41" i="16" a="1"/>
  <c r="F41" i="16" s="1"/>
  <c r="F40" i="16" a="1"/>
  <c r="F40" i="16" s="1"/>
  <c r="F39" i="16" a="1"/>
  <c r="F39" i="16" s="1"/>
  <c r="F38" i="16" a="1"/>
  <c r="F38" i="16" s="1"/>
  <c r="F37" i="16" a="1"/>
  <c r="F37" i="16" s="1"/>
  <c r="F36" i="16" a="1"/>
  <c r="F36" i="16" s="1"/>
  <c r="F35" i="16" a="1"/>
  <c r="F35" i="16" s="1"/>
  <c r="F34" i="16" a="1"/>
  <c r="F34" i="16" s="1"/>
  <c r="F33" i="16" a="1"/>
  <c r="F33" i="16" s="1"/>
  <c r="F32" i="16" a="1"/>
  <c r="F32" i="16" s="1"/>
  <c r="F31" i="16" a="1"/>
  <c r="F31" i="16" s="1"/>
  <c r="F30" i="16" a="1"/>
  <c r="F30" i="16" s="1"/>
  <c r="F29" i="16" a="1"/>
  <c r="F29" i="16" s="1"/>
  <c r="F28" i="16" a="1"/>
  <c r="F28" i="16" s="1"/>
  <c r="F27" i="16" a="1"/>
  <c r="F27" i="16" s="1"/>
  <c r="F26" i="16" a="1"/>
  <c r="F26" i="16" s="1"/>
  <c r="F25" i="16" a="1"/>
  <c r="F25" i="16" s="1"/>
  <c r="F24" i="16" a="1"/>
  <c r="F24" i="16" s="1"/>
  <c r="F23" i="16" a="1"/>
  <c r="F23" i="16" s="1"/>
  <c r="F22" i="16" a="1"/>
  <c r="F22" i="16" s="1"/>
  <c r="F21" i="16" a="1"/>
  <c r="F21" i="16" s="1"/>
  <c r="F20" i="16" a="1"/>
  <c r="F20" i="16" s="1"/>
  <c r="F19" i="16" a="1"/>
  <c r="F19" i="16" s="1"/>
  <c r="F18" i="16" a="1"/>
  <c r="F18" i="16" s="1"/>
  <c r="F17" i="16" a="1"/>
  <c r="F17" i="16" s="1"/>
  <c r="F16" i="16" a="1"/>
  <c r="F16" i="16" s="1"/>
  <c r="F15" i="16" a="1"/>
  <c r="F15" i="16" s="1"/>
  <c r="F14" i="16" a="1"/>
  <c r="F14" i="16" s="1"/>
  <c r="F13" i="16" a="1"/>
  <c r="F13" i="16" s="1"/>
  <c r="F12" i="16" a="1"/>
  <c r="F12" i="16" s="1"/>
  <c r="F11" i="16" a="1"/>
  <c r="F11" i="16" s="1"/>
  <c r="F10" i="16" a="1"/>
  <c r="F10" i="16" s="1"/>
  <c r="F9" i="16" a="1"/>
  <c r="F9" i="16" s="1"/>
  <c r="F8" i="16" a="1"/>
  <c r="F8" i="16" s="1"/>
  <c r="F7" i="16" a="1"/>
  <c r="F7" i="16" s="1"/>
  <c r="F6" i="16" a="1"/>
  <c r="F6" i="16" s="1"/>
  <c r="F5" i="16" a="1"/>
  <c r="F5" i="16" s="1"/>
  <c r="F4" i="16" a="1"/>
  <c r="F4" i="16" s="1"/>
  <c r="F3" i="16" a="1"/>
  <c r="F3" i="16" s="1"/>
  <c r="F2" i="16" a="1"/>
  <c r="F2" i="16" s="1"/>
  <c r="B246" i="6"/>
  <c r="W246" i="6" s="1"/>
  <c r="C246" i="6"/>
  <c r="D246" i="6"/>
  <c r="L246" i="6"/>
  <c r="EQ246" i="6" s="1"/>
  <c r="M246" i="6"/>
  <c r="N246" i="6"/>
  <c r="O246" i="6"/>
  <c r="P246" i="6"/>
  <c r="DA246" i="6" s="1"/>
  <c r="Q246" i="6"/>
  <c r="R246" i="6"/>
  <c r="S246" i="6"/>
  <c r="T246" i="6"/>
  <c r="U246" i="6"/>
  <c r="DE246" i="6" s="1"/>
  <c r="V246" i="6"/>
  <c r="Z246" i="6"/>
  <c r="AA246" i="6"/>
  <c r="AB246" i="6"/>
  <c r="AC246" i="6"/>
  <c r="AD246" i="6"/>
  <c r="AE246" i="6"/>
  <c r="AF246" i="6"/>
  <c r="CW246" i="6" s="1"/>
  <c r="AG246" i="6"/>
  <c r="AH246" i="6"/>
  <c r="AI246" i="6" s="1"/>
  <c r="CO246" i="6" s="1"/>
  <c r="AJ246" i="6"/>
  <c r="AK246" i="6"/>
  <c r="AL246" i="6" s="1"/>
  <c r="BE246" i="6"/>
  <c r="BH246" i="6"/>
  <c r="BK246" i="6"/>
  <c r="BL246" i="6" s="1"/>
  <c r="BP246" i="6"/>
  <c r="BT246" i="6"/>
  <c r="BX246" i="6"/>
  <c r="CB246" i="6"/>
  <c r="CF246" i="6"/>
  <c r="CK246" i="6"/>
  <c r="DF246" i="6"/>
  <c r="DG246" i="6"/>
  <c r="DH246" i="6"/>
  <c r="DN246" i="6"/>
  <c r="DO246" i="6"/>
  <c r="DP246" i="6"/>
  <c r="DR246" i="6"/>
  <c r="DS246" i="6"/>
  <c r="DT246" i="6"/>
  <c r="DY246" i="6"/>
  <c r="EC246" i="6"/>
  <c r="EH246" i="6"/>
  <c r="EI246" i="6"/>
  <c r="EJ246" i="6"/>
  <c r="EK246" i="6"/>
  <c r="EM246" i="6"/>
  <c r="ES246" i="6"/>
  <c r="ET246" i="6"/>
  <c r="EU246" i="6"/>
  <c r="EW246" i="6"/>
  <c r="FA246" i="6"/>
  <c r="FE246" i="6"/>
  <c r="FI246" i="6"/>
  <c r="B245" i="6"/>
  <c r="W245" i="6" s="1"/>
  <c r="C245" i="6"/>
  <c r="D245" i="6"/>
  <c r="L245" i="6"/>
  <c r="EQ245" i="6" s="1"/>
  <c r="M245" i="6"/>
  <c r="N245" i="6"/>
  <c r="O245" i="6"/>
  <c r="P245" i="6"/>
  <c r="DA245" i="6" s="1"/>
  <c r="Q245" i="6"/>
  <c r="R245" i="6"/>
  <c r="S245" i="6"/>
  <c r="T245" i="6"/>
  <c r="U245" i="6"/>
  <c r="V245" i="6"/>
  <c r="Z245" i="6"/>
  <c r="AA245" i="6"/>
  <c r="AB245" i="6"/>
  <c r="AC245" i="6"/>
  <c r="AD245" i="6"/>
  <c r="AE245" i="6"/>
  <c r="AF245" i="6" s="1"/>
  <c r="CW245" i="6" s="1"/>
  <c r="AG245" i="6"/>
  <c r="AH245" i="6"/>
  <c r="AI245" i="6" s="1"/>
  <c r="CO245" i="6" s="1"/>
  <c r="AJ245" i="6"/>
  <c r="AK245" i="6"/>
  <c r="AL245" i="6" s="1"/>
  <c r="BK245" i="6"/>
  <c r="BL245" i="6" s="1"/>
  <c r="BP245" i="6"/>
  <c r="BT245" i="6"/>
  <c r="BX245" i="6"/>
  <c r="CB245" i="6"/>
  <c r="CF245" i="6"/>
  <c r="CK245" i="6"/>
  <c r="DE245" i="6"/>
  <c r="DB245" i="6" s="1"/>
  <c r="DF245" i="6"/>
  <c r="DG245" i="6"/>
  <c r="DH245" i="6"/>
  <c r="DN245" i="6"/>
  <c r="DO245" i="6"/>
  <c r="DP245" i="6"/>
  <c r="DR245" i="6"/>
  <c r="DS245" i="6"/>
  <c r="DT245" i="6"/>
  <c r="DY245" i="6"/>
  <c r="EC245" i="6"/>
  <c r="EH245" i="6"/>
  <c r="EI245" i="6"/>
  <c r="EJ245" i="6"/>
  <c r="EK245" i="6"/>
  <c r="EM245" i="6"/>
  <c r="ES245" i="6"/>
  <c r="ET245" i="6"/>
  <c r="EU245" i="6"/>
  <c r="EW245" i="6"/>
  <c r="FA245" i="6"/>
  <c r="FE245" i="6"/>
  <c r="FI245" i="6"/>
  <c r="B244" i="6"/>
  <c r="W244" i="6" s="1"/>
  <c r="C244" i="6"/>
  <c r="D244" i="6"/>
  <c r="L244" i="6"/>
  <c r="EQ244" i="6" s="1"/>
  <c r="M244" i="6"/>
  <c r="N244" i="6"/>
  <c r="O244" i="6"/>
  <c r="P244" i="6"/>
  <c r="DA244" i="6" s="1"/>
  <c r="CY244" i="6" s="1"/>
  <c r="Q244" i="6"/>
  <c r="R244" i="6"/>
  <c r="S244" i="6"/>
  <c r="T244" i="6"/>
  <c r="U244" i="6"/>
  <c r="DE244" i="6" s="1"/>
  <c r="V244" i="6"/>
  <c r="Z244" i="6"/>
  <c r="AA244" i="6"/>
  <c r="AB244" i="6"/>
  <c r="AC244" i="6"/>
  <c r="AD244" i="6"/>
  <c r="AE244" i="6"/>
  <c r="AF244" i="6" s="1"/>
  <c r="CW244" i="6" s="1"/>
  <c r="AG244" i="6"/>
  <c r="AH244" i="6"/>
  <c r="AI244" i="6" s="1"/>
  <c r="CO244" i="6" s="1"/>
  <c r="AJ244" i="6"/>
  <c r="AK244" i="6"/>
  <c r="AL244" i="6" s="1"/>
  <c r="BK244" i="6"/>
  <c r="BL244" i="6" s="1"/>
  <c r="BP244" i="6"/>
  <c r="BT244" i="6"/>
  <c r="BX244" i="6"/>
  <c r="CB244" i="6"/>
  <c r="CF244" i="6"/>
  <c r="CK244" i="6"/>
  <c r="DF244" i="6"/>
  <c r="DG244" i="6"/>
  <c r="DH244" i="6"/>
  <c r="DN244" i="6"/>
  <c r="DO244" i="6"/>
  <c r="DP244" i="6"/>
  <c r="DR244" i="6"/>
  <c r="DS244" i="6"/>
  <c r="DT244" i="6"/>
  <c r="DY244" i="6"/>
  <c r="EC244" i="6"/>
  <c r="EH244" i="6"/>
  <c r="EI244" i="6"/>
  <c r="EJ244" i="6"/>
  <c r="EK244" i="6"/>
  <c r="EM244" i="6"/>
  <c r="ES244" i="6"/>
  <c r="ET244" i="6"/>
  <c r="EU244" i="6"/>
  <c r="EW244" i="6"/>
  <c r="FA244" i="6"/>
  <c r="FE244" i="6"/>
  <c r="FI244" i="6"/>
  <c r="B228" i="6"/>
  <c r="W228" i="6" s="1"/>
  <c r="B229" i="6"/>
  <c r="W229" i="6" s="1"/>
  <c r="X229" i="6" s="1"/>
  <c r="B230" i="6"/>
  <c r="B231" i="6"/>
  <c r="B232" i="6"/>
  <c r="W232" i="6" s="1"/>
  <c r="B233" i="6"/>
  <c r="W233" i="6" s="1"/>
  <c r="X233" i="6" s="1"/>
  <c r="B234" i="6"/>
  <c r="W234" i="6" s="1"/>
  <c r="B235" i="6"/>
  <c r="W235" i="6" s="1"/>
  <c r="B236" i="6"/>
  <c r="W236" i="6" s="1"/>
  <c r="B237" i="6"/>
  <c r="W237" i="6" s="1"/>
  <c r="X237" i="6" s="1"/>
  <c r="B238" i="6"/>
  <c r="W238" i="6" s="1"/>
  <c r="X238" i="6" s="1"/>
  <c r="B239" i="6"/>
  <c r="W239" i="6" s="1"/>
  <c r="X239" i="6" s="1"/>
  <c r="B240" i="6"/>
  <c r="W240" i="6" s="1"/>
  <c r="Y240" i="6" s="1"/>
  <c r="B241" i="6"/>
  <c r="W241" i="6" s="1"/>
  <c r="X241" i="6" s="1"/>
  <c r="B242" i="6"/>
  <c r="W242" i="6" s="1"/>
  <c r="B243" i="6"/>
  <c r="W243" i="6" s="1"/>
  <c r="Y243" i="6" s="1"/>
  <c r="B247" i="6"/>
  <c r="W247" i="6" s="1"/>
  <c r="C228" i="6"/>
  <c r="C229" i="6"/>
  <c r="C230" i="6"/>
  <c r="C231" i="6"/>
  <c r="C232" i="6"/>
  <c r="C233" i="6"/>
  <c r="C234" i="6"/>
  <c r="C235" i="6"/>
  <c r="C236" i="6"/>
  <c r="C237" i="6"/>
  <c r="C238" i="6"/>
  <c r="C239" i="6"/>
  <c r="C240" i="6"/>
  <c r="C241" i="6"/>
  <c r="C242" i="6"/>
  <c r="C243" i="6"/>
  <c r="C247" i="6"/>
  <c r="D228" i="6"/>
  <c r="D229" i="6"/>
  <c r="D230" i="6"/>
  <c r="D231" i="6"/>
  <c r="D232" i="6"/>
  <c r="D233" i="6"/>
  <c r="D234" i="6"/>
  <c r="D235" i="6"/>
  <c r="D236" i="6"/>
  <c r="D237" i="6"/>
  <c r="D238" i="6"/>
  <c r="D239" i="6"/>
  <c r="D240" i="6"/>
  <c r="D241" i="6"/>
  <c r="D242" i="6"/>
  <c r="D243" i="6"/>
  <c r="D247" i="6"/>
  <c r="L228" i="6"/>
  <c r="L229" i="6"/>
  <c r="L230" i="6"/>
  <c r="EQ230" i="6" s="1"/>
  <c r="L231" i="6"/>
  <c r="EQ231" i="6" s="1"/>
  <c r="EN231" i="6" s="1"/>
  <c r="L232" i="6"/>
  <c r="EQ232" i="6" s="1"/>
  <c r="ER232" i="6" s="1"/>
  <c r="L233" i="6"/>
  <c r="EQ233" i="6" s="1"/>
  <c r="EO233" i="6" s="1"/>
  <c r="L234" i="6"/>
  <c r="EQ234" i="6" s="1"/>
  <c r="L235" i="6"/>
  <c r="L236" i="6"/>
  <c r="EQ236" i="6" s="1"/>
  <c r="EO236" i="6" s="1"/>
  <c r="L237" i="6"/>
  <c r="EQ237" i="6" s="1"/>
  <c r="L238" i="6"/>
  <c r="EQ238" i="6" s="1"/>
  <c r="L239" i="6"/>
  <c r="EQ239" i="6" s="1"/>
  <c r="EN239" i="6" s="1"/>
  <c r="L240" i="6"/>
  <c r="EQ240" i="6" s="1"/>
  <c r="EP240" i="6" s="1"/>
  <c r="L241" i="6"/>
  <c r="EQ241" i="6" s="1"/>
  <c r="EO241" i="6" s="1"/>
  <c r="L242" i="6"/>
  <c r="EQ242" i="6" s="1"/>
  <c r="L243" i="6"/>
  <c r="L247" i="6"/>
  <c r="EQ247" i="6" s="1"/>
  <c r="EO247" i="6" s="1"/>
  <c r="M228" i="6"/>
  <c r="M229" i="6"/>
  <c r="M230" i="6"/>
  <c r="M231" i="6"/>
  <c r="M232" i="6"/>
  <c r="M233" i="6"/>
  <c r="M234" i="6"/>
  <c r="M235" i="6"/>
  <c r="M236" i="6"/>
  <c r="M237" i="6"/>
  <c r="M238" i="6"/>
  <c r="M239" i="6"/>
  <c r="M240" i="6"/>
  <c r="M241" i="6"/>
  <c r="M242" i="6"/>
  <c r="M243" i="6"/>
  <c r="M247" i="6"/>
  <c r="N228" i="6"/>
  <c r="N229" i="6"/>
  <c r="N230" i="6"/>
  <c r="N231" i="6"/>
  <c r="N232" i="6"/>
  <c r="N233" i="6"/>
  <c r="N234" i="6"/>
  <c r="N235" i="6"/>
  <c r="N236" i="6"/>
  <c r="N237" i="6"/>
  <c r="N238" i="6"/>
  <c r="N239" i="6"/>
  <c r="N240" i="6"/>
  <c r="N241" i="6"/>
  <c r="N242" i="6"/>
  <c r="N243" i="6"/>
  <c r="N247" i="6"/>
  <c r="O228" i="6"/>
  <c r="O229" i="6"/>
  <c r="O230" i="6"/>
  <c r="O231" i="6"/>
  <c r="O232" i="6"/>
  <c r="O233" i="6"/>
  <c r="O234" i="6"/>
  <c r="O235" i="6"/>
  <c r="O236" i="6"/>
  <c r="O237" i="6"/>
  <c r="O238" i="6"/>
  <c r="O239" i="6"/>
  <c r="O240" i="6"/>
  <c r="O241" i="6"/>
  <c r="O242" i="6"/>
  <c r="O243" i="6"/>
  <c r="O247" i="6"/>
  <c r="P228" i="6"/>
  <c r="P229" i="6"/>
  <c r="DA229" i="6" s="1"/>
  <c r="P230" i="6"/>
  <c r="DA230" i="6" s="1"/>
  <c r="CY230" i="6" s="1"/>
  <c r="P231" i="6"/>
  <c r="DA231" i="6" s="1"/>
  <c r="P232" i="6"/>
  <c r="DA232" i="6" s="1"/>
  <c r="P233" i="6"/>
  <c r="DA233" i="6" s="1"/>
  <c r="P234" i="6"/>
  <c r="P235" i="6"/>
  <c r="P236" i="6"/>
  <c r="DA236" i="6" s="1"/>
  <c r="P237" i="6"/>
  <c r="DA237" i="6" s="1"/>
  <c r="P238" i="6"/>
  <c r="DA238" i="6" s="1"/>
  <c r="P239" i="6"/>
  <c r="P240" i="6"/>
  <c r="DA240" i="6" s="1"/>
  <c r="P241" i="6"/>
  <c r="DA241" i="6" s="1"/>
  <c r="P242" i="6"/>
  <c r="DA242" i="6" s="1"/>
  <c r="P243" i="6"/>
  <c r="DA243" i="6" s="1"/>
  <c r="P247" i="6"/>
  <c r="DA247" i="6" s="1"/>
  <c r="Q228" i="6"/>
  <c r="Q229" i="6"/>
  <c r="Q230" i="6"/>
  <c r="Q231" i="6"/>
  <c r="Q232" i="6"/>
  <c r="Q233" i="6"/>
  <c r="Q234" i="6"/>
  <c r="Q235" i="6"/>
  <c r="Q236" i="6"/>
  <c r="Q237" i="6"/>
  <c r="Q238" i="6"/>
  <c r="Q239" i="6"/>
  <c r="Q240" i="6"/>
  <c r="Q241" i="6"/>
  <c r="Q242" i="6"/>
  <c r="Q243" i="6"/>
  <c r="Q247" i="6"/>
  <c r="R228" i="6"/>
  <c r="R229" i="6"/>
  <c r="R230" i="6"/>
  <c r="R231" i="6"/>
  <c r="R232" i="6"/>
  <c r="R233" i="6"/>
  <c r="R234" i="6"/>
  <c r="R235" i="6"/>
  <c r="R236" i="6"/>
  <c r="R237" i="6"/>
  <c r="R238" i="6"/>
  <c r="R239" i="6"/>
  <c r="R240" i="6"/>
  <c r="R241" i="6"/>
  <c r="R242" i="6"/>
  <c r="R243" i="6"/>
  <c r="R247" i="6"/>
  <c r="S228" i="6"/>
  <c r="S229" i="6"/>
  <c r="S230" i="6"/>
  <c r="S231" i="6"/>
  <c r="S232" i="6"/>
  <c r="S233" i="6"/>
  <c r="S234" i="6"/>
  <c r="S235" i="6"/>
  <c r="S236" i="6"/>
  <c r="S237" i="6"/>
  <c r="S238" i="6"/>
  <c r="S239" i="6"/>
  <c r="S240" i="6"/>
  <c r="S241" i="6"/>
  <c r="S242" i="6"/>
  <c r="S243" i="6"/>
  <c r="S247" i="6"/>
  <c r="T228" i="6"/>
  <c r="T229" i="6"/>
  <c r="T230" i="6"/>
  <c r="T231" i="6"/>
  <c r="T232" i="6"/>
  <c r="T233" i="6"/>
  <c r="T234" i="6"/>
  <c r="T235" i="6"/>
  <c r="T236" i="6"/>
  <c r="T237" i="6"/>
  <c r="T238" i="6"/>
  <c r="T239" i="6"/>
  <c r="T240" i="6"/>
  <c r="T241" i="6"/>
  <c r="T242" i="6"/>
  <c r="T243" i="6"/>
  <c r="T247" i="6"/>
  <c r="U228" i="6"/>
  <c r="DE228" i="6" s="1"/>
  <c r="U229" i="6"/>
  <c r="DE229" i="6" s="1"/>
  <c r="DB229" i="6" s="1"/>
  <c r="U230" i="6"/>
  <c r="DE230" i="6" s="1"/>
  <c r="DB230" i="6" s="1"/>
  <c r="U231" i="6"/>
  <c r="DE231" i="6" s="1"/>
  <c r="U232" i="6"/>
  <c r="DE232" i="6" s="1"/>
  <c r="U233" i="6"/>
  <c r="DE233" i="6" s="1"/>
  <c r="DB233" i="6" s="1"/>
  <c r="U234" i="6"/>
  <c r="U235" i="6"/>
  <c r="DE235" i="6" s="1"/>
  <c r="U236" i="6"/>
  <c r="DE236" i="6" s="1"/>
  <c r="U237" i="6"/>
  <c r="U238" i="6"/>
  <c r="DE238" i="6" s="1"/>
  <c r="U239" i="6"/>
  <c r="DE239" i="6" s="1"/>
  <c r="U240" i="6"/>
  <c r="DE240" i="6" s="1"/>
  <c r="U241" i="6"/>
  <c r="DE241" i="6" s="1"/>
  <c r="DB241" i="6" s="1"/>
  <c r="U242" i="6"/>
  <c r="U243" i="6"/>
  <c r="DE243" i="6" s="1"/>
  <c r="DB243" i="6" s="1"/>
  <c r="U247" i="6"/>
  <c r="DE247" i="6" s="1"/>
  <c r="V228" i="6"/>
  <c r="V229" i="6"/>
  <c r="V230" i="6"/>
  <c r="V231" i="6"/>
  <c r="V232" i="6"/>
  <c r="V233" i="6"/>
  <c r="V234" i="6"/>
  <c r="V235" i="6"/>
  <c r="V236" i="6"/>
  <c r="V237" i="6"/>
  <c r="V238" i="6"/>
  <c r="V239" i="6"/>
  <c r="V240" i="6"/>
  <c r="V241" i="6"/>
  <c r="V242" i="6"/>
  <c r="V243" i="6"/>
  <c r="V247" i="6"/>
  <c r="W230" i="6"/>
  <c r="X230" i="6" s="1"/>
  <c r="W231" i="6"/>
  <c r="Y231" i="6" s="1"/>
  <c r="Z228" i="6"/>
  <c r="Z229" i="6"/>
  <c r="Z230" i="6"/>
  <c r="Z231" i="6"/>
  <c r="Z232" i="6"/>
  <c r="Z233" i="6"/>
  <c r="Z234" i="6"/>
  <c r="Z235" i="6"/>
  <c r="Z236" i="6"/>
  <c r="Z237" i="6"/>
  <c r="Z238" i="6"/>
  <c r="Z239" i="6"/>
  <c r="Z240" i="6"/>
  <c r="Z241" i="6"/>
  <c r="Z242" i="6"/>
  <c r="Z243" i="6"/>
  <c r="Z247" i="6"/>
  <c r="AA228" i="6"/>
  <c r="AA229" i="6"/>
  <c r="AA230" i="6"/>
  <c r="AA231" i="6"/>
  <c r="AA232" i="6"/>
  <c r="AA233" i="6"/>
  <c r="AA234" i="6"/>
  <c r="AA235" i="6"/>
  <c r="AA236" i="6"/>
  <c r="AA237" i="6"/>
  <c r="AA238" i="6"/>
  <c r="AA239" i="6"/>
  <c r="AA240" i="6"/>
  <c r="AA241" i="6"/>
  <c r="AA242" i="6"/>
  <c r="AA243" i="6"/>
  <c r="AA247" i="6"/>
  <c r="AB228" i="6"/>
  <c r="AB229" i="6"/>
  <c r="AB230" i="6"/>
  <c r="AB231" i="6"/>
  <c r="AB232" i="6"/>
  <c r="AB233" i="6"/>
  <c r="AB234" i="6"/>
  <c r="AB235" i="6"/>
  <c r="AB236" i="6"/>
  <c r="AB237" i="6"/>
  <c r="AB238" i="6"/>
  <c r="AB239" i="6"/>
  <c r="AB240" i="6"/>
  <c r="AB241" i="6"/>
  <c r="AB242" i="6"/>
  <c r="AB243" i="6"/>
  <c r="AB247" i="6"/>
  <c r="AC228" i="6"/>
  <c r="AC229" i="6"/>
  <c r="AC230" i="6"/>
  <c r="AC231" i="6"/>
  <c r="AC232" i="6"/>
  <c r="AC233" i="6"/>
  <c r="AC234" i="6"/>
  <c r="AC235" i="6"/>
  <c r="AC236" i="6"/>
  <c r="AC237" i="6"/>
  <c r="AC238" i="6"/>
  <c r="AC239" i="6"/>
  <c r="AC240" i="6"/>
  <c r="AC241" i="6"/>
  <c r="AC242" i="6"/>
  <c r="AC243" i="6"/>
  <c r="AC247" i="6"/>
  <c r="AD228" i="6"/>
  <c r="AD229" i="6"/>
  <c r="AD230" i="6"/>
  <c r="AD231" i="6"/>
  <c r="AD232" i="6"/>
  <c r="AD233" i="6"/>
  <c r="AD234" i="6"/>
  <c r="AD235" i="6"/>
  <c r="AD236" i="6"/>
  <c r="AD237" i="6"/>
  <c r="AD238" i="6"/>
  <c r="AD239" i="6"/>
  <c r="AD240" i="6"/>
  <c r="AD241" i="6"/>
  <c r="AD242" i="6"/>
  <c r="AD243" i="6"/>
  <c r="AD247" i="6"/>
  <c r="AE228" i="6"/>
  <c r="AF228" i="6" s="1"/>
  <c r="CW228" i="6" s="1"/>
  <c r="CT228" i="6" s="1"/>
  <c r="AE229" i="6"/>
  <c r="AF229" i="6" s="1"/>
  <c r="AE230" i="6"/>
  <c r="AF230" i="6" s="1"/>
  <c r="CW230" i="6" s="1"/>
  <c r="CT230" i="6" s="1"/>
  <c r="AE231" i="6"/>
  <c r="AF231" i="6" s="1"/>
  <c r="CW231" i="6" s="1"/>
  <c r="AE232" i="6"/>
  <c r="AF232" i="6" s="1"/>
  <c r="CW232" i="6" s="1"/>
  <c r="AE233" i="6"/>
  <c r="AF233" i="6" s="1"/>
  <c r="CW233" i="6" s="1"/>
  <c r="AE234" i="6"/>
  <c r="AE235" i="6"/>
  <c r="AF235" i="6" s="1"/>
  <c r="CW235" i="6" s="1"/>
  <c r="CT235" i="6" s="1"/>
  <c r="AE236" i="6"/>
  <c r="AF236" i="6" s="1"/>
  <c r="CW236" i="6" s="1"/>
  <c r="CV236" i="6" s="1"/>
  <c r="AE237" i="6"/>
  <c r="AF237" i="6" s="1"/>
  <c r="AE238" i="6"/>
  <c r="AF238" i="6" s="1"/>
  <c r="CW238" i="6" s="1"/>
  <c r="AE239" i="6"/>
  <c r="AF239" i="6" s="1"/>
  <c r="CW239" i="6" s="1"/>
  <c r="AE240" i="6"/>
  <c r="AF240" i="6" s="1"/>
  <c r="CW240" i="6" s="1"/>
  <c r="AE241" i="6"/>
  <c r="AF241" i="6" s="1"/>
  <c r="AE242" i="6"/>
  <c r="AE243" i="6"/>
  <c r="AF243" i="6" s="1"/>
  <c r="CW243" i="6" s="1"/>
  <c r="CT243" i="6" s="1"/>
  <c r="AE247" i="6"/>
  <c r="AF247" i="6" s="1"/>
  <c r="CW247" i="6" s="1"/>
  <c r="AF234" i="6"/>
  <c r="CW234" i="6" s="1"/>
  <c r="AF242" i="6"/>
  <c r="CW242" i="6" s="1"/>
  <c r="AG228" i="6"/>
  <c r="AG229" i="6"/>
  <c r="AG230" i="6"/>
  <c r="AG231" i="6"/>
  <c r="AG232" i="6"/>
  <c r="AG233" i="6"/>
  <c r="AG234" i="6"/>
  <c r="AG235" i="6"/>
  <c r="AG236" i="6"/>
  <c r="AG237" i="6"/>
  <c r="AG238" i="6"/>
  <c r="AG239" i="6"/>
  <c r="AG240" i="6"/>
  <c r="AG241" i="6"/>
  <c r="AG242" i="6"/>
  <c r="AG243" i="6"/>
  <c r="AG247" i="6"/>
  <c r="AH228" i="6"/>
  <c r="AI228" i="6" s="1"/>
  <c r="CO228" i="6" s="1"/>
  <c r="AH229" i="6"/>
  <c r="AH230" i="6"/>
  <c r="AI230" i="6" s="1"/>
  <c r="CO230" i="6" s="1"/>
  <c r="CN230" i="6" s="1"/>
  <c r="AH231" i="6"/>
  <c r="AI231" i="6" s="1"/>
  <c r="CO231" i="6" s="1"/>
  <c r="CS231" i="6" s="1"/>
  <c r="AH232" i="6"/>
  <c r="AI232" i="6" s="1"/>
  <c r="CO232" i="6" s="1"/>
  <c r="AH233" i="6"/>
  <c r="AI233" i="6" s="1"/>
  <c r="CO233" i="6" s="1"/>
  <c r="CS233" i="6" s="1"/>
  <c r="AH234" i="6"/>
  <c r="AI234" i="6" s="1"/>
  <c r="CO234" i="6" s="1"/>
  <c r="CN234" i="6" s="1"/>
  <c r="AH235" i="6"/>
  <c r="AH236" i="6"/>
  <c r="AI236" i="6" s="1"/>
  <c r="CO236" i="6" s="1"/>
  <c r="AH237" i="6"/>
  <c r="AI237" i="6" s="1"/>
  <c r="CO237" i="6" s="1"/>
  <c r="AH238" i="6"/>
  <c r="AI238" i="6" s="1"/>
  <c r="CO238" i="6" s="1"/>
  <c r="CN238" i="6" s="1"/>
  <c r="AH239" i="6"/>
  <c r="AH240" i="6"/>
  <c r="AI240" i="6" s="1"/>
  <c r="CO240" i="6" s="1"/>
  <c r="AH241" i="6"/>
  <c r="AI241" i="6" s="1"/>
  <c r="CO241" i="6" s="1"/>
  <c r="CS241" i="6" s="1"/>
  <c r="AH242" i="6"/>
  <c r="AI242" i="6" s="1"/>
  <c r="CO242" i="6" s="1"/>
  <c r="AH243" i="6"/>
  <c r="AI243" i="6" s="1"/>
  <c r="CO243" i="6" s="1"/>
  <c r="AH247" i="6"/>
  <c r="AI247" i="6" s="1"/>
  <c r="CO247" i="6" s="1"/>
  <c r="AI229" i="6"/>
  <c r="CO229" i="6" s="1"/>
  <c r="CS229" i="6" s="1"/>
  <c r="AI235" i="6"/>
  <c r="CO235" i="6" s="1"/>
  <c r="AI239" i="6"/>
  <c r="CO239" i="6" s="1"/>
  <c r="AJ228" i="6"/>
  <c r="AJ229" i="6"/>
  <c r="AJ230" i="6"/>
  <c r="AJ231" i="6"/>
  <c r="AJ232" i="6"/>
  <c r="AJ233" i="6"/>
  <c r="AJ234" i="6"/>
  <c r="AJ235" i="6"/>
  <c r="AJ236" i="6"/>
  <c r="AJ237" i="6"/>
  <c r="AJ238" i="6"/>
  <c r="AJ239" i="6"/>
  <c r="AJ240" i="6"/>
  <c r="AJ241" i="6"/>
  <c r="AJ242" i="6"/>
  <c r="AJ243" i="6"/>
  <c r="AJ247" i="6"/>
  <c r="AK228" i="6"/>
  <c r="BI228" i="6" s="1"/>
  <c r="AK229" i="6"/>
  <c r="BF229" i="6" s="1"/>
  <c r="AK230" i="6"/>
  <c r="BD230" i="6" s="1"/>
  <c r="AK231" i="6"/>
  <c r="BD231" i="6" s="1"/>
  <c r="AK232" i="6"/>
  <c r="AK233" i="6"/>
  <c r="BE233" i="6" s="1"/>
  <c r="AK234" i="6"/>
  <c r="BD234" i="6" s="1"/>
  <c r="AK235" i="6"/>
  <c r="BF235" i="6" s="1"/>
  <c r="AK236" i="6"/>
  <c r="AK237" i="6"/>
  <c r="BE237" i="6" s="1"/>
  <c r="AK238" i="6"/>
  <c r="AK239" i="6"/>
  <c r="AL239" i="6" s="1"/>
  <c r="AK240" i="6"/>
  <c r="BH240" i="6" s="1"/>
  <c r="AK241" i="6"/>
  <c r="AL241" i="6" s="1"/>
  <c r="AK242" i="6"/>
  <c r="AK243" i="6"/>
  <c r="BG243" i="6" s="1"/>
  <c r="AK247" i="6"/>
  <c r="AL229" i="6"/>
  <c r="AL230" i="6"/>
  <c r="AL231" i="6"/>
  <c r="AL236" i="6"/>
  <c r="BF243" i="6"/>
  <c r="BG233" i="6"/>
  <c r="BI232" i="6"/>
  <c r="BK228" i="6"/>
  <c r="BL228" i="6" s="1"/>
  <c r="BK229" i="6"/>
  <c r="BL229" i="6" s="1"/>
  <c r="BK230" i="6"/>
  <c r="BL230" i="6" s="1"/>
  <c r="BK231" i="6"/>
  <c r="BL231" i="6" s="1"/>
  <c r="BK232" i="6"/>
  <c r="BL232" i="6" s="1"/>
  <c r="BK233" i="6"/>
  <c r="BL233" i="6" s="1"/>
  <c r="BK234" i="6"/>
  <c r="BL234" i="6" s="1"/>
  <c r="BK235" i="6"/>
  <c r="BL235" i="6" s="1"/>
  <c r="BK236" i="6"/>
  <c r="BK237" i="6"/>
  <c r="BL237" i="6" s="1"/>
  <c r="BK238" i="6"/>
  <c r="BK239" i="6"/>
  <c r="BL239" i="6" s="1"/>
  <c r="BK240" i="6"/>
  <c r="BL240" i="6" s="1"/>
  <c r="BK241" i="6"/>
  <c r="BL241" i="6" s="1"/>
  <c r="BK242" i="6"/>
  <c r="BL242" i="6" s="1"/>
  <c r="BK243" i="6"/>
  <c r="BL243" i="6" s="1"/>
  <c r="BK247" i="6"/>
  <c r="BL247" i="6" s="1"/>
  <c r="BL236" i="6"/>
  <c r="BL238" i="6"/>
  <c r="BP228" i="6"/>
  <c r="BP229" i="6"/>
  <c r="BP230" i="6"/>
  <c r="BP231" i="6"/>
  <c r="BP232" i="6"/>
  <c r="BP233" i="6"/>
  <c r="BP234" i="6"/>
  <c r="BP235" i="6"/>
  <c r="BP236" i="6"/>
  <c r="BP237" i="6"/>
  <c r="BP238" i="6"/>
  <c r="BP239" i="6"/>
  <c r="BP240" i="6"/>
  <c r="BP241" i="6"/>
  <c r="BP242" i="6"/>
  <c r="BP243" i="6"/>
  <c r="BP247" i="6"/>
  <c r="BT228" i="6"/>
  <c r="BT229" i="6"/>
  <c r="BT230" i="6"/>
  <c r="BT231" i="6"/>
  <c r="BT232" i="6"/>
  <c r="BT233" i="6"/>
  <c r="BT234" i="6"/>
  <c r="BT235" i="6"/>
  <c r="BT236" i="6"/>
  <c r="BT237" i="6"/>
  <c r="BT238" i="6"/>
  <c r="BT239" i="6"/>
  <c r="BT240" i="6"/>
  <c r="BT241" i="6"/>
  <c r="BT242" i="6"/>
  <c r="BT243" i="6"/>
  <c r="BT247" i="6"/>
  <c r="BX228" i="6"/>
  <c r="BX229" i="6"/>
  <c r="BX230" i="6"/>
  <c r="BX231" i="6"/>
  <c r="BX232" i="6"/>
  <c r="BX233" i="6"/>
  <c r="BX234" i="6"/>
  <c r="BX235" i="6"/>
  <c r="BX236" i="6"/>
  <c r="BX237" i="6"/>
  <c r="BX238" i="6"/>
  <c r="BX239" i="6"/>
  <c r="BX240" i="6"/>
  <c r="BX241" i="6"/>
  <c r="BX242" i="6"/>
  <c r="BX243" i="6"/>
  <c r="BX247" i="6"/>
  <c r="CB228" i="6"/>
  <c r="CB229" i="6"/>
  <c r="CB230" i="6"/>
  <c r="CB231" i="6"/>
  <c r="CB232" i="6"/>
  <c r="CB233" i="6"/>
  <c r="CB234" i="6"/>
  <c r="CB235" i="6"/>
  <c r="CB236" i="6"/>
  <c r="CB237" i="6"/>
  <c r="CB238" i="6"/>
  <c r="CB239" i="6"/>
  <c r="CB240" i="6"/>
  <c r="CB241" i="6"/>
  <c r="CB242" i="6"/>
  <c r="CB243" i="6"/>
  <c r="CB247" i="6"/>
  <c r="CF228" i="6"/>
  <c r="CF229" i="6"/>
  <c r="CF230" i="6"/>
  <c r="CF231" i="6"/>
  <c r="CF232" i="6"/>
  <c r="CF233" i="6"/>
  <c r="CF234" i="6"/>
  <c r="CF235" i="6"/>
  <c r="CF236" i="6"/>
  <c r="CF237" i="6"/>
  <c r="CF238" i="6"/>
  <c r="CF239" i="6"/>
  <c r="CF240" i="6"/>
  <c r="CF241" i="6"/>
  <c r="CF242" i="6"/>
  <c r="CF243" i="6"/>
  <c r="CF247" i="6"/>
  <c r="CK228" i="6"/>
  <c r="CK229" i="6"/>
  <c r="CK230" i="6"/>
  <c r="CK231" i="6"/>
  <c r="CK232" i="6"/>
  <c r="CK233" i="6"/>
  <c r="CK234" i="6"/>
  <c r="CK235" i="6"/>
  <c r="CK236" i="6"/>
  <c r="CK237" i="6"/>
  <c r="CK238" i="6"/>
  <c r="CK239" i="6"/>
  <c r="CK240" i="6"/>
  <c r="CK241" i="6"/>
  <c r="CK242" i="6"/>
  <c r="CK243" i="6"/>
  <c r="CK247" i="6"/>
  <c r="CL228" i="6"/>
  <c r="CN242" i="6"/>
  <c r="CS240" i="6"/>
  <c r="CW229" i="6"/>
  <c r="CW237" i="6"/>
  <c r="CW241" i="6"/>
  <c r="DA228" i="6"/>
  <c r="DA234" i="6"/>
  <c r="CY234" i="6" s="1"/>
  <c r="DA235" i="6"/>
  <c r="CY235" i="6" s="1"/>
  <c r="DA239" i="6"/>
  <c r="DE234" i="6"/>
  <c r="DB234" i="6" s="1"/>
  <c r="DE237" i="6"/>
  <c r="DB237" i="6" s="1"/>
  <c r="DE242" i="6"/>
  <c r="DC242" i="6" s="1"/>
  <c r="DF228" i="6"/>
  <c r="DF229" i="6"/>
  <c r="DF230" i="6"/>
  <c r="DF231" i="6"/>
  <c r="DF232" i="6"/>
  <c r="DF233" i="6"/>
  <c r="DF234" i="6"/>
  <c r="DF235" i="6"/>
  <c r="DF236" i="6"/>
  <c r="DF237" i="6"/>
  <c r="DF238" i="6"/>
  <c r="DF239" i="6"/>
  <c r="DF240" i="6"/>
  <c r="DF241" i="6"/>
  <c r="DF242" i="6"/>
  <c r="DF243" i="6"/>
  <c r="DF247" i="6"/>
  <c r="DG228" i="6"/>
  <c r="DG229" i="6"/>
  <c r="DG230" i="6"/>
  <c r="DG231" i="6"/>
  <c r="DG232" i="6"/>
  <c r="DG233" i="6"/>
  <c r="DG234" i="6"/>
  <c r="DG235" i="6"/>
  <c r="DG236" i="6"/>
  <c r="DG237" i="6"/>
  <c r="DG238" i="6"/>
  <c r="DG239" i="6"/>
  <c r="DG240" i="6"/>
  <c r="DG241" i="6"/>
  <c r="DG242" i="6"/>
  <c r="DG243" i="6"/>
  <c r="DG247" i="6"/>
  <c r="DH228" i="6"/>
  <c r="DH229" i="6"/>
  <c r="DH230" i="6"/>
  <c r="DH231" i="6"/>
  <c r="DH232" i="6"/>
  <c r="DH233" i="6"/>
  <c r="DH234" i="6"/>
  <c r="DH235" i="6"/>
  <c r="DH236" i="6"/>
  <c r="DH237" i="6"/>
  <c r="DH238" i="6"/>
  <c r="DH239" i="6"/>
  <c r="DH240" i="6"/>
  <c r="DH241" i="6"/>
  <c r="DH242" i="6"/>
  <c r="DH243" i="6"/>
  <c r="DH247" i="6"/>
  <c r="DN228" i="6"/>
  <c r="DN229" i="6"/>
  <c r="DN230" i="6"/>
  <c r="DN231" i="6"/>
  <c r="DN232" i="6"/>
  <c r="DN233" i="6"/>
  <c r="DN234" i="6"/>
  <c r="DN235" i="6"/>
  <c r="DN236" i="6"/>
  <c r="DN237" i="6"/>
  <c r="DN238" i="6"/>
  <c r="DN239" i="6"/>
  <c r="DN240" i="6"/>
  <c r="DN241" i="6"/>
  <c r="DN242" i="6"/>
  <c r="DN243" i="6"/>
  <c r="DN247" i="6"/>
  <c r="DO228" i="6"/>
  <c r="DO229" i="6"/>
  <c r="DO230" i="6"/>
  <c r="DO231" i="6"/>
  <c r="DO232" i="6"/>
  <c r="DO233" i="6"/>
  <c r="DO234" i="6"/>
  <c r="DO235" i="6"/>
  <c r="DO236" i="6"/>
  <c r="DO237" i="6"/>
  <c r="DO238" i="6"/>
  <c r="DO239" i="6"/>
  <c r="DO240" i="6"/>
  <c r="DO241" i="6"/>
  <c r="DO242" i="6"/>
  <c r="DO243" i="6"/>
  <c r="DO247" i="6"/>
  <c r="DP228" i="6"/>
  <c r="DP229" i="6"/>
  <c r="DP230" i="6"/>
  <c r="DP231" i="6"/>
  <c r="DP232" i="6"/>
  <c r="DP233" i="6"/>
  <c r="DP234" i="6"/>
  <c r="DP235" i="6"/>
  <c r="DP236" i="6"/>
  <c r="DP237" i="6"/>
  <c r="DP238" i="6"/>
  <c r="DP239" i="6"/>
  <c r="DP240" i="6"/>
  <c r="DP241" i="6"/>
  <c r="DP242" i="6"/>
  <c r="DP243" i="6"/>
  <c r="DP247" i="6"/>
  <c r="DR228" i="6"/>
  <c r="DR229" i="6"/>
  <c r="DR230" i="6"/>
  <c r="DR231" i="6"/>
  <c r="DR232" i="6"/>
  <c r="DR233" i="6"/>
  <c r="DR234" i="6"/>
  <c r="DR235" i="6"/>
  <c r="DR236" i="6"/>
  <c r="DR237" i="6"/>
  <c r="DR238" i="6"/>
  <c r="DR239" i="6"/>
  <c r="DR240" i="6"/>
  <c r="DR241" i="6"/>
  <c r="DR242" i="6"/>
  <c r="DR243" i="6"/>
  <c r="DR247" i="6"/>
  <c r="DS228" i="6"/>
  <c r="DS229" i="6"/>
  <c r="DS230" i="6"/>
  <c r="DS231" i="6"/>
  <c r="DS232" i="6"/>
  <c r="DS233" i="6"/>
  <c r="DS234" i="6"/>
  <c r="DS235" i="6"/>
  <c r="DS236" i="6"/>
  <c r="DS237" i="6"/>
  <c r="DS238" i="6"/>
  <c r="DS239" i="6"/>
  <c r="DS240" i="6"/>
  <c r="DS241" i="6"/>
  <c r="DS242" i="6"/>
  <c r="DS243" i="6"/>
  <c r="DS247" i="6"/>
  <c r="DT228" i="6"/>
  <c r="DT229" i="6"/>
  <c r="DT230" i="6"/>
  <c r="DT231" i="6"/>
  <c r="DT232" i="6"/>
  <c r="DT233" i="6"/>
  <c r="DT234" i="6"/>
  <c r="DT235" i="6"/>
  <c r="DT236" i="6"/>
  <c r="DT237" i="6"/>
  <c r="DT238" i="6"/>
  <c r="DT239" i="6"/>
  <c r="DT240" i="6"/>
  <c r="DT241" i="6"/>
  <c r="DT242" i="6"/>
  <c r="DT243" i="6"/>
  <c r="DT247" i="6"/>
  <c r="DY228" i="6"/>
  <c r="DY229" i="6"/>
  <c r="DY230" i="6"/>
  <c r="DY231" i="6"/>
  <c r="DY232" i="6"/>
  <c r="DY233" i="6"/>
  <c r="DY234" i="6"/>
  <c r="DY235" i="6"/>
  <c r="DY236" i="6"/>
  <c r="DY237" i="6"/>
  <c r="DY238" i="6"/>
  <c r="DY239" i="6"/>
  <c r="DY240" i="6"/>
  <c r="DY241" i="6"/>
  <c r="DY242" i="6"/>
  <c r="DY243" i="6"/>
  <c r="DY247" i="6"/>
  <c r="EC228" i="6"/>
  <c r="EC229" i="6"/>
  <c r="EC230" i="6"/>
  <c r="EC231" i="6"/>
  <c r="EC232" i="6"/>
  <c r="EC233" i="6"/>
  <c r="EC234" i="6"/>
  <c r="EC235" i="6"/>
  <c r="EC236" i="6"/>
  <c r="EC237" i="6"/>
  <c r="EC238" i="6"/>
  <c r="EC239" i="6"/>
  <c r="EC240" i="6"/>
  <c r="EC241" i="6"/>
  <c r="EC242" i="6"/>
  <c r="EC243" i="6"/>
  <c r="EC247" i="6"/>
  <c r="EH228" i="6"/>
  <c r="EH229" i="6"/>
  <c r="EH230" i="6"/>
  <c r="EH231" i="6"/>
  <c r="EH232" i="6"/>
  <c r="EH233" i="6"/>
  <c r="EH234" i="6"/>
  <c r="EH235" i="6"/>
  <c r="EH236" i="6"/>
  <c r="EH237" i="6"/>
  <c r="EH238" i="6"/>
  <c r="EH239" i="6"/>
  <c r="EH240" i="6"/>
  <c r="EH241" i="6"/>
  <c r="EH242" i="6"/>
  <c r="EH243" i="6"/>
  <c r="EH247" i="6"/>
  <c r="EI228" i="6"/>
  <c r="EI229" i="6"/>
  <c r="EI230" i="6"/>
  <c r="EI231" i="6"/>
  <c r="EI232" i="6"/>
  <c r="EI233" i="6"/>
  <c r="EI234" i="6"/>
  <c r="EI235" i="6"/>
  <c r="EI236" i="6"/>
  <c r="EI237" i="6"/>
  <c r="EI238" i="6"/>
  <c r="EI239" i="6"/>
  <c r="EI240" i="6"/>
  <c r="EI241" i="6"/>
  <c r="EI242" i="6"/>
  <c r="EI243" i="6"/>
  <c r="EI247" i="6"/>
  <c r="EJ228" i="6"/>
  <c r="EJ229" i="6"/>
  <c r="EJ230" i="6"/>
  <c r="EJ231" i="6"/>
  <c r="EJ232" i="6"/>
  <c r="EJ233" i="6"/>
  <c r="EJ234" i="6"/>
  <c r="EJ235" i="6"/>
  <c r="EJ236" i="6"/>
  <c r="EJ237" i="6"/>
  <c r="EJ238" i="6"/>
  <c r="EJ239" i="6"/>
  <c r="EJ240" i="6"/>
  <c r="EJ241" i="6"/>
  <c r="EJ242" i="6"/>
  <c r="EJ243" i="6"/>
  <c r="EJ247" i="6"/>
  <c r="EK228" i="6"/>
  <c r="EK229" i="6"/>
  <c r="EK230" i="6"/>
  <c r="EK231" i="6"/>
  <c r="EK232" i="6"/>
  <c r="EK233" i="6"/>
  <c r="EK234" i="6"/>
  <c r="EK235" i="6"/>
  <c r="EK236" i="6"/>
  <c r="EK237" i="6"/>
  <c r="EK238" i="6"/>
  <c r="EK239" i="6"/>
  <c r="EK240" i="6"/>
  <c r="EK241" i="6"/>
  <c r="EK242" i="6"/>
  <c r="EK243" i="6"/>
  <c r="EK247" i="6"/>
  <c r="EM228" i="6"/>
  <c r="EM229" i="6"/>
  <c r="EM230" i="6"/>
  <c r="EM231" i="6"/>
  <c r="EM232" i="6"/>
  <c r="EM233" i="6"/>
  <c r="EM234" i="6"/>
  <c r="EM235" i="6"/>
  <c r="EM236" i="6"/>
  <c r="EM237" i="6"/>
  <c r="EM238" i="6"/>
  <c r="EM239" i="6"/>
  <c r="EM240" i="6"/>
  <c r="EM241" i="6"/>
  <c r="EM242" i="6"/>
  <c r="EM243" i="6"/>
  <c r="EM247" i="6"/>
  <c r="EQ228" i="6"/>
  <c r="EO228" i="6" s="1"/>
  <c r="EQ229" i="6"/>
  <c r="EQ235" i="6"/>
  <c r="EO235" i="6" s="1"/>
  <c r="EQ243" i="6"/>
  <c r="EO243" i="6" s="1"/>
  <c r="ES228" i="6"/>
  <c r="ES229" i="6"/>
  <c r="ES230" i="6"/>
  <c r="ES231" i="6"/>
  <c r="ES232" i="6"/>
  <c r="ES233" i="6"/>
  <c r="ES234" i="6"/>
  <c r="ES235" i="6"/>
  <c r="ES236" i="6"/>
  <c r="ES237" i="6"/>
  <c r="ES238" i="6"/>
  <c r="ES239" i="6"/>
  <c r="ES240" i="6"/>
  <c r="ES241" i="6"/>
  <c r="ES242" i="6"/>
  <c r="ES243" i="6"/>
  <c r="ES247" i="6"/>
  <c r="ET228" i="6"/>
  <c r="ET229" i="6"/>
  <c r="ET230" i="6"/>
  <c r="ET231" i="6"/>
  <c r="ET232" i="6"/>
  <c r="ET233" i="6"/>
  <c r="ET234" i="6"/>
  <c r="ET235" i="6"/>
  <c r="ET236" i="6"/>
  <c r="ET237" i="6"/>
  <c r="ET238" i="6"/>
  <c r="ET239" i="6"/>
  <c r="ET240" i="6"/>
  <c r="ET241" i="6"/>
  <c r="ET242" i="6"/>
  <c r="ET243" i="6"/>
  <c r="ET247" i="6"/>
  <c r="EU228" i="6"/>
  <c r="EU229" i="6"/>
  <c r="EU230" i="6"/>
  <c r="EU231" i="6"/>
  <c r="EU232" i="6"/>
  <c r="EU233" i="6"/>
  <c r="EU234" i="6"/>
  <c r="EU235" i="6"/>
  <c r="EU236" i="6"/>
  <c r="EU237" i="6"/>
  <c r="EU238" i="6"/>
  <c r="EU239" i="6"/>
  <c r="EU240" i="6"/>
  <c r="EU241" i="6"/>
  <c r="EU242" i="6"/>
  <c r="EU243" i="6"/>
  <c r="EU247" i="6"/>
  <c r="EW228" i="6"/>
  <c r="EW229" i="6"/>
  <c r="EW230" i="6"/>
  <c r="EW231" i="6"/>
  <c r="EW232" i="6"/>
  <c r="EW233" i="6"/>
  <c r="EW234" i="6"/>
  <c r="EW235" i="6"/>
  <c r="EW236" i="6"/>
  <c r="EW237" i="6"/>
  <c r="EW238" i="6"/>
  <c r="EW239" i="6"/>
  <c r="EW240" i="6"/>
  <c r="EW241" i="6"/>
  <c r="EW242" i="6"/>
  <c r="EW243" i="6"/>
  <c r="EW247" i="6"/>
  <c r="FA228" i="6"/>
  <c r="FA229" i="6"/>
  <c r="FA230" i="6"/>
  <c r="FA231" i="6"/>
  <c r="FA232" i="6"/>
  <c r="FA233" i="6"/>
  <c r="FA234" i="6"/>
  <c r="FA235" i="6"/>
  <c r="FA236" i="6"/>
  <c r="FA237" i="6"/>
  <c r="FA238" i="6"/>
  <c r="FA239" i="6"/>
  <c r="FA240" i="6"/>
  <c r="FA241" i="6"/>
  <c r="FA242" i="6"/>
  <c r="FA243" i="6"/>
  <c r="FA247" i="6"/>
  <c r="FE228" i="6"/>
  <c r="FE229" i="6"/>
  <c r="FE230" i="6"/>
  <c r="FE231" i="6"/>
  <c r="FE232" i="6"/>
  <c r="FE233" i="6"/>
  <c r="FE234" i="6"/>
  <c r="FE235" i="6"/>
  <c r="FE236" i="6"/>
  <c r="FE237" i="6"/>
  <c r="FE238" i="6"/>
  <c r="FE239" i="6"/>
  <c r="FE240" i="6"/>
  <c r="FE241" i="6"/>
  <c r="FE242" i="6"/>
  <c r="FE243" i="6"/>
  <c r="FE247" i="6"/>
  <c r="FI228" i="6"/>
  <c r="FI229" i="6"/>
  <c r="FI230" i="6"/>
  <c r="FI231" i="6"/>
  <c r="FI232" i="6"/>
  <c r="FI233" i="6"/>
  <c r="FI234" i="6"/>
  <c r="FI235" i="6"/>
  <c r="FI236" i="6"/>
  <c r="FI237" i="6"/>
  <c r="FI238" i="6"/>
  <c r="FI239" i="6"/>
  <c r="FI240" i="6"/>
  <c r="FI241" i="6"/>
  <c r="FI242" i="6"/>
  <c r="FI243" i="6"/>
  <c r="FI247" i="6"/>
  <c r="CL235" i="6" l="1"/>
  <c r="CM235" i="6"/>
  <c r="DC246" i="6"/>
  <c r="DB246" i="6"/>
  <c r="DD246" i="6"/>
  <c r="Y246" i="6"/>
  <c r="X246" i="6"/>
  <c r="X231" i="6"/>
  <c r="BI246" i="6"/>
  <c r="BD246" i="6"/>
  <c r="CG230" i="6"/>
  <c r="BH239" i="6"/>
  <c r="BE243" i="6"/>
  <c r="BH231" i="6"/>
  <c r="BD235" i="6"/>
  <c r="BF246" i="6"/>
  <c r="CG242" i="6"/>
  <c r="CG238" i="6"/>
  <c r="BI231" i="6"/>
  <c r="BH237" i="6"/>
  <c r="BG239" i="6"/>
  <c r="BF239" i="6"/>
  <c r="BD243" i="6"/>
  <c r="BE244" i="6"/>
  <c r="BE245" i="6"/>
  <c r="BI239" i="6"/>
  <c r="BH243" i="6"/>
  <c r="BH230" i="6"/>
  <c r="BG231" i="6"/>
  <c r="BE235" i="6"/>
  <c r="BI244" i="6"/>
  <c r="CG246" i="6"/>
  <c r="BH229" i="6"/>
  <c r="BE229" i="6"/>
  <c r="BF244" i="6"/>
  <c r="CV246" i="6"/>
  <c r="CU246" i="6"/>
  <c r="CT246" i="6"/>
  <c r="CZ246" i="6"/>
  <c r="CY246" i="6"/>
  <c r="CX246" i="6"/>
  <c r="EO246" i="6"/>
  <c r="EP246" i="6"/>
  <c r="EN246" i="6"/>
  <c r="ER246" i="6"/>
  <c r="FJ246" i="6" s="1"/>
  <c r="Y235" i="6"/>
  <c r="X235" i="6"/>
  <c r="CN246" i="6"/>
  <c r="CS246" i="6"/>
  <c r="CM246" i="6"/>
  <c r="CL246" i="6"/>
  <c r="Y245" i="6"/>
  <c r="X245" i="6"/>
  <c r="DD245" i="6"/>
  <c r="CG244" i="6"/>
  <c r="CG245" i="6"/>
  <c r="CG247" i="6"/>
  <c r="CG240" i="6"/>
  <c r="CG236" i="6"/>
  <c r="CG232" i="6"/>
  <c r="CG228" i="6"/>
  <c r="BH241" i="6"/>
  <c r="BH233" i="6"/>
  <c r="BG241" i="6"/>
  <c r="BF237" i="6"/>
  <c r="BE241" i="6"/>
  <c r="BD233" i="6"/>
  <c r="BJ233" i="6" s="1"/>
  <c r="AL233" i="6"/>
  <c r="BI237" i="6"/>
  <c r="BI229" i="6"/>
  <c r="BG229" i="6"/>
  <c r="BF233" i="6"/>
  <c r="BD241" i="6"/>
  <c r="BD229" i="6"/>
  <c r="DC245" i="6"/>
  <c r="BI245" i="6"/>
  <c r="BG246" i="6"/>
  <c r="BJ246" i="6" s="1"/>
  <c r="BI233" i="6"/>
  <c r="BG237" i="6"/>
  <c r="BJ237" i="6" s="1"/>
  <c r="BD237" i="6"/>
  <c r="AL237" i="6"/>
  <c r="BF245" i="6"/>
  <c r="CV245" i="6"/>
  <c r="CU245" i="6"/>
  <c r="CT245" i="6"/>
  <c r="CZ245" i="6"/>
  <c r="CX245" i="6"/>
  <c r="CY245" i="6"/>
  <c r="EO245" i="6"/>
  <c r="EP245" i="6"/>
  <c r="ER245" i="6"/>
  <c r="FJ245" i="6" s="1"/>
  <c r="EN245" i="6"/>
  <c r="CT238" i="6"/>
  <c r="CV238" i="6"/>
  <c r="CY242" i="6"/>
  <c r="CZ242" i="6"/>
  <c r="CY238" i="6"/>
  <c r="CX238" i="6"/>
  <c r="CL243" i="6"/>
  <c r="CM243" i="6"/>
  <c r="CS243" i="6"/>
  <c r="CN245" i="6"/>
  <c r="CS245" i="6"/>
  <c r="ED245" i="6" s="1"/>
  <c r="FK245" i="6" s="1"/>
  <c r="FM245" i="6" s="1"/>
  <c r="FL245" i="6" s="1"/>
  <c r="CM245" i="6"/>
  <c r="CL245" i="6"/>
  <c r="CV247" i="6"/>
  <c r="CT247" i="6"/>
  <c r="DD244" i="6"/>
  <c r="DC244" i="6"/>
  <c r="X244" i="6"/>
  <c r="Y244" i="6"/>
  <c r="ER240" i="6"/>
  <c r="FJ240" i="6" s="1"/>
  <c r="EP239" i="6"/>
  <c r="EN232" i="6"/>
  <c r="BI235" i="6"/>
  <c r="BI230" i="6"/>
  <c r="BH235" i="6"/>
  <c r="BG230" i="6"/>
  <c r="BF231" i="6"/>
  <c r="BE231" i="6"/>
  <c r="AL243" i="6"/>
  <c r="AL235" i="6"/>
  <c r="X243" i="6"/>
  <c r="BH245" i="6"/>
  <c r="BD245" i="6"/>
  <c r="ER236" i="6"/>
  <c r="EP228" i="6"/>
  <c r="CZ234" i="6"/>
  <c r="CS235" i="6"/>
  <c r="CG234" i="6"/>
  <c r="BI243" i="6"/>
  <c r="BJ243" i="6" s="1"/>
  <c r="BG235" i="6"/>
  <c r="BF230" i="6"/>
  <c r="BE239" i="6"/>
  <c r="BE230" i="6"/>
  <c r="BD239" i="6"/>
  <c r="Y239" i="6"/>
  <c r="BG245" i="6"/>
  <c r="ER228" i="6"/>
  <c r="FJ228" i="6" s="1"/>
  <c r="BF234" i="6"/>
  <c r="Y238" i="6"/>
  <c r="CN247" i="6"/>
  <c r="CS247" i="6"/>
  <c r="ED247" i="6" s="1"/>
  <c r="FK247" i="6" s="1"/>
  <c r="CL247" i="6"/>
  <c r="DB240" i="6"/>
  <c r="DD240" i="6"/>
  <c r="DC240" i="6"/>
  <c r="DC228" i="6"/>
  <c r="DD228" i="6"/>
  <c r="DB247" i="6"/>
  <c r="DD247" i="6"/>
  <c r="DC247" i="6"/>
  <c r="DC236" i="6"/>
  <c r="DD236" i="6"/>
  <c r="DB236" i="6"/>
  <c r="DC232" i="6"/>
  <c r="DB232" i="6"/>
  <c r="DD232" i="6"/>
  <c r="CN236" i="6"/>
  <c r="CL236" i="6"/>
  <c r="CS236" i="6"/>
  <c r="CV240" i="6"/>
  <c r="CT240" i="6"/>
  <c r="EO237" i="6"/>
  <c r="EN237" i="6"/>
  <c r="ER237" i="6"/>
  <c r="FJ237" i="6" s="1"/>
  <c r="EO229" i="6"/>
  <c r="EN229" i="6"/>
  <c r="ER229" i="6"/>
  <c r="FJ229" i="6" s="1"/>
  <c r="DC238" i="6"/>
  <c r="DB238" i="6"/>
  <c r="CY240" i="6"/>
  <c r="CX240" i="6"/>
  <c r="CZ240" i="6"/>
  <c r="CT242" i="6"/>
  <c r="CV242" i="6"/>
  <c r="X242" i="6"/>
  <c r="Y242" i="6"/>
  <c r="Y228" i="6"/>
  <c r="X228" i="6"/>
  <c r="CV244" i="6"/>
  <c r="CT244" i="6"/>
  <c r="CU244" i="6"/>
  <c r="EO244" i="6"/>
  <c r="EP244" i="6"/>
  <c r="EP236" i="6"/>
  <c r="EO232" i="6"/>
  <c r="EN228" i="6"/>
  <c r="CY247" i="6"/>
  <c r="CZ247" i="6"/>
  <c r="CX247" i="6"/>
  <c r="CY228" i="6"/>
  <c r="CZ228" i="6"/>
  <c r="CX228" i="6"/>
  <c r="CT236" i="6"/>
  <c r="CM232" i="6"/>
  <c r="CN232" i="6"/>
  <c r="CL232" i="6"/>
  <c r="CS232" i="6"/>
  <c r="ED232" i="6" s="1"/>
  <c r="FK232" i="6" s="1"/>
  <c r="FM232" i="6" s="1"/>
  <c r="FL232" i="6" s="1"/>
  <c r="Y230" i="6"/>
  <c r="ER247" i="6"/>
  <c r="FJ247" i="6" s="1"/>
  <c r="EN243" i="6"/>
  <c r="EP243" i="6"/>
  <c r="EP232" i="6"/>
  <c r="EO231" i="6"/>
  <c r="CY232" i="6"/>
  <c r="CX232" i="6"/>
  <c r="CZ232" i="6"/>
  <c r="CT234" i="6"/>
  <c r="CV234" i="6"/>
  <c r="CL231" i="6"/>
  <c r="CM231" i="6"/>
  <c r="AL240" i="6"/>
  <c r="BF240" i="6"/>
  <c r="BI240" i="6"/>
  <c r="BD240" i="6"/>
  <c r="AL228" i="6"/>
  <c r="BD228" i="6"/>
  <c r="BG228" i="6"/>
  <c r="BH228" i="6"/>
  <c r="BE228" i="6"/>
  <c r="BF228" i="6"/>
  <c r="EN244" i="6"/>
  <c r="CN244" i="6"/>
  <c r="CS244" i="6"/>
  <c r="ED244" i="6" s="1"/>
  <c r="CL244" i="6"/>
  <c r="CM244" i="6"/>
  <c r="EN241" i="6"/>
  <c r="CV232" i="6"/>
  <c r="CT232" i="6"/>
  <c r="CQ240" i="6"/>
  <c r="CR240" i="6"/>
  <c r="CP240" i="6"/>
  <c r="CP231" i="6"/>
  <c r="CQ231" i="6"/>
  <c r="Y247" i="6"/>
  <c r="X247" i="6"/>
  <c r="Y236" i="6"/>
  <c r="X236" i="6"/>
  <c r="Y232" i="6"/>
  <c r="X232" i="6"/>
  <c r="CZ244" i="6"/>
  <c r="CX244" i="6"/>
  <c r="EN240" i="6"/>
  <c r="ED231" i="6"/>
  <c r="CZ230" i="6"/>
  <c r="CX234" i="6"/>
  <c r="CV230" i="6"/>
  <c r="CL239" i="6"/>
  <c r="CM239" i="6"/>
  <c r="CS239" i="6"/>
  <c r="CR239" i="6" s="1"/>
  <c r="CN240" i="6"/>
  <c r="CL240" i="6"/>
  <c r="CM228" i="6"/>
  <c r="CN228" i="6"/>
  <c r="CS228" i="6"/>
  <c r="CT231" i="6"/>
  <c r="CU231" i="6"/>
  <c r="CT239" i="6"/>
  <c r="CU239" i="6"/>
  <c r="ER244" i="6"/>
  <c r="FJ244" i="6" s="1"/>
  <c r="ER233" i="6"/>
  <c r="FJ233" i="6" s="1"/>
  <c r="EN235" i="6"/>
  <c r="EP235" i="6"/>
  <c r="EP247" i="6"/>
  <c r="EO240" i="6"/>
  <c r="EN236" i="6"/>
  <c r="CX230" i="6"/>
  <c r="CU243" i="6"/>
  <c r="AL247" i="6"/>
  <c r="BF247" i="6"/>
  <c r="BI247" i="6"/>
  <c r="BD247" i="6"/>
  <c r="BH247" i="6"/>
  <c r="BG236" i="6"/>
  <c r="BH236" i="6"/>
  <c r="BE236" i="6"/>
  <c r="BF236" i="6"/>
  <c r="BI236" i="6"/>
  <c r="AL232" i="6"/>
  <c r="BD232" i="6"/>
  <c r="BG232" i="6"/>
  <c r="BH232" i="6"/>
  <c r="BE232" i="6"/>
  <c r="BF232" i="6"/>
  <c r="Y234" i="6"/>
  <c r="X234" i="6"/>
  <c r="ER241" i="6"/>
  <c r="FJ241" i="6" s="1"/>
  <c r="EP231" i="6"/>
  <c r="EO239" i="6"/>
  <c r="EN247" i="6"/>
  <c r="EN233" i="6"/>
  <c r="CY236" i="6"/>
  <c r="CZ236" i="6"/>
  <c r="CX236" i="6"/>
  <c r="CZ238" i="6"/>
  <c r="CX242" i="6"/>
  <c r="CU228" i="6"/>
  <c r="CV228" i="6"/>
  <c r="CU235" i="6"/>
  <c r="CG241" i="6"/>
  <c r="CG237" i="6"/>
  <c r="CG233" i="6"/>
  <c r="CG229" i="6"/>
  <c r="BD236" i="6"/>
  <c r="CL230" i="6"/>
  <c r="CS230" i="6"/>
  <c r="X240" i="6"/>
  <c r="FJ236" i="6"/>
  <c r="FJ232" i="6"/>
  <c r="ED233" i="6"/>
  <c r="ED229" i="6"/>
  <c r="DC237" i="6"/>
  <c r="BI241" i="6"/>
  <c r="BF241" i="6"/>
  <c r="DB244" i="6"/>
  <c r="BH244" i="6"/>
  <c r="BD244" i="6"/>
  <c r="BG244" i="6"/>
  <c r="DC241" i="6"/>
  <c r="CQ241" i="6"/>
  <c r="CR241" i="6"/>
  <c r="CP241" i="6"/>
  <c r="CM237" i="6"/>
  <c r="CN237" i="6"/>
  <c r="CL237" i="6"/>
  <c r="CS237" i="6"/>
  <c r="ED237" i="6" s="1"/>
  <c r="EN238" i="6"/>
  <c r="ER238" i="6"/>
  <c r="FJ238" i="6" s="1"/>
  <c r="EO238" i="6"/>
  <c r="EP238" i="6"/>
  <c r="EN230" i="6"/>
  <c r="ER230" i="6"/>
  <c r="EO230" i="6"/>
  <c r="EP230" i="6"/>
  <c r="DC243" i="6"/>
  <c r="DD243" i="6"/>
  <c r="DB239" i="6"/>
  <c r="DC239" i="6"/>
  <c r="DD239" i="6"/>
  <c r="DB235" i="6"/>
  <c r="DC235" i="6"/>
  <c r="DD235" i="6"/>
  <c r="DB231" i="6"/>
  <c r="DD231" i="6"/>
  <c r="EN242" i="6"/>
  <c r="ER242" i="6"/>
  <c r="FJ242" i="6" s="1"/>
  <c r="EO242" i="6"/>
  <c r="EP242" i="6"/>
  <c r="EN234" i="6"/>
  <c r="ER234" i="6"/>
  <c r="EP234" i="6"/>
  <c r="EO234" i="6"/>
  <c r="FJ234" i="6"/>
  <c r="ED240" i="6"/>
  <c r="ED236" i="6"/>
  <c r="DC231" i="6"/>
  <c r="BD242" i="6"/>
  <c r="BH242" i="6"/>
  <c r="BE242" i="6"/>
  <c r="BI242" i="6"/>
  <c r="AL242" i="6"/>
  <c r="BG242" i="6"/>
  <c r="BD238" i="6"/>
  <c r="BH238" i="6"/>
  <c r="BE238" i="6"/>
  <c r="BI238" i="6"/>
  <c r="AL238" i="6"/>
  <c r="BG238" i="6"/>
  <c r="CL242" i="6"/>
  <c r="CM242" i="6"/>
  <c r="CS242" i="6"/>
  <c r="CL238" i="6"/>
  <c r="CM238" i="6"/>
  <c r="CS238" i="6"/>
  <c r="CL234" i="6"/>
  <c r="CM234" i="6"/>
  <c r="CS234" i="6"/>
  <c r="DC230" i="6"/>
  <c r="DB242" i="6"/>
  <c r="CX243" i="6"/>
  <c r="CZ243" i="6"/>
  <c r="CX239" i="6"/>
  <c r="CZ239" i="6"/>
  <c r="CX235" i="6"/>
  <c r="CZ235" i="6"/>
  <c r="CX231" i="6"/>
  <c r="CZ231" i="6"/>
  <c r="CY231" i="6"/>
  <c r="CM241" i="6"/>
  <c r="CN241" i="6"/>
  <c r="CL241" i="6"/>
  <c r="ER243" i="6"/>
  <c r="FJ243" i="6" s="1"/>
  <c r="ER239" i="6"/>
  <c r="FJ239" i="6" s="1"/>
  <c r="ER235" i="6"/>
  <c r="FJ235" i="6" s="1"/>
  <c r="ER231" i="6"/>
  <c r="FJ231" i="6" s="1"/>
  <c r="EP241" i="6"/>
  <c r="EP237" i="6"/>
  <c r="EP233" i="6"/>
  <c r="EP229" i="6"/>
  <c r="ED241" i="6"/>
  <c r="FK241" i="6" s="1"/>
  <c r="DD242" i="6"/>
  <c r="DD238" i="6"/>
  <c r="DD234" i="6"/>
  <c r="DD230" i="6"/>
  <c r="DC234" i="6"/>
  <c r="DC229" i="6"/>
  <c r="CY243" i="6"/>
  <c r="CU241" i="6"/>
  <c r="CV241" i="6"/>
  <c r="CT241" i="6"/>
  <c r="CU237" i="6"/>
  <c r="CV237" i="6"/>
  <c r="CT237" i="6"/>
  <c r="CU233" i="6"/>
  <c r="CV233" i="6"/>
  <c r="CT233" i="6"/>
  <c r="CU229" i="6"/>
  <c r="CV229" i="6"/>
  <c r="CT229" i="6"/>
  <c r="CQ233" i="6"/>
  <c r="CR233" i="6"/>
  <c r="CP233" i="6"/>
  <c r="CQ229" i="6"/>
  <c r="CR229" i="6"/>
  <c r="CP229" i="6"/>
  <c r="CG243" i="6"/>
  <c r="CG239" i="6"/>
  <c r="CG235" i="6"/>
  <c r="CG231" i="6"/>
  <c r="FK231" i="6" s="1"/>
  <c r="BF242" i="6"/>
  <c r="BF238" i="6"/>
  <c r="DD241" i="6"/>
  <c r="DD237" i="6"/>
  <c r="DD233" i="6"/>
  <c r="DD229" i="6"/>
  <c r="DC233" i="6"/>
  <c r="DB228" i="6"/>
  <c r="CY241" i="6"/>
  <c r="CZ241" i="6"/>
  <c r="CX241" i="6"/>
  <c r="CY237" i="6"/>
  <c r="CZ237" i="6"/>
  <c r="CX237" i="6"/>
  <c r="CY233" i="6"/>
  <c r="CZ233" i="6"/>
  <c r="CX233" i="6"/>
  <c r="CY229" i="6"/>
  <c r="CZ229" i="6"/>
  <c r="CX229" i="6"/>
  <c r="CY239" i="6"/>
  <c r="CM233" i="6"/>
  <c r="CN233" i="6"/>
  <c r="CL233" i="6"/>
  <c r="CM229" i="6"/>
  <c r="CN229" i="6"/>
  <c r="CL229" i="6"/>
  <c r="CV243" i="6"/>
  <c r="CV239" i="6"/>
  <c r="CV235" i="6"/>
  <c r="CV231" i="6"/>
  <c r="CU247" i="6"/>
  <c r="CU240" i="6"/>
  <c r="CU236" i="6"/>
  <c r="CU232" i="6"/>
  <c r="CR243" i="6"/>
  <c r="CR235" i="6"/>
  <c r="CR231" i="6"/>
  <c r="CN243" i="6"/>
  <c r="CN239" i="6"/>
  <c r="CN235" i="6"/>
  <c r="CN231" i="6"/>
  <c r="CM247" i="6"/>
  <c r="CM240" i="6"/>
  <c r="CM236" i="6"/>
  <c r="BG234" i="6"/>
  <c r="BE247" i="6"/>
  <c r="BE240" i="6"/>
  <c r="AL234" i="6"/>
  <c r="CU242" i="6"/>
  <c r="CU238" i="6"/>
  <c r="CU234" i="6"/>
  <c r="CU230" i="6"/>
  <c r="CM230" i="6"/>
  <c r="BI234" i="6"/>
  <c r="BG247" i="6"/>
  <c r="BG240" i="6"/>
  <c r="BE234" i="6"/>
  <c r="Y241" i="6"/>
  <c r="Y237" i="6"/>
  <c r="Y233" i="6"/>
  <c r="Y229" i="6"/>
  <c r="BH234" i="6"/>
  <c r="F1931" i="16" a="1"/>
  <c r="F1931" i="16" s="1"/>
  <c r="F1930" i="16" a="1"/>
  <c r="F1930" i="16" s="1"/>
  <c r="F1929" i="16" a="1"/>
  <c r="F1929" i="16" s="1"/>
  <c r="F1928" i="16" a="1"/>
  <c r="F1928" i="16" s="1"/>
  <c r="F1927" i="16" a="1"/>
  <c r="F1927" i="16" s="1"/>
  <c r="F1926" i="16" a="1"/>
  <c r="F1926" i="16" s="1"/>
  <c r="F1925" i="16" a="1"/>
  <c r="F1925" i="16" s="1"/>
  <c r="F1924" i="16" a="1"/>
  <c r="F1924" i="16" s="1"/>
  <c r="F1923" i="16" a="1"/>
  <c r="F1923" i="16" s="1"/>
  <c r="F1922" i="16" a="1"/>
  <c r="F1922" i="16" s="1"/>
  <c r="FK237" i="6" l="1"/>
  <c r="FM237" i="6" s="1"/>
  <c r="FL237" i="6" s="1"/>
  <c r="BJ229" i="6"/>
  <c r="FK244" i="6"/>
  <c r="FM244" i="6" s="1"/>
  <c r="FL244" i="6" s="1"/>
  <c r="BJ235" i="6"/>
  <c r="FK236" i="6"/>
  <c r="FM236" i="6" s="1"/>
  <c r="FL236" i="6" s="1"/>
  <c r="BJ241" i="6"/>
  <c r="BJ232" i="6"/>
  <c r="BJ236" i="6"/>
  <c r="BJ228" i="6"/>
  <c r="BJ239" i="6"/>
  <c r="CR246" i="6"/>
  <c r="CQ246" i="6"/>
  <c r="CP246" i="6"/>
  <c r="BJ247" i="6"/>
  <c r="BJ231" i="6"/>
  <c r="FK240" i="6"/>
  <c r="FM240" i="6" s="1"/>
  <c r="FL240" i="6" s="1"/>
  <c r="ED246" i="6"/>
  <c r="FK246" i="6" s="1"/>
  <c r="FM246" i="6" s="1"/>
  <c r="FL246" i="6" s="1"/>
  <c r="FM247" i="6"/>
  <c r="FL247" i="6" s="1"/>
  <c r="CP235" i="6"/>
  <c r="ED235" i="6"/>
  <c r="CQ235" i="6"/>
  <c r="BJ245" i="6"/>
  <c r="CR245" i="6"/>
  <c r="CP245" i="6"/>
  <c r="CQ245" i="6"/>
  <c r="CP243" i="6"/>
  <c r="CQ243" i="6"/>
  <c r="FK235" i="6"/>
  <c r="FM235" i="6" s="1"/>
  <c r="FL235" i="6" s="1"/>
  <c r="BJ230" i="6"/>
  <c r="BJ244" i="6"/>
  <c r="ED243" i="6"/>
  <c r="FK243" i="6" s="1"/>
  <c r="FM243" i="6" s="1"/>
  <c r="FL243" i="6" s="1"/>
  <c r="CQ230" i="6"/>
  <c r="ED230" i="6"/>
  <c r="FK230" i="6" s="1"/>
  <c r="CR230" i="6"/>
  <c r="CP230" i="6"/>
  <c r="BJ234" i="6"/>
  <c r="FM230" i="6"/>
  <c r="FL230" i="6" s="1"/>
  <c r="CP239" i="6"/>
  <c r="CQ239" i="6"/>
  <c r="ED239" i="6"/>
  <c r="FK239" i="6" s="1"/>
  <c r="FM239" i="6" s="1"/>
  <c r="FL239" i="6" s="1"/>
  <c r="CQ247" i="6"/>
  <c r="CP247" i="6"/>
  <c r="CR247" i="6"/>
  <c r="FK233" i="6"/>
  <c r="FM233" i="6" s="1"/>
  <c r="FL233" i="6" s="1"/>
  <c r="CQ228" i="6"/>
  <c r="CR228" i="6"/>
  <c r="CP228" i="6"/>
  <c r="FM241" i="6"/>
  <c r="FL241" i="6" s="1"/>
  <c r="CR244" i="6"/>
  <c r="CP244" i="6"/>
  <c r="CQ244" i="6"/>
  <c r="CQ232" i="6"/>
  <c r="CP232" i="6"/>
  <c r="CR232" i="6"/>
  <c r="BJ240" i="6"/>
  <c r="ED228" i="6"/>
  <c r="FK228" i="6" s="1"/>
  <c r="FM228" i="6" s="1"/>
  <c r="FL228" i="6" s="1"/>
  <c r="FK229" i="6"/>
  <c r="FM229" i="6" s="1"/>
  <c r="FL229" i="6" s="1"/>
  <c r="CQ236" i="6"/>
  <c r="CR236" i="6"/>
  <c r="CP236" i="6"/>
  <c r="CP238" i="6"/>
  <c r="CQ238" i="6"/>
  <c r="CR238" i="6"/>
  <c r="ED238" i="6"/>
  <c r="FK238" i="6" s="1"/>
  <c r="FM238" i="6" s="1"/>
  <c r="FL238" i="6" s="1"/>
  <c r="CP234" i="6"/>
  <c r="CQ234" i="6"/>
  <c r="ED234" i="6"/>
  <c r="FK234" i="6" s="1"/>
  <c r="FM234" i="6" s="1"/>
  <c r="FL234" i="6" s="1"/>
  <c r="CR234" i="6"/>
  <c r="BJ242" i="6"/>
  <c r="FM231" i="6"/>
  <c r="FL231" i="6" s="1"/>
  <c r="CP242" i="6"/>
  <c r="CQ242" i="6"/>
  <c r="CR242" i="6"/>
  <c r="ED242" i="6"/>
  <c r="FK242" i="6" s="1"/>
  <c r="FM242" i="6" s="1"/>
  <c r="FL242" i="6" s="1"/>
  <c r="BJ238" i="6"/>
  <c r="FJ230" i="6"/>
  <c r="CQ237" i="6"/>
  <c r="CR237" i="6"/>
  <c r="CP237" i="6"/>
  <c r="F1936" i="16" a="1"/>
  <c r="F1936" i="16" s="1"/>
  <c r="F1935" i="16" a="1"/>
  <c r="F1935" i="16" s="1"/>
  <c r="F1934" i="16" a="1"/>
  <c r="F1934" i="16" s="1"/>
  <c r="F1933" i="16" a="1"/>
  <c r="F1933" i="16" s="1"/>
  <c r="F1932" i="16" a="1"/>
  <c r="F1932" i="16" s="1"/>
  <c r="FA180" i="6" l="1"/>
  <c r="T185" i="6"/>
  <c r="F1942" i="16" l="1" a="1"/>
  <c r="F1942" i="16" s="1"/>
  <c r="F1941" i="16" a="1"/>
  <c r="F1941" i="16" s="1"/>
  <c r="F1940" i="16" a="1"/>
  <c r="F1940" i="16" s="1"/>
  <c r="F1939" i="16" a="1"/>
  <c r="F1939" i="16" s="1"/>
  <c r="F1938" i="16" a="1"/>
  <c r="F1938" i="16" s="1"/>
  <c r="F1937" i="16" a="1"/>
  <c r="F1937" i="16" s="1"/>
  <c r="B225" i="6"/>
  <c r="W225" i="6" s="1"/>
  <c r="Y225" i="6" s="1"/>
  <c r="C225" i="6"/>
  <c r="D225" i="6"/>
  <c r="L225" i="6"/>
  <c r="EQ225" i="6" s="1"/>
  <c r="M225" i="6"/>
  <c r="N225" i="6"/>
  <c r="O225" i="6"/>
  <c r="P225" i="6"/>
  <c r="DA225" i="6" s="1"/>
  <c r="Q225" i="6"/>
  <c r="R225" i="6"/>
  <c r="S225" i="6"/>
  <c r="T225" i="6"/>
  <c r="U225" i="6"/>
  <c r="DE225" i="6" s="1"/>
  <c r="V225" i="6"/>
  <c r="Z225" i="6"/>
  <c r="AA225" i="6"/>
  <c r="AB225" i="6"/>
  <c r="AC225" i="6"/>
  <c r="AD225" i="6"/>
  <c r="AE225" i="6"/>
  <c r="AF225" i="6" s="1"/>
  <c r="CW225" i="6" s="1"/>
  <c r="AG225" i="6"/>
  <c r="AH225" i="6"/>
  <c r="AI225" i="6" s="1"/>
  <c r="CO225" i="6" s="1"/>
  <c r="AJ225" i="6"/>
  <c r="AK225" i="6"/>
  <c r="AL225" i="6" s="1"/>
  <c r="BK225" i="6"/>
  <c r="BL225" i="6" s="1"/>
  <c r="BP225" i="6"/>
  <c r="BT225" i="6"/>
  <c r="BX225" i="6"/>
  <c r="CB225" i="6"/>
  <c r="CF225" i="6"/>
  <c r="CK225" i="6"/>
  <c r="DF225" i="6"/>
  <c r="DG225" i="6"/>
  <c r="DH225" i="6"/>
  <c r="DN225" i="6"/>
  <c r="DO225" i="6"/>
  <c r="DP225" i="6"/>
  <c r="DR225" i="6"/>
  <c r="DS225" i="6"/>
  <c r="DT225" i="6"/>
  <c r="DY225" i="6"/>
  <c r="EC225" i="6"/>
  <c r="EH225" i="6"/>
  <c r="EI225" i="6"/>
  <c r="EJ225" i="6"/>
  <c r="EK225" i="6"/>
  <c r="EM225" i="6"/>
  <c r="ES225" i="6"/>
  <c r="ET225" i="6"/>
  <c r="EU225" i="6"/>
  <c r="EW225" i="6"/>
  <c r="FA225" i="6"/>
  <c r="FE225" i="6"/>
  <c r="FI225" i="6"/>
  <c r="B226" i="6"/>
  <c r="W226" i="6" s="1"/>
  <c r="C226" i="6"/>
  <c r="D226" i="6"/>
  <c r="L226" i="6"/>
  <c r="EQ226" i="6" s="1"/>
  <c r="M226" i="6"/>
  <c r="N226" i="6"/>
  <c r="O226" i="6"/>
  <c r="P226" i="6"/>
  <c r="DA226" i="6" s="1"/>
  <c r="CX226" i="6" s="1"/>
  <c r="Q226" i="6"/>
  <c r="R226" i="6"/>
  <c r="S226" i="6"/>
  <c r="T226" i="6"/>
  <c r="U226" i="6"/>
  <c r="DE226" i="6" s="1"/>
  <c r="V226" i="6"/>
  <c r="Z226" i="6"/>
  <c r="AA226" i="6"/>
  <c r="AB226" i="6"/>
  <c r="AC226" i="6"/>
  <c r="AD226" i="6"/>
  <c r="AE226" i="6"/>
  <c r="AF226" i="6" s="1"/>
  <c r="CW226" i="6" s="1"/>
  <c r="AG226" i="6"/>
  <c r="AH226" i="6"/>
  <c r="AI226" i="6" s="1"/>
  <c r="CO226" i="6" s="1"/>
  <c r="AJ226" i="6"/>
  <c r="AK226" i="6"/>
  <c r="AL226" i="6" s="1"/>
  <c r="BK226" i="6"/>
  <c r="BL226" i="6" s="1"/>
  <c r="BP226" i="6"/>
  <c r="BT226" i="6"/>
  <c r="BX226" i="6"/>
  <c r="CB226" i="6"/>
  <c r="CF226" i="6"/>
  <c r="CK226" i="6"/>
  <c r="DF226" i="6"/>
  <c r="DG226" i="6"/>
  <c r="DH226" i="6"/>
  <c r="DN226" i="6"/>
  <c r="DO226" i="6"/>
  <c r="DP226" i="6"/>
  <c r="DR226" i="6"/>
  <c r="DS226" i="6"/>
  <c r="DT226" i="6"/>
  <c r="DY226" i="6"/>
  <c r="EC226" i="6"/>
  <c r="EH226" i="6"/>
  <c r="EI226" i="6"/>
  <c r="EJ226" i="6"/>
  <c r="EK226" i="6"/>
  <c r="EM226" i="6"/>
  <c r="ES226" i="6"/>
  <c r="ET226" i="6"/>
  <c r="EU226" i="6"/>
  <c r="EW226" i="6"/>
  <c r="FA226" i="6"/>
  <c r="FE226" i="6"/>
  <c r="FI226" i="6"/>
  <c r="B227" i="6"/>
  <c r="W227" i="6" s="1"/>
  <c r="C227" i="6"/>
  <c r="D227" i="6"/>
  <c r="L227" i="6"/>
  <c r="EQ227" i="6" s="1"/>
  <c r="M227" i="6"/>
  <c r="N227" i="6"/>
  <c r="O227" i="6"/>
  <c r="P227" i="6"/>
  <c r="DA227" i="6" s="1"/>
  <c r="Q227" i="6"/>
  <c r="R227" i="6"/>
  <c r="S227" i="6"/>
  <c r="T227" i="6"/>
  <c r="U227" i="6"/>
  <c r="DE227" i="6" s="1"/>
  <c r="DB227" i="6" s="1"/>
  <c r="V227" i="6"/>
  <c r="Z227" i="6"/>
  <c r="AA227" i="6"/>
  <c r="AB227" i="6"/>
  <c r="AC227" i="6"/>
  <c r="AD227" i="6"/>
  <c r="AE227" i="6"/>
  <c r="AF227" i="6" s="1"/>
  <c r="CW227" i="6" s="1"/>
  <c r="AG227" i="6"/>
  <c r="AH227" i="6"/>
  <c r="AI227" i="6" s="1"/>
  <c r="CO227" i="6" s="1"/>
  <c r="AJ227" i="6"/>
  <c r="AK227" i="6"/>
  <c r="AL227" i="6" s="1"/>
  <c r="BK227" i="6"/>
  <c r="BL227" i="6" s="1"/>
  <c r="BP227" i="6"/>
  <c r="BT227" i="6"/>
  <c r="BX227" i="6"/>
  <c r="CB227" i="6"/>
  <c r="CF227" i="6"/>
  <c r="CK227" i="6"/>
  <c r="DF227" i="6"/>
  <c r="DG227" i="6"/>
  <c r="DH227" i="6"/>
  <c r="DN227" i="6"/>
  <c r="DO227" i="6"/>
  <c r="DP227" i="6"/>
  <c r="DR227" i="6"/>
  <c r="DS227" i="6"/>
  <c r="DT227" i="6"/>
  <c r="DY227" i="6"/>
  <c r="EC227" i="6"/>
  <c r="EH227" i="6"/>
  <c r="EI227" i="6"/>
  <c r="EJ227" i="6"/>
  <c r="EK227" i="6"/>
  <c r="EM227" i="6"/>
  <c r="ES227" i="6"/>
  <c r="ET227" i="6"/>
  <c r="EU227" i="6"/>
  <c r="EW227" i="6"/>
  <c r="FA227" i="6"/>
  <c r="FE227" i="6"/>
  <c r="FI227" i="6"/>
  <c r="B44" i="6"/>
  <c r="W44" i="6" s="1"/>
  <c r="Y44" i="6" s="1"/>
  <c r="B45" i="6"/>
  <c r="W45" i="6" s="1"/>
  <c r="X45" i="6" s="1"/>
  <c r="B61" i="6"/>
  <c r="W61" i="6" s="1"/>
  <c r="X61" i="6" s="1"/>
  <c r="B64" i="6"/>
  <c r="W64" i="6" s="1"/>
  <c r="Y64" i="6" s="1"/>
  <c r="B68" i="6"/>
  <c r="W68" i="6" s="1"/>
  <c r="Y68" i="6" s="1"/>
  <c r="B97" i="6"/>
  <c r="W97" i="6" s="1"/>
  <c r="Y97" i="6" s="1"/>
  <c r="B104" i="6"/>
  <c r="W104" i="6" s="1"/>
  <c r="Y104" i="6" s="1"/>
  <c r="B105" i="6"/>
  <c r="W105" i="6" s="1"/>
  <c r="B142" i="6"/>
  <c r="W142" i="6" s="1"/>
  <c r="Y142" i="6" s="1"/>
  <c r="B157" i="6"/>
  <c r="W157" i="6" s="1"/>
  <c r="Y157" i="6" s="1"/>
  <c r="B169" i="6"/>
  <c r="W169" i="6" s="1"/>
  <c r="B179" i="6"/>
  <c r="W179" i="6" s="1"/>
  <c r="B192" i="6"/>
  <c r="W192" i="6" s="1"/>
  <c r="Y192" i="6" s="1"/>
  <c r="B224" i="6"/>
  <c r="W224" i="6" s="1"/>
  <c r="B75" i="6"/>
  <c r="W75" i="6" s="1"/>
  <c r="X75" i="6" s="1"/>
  <c r="C44" i="6"/>
  <c r="C45" i="6"/>
  <c r="C61" i="6"/>
  <c r="C64" i="6"/>
  <c r="C68" i="6"/>
  <c r="C97" i="6"/>
  <c r="C104" i="6"/>
  <c r="C105" i="6"/>
  <c r="C142" i="6"/>
  <c r="C157" i="6"/>
  <c r="C169" i="6"/>
  <c r="C179" i="6"/>
  <c r="C192" i="6"/>
  <c r="C224" i="6"/>
  <c r="C75" i="6"/>
  <c r="D44" i="6"/>
  <c r="D45" i="6"/>
  <c r="D61" i="6"/>
  <c r="D64" i="6"/>
  <c r="D68" i="6"/>
  <c r="D97" i="6"/>
  <c r="D104" i="6"/>
  <c r="D105" i="6"/>
  <c r="D142" i="6"/>
  <c r="D157" i="6"/>
  <c r="D169" i="6"/>
  <c r="D179" i="6"/>
  <c r="D192" i="6"/>
  <c r="D224" i="6"/>
  <c r="D75" i="6"/>
  <c r="L44" i="6"/>
  <c r="EQ44" i="6" s="1"/>
  <c r="L45" i="6"/>
  <c r="EQ45" i="6" s="1"/>
  <c r="EN45" i="6" s="1"/>
  <c r="L61" i="6"/>
  <c r="EQ61" i="6" s="1"/>
  <c r="EP61" i="6" s="1"/>
  <c r="L64" i="6"/>
  <c r="EQ64" i="6" s="1"/>
  <c r="ER64" i="6" s="1"/>
  <c r="L68" i="6"/>
  <c r="EQ68" i="6" s="1"/>
  <c r="ER68" i="6" s="1"/>
  <c r="L97" i="6"/>
  <c r="EQ97" i="6" s="1"/>
  <c r="L104" i="6"/>
  <c r="EQ104" i="6" s="1"/>
  <c r="L105" i="6"/>
  <c r="EQ105" i="6" s="1"/>
  <c r="EP105" i="6" s="1"/>
  <c r="L142" i="6"/>
  <c r="EQ142" i="6" s="1"/>
  <c r="L157" i="6"/>
  <c r="EQ157" i="6" s="1"/>
  <c r="EN157" i="6" s="1"/>
  <c r="L169" i="6"/>
  <c r="EQ169" i="6" s="1"/>
  <c r="L179" i="6"/>
  <c r="EQ179" i="6" s="1"/>
  <c r="EP179" i="6" s="1"/>
  <c r="L192" i="6"/>
  <c r="EQ192" i="6" s="1"/>
  <c r="L224" i="6"/>
  <c r="EQ224" i="6" s="1"/>
  <c r="L75" i="6"/>
  <c r="EQ75" i="6" s="1"/>
  <c r="M44" i="6"/>
  <c r="M45" i="6"/>
  <c r="M61" i="6"/>
  <c r="M64" i="6"/>
  <c r="M68" i="6"/>
  <c r="M97" i="6"/>
  <c r="M104" i="6"/>
  <c r="M105" i="6"/>
  <c r="M142" i="6"/>
  <c r="M157" i="6"/>
  <c r="M169" i="6"/>
  <c r="M179" i="6"/>
  <c r="M192" i="6"/>
  <c r="M224" i="6"/>
  <c r="M75" i="6"/>
  <c r="N44" i="6"/>
  <c r="N45" i="6"/>
  <c r="N61" i="6"/>
  <c r="N64" i="6"/>
  <c r="N68" i="6"/>
  <c r="N97" i="6"/>
  <c r="N104" i="6"/>
  <c r="N105" i="6"/>
  <c r="N142" i="6"/>
  <c r="N157" i="6"/>
  <c r="N169" i="6"/>
  <c r="N179" i="6"/>
  <c r="N192" i="6"/>
  <c r="N224" i="6"/>
  <c r="N75" i="6"/>
  <c r="O44" i="6"/>
  <c r="O45" i="6"/>
  <c r="O61" i="6"/>
  <c r="O64" i="6"/>
  <c r="O68" i="6"/>
  <c r="O97" i="6"/>
  <c r="O104" i="6"/>
  <c r="O105" i="6"/>
  <c r="O142" i="6"/>
  <c r="O157" i="6"/>
  <c r="O169" i="6"/>
  <c r="O179" i="6"/>
  <c r="O192" i="6"/>
  <c r="O224" i="6"/>
  <c r="O75" i="6"/>
  <c r="P44" i="6"/>
  <c r="DA44" i="6" s="1"/>
  <c r="CZ44" i="6" s="1"/>
  <c r="P45" i="6"/>
  <c r="DA45" i="6" s="1"/>
  <c r="CX45" i="6" s="1"/>
  <c r="P61" i="6"/>
  <c r="DA61" i="6" s="1"/>
  <c r="P64" i="6"/>
  <c r="DA64" i="6" s="1"/>
  <c r="P68" i="6"/>
  <c r="DA68" i="6" s="1"/>
  <c r="CX68" i="6" s="1"/>
  <c r="P97" i="6"/>
  <c r="DA97" i="6" s="1"/>
  <c r="P104" i="6"/>
  <c r="DA104" i="6" s="1"/>
  <c r="P105" i="6"/>
  <c r="DA105" i="6" s="1"/>
  <c r="CY105" i="6" s="1"/>
  <c r="P142" i="6"/>
  <c r="DA142" i="6" s="1"/>
  <c r="CZ142" i="6" s="1"/>
  <c r="P157" i="6"/>
  <c r="DA157" i="6" s="1"/>
  <c r="CY157" i="6" s="1"/>
  <c r="P169" i="6"/>
  <c r="DA169" i="6" s="1"/>
  <c r="P179" i="6"/>
  <c r="DA179" i="6" s="1"/>
  <c r="P192" i="6"/>
  <c r="DA192" i="6" s="1"/>
  <c r="CX192" i="6" s="1"/>
  <c r="P224" i="6"/>
  <c r="DA224" i="6" s="1"/>
  <c r="P75" i="6"/>
  <c r="DA75" i="6" s="1"/>
  <c r="Q44" i="6"/>
  <c r="Q45" i="6"/>
  <c r="Q61" i="6"/>
  <c r="Q64" i="6"/>
  <c r="Q68" i="6"/>
  <c r="Q97" i="6"/>
  <c r="Q104" i="6"/>
  <c r="Q105" i="6"/>
  <c r="Q142" i="6"/>
  <c r="Q157" i="6"/>
  <c r="Q169" i="6"/>
  <c r="Q179" i="6"/>
  <c r="Q192" i="6"/>
  <c r="Q224" i="6"/>
  <c r="Q75" i="6"/>
  <c r="R44" i="6"/>
  <c r="R45" i="6"/>
  <c r="R61" i="6"/>
  <c r="R64" i="6"/>
  <c r="R68" i="6"/>
  <c r="R97" i="6"/>
  <c r="R104" i="6"/>
  <c r="R105" i="6"/>
  <c r="R142" i="6"/>
  <c r="R157" i="6"/>
  <c r="R169" i="6"/>
  <c r="R179" i="6"/>
  <c r="R192" i="6"/>
  <c r="R224" i="6"/>
  <c r="R75" i="6"/>
  <c r="S44" i="6"/>
  <c r="S45" i="6"/>
  <c r="S61" i="6"/>
  <c r="S64" i="6"/>
  <c r="S68" i="6"/>
  <c r="S97" i="6"/>
  <c r="S104" i="6"/>
  <c r="S105" i="6"/>
  <c r="S142" i="6"/>
  <c r="S157" i="6"/>
  <c r="S169" i="6"/>
  <c r="S179" i="6"/>
  <c r="S192" i="6"/>
  <c r="S224" i="6"/>
  <c r="S75" i="6"/>
  <c r="T44" i="6"/>
  <c r="T45" i="6"/>
  <c r="T61" i="6"/>
  <c r="T64" i="6"/>
  <c r="T68" i="6"/>
  <c r="T97" i="6"/>
  <c r="T104" i="6"/>
  <c r="T105" i="6"/>
  <c r="T142" i="6"/>
  <c r="T157" i="6"/>
  <c r="T169" i="6"/>
  <c r="T179" i="6"/>
  <c r="T192" i="6"/>
  <c r="T224" i="6"/>
  <c r="T75" i="6"/>
  <c r="U44" i="6"/>
  <c r="DE44" i="6" s="1"/>
  <c r="DB44" i="6" s="1"/>
  <c r="U45" i="6"/>
  <c r="DE45" i="6" s="1"/>
  <c r="U61" i="6"/>
  <c r="DE61" i="6" s="1"/>
  <c r="U64" i="6"/>
  <c r="DE64" i="6" s="1"/>
  <c r="DC64" i="6" s="1"/>
  <c r="U68" i="6"/>
  <c r="DE68" i="6" s="1"/>
  <c r="DD68" i="6" s="1"/>
  <c r="U97" i="6"/>
  <c r="DE97" i="6" s="1"/>
  <c r="DB97" i="6" s="1"/>
  <c r="U104" i="6"/>
  <c r="DE104" i="6" s="1"/>
  <c r="U105" i="6"/>
  <c r="DE105" i="6" s="1"/>
  <c r="U142" i="6"/>
  <c r="DE142" i="6" s="1"/>
  <c r="DB142" i="6" s="1"/>
  <c r="U157" i="6"/>
  <c r="DE157" i="6" s="1"/>
  <c r="DB157" i="6" s="1"/>
  <c r="U169" i="6"/>
  <c r="DE169" i="6" s="1"/>
  <c r="U179" i="6"/>
  <c r="DE179" i="6" s="1"/>
  <c r="DC179" i="6" s="1"/>
  <c r="U192" i="6"/>
  <c r="DE192" i="6" s="1"/>
  <c r="DD192" i="6" s="1"/>
  <c r="U224" i="6"/>
  <c r="DE224" i="6" s="1"/>
  <c r="U75" i="6"/>
  <c r="DE75" i="6" s="1"/>
  <c r="V44" i="6"/>
  <c r="V45" i="6"/>
  <c r="V61" i="6"/>
  <c r="V64" i="6"/>
  <c r="V68" i="6"/>
  <c r="V97" i="6"/>
  <c r="V104" i="6"/>
  <c r="V105" i="6"/>
  <c r="V142" i="6"/>
  <c r="V157" i="6"/>
  <c r="V169" i="6"/>
  <c r="V179" i="6"/>
  <c r="V192" i="6"/>
  <c r="V224" i="6"/>
  <c r="V75" i="6"/>
  <c r="Z44" i="6"/>
  <c r="Z45" i="6"/>
  <c r="Z61" i="6"/>
  <c r="Z64" i="6"/>
  <c r="Z68" i="6"/>
  <c r="Z97" i="6"/>
  <c r="Z104" i="6"/>
  <c r="Z105" i="6"/>
  <c r="Z142" i="6"/>
  <c r="Z157" i="6"/>
  <c r="Z169" i="6"/>
  <c r="Z179" i="6"/>
  <c r="Z192" i="6"/>
  <c r="Z224" i="6"/>
  <c r="Z75" i="6"/>
  <c r="AA44" i="6"/>
  <c r="AA45" i="6"/>
  <c r="AA61" i="6"/>
  <c r="AA64" i="6"/>
  <c r="AA68" i="6"/>
  <c r="AA97" i="6"/>
  <c r="AA104" i="6"/>
  <c r="AA105" i="6"/>
  <c r="AA142" i="6"/>
  <c r="AA157" i="6"/>
  <c r="AA169" i="6"/>
  <c r="AA179" i="6"/>
  <c r="AA192" i="6"/>
  <c r="AA224" i="6"/>
  <c r="AA75" i="6"/>
  <c r="AB44" i="6"/>
  <c r="AB45" i="6"/>
  <c r="AB61" i="6"/>
  <c r="AB64" i="6"/>
  <c r="AB68" i="6"/>
  <c r="AB97" i="6"/>
  <c r="AB104" i="6"/>
  <c r="AB105" i="6"/>
  <c r="AB142" i="6"/>
  <c r="AB157" i="6"/>
  <c r="AB169" i="6"/>
  <c r="AB179" i="6"/>
  <c r="AB192" i="6"/>
  <c r="AB224" i="6"/>
  <c r="AB75" i="6"/>
  <c r="AC44" i="6"/>
  <c r="AC45" i="6"/>
  <c r="AC61" i="6"/>
  <c r="AC64" i="6"/>
  <c r="AC68" i="6"/>
  <c r="AC97" i="6"/>
  <c r="AC104" i="6"/>
  <c r="AC105" i="6"/>
  <c r="AC142" i="6"/>
  <c r="AC157" i="6"/>
  <c r="AC169" i="6"/>
  <c r="AC179" i="6"/>
  <c r="AC192" i="6"/>
  <c r="AC224" i="6"/>
  <c r="AC75" i="6"/>
  <c r="AD44" i="6"/>
  <c r="AD45" i="6"/>
  <c r="AD61" i="6"/>
  <c r="AD64" i="6"/>
  <c r="AD68" i="6"/>
  <c r="AD97" i="6"/>
  <c r="AD104" i="6"/>
  <c r="AD105" i="6"/>
  <c r="AD142" i="6"/>
  <c r="AD157" i="6"/>
  <c r="AD169" i="6"/>
  <c r="AD179" i="6"/>
  <c r="AD192" i="6"/>
  <c r="AD224" i="6"/>
  <c r="AD75" i="6"/>
  <c r="AE44" i="6"/>
  <c r="AF44" i="6" s="1"/>
  <c r="CW44" i="6" s="1"/>
  <c r="AE45" i="6"/>
  <c r="AF45" i="6" s="1"/>
  <c r="CW45" i="6" s="1"/>
  <c r="CV45" i="6" s="1"/>
  <c r="AE61" i="6"/>
  <c r="AF61" i="6" s="1"/>
  <c r="CW61" i="6" s="1"/>
  <c r="AE64" i="6"/>
  <c r="AE68" i="6"/>
  <c r="AF68" i="6" s="1"/>
  <c r="CW68" i="6" s="1"/>
  <c r="CU68" i="6" s="1"/>
  <c r="AE97" i="6"/>
  <c r="AF97" i="6" s="1"/>
  <c r="CW97" i="6" s="1"/>
  <c r="CU97" i="6" s="1"/>
  <c r="AE104" i="6"/>
  <c r="AF104" i="6" s="1"/>
  <c r="CW104" i="6" s="1"/>
  <c r="AE105" i="6"/>
  <c r="AF105" i="6" s="1"/>
  <c r="CW105" i="6" s="1"/>
  <c r="AE142" i="6"/>
  <c r="AF142" i="6" s="1"/>
  <c r="CW142" i="6" s="1"/>
  <c r="AE157" i="6"/>
  <c r="AF157" i="6" s="1"/>
  <c r="CW157" i="6" s="1"/>
  <c r="AE169" i="6"/>
  <c r="AF169" i="6" s="1"/>
  <c r="CW169" i="6" s="1"/>
  <c r="AE179" i="6"/>
  <c r="AF179" i="6" s="1"/>
  <c r="CW179" i="6" s="1"/>
  <c r="CU179" i="6" s="1"/>
  <c r="AE192" i="6"/>
  <c r="AF192" i="6" s="1"/>
  <c r="CW192" i="6" s="1"/>
  <c r="CU192" i="6" s="1"/>
  <c r="AE224" i="6"/>
  <c r="AF224" i="6" s="1"/>
  <c r="CW224" i="6" s="1"/>
  <c r="AE75" i="6"/>
  <c r="AF75" i="6" s="1"/>
  <c r="CW75" i="6" s="1"/>
  <c r="AF64" i="6"/>
  <c r="CW64" i="6" s="1"/>
  <c r="CU64" i="6" s="1"/>
  <c r="AG44" i="6"/>
  <c r="AG45" i="6"/>
  <c r="AG61" i="6"/>
  <c r="AG64" i="6"/>
  <c r="AG68" i="6"/>
  <c r="AG97" i="6"/>
  <c r="AG104" i="6"/>
  <c r="AG105" i="6"/>
  <c r="AG142" i="6"/>
  <c r="AG157" i="6"/>
  <c r="AG169" i="6"/>
  <c r="AG179" i="6"/>
  <c r="AG192" i="6"/>
  <c r="AG224" i="6"/>
  <c r="AG75" i="6"/>
  <c r="AH44" i="6"/>
  <c r="AI44" i="6" s="1"/>
  <c r="CO44" i="6" s="1"/>
  <c r="AH45" i="6"/>
  <c r="AI45" i="6" s="1"/>
  <c r="CO45" i="6" s="1"/>
  <c r="AH61" i="6"/>
  <c r="AI61" i="6" s="1"/>
  <c r="CO61" i="6" s="1"/>
  <c r="CS61" i="6" s="1"/>
  <c r="AH64" i="6"/>
  <c r="AI64" i="6" s="1"/>
  <c r="CO64" i="6" s="1"/>
  <c r="AH68" i="6"/>
  <c r="AI68" i="6" s="1"/>
  <c r="CO68" i="6" s="1"/>
  <c r="CN68" i="6" s="1"/>
  <c r="AH97" i="6"/>
  <c r="AI97" i="6" s="1"/>
  <c r="CO97" i="6" s="1"/>
  <c r="AH104" i="6"/>
  <c r="AI104" i="6" s="1"/>
  <c r="CO104" i="6" s="1"/>
  <c r="CS104" i="6" s="1"/>
  <c r="AH105" i="6"/>
  <c r="AI105" i="6" s="1"/>
  <c r="CO105" i="6" s="1"/>
  <c r="CL105" i="6" s="1"/>
  <c r="AH142" i="6"/>
  <c r="AI142" i="6" s="1"/>
  <c r="CO142" i="6" s="1"/>
  <c r="AH157" i="6"/>
  <c r="AI157" i="6" s="1"/>
  <c r="CO157" i="6" s="1"/>
  <c r="AH169" i="6"/>
  <c r="AI169" i="6" s="1"/>
  <c r="CO169" i="6" s="1"/>
  <c r="CS169" i="6" s="1"/>
  <c r="AH179" i="6"/>
  <c r="AI179" i="6" s="1"/>
  <c r="CO179" i="6" s="1"/>
  <c r="AH192" i="6"/>
  <c r="AI192" i="6" s="1"/>
  <c r="CO192" i="6" s="1"/>
  <c r="AH224" i="6"/>
  <c r="AI224" i="6" s="1"/>
  <c r="CO224" i="6" s="1"/>
  <c r="AH75" i="6"/>
  <c r="AI75" i="6" s="1"/>
  <c r="CO75" i="6" s="1"/>
  <c r="CS75" i="6" s="1"/>
  <c r="AJ44" i="6"/>
  <c r="AJ45" i="6"/>
  <c r="AJ61" i="6"/>
  <c r="AJ64" i="6"/>
  <c r="AJ68" i="6"/>
  <c r="AJ97" i="6"/>
  <c r="AJ104" i="6"/>
  <c r="AJ105" i="6"/>
  <c r="AJ142" i="6"/>
  <c r="AJ157" i="6"/>
  <c r="AJ169" i="6"/>
  <c r="AJ179" i="6"/>
  <c r="AJ192" i="6"/>
  <c r="AJ224" i="6"/>
  <c r="AJ75" i="6"/>
  <c r="AK44" i="6"/>
  <c r="BG44" i="6" s="1"/>
  <c r="AK45" i="6"/>
  <c r="AL45" i="6" s="1"/>
  <c r="AK61" i="6"/>
  <c r="BE61" i="6" s="1"/>
  <c r="AK64" i="6"/>
  <c r="AK68" i="6"/>
  <c r="BH68" i="6" s="1"/>
  <c r="AK97" i="6"/>
  <c r="BG97" i="6" s="1"/>
  <c r="AK104" i="6"/>
  <c r="BD104" i="6" s="1"/>
  <c r="AK105" i="6"/>
  <c r="AL105" i="6" s="1"/>
  <c r="AK142" i="6"/>
  <c r="BE142" i="6" s="1"/>
  <c r="AK157" i="6"/>
  <c r="BD157" i="6" s="1"/>
  <c r="AK169" i="6"/>
  <c r="BG169" i="6" s="1"/>
  <c r="AK179" i="6"/>
  <c r="AL179" i="6" s="1"/>
  <c r="AK192" i="6"/>
  <c r="BD192" i="6" s="1"/>
  <c r="AK224" i="6"/>
  <c r="AL224" i="6" s="1"/>
  <c r="AK75" i="6"/>
  <c r="BK44" i="6"/>
  <c r="BL44" i="6" s="1"/>
  <c r="BK45" i="6"/>
  <c r="BL45" i="6" s="1"/>
  <c r="BK61" i="6"/>
  <c r="BL61" i="6" s="1"/>
  <c r="BK64" i="6"/>
  <c r="BL64" i="6" s="1"/>
  <c r="BK68" i="6"/>
  <c r="BL68" i="6" s="1"/>
  <c r="BK97" i="6"/>
  <c r="BL97" i="6" s="1"/>
  <c r="BK104" i="6"/>
  <c r="BL104" i="6" s="1"/>
  <c r="BK105" i="6"/>
  <c r="BL105" i="6" s="1"/>
  <c r="BK142" i="6"/>
  <c r="BL142" i="6" s="1"/>
  <c r="BK157" i="6"/>
  <c r="BL157" i="6" s="1"/>
  <c r="BK169" i="6"/>
  <c r="BL169" i="6" s="1"/>
  <c r="BK179" i="6"/>
  <c r="BL179" i="6" s="1"/>
  <c r="BK192" i="6"/>
  <c r="BL192" i="6" s="1"/>
  <c r="BK224" i="6"/>
  <c r="BL224" i="6" s="1"/>
  <c r="BK75" i="6"/>
  <c r="BL75" i="6" s="1"/>
  <c r="BP44" i="6"/>
  <c r="BP45" i="6"/>
  <c r="BP61" i="6"/>
  <c r="BP64" i="6"/>
  <c r="BP68" i="6"/>
  <c r="BP97" i="6"/>
  <c r="BP104" i="6"/>
  <c r="BP105" i="6"/>
  <c r="BP142" i="6"/>
  <c r="BP157" i="6"/>
  <c r="BP169" i="6"/>
  <c r="BP179" i="6"/>
  <c r="BP192" i="6"/>
  <c r="BP224" i="6"/>
  <c r="BP75" i="6"/>
  <c r="BT44" i="6"/>
  <c r="BT45" i="6"/>
  <c r="BT61" i="6"/>
  <c r="BT64" i="6"/>
  <c r="BT68" i="6"/>
  <c r="BT97" i="6"/>
  <c r="BT104" i="6"/>
  <c r="BT105" i="6"/>
  <c r="BT142" i="6"/>
  <c r="BT157" i="6"/>
  <c r="BT169" i="6"/>
  <c r="BT179" i="6"/>
  <c r="BT192" i="6"/>
  <c r="BT224" i="6"/>
  <c r="BT75" i="6"/>
  <c r="BX44" i="6"/>
  <c r="BX45" i="6"/>
  <c r="BX61" i="6"/>
  <c r="BX64" i="6"/>
  <c r="BX68" i="6"/>
  <c r="BX97" i="6"/>
  <c r="BX104" i="6"/>
  <c r="BX105" i="6"/>
  <c r="BX142" i="6"/>
  <c r="BX157" i="6"/>
  <c r="BX169" i="6"/>
  <c r="BX179" i="6"/>
  <c r="BX192" i="6"/>
  <c r="BX224" i="6"/>
  <c r="BX75" i="6"/>
  <c r="CB44" i="6"/>
  <c r="CB45" i="6"/>
  <c r="CB61" i="6"/>
  <c r="CB64" i="6"/>
  <c r="CB68" i="6"/>
  <c r="CB97" i="6"/>
  <c r="CB104" i="6"/>
  <c r="CB105" i="6"/>
  <c r="CB142" i="6"/>
  <c r="CB157" i="6"/>
  <c r="CB169" i="6"/>
  <c r="CB179" i="6"/>
  <c r="CB192" i="6"/>
  <c r="CB224" i="6"/>
  <c r="CB75" i="6"/>
  <c r="CF44" i="6"/>
  <c r="CF45" i="6"/>
  <c r="CF61" i="6"/>
  <c r="CF64" i="6"/>
  <c r="CF68" i="6"/>
  <c r="CF97" i="6"/>
  <c r="CF104" i="6"/>
  <c r="CF105" i="6"/>
  <c r="CF142" i="6"/>
  <c r="CF157" i="6"/>
  <c r="CF169" i="6"/>
  <c r="CF179" i="6"/>
  <c r="CF192" i="6"/>
  <c r="CF224" i="6"/>
  <c r="CF75" i="6"/>
  <c r="CK44" i="6"/>
  <c r="CK45" i="6"/>
  <c r="CK61" i="6"/>
  <c r="CK64" i="6"/>
  <c r="CK68" i="6"/>
  <c r="CK97" i="6"/>
  <c r="CK104" i="6"/>
  <c r="CK105" i="6"/>
  <c r="CK142" i="6"/>
  <c r="CK157" i="6"/>
  <c r="CK169" i="6"/>
  <c r="CK179" i="6"/>
  <c r="CK192" i="6"/>
  <c r="CK224" i="6"/>
  <c r="CK75" i="6"/>
  <c r="DF44" i="6"/>
  <c r="DF45" i="6"/>
  <c r="DF61" i="6"/>
  <c r="DF64" i="6"/>
  <c r="DF68" i="6"/>
  <c r="DF97" i="6"/>
  <c r="DF104" i="6"/>
  <c r="DF105" i="6"/>
  <c r="DF142" i="6"/>
  <c r="DF157" i="6"/>
  <c r="DF169" i="6"/>
  <c r="DF179" i="6"/>
  <c r="DF192" i="6"/>
  <c r="DF224" i="6"/>
  <c r="DF75" i="6"/>
  <c r="DG44" i="6"/>
  <c r="DG45" i="6"/>
  <c r="DG61" i="6"/>
  <c r="DG64" i="6"/>
  <c r="DG68" i="6"/>
  <c r="DG97" i="6"/>
  <c r="DG104" i="6"/>
  <c r="DG105" i="6"/>
  <c r="DG142" i="6"/>
  <c r="DG157" i="6"/>
  <c r="DG169" i="6"/>
  <c r="DG179" i="6"/>
  <c r="DG192" i="6"/>
  <c r="DG224" i="6"/>
  <c r="DG75" i="6"/>
  <c r="DH44" i="6"/>
  <c r="DH45" i="6"/>
  <c r="DH61" i="6"/>
  <c r="DH64" i="6"/>
  <c r="DH68" i="6"/>
  <c r="DH97" i="6"/>
  <c r="DH104" i="6"/>
  <c r="DH105" i="6"/>
  <c r="DH142" i="6"/>
  <c r="DH157" i="6"/>
  <c r="DH169" i="6"/>
  <c r="DH179" i="6"/>
  <c r="DH192" i="6"/>
  <c r="DH224" i="6"/>
  <c r="DH75" i="6"/>
  <c r="DN44" i="6"/>
  <c r="DN45" i="6"/>
  <c r="DN61" i="6"/>
  <c r="DN64" i="6"/>
  <c r="DN68" i="6"/>
  <c r="DN97" i="6"/>
  <c r="DN104" i="6"/>
  <c r="DN105" i="6"/>
  <c r="DN142" i="6"/>
  <c r="DN157" i="6"/>
  <c r="DN169" i="6"/>
  <c r="DN179" i="6"/>
  <c r="DN192" i="6"/>
  <c r="DN224" i="6"/>
  <c r="DN75" i="6"/>
  <c r="DO44" i="6"/>
  <c r="DO45" i="6"/>
  <c r="DO61" i="6"/>
  <c r="DO64" i="6"/>
  <c r="DO68" i="6"/>
  <c r="DO97" i="6"/>
  <c r="DO104" i="6"/>
  <c r="DO105" i="6"/>
  <c r="DO142" i="6"/>
  <c r="DO157" i="6"/>
  <c r="DO169" i="6"/>
  <c r="DO179" i="6"/>
  <c r="DO192" i="6"/>
  <c r="DO224" i="6"/>
  <c r="DO75" i="6"/>
  <c r="DP44" i="6"/>
  <c r="DP45" i="6"/>
  <c r="DP61" i="6"/>
  <c r="DP64" i="6"/>
  <c r="DP68" i="6"/>
  <c r="DP97" i="6"/>
  <c r="DP104" i="6"/>
  <c r="DP105" i="6"/>
  <c r="DP142" i="6"/>
  <c r="DP157" i="6"/>
  <c r="DP169" i="6"/>
  <c r="DP179" i="6"/>
  <c r="DP192" i="6"/>
  <c r="DP224" i="6"/>
  <c r="DP75" i="6"/>
  <c r="DR44" i="6"/>
  <c r="DR45" i="6"/>
  <c r="DR61" i="6"/>
  <c r="DR64" i="6"/>
  <c r="DR68" i="6"/>
  <c r="DR97" i="6"/>
  <c r="DR104" i="6"/>
  <c r="DR105" i="6"/>
  <c r="DR142" i="6"/>
  <c r="DR157" i="6"/>
  <c r="DR169" i="6"/>
  <c r="DR179" i="6"/>
  <c r="DR192" i="6"/>
  <c r="DR224" i="6"/>
  <c r="DR75" i="6"/>
  <c r="DS44" i="6"/>
  <c r="DS45" i="6"/>
  <c r="DS61" i="6"/>
  <c r="DS64" i="6"/>
  <c r="DS68" i="6"/>
  <c r="DS97" i="6"/>
  <c r="DS104" i="6"/>
  <c r="DS105" i="6"/>
  <c r="DS142" i="6"/>
  <c r="DS157" i="6"/>
  <c r="DS169" i="6"/>
  <c r="DS179" i="6"/>
  <c r="DS192" i="6"/>
  <c r="DS224" i="6"/>
  <c r="DS75" i="6"/>
  <c r="DT44" i="6"/>
  <c r="DT45" i="6"/>
  <c r="DT61" i="6"/>
  <c r="DT64" i="6"/>
  <c r="DT68" i="6"/>
  <c r="DT97" i="6"/>
  <c r="DT104" i="6"/>
  <c r="DT105" i="6"/>
  <c r="DT142" i="6"/>
  <c r="DT157" i="6"/>
  <c r="DT169" i="6"/>
  <c r="DT179" i="6"/>
  <c r="DT192" i="6"/>
  <c r="DT224" i="6"/>
  <c r="DT75" i="6"/>
  <c r="DY44" i="6"/>
  <c r="DY45" i="6"/>
  <c r="DY61" i="6"/>
  <c r="DY64" i="6"/>
  <c r="DY68" i="6"/>
  <c r="DY97" i="6"/>
  <c r="DY104" i="6"/>
  <c r="DY105" i="6"/>
  <c r="DY142" i="6"/>
  <c r="DY157" i="6"/>
  <c r="DY169" i="6"/>
  <c r="DY179" i="6"/>
  <c r="DY192" i="6"/>
  <c r="DY224" i="6"/>
  <c r="DY75" i="6"/>
  <c r="EC44" i="6"/>
  <c r="EC45" i="6"/>
  <c r="EC61" i="6"/>
  <c r="EC64" i="6"/>
  <c r="EC68" i="6"/>
  <c r="EC97" i="6"/>
  <c r="EC104" i="6"/>
  <c r="EC105" i="6"/>
  <c r="EC142" i="6"/>
  <c r="EC157" i="6"/>
  <c r="EC169" i="6"/>
  <c r="EC179" i="6"/>
  <c r="EC192" i="6"/>
  <c r="EC224" i="6"/>
  <c r="EC75" i="6"/>
  <c r="EH44" i="6"/>
  <c r="EH45" i="6"/>
  <c r="EH61" i="6"/>
  <c r="EH64" i="6"/>
  <c r="EH68" i="6"/>
  <c r="EH97" i="6"/>
  <c r="EH104" i="6"/>
  <c r="EH105" i="6"/>
  <c r="EH142" i="6"/>
  <c r="EH157" i="6"/>
  <c r="EH169" i="6"/>
  <c r="EH179" i="6"/>
  <c r="EH192" i="6"/>
  <c r="EH224" i="6"/>
  <c r="EH75" i="6"/>
  <c r="EI44" i="6"/>
  <c r="EI45" i="6"/>
  <c r="EI61" i="6"/>
  <c r="EI64" i="6"/>
  <c r="EI68" i="6"/>
  <c r="EI97" i="6"/>
  <c r="EI104" i="6"/>
  <c r="EI105" i="6"/>
  <c r="EI142" i="6"/>
  <c r="EI157" i="6"/>
  <c r="EI169" i="6"/>
  <c r="EI179" i="6"/>
  <c r="EI192" i="6"/>
  <c r="EI224" i="6"/>
  <c r="EI75" i="6"/>
  <c r="EJ44" i="6"/>
  <c r="EJ45" i="6"/>
  <c r="EJ61" i="6"/>
  <c r="EJ64" i="6"/>
  <c r="EJ68" i="6"/>
  <c r="EJ97" i="6"/>
  <c r="EJ104" i="6"/>
  <c r="EJ105" i="6"/>
  <c r="EJ142" i="6"/>
  <c r="EJ157" i="6"/>
  <c r="EJ169" i="6"/>
  <c r="EJ179" i="6"/>
  <c r="EJ192" i="6"/>
  <c r="EJ224" i="6"/>
  <c r="EJ75" i="6"/>
  <c r="EK44" i="6"/>
  <c r="EK45" i="6"/>
  <c r="EK61" i="6"/>
  <c r="EK64" i="6"/>
  <c r="EK68" i="6"/>
  <c r="EK97" i="6"/>
  <c r="EK104" i="6"/>
  <c r="EK105" i="6"/>
  <c r="EK142" i="6"/>
  <c r="EK157" i="6"/>
  <c r="EK169" i="6"/>
  <c r="EK179" i="6"/>
  <c r="EK192" i="6"/>
  <c r="EK224" i="6"/>
  <c r="EK75" i="6"/>
  <c r="EM44" i="6"/>
  <c r="EM45" i="6"/>
  <c r="EM61" i="6"/>
  <c r="EM64" i="6"/>
  <c r="EM68" i="6"/>
  <c r="EM97" i="6"/>
  <c r="EM104" i="6"/>
  <c r="EM105" i="6"/>
  <c r="EM142" i="6"/>
  <c r="EM157" i="6"/>
  <c r="EM169" i="6"/>
  <c r="EM179" i="6"/>
  <c r="EM192" i="6"/>
  <c r="EM224" i="6"/>
  <c r="EM75" i="6"/>
  <c r="ES44" i="6"/>
  <c r="ES45" i="6"/>
  <c r="ES61" i="6"/>
  <c r="ES64" i="6"/>
  <c r="ES68" i="6"/>
  <c r="ES97" i="6"/>
  <c r="ES104" i="6"/>
  <c r="ES105" i="6"/>
  <c r="ES142" i="6"/>
  <c r="ES157" i="6"/>
  <c r="ES169" i="6"/>
  <c r="ES179" i="6"/>
  <c r="ES192" i="6"/>
  <c r="ES224" i="6"/>
  <c r="ES75" i="6"/>
  <c r="ET44" i="6"/>
  <c r="ET45" i="6"/>
  <c r="ET61" i="6"/>
  <c r="ET64" i="6"/>
  <c r="ET68" i="6"/>
  <c r="ET97" i="6"/>
  <c r="ET104" i="6"/>
  <c r="ET105" i="6"/>
  <c r="ET142" i="6"/>
  <c r="ET157" i="6"/>
  <c r="ET169" i="6"/>
  <c r="ET179" i="6"/>
  <c r="ET192" i="6"/>
  <c r="ET224" i="6"/>
  <c r="ET75" i="6"/>
  <c r="EU44" i="6"/>
  <c r="EU45" i="6"/>
  <c r="EU61" i="6"/>
  <c r="EU64" i="6"/>
  <c r="EU68" i="6"/>
  <c r="EU97" i="6"/>
  <c r="EU104" i="6"/>
  <c r="EU105" i="6"/>
  <c r="EU142" i="6"/>
  <c r="EU157" i="6"/>
  <c r="EU169" i="6"/>
  <c r="EU179" i="6"/>
  <c r="EU192" i="6"/>
  <c r="EU224" i="6"/>
  <c r="EU75" i="6"/>
  <c r="EW44" i="6"/>
  <c r="EW45" i="6"/>
  <c r="EW61" i="6"/>
  <c r="EW64" i="6"/>
  <c r="EW68" i="6"/>
  <c r="EW97" i="6"/>
  <c r="EW104" i="6"/>
  <c r="EW105" i="6"/>
  <c r="EW142" i="6"/>
  <c r="EW157" i="6"/>
  <c r="EW169" i="6"/>
  <c r="EW179" i="6"/>
  <c r="EW192" i="6"/>
  <c r="EW224" i="6"/>
  <c r="EW75" i="6"/>
  <c r="FA44" i="6"/>
  <c r="FA45" i="6"/>
  <c r="FA61" i="6"/>
  <c r="FA64" i="6"/>
  <c r="FA68" i="6"/>
  <c r="FA97" i="6"/>
  <c r="FA104" i="6"/>
  <c r="FA105" i="6"/>
  <c r="FA142" i="6"/>
  <c r="FA157" i="6"/>
  <c r="FA169" i="6"/>
  <c r="FA179" i="6"/>
  <c r="FA192" i="6"/>
  <c r="FA224" i="6"/>
  <c r="FA75" i="6"/>
  <c r="FE44" i="6"/>
  <c r="FE45" i="6"/>
  <c r="FE61" i="6"/>
  <c r="FE64" i="6"/>
  <c r="FE68" i="6"/>
  <c r="FE97" i="6"/>
  <c r="FE104" i="6"/>
  <c r="FE105" i="6"/>
  <c r="FE142" i="6"/>
  <c r="FE157" i="6"/>
  <c r="FE169" i="6"/>
  <c r="FE179" i="6"/>
  <c r="FE192" i="6"/>
  <c r="FE224" i="6"/>
  <c r="FE75" i="6"/>
  <c r="FI44" i="6"/>
  <c r="FI45" i="6"/>
  <c r="FI61" i="6"/>
  <c r="FI64" i="6"/>
  <c r="FI68" i="6"/>
  <c r="FI97" i="6"/>
  <c r="FI104" i="6"/>
  <c r="FI105" i="6"/>
  <c r="FI142" i="6"/>
  <c r="FI157" i="6"/>
  <c r="FI169" i="6"/>
  <c r="FI179" i="6"/>
  <c r="FI192" i="6"/>
  <c r="FI224" i="6"/>
  <c r="FI75" i="6"/>
  <c r="E225" i="6" l="1"/>
  <c r="E179" i="6"/>
  <c r="E105" i="6"/>
  <c r="E64" i="6"/>
  <c r="E192" i="6"/>
  <c r="E142" i="6"/>
  <c r="E68" i="6"/>
  <c r="E44" i="6"/>
  <c r="E75" i="6"/>
  <c r="E169" i="6"/>
  <c r="E104" i="6"/>
  <c r="E61" i="6"/>
  <c r="E224" i="6"/>
  <c r="E157" i="6"/>
  <c r="E97" i="6"/>
  <c r="E45" i="6"/>
  <c r="E226" i="6"/>
  <c r="E227" i="6"/>
  <c r="DC192" i="6"/>
  <c r="DB68" i="6"/>
  <c r="DB192" i="6"/>
  <c r="BD68" i="6"/>
  <c r="CT45" i="6"/>
  <c r="BI44" i="6"/>
  <c r="BD44" i="6"/>
  <c r="BF68" i="6"/>
  <c r="DC68" i="6"/>
  <c r="BF44" i="6"/>
  <c r="BH44" i="6"/>
  <c r="BE45" i="6"/>
  <c r="AL68" i="6"/>
  <c r="BE44" i="6"/>
  <c r="AL97" i="6"/>
  <c r="BG68" i="6"/>
  <c r="BE68" i="6"/>
  <c r="BD45" i="6"/>
  <c r="BH142" i="6"/>
  <c r="BF192" i="6"/>
  <c r="X225" i="6"/>
  <c r="AL142" i="6"/>
  <c r="CX224" i="6"/>
  <c r="CZ224" i="6"/>
  <c r="CY44" i="6"/>
  <c r="BI227" i="6"/>
  <c r="BH225" i="6"/>
  <c r="BI97" i="6"/>
  <c r="BH104" i="6"/>
  <c r="BG157" i="6"/>
  <c r="CX44" i="6"/>
  <c r="BI68" i="6"/>
  <c r="BH97" i="6"/>
  <c r="BG142" i="6"/>
  <c r="BF142" i="6"/>
  <c r="BE97" i="6"/>
  <c r="BD142" i="6"/>
  <c r="AL157" i="6"/>
  <c r="AL44" i="6"/>
  <c r="BF227" i="6"/>
  <c r="BF97" i="6"/>
  <c r="BE227" i="6"/>
  <c r="X105" i="6"/>
  <c r="Y105" i="6"/>
  <c r="CG225" i="6"/>
  <c r="BF179" i="6"/>
  <c r="BF225" i="6"/>
  <c r="CG97" i="6"/>
  <c r="BE104" i="6"/>
  <c r="X157" i="6"/>
  <c r="BE225" i="6"/>
  <c r="CG226" i="6"/>
  <c r="BI225" i="6"/>
  <c r="BD225" i="6"/>
  <c r="CZ225" i="6"/>
  <c r="CY225" i="6"/>
  <c r="CX225" i="6"/>
  <c r="CT157" i="6"/>
  <c r="CU157" i="6"/>
  <c r="Y169" i="6"/>
  <c r="X169" i="6"/>
  <c r="CN225" i="6"/>
  <c r="CS225" i="6"/>
  <c r="ED225" i="6" s="1"/>
  <c r="CM225" i="6"/>
  <c r="CL225" i="6"/>
  <c r="Y179" i="6"/>
  <c r="X179" i="6"/>
  <c r="EP226" i="6"/>
  <c r="EO226" i="6"/>
  <c r="EN226" i="6"/>
  <c r="ER226" i="6"/>
  <c r="FJ226" i="6" s="1"/>
  <c r="EO225" i="6"/>
  <c r="ER225" i="6"/>
  <c r="FJ225" i="6" s="1"/>
  <c r="EP225" i="6"/>
  <c r="EN225" i="6"/>
  <c r="CX97" i="6"/>
  <c r="CZ97" i="6"/>
  <c r="CV225" i="6"/>
  <c r="CU225" i="6"/>
  <c r="CT225" i="6"/>
  <c r="DB226" i="6"/>
  <c r="DD226" i="6"/>
  <c r="X226" i="6"/>
  <c r="Y226" i="6"/>
  <c r="DD225" i="6"/>
  <c r="DC225" i="6"/>
  <c r="DB225" i="6"/>
  <c r="CZ226" i="6"/>
  <c r="DB179" i="6"/>
  <c r="EP157" i="6"/>
  <c r="BG192" i="6"/>
  <c r="BE192" i="6"/>
  <c r="AL192" i="6"/>
  <c r="Y61" i="6"/>
  <c r="BI142" i="6"/>
  <c r="BH192" i="6"/>
  <c r="BD61" i="6"/>
  <c r="Y45" i="6"/>
  <c r="X104" i="6"/>
  <c r="BF226" i="6"/>
  <c r="BG225" i="6"/>
  <c r="Y224" i="6"/>
  <c r="X224" i="6"/>
  <c r="X227" i="6"/>
  <c r="Y227" i="6"/>
  <c r="CT224" i="6"/>
  <c r="CU224" i="6"/>
  <c r="CV226" i="6"/>
  <c r="CT226" i="6"/>
  <c r="CU226" i="6"/>
  <c r="CN226" i="6"/>
  <c r="CS226" i="6"/>
  <c r="ED226" i="6" s="1"/>
  <c r="CL226" i="6"/>
  <c r="CM226" i="6"/>
  <c r="CG227" i="6"/>
  <c r="DC226" i="6"/>
  <c r="CY226" i="6"/>
  <c r="BI226" i="6"/>
  <c r="BE226" i="6"/>
  <c r="DD97" i="6"/>
  <c r="BE169" i="6"/>
  <c r="DC97" i="6"/>
  <c r="CX142" i="6"/>
  <c r="CU45" i="6"/>
  <c r="BI157" i="6"/>
  <c r="BH157" i="6"/>
  <c r="BG104" i="6"/>
  <c r="BF157" i="6"/>
  <c r="BE157" i="6"/>
  <c r="BD169" i="6"/>
  <c r="BD97" i="6"/>
  <c r="DD227" i="6"/>
  <c r="BH226" i="6"/>
  <c r="BD226" i="6"/>
  <c r="ER179" i="6"/>
  <c r="FJ179" i="6" s="1"/>
  <c r="CV157" i="6"/>
  <c r="CS68" i="6"/>
  <c r="CR68" i="6" s="1"/>
  <c r="BH169" i="6"/>
  <c r="ER105" i="6"/>
  <c r="FJ105" i="6" s="1"/>
  <c r="CY142" i="6"/>
  <c r="CT179" i="6"/>
  <c r="CG157" i="6"/>
  <c r="BH61" i="6"/>
  <c r="BF224" i="6"/>
  <c r="X97" i="6"/>
  <c r="DC227" i="6"/>
  <c r="BG226" i="6"/>
  <c r="EN192" i="6"/>
  <c r="EP192" i="6"/>
  <c r="ER192" i="6"/>
  <c r="FJ192" i="6" s="1"/>
  <c r="DB224" i="6"/>
  <c r="DD224" i="6"/>
  <c r="DC224" i="6"/>
  <c r="CL224" i="6"/>
  <c r="CN224" i="6"/>
  <c r="CS224" i="6"/>
  <c r="ED224" i="6" s="1"/>
  <c r="CM224" i="6"/>
  <c r="CL45" i="6"/>
  <c r="CM45" i="6"/>
  <c r="CS45" i="6"/>
  <c r="ED45" i="6" s="1"/>
  <c r="CN45" i="6"/>
  <c r="CN142" i="6"/>
  <c r="CS142" i="6"/>
  <c r="ED142" i="6" s="1"/>
  <c r="CM142" i="6"/>
  <c r="CU105" i="6"/>
  <c r="CT105" i="6"/>
  <c r="EO192" i="6"/>
  <c r="EO142" i="6"/>
  <c r="ER142" i="6"/>
  <c r="FJ142" i="6" s="1"/>
  <c r="EP142" i="6"/>
  <c r="EN142" i="6"/>
  <c r="EN44" i="6"/>
  <c r="ER44" i="6"/>
  <c r="FJ44" i="6" s="1"/>
  <c r="DC105" i="6"/>
  <c r="DB105" i="6"/>
  <c r="CL157" i="6"/>
  <c r="CM157" i="6"/>
  <c r="CS157" i="6"/>
  <c r="ED157" i="6" s="1"/>
  <c r="FK157" i="6" s="1"/>
  <c r="CN157" i="6"/>
  <c r="CL97" i="6"/>
  <c r="CN97" i="6"/>
  <c r="CS97" i="6"/>
  <c r="ED97" i="6" s="1"/>
  <c r="CM97" i="6"/>
  <c r="FJ68" i="6"/>
  <c r="CN192" i="6"/>
  <c r="CM192" i="6"/>
  <c r="CS192" i="6"/>
  <c r="CN44" i="6"/>
  <c r="CL44" i="6"/>
  <c r="CM44" i="6"/>
  <c r="CS44" i="6"/>
  <c r="ED44" i="6" s="1"/>
  <c r="CT97" i="6"/>
  <c r="CZ227" i="6"/>
  <c r="CX227" i="6"/>
  <c r="CY227" i="6"/>
  <c r="CV97" i="6"/>
  <c r="CT64" i="6"/>
  <c r="CL68" i="6"/>
  <c r="BE179" i="6"/>
  <c r="BG179" i="6"/>
  <c r="BE105" i="6"/>
  <c r="BG105" i="6"/>
  <c r="BE64" i="6"/>
  <c r="BG64" i="6"/>
  <c r="CY179" i="6"/>
  <c r="CX179" i="6"/>
  <c r="CY64" i="6"/>
  <c r="CX64" i="6"/>
  <c r="CV227" i="6"/>
  <c r="CT227" i="6"/>
  <c r="CU227" i="6"/>
  <c r="EO227" i="6"/>
  <c r="EP227" i="6"/>
  <c r="EN227" i="6"/>
  <c r="ER227" i="6"/>
  <c r="FJ227" i="6" s="1"/>
  <c r="FJ64" i="6"/>
  <c r="DB45" i="6"/>
  <c r="DD45" i="6"/>
  <c r="DC45" i="6"/>
  <c r="CX157" i="6"/>
  <c r="CZ157" i="6"/>
  <c r="CZ45" i="6"/>
  <c r="CY97" i="6"/>
  <c r="CM68" i="6"/>
  <c r="ED75" i="6"/>
  <c r="ED169" i="6"/>
  <c r="ED61" i="6"/>
  <c r="BI179" i="6"/>
  <c r="BI105" i="6"/>
  <c r="BI64" i="6"/>
  <c r="BF64" i="6"/>
  <c r="BD75" i="6"/>
  <c r="BF75" i="6"/>
  <c r="AL169" i="6"/>
  <c r="BF169" i="6"/>
  <c r="AL104" i="6"/>
  <c r="BF104" i="6"/>
  <c r="AL61" i="6"/>
  <c r="BF61" i="6"/>
  <c r="CN227" i="6"/>
  <c r="CS227" i="6"/>
  <c r="CL227" i="6"/>
  <c r="CM227" i="6"/>
  <c r="EN224" i="6"/>
  <c r="EP224" i="6"/>
  <c r="EN97" i="6"/>
  <c r="EP97" i="6"/>
  <c r="DD157" i="6"/>
  <c r="DC157" i="6"/>
  <c r="DB64" i="6"/>
  <c r="CZ192" i="6"/>
  <c r="CY192" i="6"/>
  <c r="CZ68" i="6"/>
  <c r="CY68" i="6"/>
  <c r="CY224" i="6"/>
  <c r="CY45" i="6"/>
  <c r="CX105" i="6"/>
  <c r="CV224" i="6"/>
  <c r="CG179" i="6"/>
  <c r="CG105" i="6"/>
  <c r="CG64" i="6"/>
  <c r="BI169" i="6"/>
  <c r="BI104" i="6"/>
  <c r="BI61" i="6"/>
  <c r="BH179" i="6"/>
  <c r="BH105" i="6"/>
  <c r="BH64" i="6"/>
  <c r="BG75" i="6"/>
  <c r="BG61" i="6"/>
  <c r="BF105" i="6"/>
  <c r="BD179" i="6"/>
  <c r="BD105" i="6"/>
  <c r="BD64" i="6"/>
  <c r="AL75" i="6"/>
  <c r="AL64" i="6"/>
  <c r="DD142" i="6"/>
  <c r="DC142" i="6"/>
  <c r="DD44" i="6"/>
  <c r="DC44" i="6"/>
  <c r="CG75" i="6"/>
  <c r="CG169" i="6"/>
  <c r="CG104" i="6"/>
  <c r="CG61" i="6"/>
  <c r="FK61" i="6" s="1"/>
  <c r="CG224" i="6"/>
  <c r="CG45" i="6"/>
  <c r="BI192" i="6"/>
  <c r="Y75" i="6"/>
  <c r="X64" i="6"/>
  <c r="BH227" i="6"/>
  <c r="BD227" i="6"/>
  <c r="BG227" i="6"/>
  <c r="ED104" i="6"/>
  <c r="CP104" i="6"/>
  <c r="CR104" i="6"/>
  <c r="CQ104" i="6"/>
  <c r="CP61" i="6"/>
  <c r="CR61" i="6"/>
  <c r="CQ61" i="6"/>
  <c r="EO75" i="6"/>
  <c r="EN75" i="6"/>
  <c r="DB104" i="6"/>
  <c r="DD104" i="6"/>
  <c r="DC104" i="6"/>
  <c r="CP75" i="6"/>
  <c r="CR75" i="6"/>
  <c r="CQ75" i="6"/>
  <c r="CM105" i="6"/>
  <c r="CS105" i="6"/>
  <c r="ED105" i="6" s="1"/>
  <c r="CN105" i="6"/>
  <c r="CV44" i="6"/>
  <c r="CT44" i="6"/>
  <c r="EO157" i="6"/>
  <c r="CT61" i="6"/>
  <c r="CV61" i="6"/>
  <c r="CU61" i="6"/>
  <c r="CG142" i="6"/>
  <c r="EO104" i="6"/>
  <c r="EN104" i="6"/>
  <c r="DB75" i="6"/>
  <c r="DD75" i="6"/>
  <c r="DC75" i="6"/>
  <c r="CT75" i="6"/>
  <c r="CV75" i="6"/>
  <c r="CU75" i="6"/>
  <c r="CM64" i="6"/>
  <c r="CS64" i="6"/>
  <c r="CN64" i="6"/>
  <c r="CV142" i="6"/>
  <c r="CT142" i="6"/>
  <c r="ER75" i="6"/>
  <c r="FJ75" i="6" s="1"/>
  <c r="ER104" i="6"/>
  <c r="FJ104" i="6" s="1"/>
  <c r="ER224" i="6"/>
  <c r="FJ224" i="6" s="1"/>
  <c r="ER157" i="6"/>
  <c r="ER97" i="6"/>
  <c r="FJ97" i="6" s="1"/>
  <c r="ER45" i="6"/>
  <c r="FJ45" i="6" s="1"/>
  <c r="EO68" i="6"/>
  <c r="EP68" i="6"/>
  <c r="EO44" i="6"/>
  <c r="EP44" i="6"/>
  <c r="EP45" i="6"/>
  <c r="EO97" i="6"/>
  <c r="EN68" i="6"/>
  <c r="CX75" i="6"/>
  <c r="CZ75" i="6"/>
  <c r="CY75" i="6"/>
  <c r="CX169" i="6"/>
  <c r="CZ169" i="6"/>
  <c r="CY169" i="6"/>
  <c r="CX104" i="6"/>
  <c r="CZ104" i="6"/>
  <c r="CY104" i="6"/>
  <c r="CX61" i="6"/>
  <c r="CZ61" i="6"/>
  <c r="CY61" i="6"/>
  <c r="CT104" i="6"/>
  <c r="CV104" i="6"/>
  <c r="CU104" i="6"/>
  <c r="CU142" i="6"/>
  <c r="CU44" i="6"/>
  <c r="CL169" i="6"/>
  <c r="CN169" i="6"/>
  <c r="CM169" i="6"/>
  <c r="CL64" i="6"/>
  <c r="EO169" i="6"/>
  <c r="EN169" i="6"/>
  <c r="EO61" i="6"/>
  <c r="EN61" i="6"/>
  <c r="DB169" i="6"/>
  <c r="DD169" i="6"/>
  <c r="DC169" i="6"/>
  <c r="DB61" i="6"/>
  <c r="DD61" i="6"/>
  <c r="DC61" i="6"/>
  <c r="CL61" i="6"/>
  <c r="CN61" i="6"/>
  <c r="CM61" i="6"/>
  <c r="CM179" i="6"/>
  <c r="CS179" i="6"/>
  <c r="CN179" i="6"/>
  <c r="CV192" i="6"/>
  <c r="CT192" i="6"/>
  <c r="CV68" i="6"/>
  <c r="CT68" i="6"/>
  <c r="ER169" i="6"/>
  <c r="FJ169" i="6" s="1"/>
  <c r="ER61" i="6"/>
  <c r="CL104" i="6"/>
  <c r="CN104" i="6"/>
  <c r="CM104" i="6"/>
  <c r="CG192" i="6"/>
  <c r="CG68" i="6"/>
  <c r="CG44" i="6"/>
  <c r="EN179" i="6"/>
  <c r="EO179" i="6"/>
  <c r="EN105" i="6"/>
  <c r="EO105" i="6"/>
  <c r="EN64" i="6"/>
  <c r="EP64" i="6"/>
  <c r="EO64" i="6"/>
  <c r="EP75" i="6"/>
  <c r="EP169" i="6"/>
  <c r="EP104" i="6"/>
  <c r="EO224" i="6"/>
  <c r="EO45" i="6"/>
  <c r="CT169" i="6"/>
  <c r="CV169" i="6"/>
  <c r="CU169" i="6"/>
  <c r="CP169" i="6"/>
  <c r="CR169" i="6"/>
  <c r="CQ169" i="6"/>
  <c r="CL75" i="6"/>
  <c r="CN75" i="6"/>
  <c r="CM75" i="6"/>
  <c r="CL179" i="6"/>
  <c r="DD179" i="6"/>
  <c r="DD105" i="6"/>
  <c r="DD64" i="6"/>
  <c r="CZ179" i="6"/>
  <c r="CZ105" i="6"/>
  <c r="CZ64" i="6"/>
  <c r="CV179" i="6"/>
  <c r="CV105" i="6"/>
  <c r="CV64" i="6"/>
  <c r="BI75" i="6"/>
  <c r="BH224" i="6"/>
  <c r="BE75" i="6"/>
  <c r="BD224" i="6"/>
  <c r="CL192" i="6"/>
  <c r="CL142" i="6"/>
  <c r="BI224" i="6"/>
  <c r="BE224" i="6"/>
  <c r="X192" i="6"/>
  <c r="X142" i="6"/>
  <c r="X68" i="6"/>
  <c r="X44" i="6"/>
  <c r="BH75" i="6"/>
  <c r="BG224" i="6"/>
  <c r="ED68" i="6" l="1"/>
  <c r="BJ44" i="6"/>
  <c r="BJ142" i="6"/>
  <c r="BJ68" i="6"/>
  <c r="BJ45" i="6"/>
  <c r="BJ97" i="6"/>
  <c r="FK97" i="6"/>
  <c r="FM97" i="6" s="1"/>
  <c r="FL97" i="6" s="1"/>
  <c r="FK226" i="6"/>
  <c r="FM226" i="6" s="1"/>
  <c r="FL226" i="6" s="1"/>
  <c r="BJ225" i="6"/>
  <c r="FK225" i="6"/>
  <c r="FM225" i="6" s="1"/>
  <c r="FL225" i="6" s="1"/>
  <c r="CP142" i="6"/>
  <c r="BJ192" i="6"/>
  <c r="CQ68" i="6"/>
  <c r="FK45" i="6"/>
  <c r="FM45" i="6" s="1"/>
  <c r="FL45" i="6" s="1"/>
  <c r="CR225" i="6"/>
  <c r="CQ225" i="6"/>
  <c r="CP225" i="6"/>
  <c r="CP68" i="6"/>
  <c r="BJ169" i="6"/>
  <c r="BJ157" i="6"/>
  <c r="CR226" i="6"/>
  <c r="CP226" i="6"/>
  <c r="CQ226" i="6"/>
  <c r="FK105" i="6"/>
  <c r="FM105" i="6" s="1"/>
  <c r="FL105" i="6" s="1"/>
  <c r="BJ104" i="6"/>
  <c r="BJ226" i="6"/>
  <c r="BJ75" i="6"/>
  <c r="BJ105" i="6"/>
  <c r="BJ61" i="6"/>
  <c r="CR227" i="6"/>
  <c r="CP227" i="6"/>
  <c r="CQ227" i="6"/>
  <c r="FM157" i="6"/>
  <c r="FL157" i="6" s="1"/>
  <c r="FK169" i="6"/>
  <c r="FM169" i="6" s="1"/>
  <c r="FL169" i="6" s="1"/>
  <c r="CR142" i="6"/>
  <c r="CQ142" i="6"/>
  <c r="FM61" i="6"/>
  <c r="FL61" i="6" s="1"/>
  <c r="BJ227" i="6"/>
  <c r="BJ179" i="6"/>
  <c r="CR44" i="6"/>
  <c r="CQ44" i="6"/>
  <c r="CR192" i="6"/>
  <c r="CQ192" i="6"/>
  <c r="CP192" i="6"/>
  <c r="CP44" i="6"/>
  <c r="ED192" i="6"/>
  <c r="FK192" i="6" s="1"/>
  <c r="FM192" i="6" s="1"/>
  <c r="FL192" i="6" s="1"/>
  <c r="FK104" i="6"/>
  <c r="FM104" i="6" s="1"/>
  <c r="FL104" i="6" s="1"/>
  <c r="FK224" i="6"/>
  <c r="FM224" i="6" s="1"/>
  <c r="FL224" i="6" s="1"/>
  <c r="FK75" i="6"/>
  <c r="FM75" i="6" s="1"/>
  <c r="FL75" i="6" s="1"/>
  <c r="BJ64" i="6"/>
  <c r="ED227" i="6"/>
  <c r="FK227" i="6" s="1"/>
  <c r="FM227" i="6" s="1"/>
  <c r="FL227" i="6" s="1"/>
  <c r="CP97" i="6"/>
  <c r="CR97" i="6"/>
  <c r="CQ97" i="6"/>
  <c r="CQ157" i="6"/>
  <c r="CR157" i="6"/>
  <c r="CP157" i="6"/>
  <c r="CQ45" i="6"/>
  <c r="CP45" i="6"/>
  <c r="CR45" i="6"/>
  <c r="CP224" i="6"/>
  <c r="CR224" i="6"/>
  <c r="CQ224" i="6"/>
  <c r="CQ105" i="6"/>
  <c r="CR105" i="6"/>
  <c r="CP105" i="6"/>
  <c r="CQ179" i="6"/>
  <c r="CR179" i="6"/>
  <c r="CP179" i="6"/>
  <c r="CQ64" i="6"/>
  <c r="CR64" i="6"/>
  <c r="CP64" i="6"/>
  <c r="BJ224" i="6"/>
  <c r="FK44" i="6"/>
  <c r="FM44" i="6" s="1"/>
  <c r="FL44" i="6" s="1"/>
  <c r="FJ61" i="6"/>
  <c r="FJ157" i="6"/>
  <c r="FK68" i="6"/>
  <c r="FM68" i="6" s="1"/>
  <c r="FL68" i="6" s="1"/>
  <c r="ED179" i="6"/>
  <c r="FK179" i="6" s="1"/>
  <c r="FM179" i="6" s="1"/>
  <c r="FL179" i="6" s="1"/>
  <c r="ED64" i="6"/>
  <c r="FK64" i="6" s="1"/>
  <c r="FM64" i="6" s="1"/>
  <c r="FL64" i="6" s="1"/>
  <c r="FK142" i="6"/>
  <c r="FM142" i="6" s="1"/>
  <c r="FL142" i="6" s="1"/>
  <c r="BP3" i="6" l="1"/>
  <c r="BP4" i="6"/>
  <c r="BP5" i="6"/>
  <c r="BP6" i="6"/>
  <c r="BP7" i="6"/>
  <c r="BP8" i="6"/>
  <c r="BP9" i="6"/>
  <c r="BP10" i="6"/>
  <c r="BP12" i="6"/>
  <c r="BP13" i="6"/>
  <c r="BP14" i="6"/>
  <c r="BP15" i="6"/>
  <c r="BP16" i="6"/>
  <c r="BP17" i="6"/>
  <c r="BP18" i="6"/>
  <c r="BP19" i="6"/>
  <c r="BP20" i="6"/>
  <c r="BP21" i="6"/>
  <c r="BP22" i="6"/>
  <c r="BP23" i="6"/>
  <c r="BP24" i="6"/>
  <c r="BP25" i="6"/>
  <c r="BP26" i="6"/>
  <c r="BP27" i="6"/>
  <c r="BP28" i="6"/>
  <c r="BP29" i="6"/>
  <c r="BP30" i="6"/>
  <c r="BP31" i="6"/>
  <c r="BP32" i="6"/>
  <c r="BP33" i="6"/>
  <c r="BP34" i="6"/>
  <c r="BP36" i="6"/>
  <c r="BP37" i="6"/>
  <c r="BP38" i="6"/>
  <c r="BP40" i="6"/>
  <c r="BP41" i="6"/>
  <c r="BP42" i="6"/>
  <c r="BP43" i="6"/>
  <c r="BP46" i="6"/>
  <c r="BP47" i="6"/>
  <c r="BP48" i="6"/>
  <c r="BP49" i="6"/>
  <c r="BP50" i="6"/>
  <c r="BP51" i="6"/>
  <c r="BP52" i="6"/>
  <c r="BP53" i="6"/>
  <c r="BP54" i="6"/>
  <c r="BP55" i="6"/>
  <c r="BP56" i="6"/>
  <c r="BP57" i="6"/>
  <c r="BP58" i="6"/>
  <c r="BP59" i="6"/>
  <c r="BP60" i="6"/>
  <c r="BP62" i="6"/>
  <c r="BP63" i="6"/>
  <c r="BP65" i="6"/>
  <c r="BP66" i="6"/>
  <c r="BP67" i="6"/>
  <c r="BP69" i="6"/>
  <c r="BP70" i="6"/>
  <c r="BP71" i="6"/>
  <c r="BP72" i="6"/>
  <c r="BP73" i="6"/>
  <c r="BP74" i="6"/>
  <c r="BP76" i="6"/>
  <c r="BP77" i="6"/>
  <c r="BP78" i="6"/>
  <c r="BP79" i="6"/>
  <c r="BP80" i="6"/>
  <c r="BP81" i="6"/>
  <c r="BP82" i="6"/>
  <c r="BP83" i="6"/>
  <c r="BP84" i="6"/>
  <c r="BP85" i="6"/>
  <c r="BP86" i="6"/>
  <c r="BP87" i="6"/>
  <c r="BP88" i="6"/>
  <c r="BP89" i="6"/>
  <c r="BP90" i="6"/>
  <c r="BP91" i="6"/>
  <c r="BP92" i="6"/>
  <c r="BP93" i="6"/>
  <c r="BP94" i="6"/>
  <c r="BP95" i="6"/>
  <c r="BP96" i="6"/>
  <c r="BP98" i="6"/>
  <c r="BP99" i="6"/>
  <c r="BP100" i="6"/>
  <c r="BP101" i="6"/>
  <c r="BP102" i="6"/>
  <c r="BP103" i="6"/>
  <c r="BP106" i="6"/>
  <c r="BP107" i="6"/>
  <c r="BP108" i="6"/>
  <c r="BP109" i="6"/>
  <c r="BP110" i="6"/>
  <c r="BP111" i="6"/>
  <c r="BP112" i="6"/>
  <c r="BP113" i="6"/>
  <c r="BP114" i="6"/>
  <c r="BP115" i="6"/>
  <c r="BP116" i="6"/>
  <c r="BP117" i="6"/>
  <c r="BP118" i="6"/>
  <c r="BP119" i="6"/>
  <c r="BP120" i="6"/>
  <c r="BP121" i="6"/>
  <c r="BP122" i="6"/>
  <c r="BP123" i="6"/>
  <c r="BP124" i="6"/>
  <c r="BP125" i="6"/>
  <c r="BP126" i="6"/>
  <c r="BP127" i="6"/>
  <c r="BP128" i="6"/>
  <c r="BP129" i="6"/>
  <c r="BP130" i="6"/>
  <c r="BP131" i="6"/>
  <c r="BP132" i="6"/>
  <c r="BP133" i="6"/>
  <c r="BP134" i="6"/>
  <c r="BP135" i="6"/>
  <c r="BP136" i="6"/>
  <c r="BP137" i="6"/>
  <c r="BP138" i="6"/>
  <c r="BP139" i="6"/>
  <c r="BP140" i="6"/>
  <c r="BP141" i="6"/>
  <c r="BP143" i="6"/>
  <c r="BP144" i="6"/>
  <c r="BP145" i="6"/>
  <c r="BP146" i="6"/>
  <c r="BP147" i="6"/>
  <c r="BP148" i="6"/>
  <c r="BP149" i="6"/>
  <c r="BP150" i="6"/>
  <c r="BP151" i="6"/>
  <c r="BP152" i="6"/>
  <c r="BP153" i="6"/>
  <c r="BP154" i="6"/>
  <c r="BP155" i="6"/>
  <c r="BP156" i="6"/>
  <c r="BP158" i="6"/>
  <c r="BP159" i="6"/>
  <c r="BP160" i="6"/>
  <c r="BP161" i="6"/>
  <c r="BP162" i="6"/>
  <c r="BP163" i="6"/>
  <c r="BP164" i="6"/>
  <c r="BP165" i="6"/>
  <c r="BP166" i="6"/>
  <c r="BP167" i="6"/>
  <c r="BP168" i="6"/>
  <c r="BP170" i="6"/>
  <c r="BP171" i="6"/>
  <c r="BP172" i="6"/>
  <c r="BP173" i="6"/>
  <c r="BP174" i="6"/>
  <c r="BP175" i="6"/>
  <c r="BP176" i="6"/>
  <c r="BP177" i="6"/>
  <c r="BP178" i="6"/>
  <c r="BP180" i="6"/>
  <c r="BP181" i="6"/>
  <c r="BP182" i="6"/>
  <c r="BP183" i="6"/>
  <c r="BP184" i="6"/>
  <c r="BP185" i="6"/>
  <c r="BP186" i="6"/>
  <c r="BP187" i="6"/>
  <c r="BP188" i="6"/>
  <c r="BP189" i="6"/>
  <c r="BP190" i="6"/>
  <c r="BP191" i="6"/>
  <c r="BP193" i="6"/>
  <c r="BP194" i="6"/>
  <c r="BP195" i="6"/>
  <c r="BP196" i="6"/>
  <c r="BP197" i="6"/>
  <c r="BP198" i="6"/>
  <c r="BP199" i="6"/>
  <c r="BP200" i="6"/>
  <c r="BP201" i="6"/>
  <c r="BP202" i="6"/>
  <c r="BP203" i="6"/>
  <c r="BP204" i="6"/>
  <c r="BP205" i="6"/>
  <c r="BP206" i="6"/>
  <c r="BP207" i="6"/>
  <c r="BP208" i="6"/>
  <c r="BP209" i="6"/>
  <c r="BP210" i="6"/>
  <c r="BP211" i="6"/>
  <c r="BP212" i="6"/>
  <c r="BP213" i="6"/>
  <c r="BP214" i="6"/>
  <c r="BP215" i="6"/>
  <c r="BP216" i="6"/>
  <c r="BP217" i="6"/>
  <c r="BP218" i="6"/>
  <c r="BP219" i="6"/>
  <c r="BP220" i="6"/>
  <c r="BP221" i="6"/>
  <c r="BP222" i="6"/>
  <c r="BP223" i="6"/>
  <c r="BP11" i="6"/>
  <c r="BP35" i="6"/>
  <c r="B39" i="6"/>
  <c r="W39" i="6" s="1"/>
  <c r="C39" i="6"/>
  <c r="D39" i="6"/>
  <c r="L39" i="6"/>
  <c r="EQ39" i="6" s="1"/>
  <c r="M39" i="6"/>
  <c r="N39" i="6"/>
  <c r="O39" i="6"/>
  <c r="P39" i="6"/>
  <c r="DA39" i="6" s="1"/>
  <c r="Q39" i="6"/>
  <c r="R39" i="6"/>
  <c r="S39" i="6"/>
  <c r="T39" i="6"/>
  <c r="U39" i="6"/>
  <c r="DE39" i="6" s="1"/>
  <c r="DB39" i="6" s="1"/>
  <c r="V39" i="6"/>
  <c r="Z39" i="6"/>
  <c r="AA39" i="6"/>
  <c r="AB39" i="6"/>
  <c r="AC39" i="6"/>
  <c r="AD39" i="6"/>
  <c r="AE39" i="6"/>
  <c r="AF39" i="6" s="1"/>
  <c r="CW39" i="6" s="1"/>
  <c r="AG39" i="6"/>
  <c r="AH39" i="6"/>
  <c r="AI39" i="6" s="1"/>
  <c r="CO39" i="6" s="1"/>
  <c r="AJ39" i="6"/>
  <c r="AK39" i="6"/>
  <c r="AL39" i="6" s="1"/>
  <c r="BK39" i="6"/>
  <c r="BL39" i="6" s="1"/>
  <c r="BP39" i="6"/>
  <c r="BT39" i="6"/>
  <c r="BX39" i="6"/>
  <c r="CB39" i="6"/>
  <c r="CF39" i="6"/>
  <c r="CK39" i="6"/>
  <c r="DF39" i="6"/>
  <c r="DG39" i="6"/>
  <c r="DH39" i="6"/>
  <c r="DN39" i="6"/>
  <c r="DO39" i="6"/>
  <c r="DP39" i="6"/>
  <c r="DR39" i="6"/>
  <c r="DS39" i="6"/>
  <c r="DT39" i="6"/>
  <c r="DY39" i="6"/>
  <c r="EC39" i="6"/>
  <c r="EH39" i="6"/>
  <c r="EI39" i="6"/>
  <c r="EJ39" i="6"/>
  <c r="EK39" i="6"/>
  <c r="EM39" i="6"/>
  <c r="ES39" i="6"/>
  <c r="ET39" i="6"/>
  <c r="EU39" i="6"/>
  <c r="EW39" i="6"/>
  <c r="FA39" i="6"/>
  <c r="FE39" i="6"/>
  <c r="FI39" i="6"/>
  <c r="B35" i="6"/>
  <c r="W35" i="6" s="1"/>
  <c r="C35" i="6"/>
  <c r="D35" i="6"/>
  <c r="L35" i="6"/>
  <c r="EQ35" i="6" s="1"/>
  <c r="M35" i="6"/>
  <c r="N35" i="6"/>
  <c r="O35" i="6"/>
  <c r="P35" i="6"/>
  <c r="DA35" i="6" s="1"/>
  <c r="Q35" i="6"/>
  <c r="R35" i="6"/>
  <c r="S35" i="6"/>
  <c r="T35" i="6"/>
  <c r="U35" i="6"/>
  <c r="DE35" i="6" s="1"/>
  <c r="V35" i="6"/>
  <c r="Z35" i="6"/>
  <c r="AA35" i="6"/>
  <c r="AB35" i="6"/>
  <c r="AC35" i="6"/>
  <c r="AD35" i="6"/>
  <c r="AE35" i="6"/>
  <c r="AF35" i="6" s="1"/>
  <c r="CW35" i="6" s="1"/>
  <c r="AG35" i="6"/>
  <c r="AH35" i="6"/>
  <c r="AI35" i="6" s="1"/>
  <c r="CO35" i="6" s="1"/>
  <c r="AJ35" i="6"/>
  <c r="AK35" i="6"/>
  <c r="AL35" i="6" s="1"/>
  <c r="BK35" i="6"/>
  <c r="BL35" i="6" s="1"/>
  <c r="BT35" i="6"/>
  <c r="BX35" i="6"/>
  <c r="CB35" i="6"/>
  <c r="CF35" i="6"/>
  <c r="CK35" i="6"/>
  <c r="DF35" i="6"/>
  <c r="DG35" i="6"/>
  <c r="DH35" i="6"/>
  <c r="DN35" i="6"/>
  <c r="DO35" i="6"/>
  <c r="DP35" i="6"/>
  <c r="DR35" i="6"/>
  <c r="DS35" i="6"/>
  <c r="DT35" i="6"/>
  <c r="DY35" i="6"/>
  <c r="EC35" i="6"/>
  <c r="EH35" i="6"/>
  <c r="EI35" i="6"/>
  <c r="EJ35" i="6"/>
  <c r="EK35" i="6"/>
  <c r="EM35" i="6"/>
  <c r="ES35" i="6"/>
  <c r="ET35" i="6"/>
  <c r="EU35" i="6"/>
  <c r="EW35" i="6"/>
  <c r="FA35" i="6"/>
  <c r="FE35" i="6"/>
  <c r="FI35" i="6"/>
  <c r="B11" i="6"/>
  <c r="W11" i="6" s="1"/>
  <c r="C11" i="6"/>
  <c r="D11" i="6"/>
  <c r="L11" i="6"/>
  <c r="EQ11" i="6" s="1"/>
  <c r="M11" i="6"/>
  <c r="N11" i="6"/>
  <c r="O11" i="6"/>
  <c r="P11" i="6"/>
  <c r="DA11" i="6" s="1"/>
  <c r="Q11" i="6"/>
  <c r="R11" i="6"/>
  <c r="S11" i="6"/>
  <c r="T11" i="6"/>
  <c r="U11" i="6"/>
  <c r="DE11" i="6" s="1"/>
  <c r="DB11" i="6" s="1"/>
  <c r="V11" i="6"/>
  <c r="Z11" i="6"/>
  <c r="AA11" i="6"/>
  <c r="AB11" i="6"/>
  <c r="AC11" i="6"/>
  <c r="AD11" i="6"/>
  <c r="AE11" i="6"/>
  <c r="AF11" i="6" s="1"/>
  <c r="CW11" i="6" s="1"/>
  <c r="AG11" i="6"/>
  <c r="AH11" i="6"/>
  <c r="AI11" i="6" s="1"/>
  <c r="CO11" i="6" s="1"/>
  <c r="AJ11" i="6"/>
  <c r="AK11" i="6"/>
  <c r="AL11" i="6" s="1"/>
  <c r="BK11" i="6"/>
  <c r="BL11" i="6" s="1"/>
  <c r="BT11" i="6"/>
  <c r="BX11" i="6"/>
  <c r="CB11" i="6"/>
  <c r="CF11" i="6"/>
  <c r="CK11" i="6"/>
  <c r="DF11" i="6"/>
  <c r="DG11" i="6"/>
  <c r="DH11" i="6"/>
  <c r="DN11" i="6"/>
  <c r="DO11" i="6"/>
  <c r="DP11" i="6"/>
  <c r="DR11" i="6"/>
  <c r="DS11" i="6"/>
  <c r="DT11" i="6"/>
  <c r="DY11" i="6"/>
  <c r="EC11" i="6"/>
  <c r="EH11" i="6"/>
  <c r="EI11" i="6"/>
  <c r="EJ11" i="6"/>
  <c r="EK11" i="6"/>
  <c r="EM11" i="6"/>
  <c r="ES11" i="6"/>
  <c r="ET11" i="6"/>
  <c r="EU11" i="6"/>
  <c r="EW11" i="6"/>
  <c r="FA11" i="6"/>
  <c r="FE11" i="6"/>
  <c r="FI11" i="6"/>
  <c r="B124" i="6"/>
  <c r="B153" i="6"/>
  <c r="B178" i="6"/>
  <c r="B186" i="6"/>
  <c r="B194" i="6"/>
  <c r="B199" i="6"/>
  <c r="W199" i="6" s="1"/>
  <c r="X199" i="6" s="1"/>
  <c r="B203" i="6"/>
  <c r="W203" i="6" s="1"/>
  <c r="X203" i="6" s="1"/>
  <c r="B209" i="6"/>
  <c r="W209" i="6" s="1"/>
  <c r="X209" i="6" s="1"/>
  <c r="C124" i="6"/>
  <c r="C153" i="6"/>
  <c r="E153" i="6" s="1"/>
  <c r="C178" i="6"/>
  <c r="E178" i="6" s="1"/>
  <c r="C186" i="6"/>
  <c r="E186" i="6" s="1"/>
  <c r="C194" i="6"/>
  <c r="E194" i="6" s="1"/>
  <c r="C199" i="6"/>
  <c r="E199" i="6" s="1"/>
  <c r="C203" i="6"/>
  <c r="E203" i="6" s="1"/>
  <c r="C209" i="6"/>
  <c r="E209" i="6" s="1"/>
  <c r="D124" i="6"/>
  <c r="D153" i="6"/>
  <c r="D178" i="6"/>
  <c r="D186" i="6"/>
  <c r="D194" i="6"/>
  <c r="D199" i="6"/>
  <c r="D203" i="6"/>
  <c r="D209" i="6"/>
  <c r="L124" i="6"/>
  <c r="EQ124" i="6" s="1"/>
  <c r="EN124" i="6" s="1"/>
  <c r="L153" i="6"/>
  <c r="EQ153" i="6" s="1"/>
  <c r="EN153" i="6" s="1"/>
  <c r="L178" i="6"/>
  <c r="EQ178" i="6" s="1"/>
  <c r="EN178" i="6" s="1"/>
  <c r="L186" i="6"/>
  <c r="EQ186" i="6" s="1"/>
  <c r="L194" i="6"/>
  <c r="EQ194" i="6" s="1"/>
  <c r="L199" i="6"/>
  <c r="EQ199" i="6" s="1"/>
  <c r="EN199" i="6" s="1"/>
  <c r="L203" i="6"/>
  <c r="EQ203" i="6" s="1"/>
  <c r="EN203" i="6" s="1"/>
  <c r="L209" i="6"/>
  <c r="EQ209" i="6" s="1"/>
  <c r="M124" i="6"/>
  <c r="M153" i="6"/>
  <c r="M178" i="6"/>
  <c r="M186" i="6"/>
  <c r="M194" i="6"/>
  <c r="M199" i="6"/>
  <c r="M203" i="6"/>
  <c r="M209" i="6"/>
  <c r="N124" i="6"/>
  <c r="N153" i="6"/>
  <c r="N178" i="6"/>
  <c r="N186" i="6"/>
  <c r="N194" i="6"/>
  <c r="N199" i="6"/>
  <c r="N203" i="6"/>
  <c r="N209" i="6"/>
  <c r="O124" i="6"/>
  <c r="O153" i="6"/>
  <c r="O178" i="6"/>
  <c r="O186" i="6"/>
  <c r="O194" i="6"/>
  <c r="O199" i="6"/>
  <c r="O203" i="6"/>
  <c r="O209" i="6"/>
  <c r="P124" i="6"/>
  <c r="DA124" i="6" s="1"/>
  <c r="CX124" i="6" s="1"/>
  <c r="P153" i="6"/>
  <c r="DA153" i="6" s="1"/>
  <c r="CX153" i="6" s="1"/>
  <c r="P178" i="6"/>
  <c r="DA178" i="6" s="1"/>
  <c r="CX178" i="6" s="1"/>
  <c r="P186" i="6"/>
  <c r="DA186" i="6" s="1"/>
  <c r="CX186" i="6" s="1"/>
  <c r="P194" i="6"/>
  <c r="DA194" i="6" s="1"/>
  <c r="CX194" i="6" s="1"/>
  <c r="P199" i="6"/>
  <c r="DA199" i="6" s="1"/>
  <c r="CX199" i="6" s="1"/>
  <c r="P203" i="6"/>
  <c r="DA203" i="6" s="1"/>
  <c r="CX203" i="6" s="1"/>
  <c r="P209" i="6"/>
  <c r="DA209" i="6" s="1"/>
  <c r="CX209" i="6" s="1"/>
  <c r="Q124" i="6"/>
  <c r="Q153" i="6"/>
  <c r="Q178" i="6"/>
  <c r="Q186" i="6"/>
  <c r="Q194" i="6"/>
  <c r="Q199" i="6"/>
  <c r="Q203" i="6"/>
  <c r="Q209" i="6"/>
  <c r="R124" i="6"/>
  <c r="R153" i="6"/>
  <c r="R178" i="6"/>
  <c r="R186" i="6"/>
  <c r="R194" i="6"/>
  <c r="R199" i="6"/>
  <c r="R203" i="6"/>
  <c r="R209" i="6"/>
  <c r="S124" i="6"/>
  <c r="S153" i="6"/>
  <c r="S178" i="6"/>
  <c r="S186" i="6"/>
  <c r="S194" i="6"/>
  <c r="S199" i="6"/>
  <c r="S203" i="6"/>
  <c r="S209" i="6"/>
  <c r="T124" i="6"/>
  <c r="T153" i="6"/>
  <c r="T178" i="6"/>
  <c r="T186" i="6"/>
  <c r="T194" i="6"/>
  <c r="T199" i="6"/>
  <c r="T203" i="6"/>
  <c r="T209" i="6"/>
  <c r="U124" i="6"/>
  <c r="DE124" i="6" s="1"/>
  <c r="DB124" i="6" s="1"/>
  <c r="U153" i="6"/>
  <c r="DE153" i="6" s="1"/>
  <c r="DB153" i="6" s="1"/>
  <c r="U178" i="6"/>
  <c r="DE178" i="6" s="1"/>
  <c r="DB178" i="6" s="1"/>
  <c r="U186" i="6"/>
  <c r="DE186" i="6" s="1"/>
  <c r="DB186" i="6" s="1"/>
  <c r="U194" i="6"/>
  <c r="DE194" i="6" s="1"/>
  <c r="DB194" i="6" s="1"/>
  <c r="U199" i="6"/>
  <c r="DE199" i="6" s="1"/>
  <c r="DB199" i="6" s="1"/>
  <c r="U203" i="6"/>
  <c r="DE203" i="6" s="1"/>
  <c r="DB203" i="6" s="1"/>
  <c r="U209" i="6"/>
  <c r="DE209" i="6" s="1"/>
  <c r="DB209" i="6" s="1"/>
  <c r="V124" i="6"/>
  <c r="V153" i="6"/>
  <c r="V178" i="6"/>
  <c r="V186" i="6"/>
  <c r="V194" i="6"/>
  <c r="V199" i="6"/>
  <c r="V203" i="6"/>
  <c r="V209" i="6"/>
  <c r="W124" i="6"/>
  <c r="X124" i="6" s="1"/>
  <c r="W153" i="6"/>
  <c r="Y153" i="6" s="1"/>
  <c r="W178" i="6"/>
  <c r="Y178" i="6" s="1"/>
  <c r="W186" i="6"/>
  <c r="X186" i="6" s="1"/>
  <c r="W194" i="6"/>
  <c r="X194" i="6" s="1"/>
  <c r="Z124" i="6"/>
  <c r="Z153" i="6"/>
  <c r="Z178" i="6"/>
  <c r="Z186" i="6"/>
  <c r="Z194" i="6"/>
  <c r="Z199" i="6"/>
  <c r="Z203" i="6"/>
  <c r="Z209" i="6"/>
  <c r="AA124" i="6"/>
  <c r="AA153" i="6"/>
  <c r="AA178" i="6"/>
  <c r="AA186" i="6"/>
  <c r="AA194" i="6"/>
  <c r="AA199" i="6"/>
  <c r="AA203" i="6"/>
  <c r="AA209" i="6"/>
  <c r="AB124" i="6"/>
  <c r="AB153" i="6"/>
  <c r="AB178" i="6"/>
  <c r="AB186" i="6"/>
  <c r="AB194" i="6"/>
  <c r="AB199" i="6"/>
  <c r="AB203" i="6"/>
  <c r="AB209" i="6"/>
  <c r="AC124" i="6"/>
  <c r="AC153" i="6"/>
  <c r="AC178" i="6"/>
  <c r="AC186" i="6"/>
  <c r="AC194" i="6"/>
  <c r="AC199" i="6"/>
  <c r="AC203" i="6"/>
  <c r="AC209" i="6"/>
  <c r="AD124" i="6"/>
  <c r="AD153" i="6"/>
  <c r="AD178" i="6"/>
  <c r="AD186" i="6"/>
  <c r="AD194" i="6"/>
  <c r="AD199" i="6"/>
  <c r="AD203" i="6"/>
  <c r="AD209" i="6"/>
  <c r="AE124" i="6"/>
  <c r="AF124" i="6" s="1"/>
  <c r="CW124" i="6" s="1"/>
  <c r="CT124" i="6" s="1"/>
  <c r="AE153" i="6"/>
  <c r="AF153" i="6" s="1"/>
  <c r="CW153" i="6" s="1"/>
  <c r="CT153" i="6" s="1"/>
  <c r="AE178" i="6"/>
  <c r="AF178" i="6" s="1"/>
  <c r="CW178" i="6" s="1"/>
  <c r="CT178" i="6" s="1"/>
  <c r="AE186" i="6"/>
  <c r="AF186" i="6" s="1"/>
  <c r="CW186" i="6" s="1"/>
  <c r="CT186" i="6" s="1"/>
  <c r="AE194" i="6"/>
  <c r="AF194" i="6" s="1"/>
  <c r="CW194" i="6" s="1"/>
  <c r="CT194" i="6" s="1"/>
  <c r="AE199" i="6"/>
  <c r="AF199" i="6" s="1"/>
  <c r="CW199" i="6" s="1"/>
  <c r="CT199" i="6" s="1"/>
  <c r="AE203" i="6"/>
  <c r="AF203" i="6" s="1"/>
  <c r="CW203" i="6" s="1"/>
  <c r="CT203" i="6" s="1"/>
  <c r="AE209" i="6"/>
  <c r="AF209" i="6" s="1"/>
  <c r="CW209" i="6" s="1"/>
  <c r="CT209" i="6" s="1"/>
  <c r="AG124" i="6"/>
  <c r="AG153" i="6"/>
  <c r="AG178" i="6"/>
  <c r="AG186" i="6"/>
  <c r="AG194" i="6"/>
  <c r="AG199" i="6"/>
  <c r="AG203" i="6"/>
  <c r="AG209" i="6"/>
  <c r="AH124" i="6"/>
  <c r="AI124" i="6" s="1"/>
  <c r="CO124" i="6" s="1"/>
  <c r="AH153" i="6"/>
  <c r="AI153" i="6" s="1"/>
  <c r="CO153" i="6" s="1"/>
  <c r="AH178" i="6"/>
  <c r="AI178" i="6" s="1"/>
  <c r="CO178" i="6" s="1"/>
  <c r="AH186" i="6"/>
  <c r="AI186" i="6" s="1"/>
  <c r="CO186" i="6" s="1"/>
  <c r="AH194" i="6"/>
  <c r="AI194" i="6" s="1"/>
  <c r="CO194" i="6" s="1"/>
  <c r="AH199" i="6"/>
  <c r="AI199" i="6" s="1"/>
  <c r="CO199" i="6" s="1"/>
  <c r="AH203" i="6"/>
  <c r="AI203" i="6" s="1"/>
  <c r="CO203" i="6" s="1"/>
  <c r="AH209" i="6"/>
  <c r="AI209" i="6" s="1"/>
  <c r="CO209" i="6" s="1"/>
  <c r="CL209" i="6" s="1"/>
  <c r="AJ124" i="6"/>
  <c r="AJ153" i="6"/>
  <c r="AJ178" i="6"/>
  <c r="AJ186" i="6"/>
  <c r="AJ194" i="6"/>
  <c r="AJ199" i="6"/>
  <c r="AJ203" i="6"/>
  <c r="AJ209" i="6"/>
  <c r="AK124" i="6"/>
  <c r="BF124" i="6" s="1"/>
  <c r="AK153" i="6"/>
  <c r="BF153" i="6" s="1"/>
  <c r="AK178" i="6"/>
  <c r="BE178" i="6" s="1"/>
  <c r="AK186" i="6"/>
  <c r="BE186" i="6" s="1"/>
  <c r="AK194" i="6"/>
  <c r="BD194" i="6" s="1"/>
  <c r="AK199" i="6"/>
  <c r="BE199" i="6" s="1"/>
  <c r="AK203" i="6"/>
  <c r="BE203" i="6" s="1"/>
  <c r="AK209" i="6"/>
  <c r="BD209" i="6" s="1"/>
  <c r="BK124" i="6"/>
  <c r="BL124" i="6" s="1"/>
  <c r="BK153" i="6"/>
  <c r="BL153" i="6" s="1"/>
  <c r="BK178" i="6"/>
  <c r="BL178" i="6" s="1"/>
  <c r="BK186" i="6"/>
  <c r="BL186" i="6" s="1"/>
  <c r="BK194" i="6"/>
  <c r="BL194" i="6" s="1"/>
  <c r="BK199" i="6"/>
  <c r="BL199" i="6" s="1"/>
  <c r="BK203" i="6"/>
  <c r="BL203" i="6" s="1"/>
  <c r="BK209" i="6"/>
  <c r="BL209" i="6" s="1"/>
  <c r="BT124" i="6"/>
  <c r="BT153" i="6"/>
  <c r="BT178" i="6"/>
  <c r="BT186" i="6"/>
  <c r="BT194" i="6"/>
  <c r="BT199" i="6"/>
  <c r="BT203" i="6"/>
  <c r="BT209" i="6"/>
  <c r="BX124" i="6"/>
  <c r="BX153" i="6"/>
  <c r="BX178" i="6"/>
  <c r="BX186" i="6"/>
  <c r="BX194" i="6"/>
  <c r="BX199" i="6"/>
  <c r="BX203" i="6"/>
  <c r="BX209" i="6"/>
  <c r="CB124" i="6"/>
  <c r="CB153" i="6"/>
  <c r="CB178" i="6"/>
  <c r="CB186" i="6"/>
  <c r="CB194" i="6"/>
  <c r="CB199" i="6"/>
  <c r="CB203" i="6"/>
  <c r="CB209" i="6"/>
  <c r="CF124" i="6"/>
  <c r="CG124" i="6" s="1"/>
  <c r="CF153" i="6"/>
  <c r="CF178" i="6"/>
  <c r="CF186" i="6"/>
  <c r="CF194" i="6"/>
  <c r="CF199" i="6"/>
  <c r="CF203" i="6"/>
  <c r="CF209" i="6"/>
  <c r="CK124" i="6"/>
  <c r="CK153" i="6"/>
  <c r="CK178" i="6"/>
  <c r="CK186" i="6"/>
  <c r="CK194" i="6"/>
  <c r="CK199" i="6"/>
  <c r="CK203" i="6"/>
  <c r="CK209" i="6"/>
  <c r="DF124" i="6"/>
  <c r="DF153" i="6"/>
  <c r="DF178" i="6"/>
  <c r="DF186" i="6"/>
  <c r="DF194" i="6"/>
  <c r="DF199" i="6"/>
  <c r="DF203" i="6"/>
  <c r="DF209" i="6"/>
  <c r="DG124" i="6"/>
  <c r="DG153" i="6"/>
  <c r="DG178" i="6"/>
  <c r="DG186" i="6"/>
  <c r="DG194" i="6"/>
  <c r="DG199" i="6"/>
  <c r="DG203" i="6"/>
  <c r="DG209" i="6"/>
  <c r="DH124" i="6"/>
  <c r="DH153" i="6"/>
  <c r="DH178" i="6"/>
  <c r="DH186" i="6"/>
  <c r="DH194" i="6"/>
  <c r="DH199" i="6"/>
  <c r="DH203" i="6"/>
  <c r="DH209" i="6"/>
  <c r="DN124" i="6"/>
  <c r="DN153" i="6"/>
  <c r="DN178" i="6"/>
  <c r="DN186" i="6"/>
  <c r="DN194" i="6"/>
  <c r="DN199" i="6"/>
  <c r="DN203" i="6"/>
  <c r="DN209" i="6"/>
  <c r="DO124" i="6"/>
  <c r="DO153" i="6"/>
  <c r="DO178" i="6"/>
  <c r="DO186" i="6"/>
  <c r="DO194" i="6"/>
  <c r="DO199" i="6"/>
  <c r="DO203" i="6"/>
  <c r="DO209" i="6"/>
  <c r="DP124" i="6"/>
  <c r="DP153" i="6"/>
  <c r="DP178" i="6"/>
  <c r="DP186" i="6"/>
  <c r="DP194" i="6"/>
  <c r="DP199" i="6"/>
  <c r="DP203" i="6"/>
  <c r="DP209" i="6"/>
  <c r="DR124" i="6"/>
  <c r="DR153" i="6"/>
  <c r="DR178" i="6"/>
  <c r="DR186" i="6"/>
  <c r="DR194" i="6"/>
  <c r="DR199" i="6"/>
  <c r="DR203" i="6"/>
  <c r="DR209" i="6"/>
  <c r="DS124" i="6"/>
  <c r="DS153" i="6"/>
  <c r="DS178" i="6"/>
  <c r="DS186" i="6"/>
  <c r="DS194" i="6"/>
  <c r="DS199" i="6"/>
  <c r="DS203" i="6"/>
  <c r="DS209" i="6"/>
  <c r="DT124" i="6"/>
  <c r="DT153" i="6"/>
  <c r="DT178" i="6"/>
  <c r="DT186" i="6"/>
  <c r="DT194" i="6"/>
  <c r="DT199" i="6"/>
  <c r="DT203" i="6"/>
  <c r="DT209" i="6"/>
  <c r="DY124" i="6"/>
  <c r="DY153" i="6"/>
  <c r="DY178" i="6"/>
  <c r="DY186" i="6"/>
  <c r="DY194" i="6"/>
  <c r="DY199" i="6"/>
  <c r="DY203" i="6"/>
  <c r="DY209" i="6"/>
  <c r="EC124" i="6"/>
  <c r="EC153" i="6"/>
  <c r="EC178" i="6"/>
  <c r="EC186" i="6"/>
  <c r="EC194" i="6"/>
  <c r="EC199" i="6"/>
  <c r="EC203" i="6"/>
  <c r="EC209" i="6"/>
  <c r="EH124" i="6"/>
  <c r="EH153" i="6"/>
  <c r="EH178" i="6"/>
  <c r="EH186" i="6"/>
  <c r="EH194" i="6"/>
  <c r="EH199" i="6"/>
  <c r="EH203" i="6"/>
  <c r="EH209" i="6"/>
  <c r="EI124" i="6"/>
  <c r="EI153" i="6"/>
  <c r="EI178" i="6"/>
  <c r="EI186" i="6"/>
  <c r="EI194" i="6"/>
  <c r="EI199" i="6"/>
  <c r="EI203" i="6"/>
  <c r="EI209" i="6"/>
  <c r="EJ124" i="6"/>
  <c r="EJ153" i="6"/>
  <c r="EJ178" i="6"/>
  <c r="EJ186" i="6"/>
  <c r="EJ194" i="6"/>
  <c r="EJ199" i="6"/>
  <c r="EJ203" i="6"/>
  <c r="EJ209" i="6"/>
  <c r="EK124" i="6"/>
  <c r="EK153" i="6"/>
  <c r="EK178" i="6"/>
  <c r="EK186" i="6"/>
  <c r="EK194" i="6"/>
  <c r="EK199" i="6"/>
  <c r="EK203" i="6"/>
  <c r="EK209" i="6"/>
  <c r="EM124" i="6"/>
  <c r="EM153" i="6"/>
  <c r="EM178" i="6"/>
  <c r="EM186" i="6"/>
  <c r="EM194" i="6"/>
  <c r="EM199" i="6"/>
  <c r="EM203" i="6"/>
  <c r="EM209" i="6"/>
  <c r="ES124" i="6"/>
  <c r="ES153" i="6"/>
  <c r="ES178" i="6"/>
  <c r="ES186" i="6"/>
  <c r="ES194" i="6"/>
  <c r="ES199" i="6"/>
  <c r="ES203" i="6"/>
  <c r="ES209" i="6"/>
  <c r="ET124" i="6"/>
  <c r="ET153" i="6"/>
  <c r="ET178" i="6"/>
  <c r="ET186" i="6"/>
  <c r="ET194" i="6"/>
  <c r="ET199" i="6"/>
  <c r="ET203" i="6"/>
  <c r="ET209" i="6"/>
  <c r="EU124" i="6"/>
  <c r="EU153" i="6"/>
  <c r="EU178" i="6"/>
  <c r="EU186" i="6"/>
  <c r="EU194" i="6"/>
  <c r="EU199" i="6"/>
  <c r="EU203" i="6"/>
  <c r="EU209" i="6"/>
  <c r="EW124" i="6"/>
  <c r="EW153" i="6"/>
  <c r="EW178" i="6"/>
  <c r="EW186" i="6"/>
  <c r="EW194" i="6"/>
  <c r="EW199" i="6"/>
  <c r="EW203" i="6"/>
  <c r="EW209" i="6"/>
  <c r="FA124" i="6"/>
  <c r="FA153" i="6"/>
  <c r="FA178" i="6"/>
  <c r="FA186" i="6"/>
  <c r="FA194" i="6"/>
  <c r="FA199" i="6"/>
  <c r="FA203" i="6"/>
  <c r="FA209" i="6"/>
  <c r="FE124" i="6"/>
  <c r="FE153" i="6"/>
  <c r="FE178" i="6"/>
  <c r="FE186" i="6"/>
  <c r="FE194" i="6"/>
  <c r="FE199" i="6"/>
  <c r="FE203" i="6"/>
  <c r="FE209" i="6"/>
  <c r="FI124" i="6"/>
  <c r="FI153" i="6"/>
  <c r="FI178" i="6"/>
  <c r="FI186" i="6"/>
  <c r="FI194" i="6"/>
  <c r="FI199" i="6"/>
  <c r="FI203" i="6"/>
  <c r="FI209" i="6"/>
  <c r="E35" i="6" l="1"/>
  <c r="E39" i="6"/>
  <c r="E11" i="6"/>
  <c r="E124" i="6"/>
  <c r="BF203" i="6"/>
  <c r="BF186" i="6"/>
  <c r="BD178" i="6"/>
  <c r="AL203" i="6"/>
  <c r="BI35" i="6"/>
  <c r="BI203" i="6"/>
  <c r="AL178" i="6"/>
  <c r="BH178" i="6"/>
  <c r="BD203" i="6"/>
  <c r="BF35" i="6"/>
  <c r="BH153" i="6"/>
  <c r="Y203" i="6"/>
  <c r="BE35" i="6"/>
  <c r="CG178" i="6"/>
  <c r="CG153" i="6"/>
  <c r="CG209" i="6"/>
  <c r="X39" i="6"/>
  <c r="Y39" i="6"/>
  <c r="BG186" i="6"/>
  <c r="BF178" i="6"/>
  <c r="BF39" i="6"/>
  <c r="BI209" i="6"/>
  <c r="CG194" i="6"/>
  <c r="BI178" i="6"/>
  <c r="BG178" i="6"/>
  <c r="AL186" i="6"/>
  <c r="BE39" i="6"/>
  <c r="ER178" i="6"/>
  <c r="FJ178" i="6" s="1"/>
  <c r="DD39" i="6"/>
  <c r="BF209" i="6"/>
  <c r="BE209" i="6"/>
  <c r="X178" i="6"/>
  <c r="DC39" i="6"/>
  <c r="BI39" i="6"/>
  <c r="CG203" i="6"/>
  <c r="CG199" i="6"/>
  <c r="CG186" i="6"/>
  <c r="BI153" i="6"/>
  <c r="BG199" i="6"/>
  <c r="BD153" i="6"/>
  <c r="AL153" i="6"/>
  <c r="X153" i="6"/>
  <c r="BI11" i="6"/>
  <c r="BH199" i="6"/>
  <c r="BE153" i="6"/>
  <c r="BF11" i="6"/>
  <c r="CG35" i="6"/>
  <c r="CG39" i="6"/>
  <c r="DD35" i="6"/>
  <c r="DC35" i="6"/>
  <c r="CV39" i="6"/>
  <c r="CU39" i="6"/>
  <c r="CT39" i="6"/>
  <c r="CZ39" i="6"/>
  <c r="CY39" i="6"/>
  <c r="CX39" i="6"/>
  <c r="EO39" i="6"/>
  <c r="ER39" i="6"/>
  <c r="FJ39" i="6" s="1"/>
  <c r="EP39" i="6"/>
  <c r="EN39" i="6"/>
  <c r="Y35" i="6"/>
  <c r="X35" i="6"/>
  <c r="EN209" i="6"/>
  <c r="ER209" i="6"/>
  <c r="FJ209" i="6" s="1"/>
  <c r="EN186" i="6"/>
  <c r="ER186" i="6"/>
  <c r="FJ186" i="6" s="1"/>
  <c r="CN39" i="6"/>
  <c r="CS39" i="6"/>
  <c r="ED39" i="6" s="1"/>
  <c r="CM39" i="6"/>
  <c r="CL39" i="6"/>
  <c r="ER203" i="6"/>
  <c r="FJ203" i="6" s="1"/>
  <c r="BH203" i="6"/>
  <c r="BG203" i="6"/>
  <c r="BG153" i="6"/>
  <c r="BF199" i="6"/>
  <c r="BD199" i="6"/>
  <c r="AL199" i="6"/>
  <c r="Y199" i="6"/>
  <c r="CG11" i="6"/>
  <c r="BE11" i="6"/>
  <c r="BH39" i="6"/>
  <c r="BD39" i="6"/>
  <c r="BG124" i="6"/>
  <c r="Y186" i="6"/>
  <c r="BG39" i="6"/>
  <c r="Y209" i="6"/>
  <c r="CL153" i="6"/>
  <c r="CS153" i="6"/>
  <c r="CP153" i="6" s="1"/>
  <c r="CV35" i="6"/>
  <c r="CT35" i="6"/>
  <c r="CU35" i="6"/>
  <c r="EO35" i="6"/>
  <c r="EP35" i="6"/>
  <c r="EN35" i="6"/>
  <c r="ER35" i="6"/>
  <c r="FJ35" i="6" s="1"/>
  <c r="CL199" i="6"/>
  <c r="CS199" i="6"/>
  <c r="CP199" i="6" s="1"/>
  <c r="X11" i="6"/>
  <c r="Y11" i="6"/>
  <c r="CZ35" i="6"/>
  <c r="CX35" i="6"/>
  <c r="CY35" i="6"/>
  <c r="CL186" i="6"/>
  <c r="CS186" i="6"/>
  <c r="CP186" i="6" s="1"/>
  <c r="EN194" i="6"/>
  <c r="ER194" i="6"/>
  <c r="FJ194" i="6" s="1"/>
  <c r="CN35" i="6"/>
  <c r="CS35" i="6"/>
  <c r="ED35" i="6" s="1"/>
  <c r="CL35" i="6"/>
  <c r="CM35" i="6"/>
  <c r="CL203" i="6"/>
  <c r="CS203" i="6"/>
  <c r="CP203" i="6" s="1"/>
  <c r="CL178" i="6"/>
  <c r="CS178" i="6"/>
  <c r="CP178" i="6" s="1"/>
  <c r="ER199" i="6"/>
  <c r="FJ199" i="6" s="1"/>
  <c r="BD124" i="6"/>
  <c r="DD11" i="6"/>
  <c r="DB35" i="6"/>
  <c r="BH35" i="6"/>
  <c r="BD35" i="6"/>
  <c r="BH124" i="6"/>
  <c r="CS209" i="6"/>
  <c r="CP209" i="6" s="1"/>
  <c r="BI199" i="6"/>
  <c r="BI124" i="6"/>
  <c r="BH186" i="6"/>
  <c r="BG209" i="6"/>
  <c r="BE124" i="6"/>
  <c r="BD186" i="6"/>
  <c r="AL209" i="6"/>
  <c r="DC11" i="6"/>
  <c r="BG35" i="6"/>
  <c r="AL124" i="6"/>
  <c r="ER153" i="6"/>
  <c r="FJ153" i="6" s="1"/>
  <c r="BI186" i="6"/>
  <c r="BH209" i="6"/>
  <c r="CL124" i="6"/>
  <c r="CS124" i="6"/>
  <c r="CP124" i="6" s="1"/>
  <c r="CV11" i="6"/>
  <c r="CU11" i="6"/>
  <c r="CT11" i="6"/>
  <c r="CZ11" i="6"/>
  <c r="CY11" i="6"/>
  <c r="CX11" i="6"/>
  <c r="EO11" i="6"/>
  <c r="ER11" i="6"/>
  <c r="FJ11" i="6" s="1"/>
  <c r="EP11" i="6"/>
  <c r="EN11" i="6"/>
  <c r="CL194" i="6"/>
  <c r="CS194" i="6"/>
  <c r="CP194" i="6" s="1"/>
  <c r="CN11" i="6"/>
  <c r="CM11" i="6"/>
  <c r="CS11" i="6"/>
  <c r="CL11" i="6"/>
  <c r="BG194" i="6"/>
  <c r="BF194" i="6"/>
  <c r="AL194" i="6"/>
  <c r="BH11" i="6"/>
  <c r="BD11" i="6"/>
  <c r="ER124" i="6"/>
  <c r="FJ124" i="6" s="1"/>
  <c r="BI194" i="6"/>
  <c r="BH194" i="6"/>
  <c r="BE194" i="6"/>
  <c r="Y194" i="6"/>
  <c r="Y124" i="6"/>
  <c r="BG11" i="6"/>
  <c r="EP209" i="6"/>
  <c r="EP186" i="6"/>
  <c r="EO209" i="6"/>
  <c r="EO186" i="6"/>
  <c r="DD209" i="6"/>
  <c r="DD186" i="6"/>
  <c r="DC209" i="6"/>
  <c r="DC186" i="6"/>
  <c r="CZ209" i="6"/>
  <c r="CZ186" i="6"/>
  <c r="CY209" i="6"/>
  <c r="CY186" i="6"/>
  <c r="CV209" i="6"/>
  <c r="CV186" i="6"/>
  <c r="CU209" i="6"/>
  <c r="CU186" i="6"/>
  <c r="CN209" i="6"/>
  <c r="CN186" i="6"/>
  <c r="CM209" i="6"/>
  <c r="CM186" i="6"/>
  <c r="EP203" i="6"/>
  <c r="EP178" i="6"/>
  <c r="EO203" i="6"/>
  <c r="EO178" i="6"/>
  <c r="DD203" i="6"/>
  <c r="DD178" i="6"/>
  <c r="DC203" i="6"/>
  <c r="DC178" i="6"/>
  <c r="CZ203" i="6"/>
  <c r="CZ178" i="6"/>
  <c r="CY203" i="6"/>
  <c r="CY178" i="6"/>
  <c r="CV203" i="6"/>
  <c r="CV178" i="6"/>
  <c r="CU203" i="6"/>
  <c r="CU178" i="6"/>
  <c r="CQ178" i="6"/>
  <c r="CN203" i="6"/>
  <c r="CN178" i="6"/>
  <c r="CM203" i="6"/>
  <c r="CM178" i="6"/>
  <c r="EP199" i="6"/>
  <c r="EP153" i="6"/>
  <c r="EO199" i="6"/>
  <c r="EO153" i="6"/>
  <c r="DD199" i="6"/>
  <c r="DD153" i="6"/>
  <c r="DC199" i="6"/>
  <c r="DC153" i="6"/>
  <c r="CZ199" i="6"/>
  <c r="CZ153" i="6"/>
  <c r="CY199" i="6"/>
  <c r="CY153" i="6"/>
  <c r="CV199" i="6"/>
  <c r="CV153" i="6"/>
  <c r="CU199" i="6"/>
  <c r="CU153" i="6"/>
  <c r="CN199" i="6"/>
  <c r="CN153" i="6"/>
  <c r="CM199" i="6"/>
  <c r="CM153" i="6"/>
  <c r="EP194" i="6"/>
  <c r="EP124" i="6"/>
  <c r="EO194" i="6"/>
  <c r="EO124" i="6"/>
  <c r="DD194" i="6"/>
  <c r="DD124" i="6"/>
  <c r="DC194" i="6"/>
  <c r="DC124" i="6"/>
  <c r="CZ194" i="6"/>
  <c r="CZ124" i="6"/>
  <c r="CY194" i="6"/>
  <c r="CY124" i="6"/>
  <c r="CV194" i="6"/>
  <c r="CV124" i="6"/>
  <c r="CU194" i="6"/>
  <c r="CU124" i="6"/>
  <c r="CN194" i="6"/>
  <c r="CN124" i="6"/>
  <c r="CM194" i="6"/>
  <c r="CM124" i="6"/>
  <c r="F1955" i="16" a="1"/>
  <c r="F1955" i="16" s="1"/>
  <c r="F1954" i="16" a="1"/>
  <c r="F1954" i="16" s="1"/>
  <c r="F1953" i="16" a="1"/>
  <c r="F1953" i="16" s="1"/>
  <c r="F1952" i="16" a="1"/>
  <c r="F1952" i="16" s="1"/>
  <c r="F1951" i="16" a="1"/>
  <c r="F1951" i="16" s="1"/>
  <c r="F1950" i="16" a="1"/>
  <c r="F1950" i="16" s="1"/>
  <c r="F1949" i="16" a="1"/>
  <c r="F1949" i="16" s="1"/>
  <c r="F1948" i="16" a="1"/>
  <c r="F1948" i="16" s="1"/>
  <c r="F1947" i="16" a="1"/>
  <c r="F1947" i="16" s="1"/>
  <c r="F1946" i="16" a="1"/>
  <c r="F1946" i="16" s="1"/>
  <c r="F1945" i="16" a="1"/>
  <c r="F1945" i="16" s="1"/>
  <c r="F1944" i="16" a="1"/>
  <c r="F1944" i="16" s="1"/>
  <c r="F1943" i="16" a="1"/>
  <c r="F1943" i="16" s="1"/>
  <c r="CQ153" i="6" l="1"/>
  <c r="BJ153" i="6"/>
  <c r="BJ178" i="6"/>
  <c r="ED153" i="6"/>
  <c r="FK153" i="6" s="1"/>
  <c r="FM153" i="6" s="1"/>
  <c r="FL153" i="6" s="1"/>
  <c r="BJ203" i="6"/>
  <c r="FK39" i="6"/>
  <c r="FM39" i="6" s="1"/>
  <c r="FL39" i="6" s="1"/>
  <c r="CQ203" i="6"/>
  <c r="CQ199" i="6"/>
  <c r="CR178" i="6"/>
  <c r="ED203" i="6"/>
  <c r="FK203" i="6" s="1"/>
  <c r="FM203" i="6" s="1"/>
  <c r="FL203" i="6" s="1"/>
  <c r="CR199" i="6"/>
  <c r="CR186" i="6"/>
  <c r="BJ199" i="6"/>
  <c r="FK35" i="6"/>
  <c r="FM35" i="6" s="1"/>
  <c r="FL35" i="6" s="1"/>
  <c r="ED186" i="6"/>
  <c r="FK186" i="6" s="1"/>
  <c r="FM186" i="6" s="1"/>
  <c r="FL186" i="6" s="1"/>
  <c r="CR39" i="6"/>
  <c r="CQ39" i="6"/>
  <c r="CP39" i="6"/>
  <c r="BJ39" i="6"/>
  <c r="BJ194" i="6"/>
  <c r="BJ209" i="6"/>
  <c r="CQ186" i="6"/>
  <c r="ED199" i="6"/>
  <c r="FK199" i="6" s="1"/>
  <c r="FM199" i="6" s="1"/>
  <c r="FL199" i="6" s="1"/>
  <c r="CR153" i="6"/>
  <c r="BJ186" i="6"/>
  <c r="CQ209" i="6"/>
  <c r="ED209" i="6"/>
  <c r="FK209" i="6" s="1"/>
  <c r="FM209" i="6" s="1"/>
  <c r="FL209" i="6" s="1"/>
  <c r="CQ124" i="6"/>
  <c r="CR203" i="6"/>
  <c r="CR209" i="6"/>
  <c r="BJ35" i="6"/>
  <c r="BJ124" i="6"/>
  <c r="CR35" i="6"/>
  <c r="CP35" i="6"/>
  <c r="CQ35" i="6"/>
  <c r="ED178" i="6"/>
  <c r="FK178" i="6" s="1"/>
  <c r="FM178" i="6" s="1"/>
  <c r="FL178" i="6" s="1"/>
  <c r="CQ194" i="6"/>
  <c r="CR124" i="6"/>
  <c r="ED124" i="6"/>
  <c r="FK124" i="6" s="1"/>
  <c r="FM124" i="6" s="1"/>
  <c r="FL124" i="6" s="1"/>
  <c r="CR11" i="6"/>
  <c r="CQ11" i="6"/>
  <c r="CP11" i="6"/>
  <c r="CR194" i="6"/>
  <c r="BJ11" i="6"/>
  <c r="ED11" i="6"/>
  <c r="FK11" i="6" s="1"/>
  <c r="FM11" i="6" s="1"/>
  <c r="FL11" i="6" s="1"/>
  <c r="ED194" i="6"/>
  <c r="FK194" i="6" s="1"/>
  <c r="FM194" i="6" s="1"/>
  <c r="FL194" i="6" s="1"/>
  <c r="P215" i="6"/>
  <c r="P176" i="6"/>
  <c r="P173" i="6"/>
  <c r="P150" i="6"/>
  <c r="P85" i="6"/>
  <c r="P54" i="6"/>
  <c r="P222" i="6" l="1"/>
  <c r="P152" i="6"/>
  <c r="P42" i="6"/>
  <c r="P88" i="6"/>
  <c r="B47" i="6" l="1"/>
  <c r="W47" i="6" s="1"/>
  <c r="X47" i="6" s="1"/>
  <c r="C47" i="6"/>
  <c r="D47" i="6"/>
  <c r="L47" i="6"/>
  <c r="EQ47" i="6" s="1"/>
  <c r="M47" i="6"/>
  <c r="N47" i="6"/>
  <c r="O47" i="6"/>
  <c r="P47" i="6"/>
  <c r="DA47" i="6" s="1"/>
  <c r="Q47" i="6"/>
  <c r="R47" i="6"/>
  <c r="S47" i="6"/>
  <c r="T47" i="6"/>
  <c r="U47" i="6"/>
  <c r="DE47" i="6" s="1"/>
  <c r="DB47" i="6" s="1"/>
  <c r="V47" i="6"/>
  <c r="Z47" i="6"/>
  <c r="AA47" i="6"/>
  <c r="AB47" i="6"/>
  <c r="AC47" i="6"/>
  <c r="AD47" i="6"/>
  <c r="AE47" i="6"/>
  <c r="AF47" i="6" s="1"/>
  <c r="CW47" i="6" s="1"/>
  <c r="AG47" i="6"/>
  <c r="AH47" i="6"/>
  <c r="AI47" i="6" s="1"/>
  <c r="CO47" i="6" s="1"/>
  <c r="AJ47" i="6"/>
  <c r="AK47" i="6"/>
  <c r="AL47" i="6" s="1"/>
  <c r="BK47" i="6"/>
  <c r="BL47" i="6" s="1"/>
  <c r="BT47" i="6"/>
  <c r="BX47" i="6"/>
  <c r="CB47" i="6"/>
  <c r="CF47" i="6"/>
  <c r="CK47" i="6"/>
  <c r="DF47" i="6"/>
  <c r="DG47" i="6"/>
  <c r="DH47" i="6"/>
  <c r="DN47" i="6"/>
  <c r="DO47" i="6"/>
  <c r="DP47" i="6"/>
  <c r="DR47" i="6"/>
  <c r="DS47" i="6"/>
  <c r="DT47" i="6"/>
  <c r="DY47" i="6"/>
  <c r="EC47" i="6"/>
  <c r="EH47" i="6"/>
  <c r="EI47" i="6"/>
  <c r="EJ47" i="6"/>
  <c r="EK47" i="6"/>
  <c r="EM47" i="6"/>
  <c r="ES47" i="6"/>
  <c r="ET47" i="6"/>
  <c r="EU47" i="6"/>
  <c r="EW47" i="6"/>
  <c r="FA47" i="6"/>
  <c r="FE47" i="6"/>
  <c r="FI47" i="6"/>
  <c r="B76" i="6"/>
  <c r="W76" i="6" s="1"/>
  <c r="C76" i="6"/>
  <c r="D76" i="6"/>
  <c r="L76" i="6"/>
  <c r="EQ76" i="6" s="1"/>
  <c r="M76" i="6"/>
  <c r="N76" i="6"/>
  <c r="O76" i="6"/>
  <c r="P76" i="6"/>
  <c r="DA76" i="6" s="1"/>
  <c r="Q76" i="6"/>
  <c r="R76" i="6"/>
  <c r="S76" i="6"/>
  <c r="T76" i="6"/>
  <c r="U76" i="6"/>
  <c r="DE76" i="6" s="1"/>
  <c r="V76" i="6"/>
  <c r="Z76" i="6"/>
  <c r="AA76" i="6"/>
  <c r="AB76" i="6"/>
  <c r="AC76" i="6"/>
  <c r="AD76" i="6"/>
  <c r="AE76" i="6"/>
  <c r="AF76" i="6" s="1"/>
  <c r="CW76" i="6" s="1"/>
  <c r="AG76" i="6"/>
  <c r="AH76" i="6"/>
  <c r="AI76" i="6" s="1"/>
  <c r="CO76" i="6" s="1"/>
  <c r="AJ76" i="6"/>
  <c r="AK76" i="6"/>
  <c r="AL76" i="6" s="1"/>
  <c r="BK76" i="6"/>
  <c r="BL76" i="6" s="1"/>
  <c r="BT76" i="6"/>
  <c r="BX76" i="6"/>
  <c r="CB76" i="6"/>
  <c r="CF76" i="6"/>
  <c r="CK76" i="6"/>
  <c r="DF76" i="6"/>
  <c r="DG76" i="6"/>
  <c r="DH76" i="6"/>
  <c r="DN76" i="6"/>
  <c r="DO76" i="6"/>
  <c r="DP76" i="6"/>
  <c r="DR76" i="6"/>
  <c r="DS76" i="6"/>
  <c r="DT76" i="6"/>
  <c r="DY76" i="6"/>
  <c r="EC76" i="6"/>
  <c r="EH76" i="6"/>
  <c r="EI76" i="6"/>
  <c r="EJ76" i="6"/>
  <c r="EK76" i="6"/>
  <c r="EM76" i="6"/>
  <c r="ES76" i="6"/>
  <c r="ET76" i="6"/>
  <c r="EU76" i="6"/>
  <c r="EW76" i="6"/>
  <c r="FA76" i="6"/>
  <c r="FE76" i="6"/>
  <c r="FI76" i="6"/>
  <c r="B77" i="6"/>
  <c r="W77" i="6" s="1"/>
  <c r="C77" i="6"/>
  <c r="D77" i="6"/>
  <c r="L77" i="6"/>
  <c r="EQ77" i="6" s="1"/>
  <c r="M77" i="6"/>
  <c r="N77" i="6"/>
  <c r="O77" i="6"/>
  <c r="P77" i="6"/>
  <c r="DA77" i="6" s="1"/>
  <c r="Q77" i="6"/>
  <c r="R77" i="6"/>
  <c r="S77" i="6"/>
  <c r="T77" i="6"/>
  <c r="U77" i="6"/>
  <c r="DE77" i="6" s="1"/>
  <c r="DB77" i="6" s="1"/>
  <c r="V77" i="6"/>
  <c r="Z77" i="6"/>
  <c r="AA77" i="6"/>
  <c r="AB77" i="6"/>
  <c r="AC77" i="6"/>
  <c r="AD77" i="6"/>
  <c r="AE77" i="6"/>
  <c r="AF77" i="6" s="1"/>
  <c r="CW77" i="6" s="1"/>
  <c r="AG77" i="6"/>
  <c r="AH77" i="6"/>
  <c r="AI77" i="6" s="1"/>
  <c r="CO77" i="6" s="1"/>
  <c r="AJ77" i="6"/>
  <c r="AK77" i="6"/>
  <c r="AL77" i="6" s="1"/>
  <c r="BK77" i="6"/>
  <c r="BL77" i="6" s="1"/>
  <c r="BT77" i="6"/>
  <c r="BX77" i="6"/>
  <c r="CB77" i="6"/>
  <c r="CF77" i="6"/>
  <c r="CK77" i="6"/>
  <c r="DF77" i="6"/>
  <c r="DG77" i="6"/>
  <c r="DH77" i="6"/>
  <c r="DN77" i="6"/>
  <c r="DO77" i="6"/>
  <c r="DP77" i="6"/>
  <c r="DR77" i="6"/>
  <c r="DS77" i="6"/>
  <c r="DT77" i="6"/>
  <c r="DY77" i="6"/>
  <c r="EC77" i="6"/>
  <c r="EH77" i="6"/>
  <c r="EI77" i="6"/>
  <c r="EJ77" i="6"/>
  <c r="EK77" i="6"/>
  <c r="EM77" i="6"/>
  <c r="ES77" i="6"/>
  <c r="ET77" i="6"/>
  <c r="EU77" i="6"/>
  <c r="EW77" i="6"/>
  <c r="FA77" i="6"/>
  <c r="FE77" i="6"/>
  <c r="FI77" i="6"/>
  <c r="B26" i="6"/>
  <c r="B43" i="6"/>
  <c r="B52" i="6"/>
  <c r="B63" i="6"/>
  <c r="B65" i="6"/>
  <c r="B72" i="6"/>
  <c r="B74" i="6"/>
  <c r="B80" i="6"/>
  <c r="B93" i="6"/>
  <c r="B96" i="6"/>
  <c r="B100" i="6"/>
  <c r="B125" i="6"/>
  <c r="B126" i="6"/>
  <c r="B160" i="6"/>
  <c r="B163" i="6"/>
  <c r="B167" i="6"/>
  <c r="W167" i="6" s="1"/>
  <c r="B172" i="6"/>
  <c r="W172" i="6" s="1"/>
  <c r="X172" i="6" s="1"/>
  <c r="B173" i="6"/>
  <c r="W173" i="6" s="1"/>
  <c r="X173" i="6" s="1"/>
  <c r="B196" i="6"/>
  <c r="W196" i="6" s="1"/>
  <c r="B210" i="6"/>
  <c r="W210" i="6" s="1"/>
  <c r="C26" i="6"/>
  <c r="E26" i="6" s="1"/>
  <c r="C43" i="6"/>
  <c r="E43" i="6" s="1"/>
  <c r="C52" i="6"/>
  <c r="E52" i="6" s="1"/>
  <c r="C63" i="6"/>
  <c r="E63" i="6" s="1"/>
  <c r="C65" i="6"/>
  <c r="E65" i="6" s="1"/>
  <c r="C72" i="6"/>
  <c r="E72" i="6" s="1"/>
  <c r="C74" i="6"/>
  <c r="E74" i="6" s="1"/>
  <c r="C80" i="6"/>
  <c r="E80" i="6" s="1"/>
  <c r="C93" i="6"/>
  <c r="E93" i="6" s="1"/>
  <c r="C96" i="6"/>
  <c r="E96" i="6" s="1"/>
  <c r="C100" i="6"/>
  <c r="E100" i="6" s="1"/>
  <c r="C125" i="6"/>
  <c r="E125" i="6" s="1"/>
  <c r="C126" i="6"/>
  <c r="E126" i="6" s="1"/>
  <c r="C160" i="6"/>
  <c r="E160" i="6" s="1"/>
  <c r="C163" i="6"/>
  <c r="E163" i="6" s="1"/>
  <c r="C167" i="6"/>
  <c r="E167" i="6" s="1"/>
  <c r="C172" i="6"/>
  <c r="E172" i="6" s="1"/>
  <c r="C173" i="6"/>
  <c r="E173" i="6" s="1"/>
  <c r="C196" i="6"/>
  <c r="E196" i="6" s="1"/>
  <c r="C210" i="6"/>
  <c r="E210" i="6" s="1"/>
  <c r="D26" i="6"/>
  <c r="D43" i="6"/>
  <c r="D52" i="6"/>
  <c r="D63" i="6"/>
  <c r="D65" i="6"/>
  <c r="D72" i="6"/>
  <c r="D74" i="6"/>
  <c r="D80" i="6"/>
  <c r="D93" i="6"/>
  <c r="D96" i="6"/>
  <c r="D100" i="6"/>
  <c r="D125" i="6"/>
  <c r="D126" i="6"/>
  <c r="D160" i="6"/>
  <c r="D163" i="6"/>
  <c r="D167" i="6"/>
  <c r="D172" i="6"/>
  <c r="D173" i="6"/>
  <c r="D196" i="6"/>
  <c r="D210" i="6"/>
  <c r="L26" i="6"/>
  <c r="EQ26" i="6" s="1"/>
  <c r="L43" i="6"/>
  <c r="L52" i="6"/>
  <c r="EQ52" i="6" s="1"/>
  <c r="EO52" i="6" s="1"/>
  <c r="L63" i="6"/>
  <c r="EQ63" i="6" s="1"/>
  <c r="L65" i="6"/>
  <c r="EQ65" i="6" s="1"/>
  <c r="L72" i="6"/>
  <c r="L74" i="6"/>
  <c r="EQ74" i="6" s="1"/>
  <c r="EO74" i="6" s="1"/>
  <c r="L80" i="6"/>
  <c r="EQ80" i="6" s="1"/>
  <c r="L93" i="6"/>
  <c r="EQ93" i="6" s="1"/>
  <c r="L96" i="6"/>
  <c r="EQ96" i="6" s="1"/>
  <c r="EN96" i="6" s="1"/>
  <c r="L100" i="6"/>
  <c r="EQ100" i="6" s="1"/>
  <c r="EP100" i="6" s="1"/>
  <c r="L125" i="6"/>
  <c r="EQ125" i="6" s="1"/>
  <c r="L126" i="6"/>
  <c r="EQ126" i="6" s="1"/>
  <c r="L160" i="6"/>
  <c r="EQ160" i="6" s="1"/>
  <c r="EN160" i="6" s="1"/>
  <c r="L163" i="6"/>
  <c r="EQ163" i="6" s="1"/>
  <c r="EN163" i="6" s="1"/>
  <c r="L167" i="6"/>
  <c r="EQ167" i="6" s="1"/>
  <c r="EO167" i="6" s="1"/>
  <c r="L172" i="6"/>
  <c r="EQ172" i="6" s="1"/>
  <c r="EP172" i="6" s="1"/>
  <c r="L173" i="6"/>
  <c r="EQ173" i="6" s="1"/>
  <c r="EN173" i="6" s="1"/>
  <c r="L196" i="6"/>
  <c r="EQ196" i="6" s="1"/>
  <c r="EO196" i="6" s="1"/>
  <c r="L210" i="6"/>
  <c r="EQ210" i="6" s="1"/>
  <c r="M26" i="6"/>
  <c r="M43" i="6"/>
  <c r="M52" i="6"/>
  <c r="M63" i="6"/>
  <c r="M65" i="6"/>
  <c r="M72" i="6"/>
  <c r="M74" i="6"/>
  <c r="M80" i="6"/>
  <c r="M93" i="6"/>
  <c r="M96" i="6"/>
  <c r="M100" i="6"/>
  <c r="M125" i="6"/>
  <c r="M126" i="6"/>
  <c r="M160" i="6"/>
  <c r="M163" i="6"/>
  <c r="M167" i="6"/>
  <c r="M172" i="6"/>
  <c r="M173" i="6"/>
  <c r="M196" i="6"/>
  <c r="M210" i="6"/>
  <c r="N26" i="6"/>
  <c r="N43" i="6"/>
  <c r="N52" i="6"/>
  <c r="N63" i="6"/>
  <c r="N65" i="6"/>
  <c r="N72" i="6"/>
  <c r="N74" i="6"/>
  <c r="N80" i="6"/>
  <c r="N93" i="6"/>
  <c r="N96" i="6"/>
  <c r="N100" i="6"/>
  <c r="N125" i="6"/>
  <c r="N126" i="6"/>
  <c r="N160" i="6"/>
  <c r="N163" i="6"/>
  <c r="N167" i="6"/>
  <c r="N172" i="6"/>
  <c r="N173" i="6"/>
  <c r="N196" i="6"/>
  <c r="N210" i="6"/>
  <c r="O26" i="6"/>
  <c r="O43" i="6"/>
  <c r="O52" i="6"/>
  <c r="O63" i="6"/>
  <c r="O65" i="6"/>
  <c r="O72" i="6"/>
  <c r="O74" i="6"/>
  <c r="O80" i="6"/>
  <c r="O93" i="6"/>
  <c r="O96" i="6"/>
  <c r="O100" i="6"/>
  <c r="O125" i="6"/>
  <c r="O126" i="6"/>
  <c r="O160" i="6"/>
  <c r="O163" i="6"/>
  <c r="O167" i="6"/>
  <c r="O172" i="6"/>
  <c r="O173" i="6"/>
  <c r="O196" i="6"/>
  <c r="O210" i="6"/>
  <c r="P26" i="6"/>
  <c r="DA26" i="6" s="1"/>
  <c r="CX26" i="6" s="1"/>
  <c r="P43" i="6"/>
  <c r="DA43" i="6" s="1"/>
  <c r="CX43" i="6" s="1"/>
  <c r="P52" i="6"/>
  <c r="DA52" i="6" s="1"/>
  <c r="CY52" i="6" s="1"/>
  <c r="P63" i="6"/>
  <c r="DA63" i="6" s="1"/>
  <c r="P65" i="6"/>
  <c r="DA65" i="6" s="1"/>
  <c r="CX65" i="6" s="1"/>
  <c r="P72" i="6"/>
  <c r="DA72" i="6" s="1"/>
  <c r="CX72" i="6" s="1"/>
  <c r="P74" i="6"/>
  <c r="DA74" i="6" s="1"/>
  <c r="CY74" i="6" s="1"/>
  <c r="P80" i="6"/>
  <c r="DA80" i="6" s="1"/>
  <c r="P93" i="6"/>
  <c r="DA93" i="6" s="1"/>
  <c r="CX93" i="6" s="1"/>
  <c r="P96" i="6"/>
  <c r="DA96" i="6" s="1"/>
  <c r="CX96" i="6" s="1"/>
  <c r="P100" i="6"/>
  <c r="DA100" i="6" s="1"/>
  <c r="CY100" i="6" s="1"/>
  <c r="P125" i="6"/>
  <c r="DA125" i="6" s="1"/>
  <c r="P126" i="6"/>
  <c r="DA126" i="6" s="1"/>
  <c r="CX126" i="6" s="1"/>
  <c r="P160" i="6"/>
  <c r="DA160" i="6" s="1"/>
  <c r="CX160" i="6" s="1"/>
  <c r="P163" i="6"/>
  <c r="DA163" i="6" s="1"/>
  <c r="CY163" i="6" s="1"/>
  <c r="P167" i="6"/>
  <c r="DA167" i="6" s="1"/>
  <c r="P172" i="6"/>
  <c r="DA172" i="6" s="1"/>
  <c r="CX172" i="6" s="1"/>
  <c r="DA173" i="6"/>
  <c r="CX173" i="6" s="1"/>
  <c r="P196" i="6"/>
  <c r="DA196" i="6" s="1"/>
  <c r="CY196" i="6" s="1"/>
  <c r="P210" i="6"/>
  <c r="DA210" i="6" s="1"/>
  <c r="Q26" i="6"/>
  <c r="Q43" i="6"/>
  <c r="Q52" i="6"/>
  <c r="Q63" i="6"/>
  <c r="Q65" i="6"/>
  <c r="Q72" i="6"/>
  <c r="Q74" i="6"/>
  <c r="Q80" i="6"/>
  <c r="Q93" i="6"/>
  <c r="Q96" i="6"/>
  <c r="Q100" i="6"/>
  <c r="Q125" i="6"/>
  <c r="Q126" i="6"/>
  <c r="Q160" i="6"/>
  <c r="Q163" i="6"/>
  <c r="Q167" i="6"/>
  <c r="Q172" i="6"/>
  <c r="Q173" i="6"/>
  <c r="Q196" i="6"/>
  <c r="Q210" i="6"/>
  <c r="R26" i="6"/>
  <c r="R43" i="6"/>
  <c r="R52" i="6"/>
  <c r="R63" i="6"/>
  <c r="R65" i="6"/>
  <c r="R72" i="6"/>
  <c r="R74" i="6"/>
  <c r="R80" i="6"/>
  <c r="R93" i="6"/>
  <c r="R96" i="6"/>
  <c r="R100" i="6"/>
  <c r="R125" i="6"/>
  <c r="R126" i="6"/>
  <c r="R160" i="6"/>
  <c r="R163" i="6"/>
  <c r="R167" i="6"/>
  <c r="R172" i="6"/>
  <c r="R173" i="6"/>
  <c r="R196" i="6"/>
  <c r="R210" i="6"/>
  <c r="S26" i="6"/>
  <c r="S43" i="6"/>
  <c r="S52" i="6"/>
  <c r="S63" i="6"/>
  <c r="S65" i="6"/>
  <c r="S72" i="6"/>
  <c r="S74" i="6"/>
  <c r="S80" i="6"/>
  <c r="S93" i="6"/>
  <c r="S96" i="6"/>
  <c r="S100" i="6"/>
  <c r="S125" i="6"/>
  <c r="S126" i="6"/>
  <c r="S160" i="6"/>
  <c r="S163" i="6"/>
  <c r="S167" i="6"/>
  <c r="S172" i="6"/>
  <c r="S173" i="6"/>
  <c r="S196" i="6"/>
  <c r="S210" i="6"/>
  <c r="T26" i="6"/>
  <c r="T43" i="6"/>
  <c r="T52" i="6"/>
  <c r="T63" i="6"/>
  <c r="T65" i="6"/>
  <c r="T72" i="6"/>
  <c r="T74" i="6"/>
  <c r="T80" i="6"/>
  <c r="T93" i="6"/>
  <c r="T96" i="6"/>
  <c r="T100" i="6"/>
  <c r="T125" i="6"/>
  <c r="T126" i="6"/>
  <c r="T160" i="6"/>
  <c r="T163" i="6"/>
  <c r="T167" i="6"/>
  <c r="T172" i="6"/>
  <c r="T173" i="6"/>
  <c r="T196" i="6"/>
  <c r="T210" i="6"/>
  <c r="U26" i="6"/>
  <c r="DE26" i="6" s="1"/>
  <c r="DB26" i="6" s="1"/>
  <c r="U43" i="6"/>
  <c r="DE43" i="6" s="1"/>
  <c r="DB43" i="6" s="1"/>
  <c r="U52" i="6"/>
  <c r="DE52" i="6" s="1"/>
  <c r="DB52" i="6" s="1"/>
  <c r="U63" i="6"/>
  <c r="DE63" i="6" s="1"/>
  <c r="U65" i="6"/>
  <c r="DE65" i="6" s="1"/>
  <c r="DB65" i="6" s="1"/>
  <c r="U72" i="6"/>
  <c r="DE72" i="6" s="1"/>
  <c r="DB72" i="6" s="1"/>
  <c r="U74" i="6"/>
  <c r="DE74" i="6" s="1"/>
  <c r="DC74" i="6" s="1"/>
  <c r="U80" i="6"/>
  <c r="DE80" i="6" s="1"/>
  <c r="U93" i="6"/>
  <c r="DE93" i="6" s="1"/>
  <c r="DB93" i="6" s="1"/>
  <c r="U96" i="6"/>
  <c r="DE96" i="6" s="1"/>
  <c r="DB96" i="6" s="1"/>
  <c r="U100" i="6"/>
  <c r="DE100" i="6" s="1"/>
  <c r="DB100" i="6" s="1"/>
  <c r="U125" i="6"/>
  <c r="DE125" i="6" s="1"/>
  <c r="U126" i="6"/>
  <c r="DE126" i="6" s="1"/>
  <c r="DB126" i="6" s="1"/>
  <c r="U160" i="6"/>
  <c r="DE160" i="6" s="1"/>
  <c r="DB160" i="6" s="1"/>
  <c r="U163" i="6"/>
  <c r="DE163" i="6" s="1"/>
  <c r="DC163" i="6" s="1"/>
  <c r="U167" i="6"/>
  <c r="DE167" i="6" s="1"/>
  <c r="U172" i="6"/>
  <c r="DE172" i="6" s="1"/>
  <c r="DB172" i="6" s="1"/>
  <c r="U173" i="6"/>
  <c r="DE173" i="6" s="1"/>
  <c r="DB173" i="6" s="1"/>
  <c r="U196" i="6"/>
  <c r="DE196" i="6" s="1"/>
  <c r="DB196" i="6" s="1"/>
  <c r="U210" i="6"/>
  <c r="DE210" i="6" s="1"/>
  <c r="V26" i="6"/>
  <c r="V43" i="6"/>
  <c r="V52" i="6"/>
  <c r="V63" i="6"/>
  <c r="V65" i="6"/>
  <c r="V72" i="6"/>
  <c r="V74" i="6"/>
  <c r="V80" i="6"/>
  <c r="V93" i="6"/>
  <c r="V96" i="6"/>
  <c r="V100" i="6"/>
  <c r="V125" i="6"/>
  <c r="V126" i="6"/>
  <c r="V160" i="6"/>
  <c r="V163" i="6"/>
  <c r="V167" i="6"/>
  <c r="V172" i="6"/>
  <c r="V173" i="6"/>
  <c r="V196" i="6"/>
  <c r="V210" i="6"/>
  <c r="W26" i="6"/>
  <c r="X26" i="6" s="1"/>
  <c r="W43" i="6"/>
  <c r="Y43" i="6" s="1"/>
  <c r="W52" i="6"/>
  <c r="Y52" i="6" s="1"/>
  <c r="W63" i="6"/>
  <c r="X63" i="6" s="1"/>
  <c r="W65" i="6"/>
  <c r="Y65" i="6" s="1"/>
  <c r="W72" i="6"/>
  <c r="X72" i="6" s="1"/>
  <c r="W74" i="6"/>
  <c r="Y74" i="6" s="1"/>
  <c r="W80" i="6"/>
  <c r="X80" i="6" s="1"/>
  <c r="W93" i="6"/>
  <c r="X93" i="6" s="1"/>
  <c r="W96" i="6"/>
  <c r="X96" i="6" s="1"/>
  <c r="W100" i="6"/>
  <c r="Y100" i="6" s="1"/>
  <c r="W125" i="6"/>
  <c r="Y125" i="6" s="1"/>
  <c r="W126" i="6"/>
  <c r="Y126" i="6" s="1"/>
  <c r="W160" i="6"/>
  <c r="Y160" i="6" s="1"/>
  <c r="W163" i="6"/>
  <c r="Y163" i="6" s="1"/>
  <c r="Z26" i="6"/>
  <c r="Z43" i="6"/>
  <c r="Z52" i="6"/>
  <c r="Z63" i="6"/>
  <c r="Z65" i="6"/>
  <c r="Z72" i="6"/>
  <c r="Z74" i="6"/>
  <c r="Z80" i="6"/>
  <c r="Z93" i="6"/>
  <c r="Z96" i="6"/>
  <c r="Z100" i="6"/>
  <c r="Z125" i="6"/>
  <c r="Z126" i="6"/>
  <c r="Z160" i="6"/>
  <c r="Z163" i="6"/>
  <c r="Z167" i="6"/>
  <c r="Z172" i="6"/>
  <c r="Z173" i="6"/>
  <c r="Z196" i="6"/>
  <c r="Z210" i="6"/>
  <c r="AA26" i="6"/>
  <c r="AA43" i="6"/>
  <c r="AA52" i="6"/>
  <c r="AA63" i="6"/>
  <c r="AA65" i="6"/>
  <c r="AA72" i="6"/>
  <c r="AA74" i="6"/>
  <c r="AA80" i="6"/>
  <c r="AA93" i="6"/>
  <c r="AA96" i="6"/>
  <c r="AA100" i="6"/>
  <c r="AA125" i="6"/>
  <c r="AA126" i="6"/>
  <c r="AA160" i="6"/>
  <c r="AA163" i="6"/>
  <c r="AA167" i="6"/>
  <c r="AA172" i="6"/>
  <c r="AA173" i="6"/>
  <c r="AA196" i="6"/>
  <c r="AA210" i="6"/>
  <c r="AB26" i="6"/>
  <c r="AB43" i="6"/>
  <c r="AB52" i="6"/>
  <c r="AB63" i="6"/>
  <c r="AB65" i="6"/>
  <c r="AB72" i="6"/>
  <c r="AB74" i="6"/>
  <c r="AB80" i="6"/>
  <c r="AB93" i="6"/>
  <c r="AB96" i="6"/>
  <c r="AB100" i="6"/>
  <c r="AB125" i="6"/>
  <c r="AB126" i="6"/>
  <c r="AB160" i="6"/>
  <c r="AB163" i="6"/>
  <c r="AB167" i="6"/>
  <c r="AB172" i="6"/>
  <c r="AB173" i="6"/>
  <c r="AB196" i="6"/>
  <c r="AB210" i="6"/>
  <c r="AC26" i="6"/>
  <c r="AC43" i="6"/>
  <c r="AC52" i="6"/>
  <c r="AC63" i="6"/>
  <c r="AC65" i="6"/>
  <c r="AC72" i="6"/>
  <c r="AC74" i="6"/>
  <c r="AC80" i="6"/>
  <c r="AC93" i="6"/>
  <c r="AC96" i="6"/>
  <c r="AC100" i="6"/>
  <c r="AC125" i="6"/>
  <c r="AC126" i="6"/>
  <c r="AC160" i="6"/>
  <c r="AC163" i="6"/>
  <c r="AC167" i="6"/>
  <c r="AC172" i="6"/>
  <c r="AC173" i="6"/>
  <c r="AC196" i="6"/>
  <c r="AC210" i="6"/>
  <c r="AD26" i="6"/>
  <c r="AD43" i="6"/>
  <c r="AD52" i="6"/>
  <c r="AD63" i="6"/>
  <c r="AD65" i="6"/>
  <c r="AD72" i="6"/>
  <c r="AD74" i="6"/>
  <c r="AD80" i="6"/>
  <c r="AD93" i="6"/>
  <c r="AD96" i="6"/>
  <c r="AD100" i="6"/>
  <c r="AD125" i="6"/>
  <c r="AD126" i="6"/>
  <c r="AD160" i="6"/>
  <c r="AD163" i="6"/>
  <c r="AD167" i="6"/>
  <c r="AD172" i="6"/>
  <c r="AD173" i="6"/>
  <c r="AD196" i="6"/>
  <c r="AD210" i="6"/>
  <c r="AE26" i="6"/>
  <c r="AE43" i="6"/>
  <c r="AE52" i="6"/>
  <c r="AE63" i="6"/>
  <c r="AF63" i="6" s="1"/>
  <c r="CW63" i="6" s="1"/>
  <c r="AE65" i="6"/>
  <c r="AF65" i="6" s="1"/>
  <c r="CW65" i="6" s="1"/>
  <c r="CT65" i="6" s="1"/>
  <c r="AE72" i="6"/>
  <c r="AF72" i="6" s="1"/>
  <c r="CW72" i="6" s="1"/>
  <c r="CT72" i="6" s="1"/>
  <c r="AE74" i="6"/>
  <c r="AF74" i="6" s="1"/>
  <c r="CW74" i="6" s="1"/>
  <c r="CU74" i="6" s="1"/>
  <c r="AE80" i="6"/>
  <c r="AF80" i="6" s="1"/>
  <c r="CW80" i="6" s="1"/>
  <c r="AE93" i="6"/>
  <c r="AF93" i="6" s="1"/>
  <c r="CW93" i="6" s="1"/>
  <c r="CT93" i="6" s="1"/>
  <c r="AE96" i="6"/>
  <c r="AF96" i="6" s="1"/>
  <c r="CW96" i="6" s="1"/>
  <c r="CT96" i="6" s="1"/>
  <c r="AE100" i="6"/>
  <c r="AF100" i="6" s="1"/>
  <c r="CW100" i="6" s="1"/>
  <c r="CT100" i="6" s="1"/>
  <c r="AE125" i="6"/>
  <c r="AF125" i="6" s="1"/>
  <c r="CW125" i="6" s="1"/>
  <c r="AE126" i="6"/>
  <c r="AF126" i="6" s="1"/>
  <c r="CW126" i="6" s="1"/>
  <c r="CT126" i="6" s="1"/>
  <c r="AE160" i="6"/>
  <c r="AF160" i="6" s="1"/>
  <c r="CW160" i="6" s="1"/>
  <c r="CT160" i="6" s="1"/>
  <c r="AE163" i="6"/>
  <c r="AF163" i="6" s="1"/>
  <c r="CW163" i="6" s="1"/>
  <c r="CU163" i="6" s="1"/>
  <c r="AE167" i="6"/>
  <c r="AF167" i="6" s="1"/>
  <c r="CW167" i="6" s="1"/>
  <c r="AE172" i="6"/>
  <c r="AF172" i="6" s="1"/>
  <c r="CW172" i="6" s="1"/>
  <c r="CT172" i="6" s="1"/>
  <c r="AE173" i="6"/>
  <c r="AF173" i="6" s="1"/>
  <c r="CW173" i="6" s="1"/>
  <c r="CT173" i="6" s="1"/>
  <c r="AE196" i="6"/>
  <c r="AF196" i="6" s="1"/>
  <c r="CW196" i="6" s="1"/>
  <c r="CT196" i="6" s="1"/>
  <c r="AE210" i="6"/>
  <c r="AF210" i="6" s="1"/>
  <c r="CW210" i="6" s="1"/>
  <c r="AF26" i="6"/>
  <c r="CW26" i="6" s="1"/>
  <c r="CT26" i="6" s="1"/>
  <c r="AF43" i="6"/>
  <c r="CW43" i="6" s="1"/>
  <c r="CT43" i="6" s="1"/>
  <c r="AF52" i="6"/>
  <c r="CW52" i="6" s="1"/>
  <c r="CT52" i="6" s="1"/>
  <c r="AG26" i="6"/>
  <c r="AG43" i="6"/>
  <c r="AG52" i="6"/>
  <c r="AG63" i="6"/>
  <c r="AG65" i="6"/>
  <c r="AG72" i="6"/>
  <c r="AG74" i="6"/>
  <c r="AG80" i="6"/>
  <c r="AG93" i="6"/>
  <c r="AG96" i="6"/>
  <c r="AG100" i="6"/>
  <c r="AG125" i="6"/>
  <c r="AG126" i="6"/>
  <c r="AG160" i="6"/>
  <c r="AG163" i="6"/>
  <c r="AG167" i="6"/>
  <c r="AG172" i="6"/>
  <c r="AG173" i="6"/>
  <c r="AG196" i="6"/>
  <c r="AG210" i="6"/>
  <c r="AH26" i="6"/>
  <c r="AI26" i="6" s="1"/>
  <c r="CO26" i="6" s="1"/>
  <c r="AH43" i="6"/>
  <c r="AI43" i="6" s="1"/>
  <c r="CO43" i="6" s="1"/>
  <c r="CL43" i="6" s="1"/>
  <c r="AH52" i="6"/>
  <c r="AI52" i="6" s="1"/>
  <c r="CO52" i="6" s="1"/>
  <c r="CL52" i="6" s="1"/>
  <c r="AH63" i="6"/>
  <c r="AI63" i="6" s="1"/>
  <c r="CO63" i="6" s="1"/>
  <c r="AH65" i="6"/>
  <c r="AI65" i="6" s="1"/>
  <c r="CO65" i="6" s="1"/>
  <c r="AH72" i="6"/>
  <c r="AI72" i="6" s="1"/>
  <c r="CO72" i="6" s="1"/>
  <c r="CL72" i="6" s="1"/>
  <c r="AH74" i="6"/>
  <c r="AI74" i="6" s="1"/>
  <c r="CO74" i="6" s="1"/>
  <c r="CS74" i="6" s="1"/>
  <c r="CQ74" i="6" s="1"/>
  <c r="AH80" i="6"/>
  <c r="AI80" i="6" s="1"/>
  <c r="CO80" i="6" s="1"/>
  <c r="AH93" i="6"/>
  <c r="AI93" i="6" s="1"/>
  <c r="CO93" i="6" s="1"/>
  <c r="AH96" i="6"/>
  <c r="AI96" i="6" s="1"/>
  <c r="CO96" i="6" s="1"/>
  <c r="AH100" i="6"/>
  <c r="AI100" i="6" s="1"/>
  <c r="CO100" i="6" s="1"/>
  <c r="CS100" i="6" s="1"/>
  <c r="CP100" i="6" s="1"/>
  <c r="AH125" i="6"/>
  <c r="AI125" i="6" s="1"/>
  <c r="CO125" i="6" s="1"/>
  <c r="AH126" i="6"/>
  <c r="AI126" i="6" s="1"/>
  <c r="CO126" i="6" s="1"/>
  <c r="CL126" i="6" s="1"/>
  <c r="AH160" i="6"/>
  <c r="AI160" i="6" s="1"/>
  <c r="CO160" i="6" s="1"/>
  <c r="AH163" i="6"/>
  <c r="AI163" i="6" s="1"/>
  <c r="CO163" i="6" s="1"/>
  <c r="CS163" i="6" s="1"/>
  <c r="CQ163" i="6" s="1"/>
  <c r="AH167" i="6"/>
  <c r="AI167" i="6" s="1"/>
  <c r="CO167" i="6" s="1"/>
  <c r="AH172" i="6"/>
  <c r="AI172" i="6" s="1"/>
  <c r="CO172" i="6" s="1"/>
  <c r="AH173" i="6"/>
  <c r="AI173" i="6" s="1"/>
  <c r="CO173" i="6" s="1"/>
  <c r="CL173" i="6" s="1"/>
  <c r="AH196" i="6"/>
  <c r="AI196" i="6" s="1"/>
  <c r="CO196" i="6" s="1"/>
  <c r="CS196" i="6" s="1"/>
  <c r="CR196" i="6" s="1"/>
  <c r="AH210" i="6"/>
  <c r="AI210" i="6" s="1"/>
  <c r="CO210" i="6" s="1"/>
  <c r="AJ26" i="6"/>
  <c r="AJ43" i="6"/>
  <c r="AJ52" i="6"/>
  <c r="AJ63" i="6"/>
  <c r="AJ65" i="6"/>
  <c r="AJ72" i="6"/>
  <c r="AJ74" i="6"/>
  <c r="AJ80" i="6"/>
  <c r="AJ93" i="6"/>
  <c r="AJ96" i="6"/>
  <c r="AJ100" i="6"/>
  <c r="AJ125" i="6"/>
  <c r="AJ126" i="6"/>
  <c r="AJ160" i="6"/>
  <c r="AJ163" i="6"/>
  <c r="AJ167" i="6"/>
  <c r="AJ172" i="6"/>
  <c r="AJ173" i="6"/>
  <c r="AJ196" i="6"/>
  <c r="AJ210" i="6"/>
  <c r="AK26" i="6"/>
  <c r="BF26" i="6" s="1"/>
  <c r="AK43" i="6"/>
  <c r="BF43" i="6" s="1"/>
  <c r="AK52" i="6"/>
  <c r="AL52" i="6" s="1"/>
  <c r="AK63" i="6"/>
  <c r="BG63" i="6" s="1"/>
  <c r="AK65" i="6"/>
  <c r="BE65" i="6" s="1"/>
  <c r="AK72" i="6"/>
  <c r="BE72" i="6" s="1"/>
  <c r="AK74" i="6"/>
  <c r="BE74" i="6" s="1"/>
  <c r="AK80" i="6"/>
  <c r="BD80" i="6" s="1"/>
  <c r="AK93" i="6"/>
  <c r="BE93" i="6" s="1"/>
  <c r="AK96" i="6"/>
  <c r="BE96" i="6" s="1"/>
  <c r="AK100" i="6"/>
  <c r="BH100" i="6" s="1"/>
  <c r="AK125" i="6"/>
  <c r="BD125" i="6" s="1"/>
  <c r="AK126" i="6"/>
  <c r="BE126" i="6" s="1"/>
  <c r="AK160" i="6"/>
  <c r="BE160" i="6" s="1"/>
  <c r="AK163" i="6"/>
  <c r="BG163" i="6" s="1"/>
  <c r="AK167" i="6"/>
  <c r="BD167" i="6" s="1"/>
  <c r="AK172" i="6"/>
  <c r="BE172" i="6" s="1"/>
  <c r="AK173" i="6"/>
  <c r="BE173" i="6" s="1"/>
  <c r="AK196" i="6"/>
  <c r="AL196" i="6" s="1"/>
  <c r="AK210" i="6"/>
  <c r="BD210" i="6" s="1"/>
  <c r="BK26" i="6"/>
  <c r="BK43" i="6"/>
  <c r="BK52" i="6"/>
  <c r="BK63" i="6"/>
  <c r="BL63" i="6" s="1"/>
  <c r="BK65" i="6"/>
  <c r="BL65" i="6" s="1"/>
  <c r="BK72" i="6"/>
  <c r="BL72" i="6" s="1"/>
  <c r="BK74" i="6"/>
  <c r="BL74" i="6" s="1"/>
  <c r="BK80" i="6"/>
  <c r="BK93" i="6"/>
  <c r="BL93" i="6" s="1"/>
  <c r="BK96" i="6"/>
  <c r="BL96" i="6" s="1"/>
  <c r="BK100" i="6"/>
  <c r="BL100" i="6" s="1"/>
  <c r="BK125" i="6"/>
  <c r="BL125" i="6" s="1"/>
  <c r="BK126" i="6"/>
  <c r="BL126" i="6" s="1"/>
  <c r="BK160" i="6"/>
  <c r="BL160" i="6" s="1"/>
  <c r="BK163" i="6"/>
  <c r="BL163" i="6" s="1"/>
  <c r="BK167" i="6"/>
  <c r="BL167" i="6" s="1"/>
  <c r="BK172" i="6"/>
  <c r="BL172" i="6" s="1"/>
  <c r="BK173" i="6"/>
  <c r="BL173" i="6" s="1"/>
  <c r="BK196" i="6"/>
  <c r="BL196" i="6" s="1"/>
  <c r="BK210" i="6"/>
  <c r="BL210" i="6" s="1"/>
  <c r="BL26" i="6"/>
  <c r="BL43" i="6"/>
  <c r="BL52" i="6"/>
  <c r="BL80" i="6"/>
  <c r="BT26" i="6"/>
  <c r="BT43" i="6"/>
  <c r="BT52" i="6"/>
  <c r="BT63" i="6"/>
  <c r="BT65" i="6"/>
  <c r="BT72" i="6"/>
  <c r="BT74" i="6"/>
  <c r="BT80" i="6"/>
  <c r="BT93" i="6"/>
  <c r="BT96" i="6"/>
  <c r="BT100" i="6"/>
  <c r="BT125" i="6"/>
  <c r="BT126" i="6"/>
  <c r="BT160" i="6"/>
  <c r="BT163" i="6"/>
  <c r="BT167" i="6"/>
  <c r="BT172" i="6"/>
  <c r="BT173" i="6"/>
  <c r="BT196" i="6"/>
  <c r="BT210" i="6"/>
  <c r="BX26" i="6"/>
  <c r="BX43" i="6"/>
  <c r="BX52" i="6"/>
  <c r="BX63" i="6"/>
  <c r="BX65" i="6"/>
  <c r="BX72" i="6"/>
  <c r="BX74" i="6"/>
  <c r="BX80" i="6"/>
  <c r="BX93" i="6"/>
  <c r="BX96" i="6"/>
  <c r="BX100" i="6"/>
  <c r="BX125" i="6"/>
  <c r="BX126" i="6"/>
  <c r="BX160" i="6"/>
  <c r="BX163" i="6"/>
  <c r="BX167" i="6"/>
  <c r="BX172" i="6"/>
  <c r="BX173" i="6"/>
  <c r="BX196" i="6"/>
  <c r="BX210" i="6"/>
  <c r="CB26" i="6"/>
  <c r="CB43" i="6"/>
  <c r="CB52" i="6"/>
  <c r="CB63" i="6"/>
  <c r="CB65" i="6"/>
  <c r="CB72" i="6"/>
  <c r="CB74" i="6"/>
  <c r="CB80" i="6"/>
  <c r="CB93" i="6"/>
  <c r="CB96" i="6"/>
  <c r="CB100" i="6"/>
  <c r="CB125" i="6"/>
  <c r="CB126" i="6"/>
  <c r="CB160" i="6"/>
  <c r="CB163" i="6"/>
  <c r="CB167" i="6"/>
  <c r="CB172" i="6"/>
  <c r="CB173" i="6"/>
  <c r="CB196" i="6"/>
  <c r="CB210" i="6"/>
  <c r="CF26" i="6"/>
  <c r="CF43" i="6"/>
  <c r="CF52" i="6"/>
  <c r="CF63" i="6"/>
  <c r="CF65" i="6"/>
  <c r="CF72" i="6"/>
  <c r="CF74" i="6"/>
  <c r="CF80" i="6"/>
  <c r="CF93" i="6"/>
  <c r="CF96" i="6"/>
  <c r="CF100" i="6"/>
  <c r="CF125" i="6"/>
  <c r="CF126" i="6"/>
  <c r="CF160" i="6"/>
  <c r="CF163" i="6"/>
  <c r="CF167" i="6"/>
  <c r="CF172" i="6"/>
  <c r="CF173" i="6"/>
  <c r="CF196" i="6"/>
  <c r="CF210" i="6"/>
  <c r="CG26" i="6"/>
  <c r="CK26" i="6"/>
  <c r="CK43" i="6"/>
  <c r="CK52" i="6"/>
  <c r="CK63" i="6"/>
  <c r="CK65" i="6"/>
  <c r="CK72" i="6"/>
  <c r="CK74" i="6"/>
  <c r="CK80" i="6"/>
  <c r="CK93" i="6"/>
  <c r="CK96" i="6"/>
  <c r="CK100" i="6"/>
  <c r="CK125" i="6"/>
  <c r="CK126" i="6"/>
  <c r="CK160" i="6"/>
  <c r="CK163" i="6"/>
  <c r="CK167" i="6"/>
  <c r="CK172" i="6"/>
  <c r="CK173" i="6"/>
  <c r="CK196" i="6"/>
  <c r="CK210" i="6"/>
  <c r="DF26" i="6"/>
  <c r="DF43" i="6"/>
  <c r="DF52" i="6"/>
  <c r="DF63" i="6"/>
  <c r="DF65" i="6"/>
  <c r="DF72" i="6"/>
  <c r="DF74" i="6"/>
  <c r="DF80" i="6"/>
  <c r="DF93" i="6"/>
  <c r="DF96" i="6"/>
  <c r="DF100" i="6"/>
  <c r="DF125" i="6"/>
  <c r="DF126" i="6"/>
  <c r="DF160" i="6"/>
  <c r="DF163" i="6"/>
  <c r="DF167" i="6"/>
  <c r="DF172" i="6"/>
  <c r="DF173" i="6"/>
  <c r="DF196" i="6"/>
  <c r="DF210" i="6"/>
  <c r="DG26" i="6"/>
  <c r="DG43" i="6"/>
  <c r="DG52" i="6"/>
  <c r="DG63" i="6"/>
  <c r="DG65" i="6"/>
  <c r="DG72" i="6"/>
  <c r="DG74" i="6"/>
  <c r="DG80" i="6"/>
  <c r="DG93" i="6"/>
  <c r="DG96" i="6"/>
  <c r="DG100" i="6"/>
  <c r="DG125" i="6"/>
  <c r="DG126" i="6"/>
  <c r="DG160" i="6"/>
  <c r="DG163" i="6"/>
  <c r="DG167" i="6"/>
  <c r="DG172" i="6"/>
  <c r="DG173" i="6"/>
  <c r="DG196" i="6"/>
  <c r="DG210" i="6"/>
  <c r="DH26" i="6"/>
  <c r="DH43" i="6"/>
  <c r="DH52" i="6"/>
  <c r="DH63" i="6"/>
  <c r="DH65" i="6"/>
  <c r="DH72" i="6"/>
  <c r="DH74" i="6"/>
  <c r="DH80" i="6"/>
  <c r="DH93" i="6"/>
  <c r="DH96" i="6"/>
  <c r="DH100" i="6"/>
  <c r="DH125" i="6"/>
  <c r="DH126" i="6"/>
  <c r="DH160" i="6"/>
  <c r="DH163" i="6"/>
  <c r="DH167" i="6"/>
  <c r="DH172" i="6"/>
  <c r="DH173" i="6"/>
  <c r="DH196" i="6"/>
  <c r="DH210" i="6"/>
  <c r="DN26" i="6"/>
  <c r="DN43" i="6"/>
  <c r="DN52" i="6"/>
  <c r="DN63" i="6"/>
  <c r="DN65" i="6"/>
  <c r="DN72" i="6"/>
  <c r="DN74" i="6"/>
  <c r="DN80" i="6"/>
  <c r="DN93" i="6"/>
  <c r="DN96" i="6"/>
  <c r="DN100" i="6"/>
  <c r="DN125" i="6"/>
  <c r="DN126" i="6"/>
  <c r="DN160" i="6"/>
  <c r="DN163" i="6"/>
  <c r="DN167" i="6"/>
  <c r="DN172" i="6"/>
  <c r="DN173" i="6"/>
  <c r="DN196" i="6"/>
  <c r="DN210" i="6"/>
  <c r="DO26" i="6"/>
  <c r="DO43" i="6"/>
  <c r="DO52" i="6"/>
  <c r="DO63" i="6"/>
  <c r="DO65" i="6"/>
  <c r="DO72" i="6"/>
  <c r="DO74" i="6"/>
  <c r="DO80" i="6"/>
  <c r="DO93" i="6"/>
  <c r="DO96" i="6"/>
  <c r="DO100" i="6"/>
  <c r="DO125" i="6"/>
  <c r="DO126" i="6"/>
  <c r="DO160" i="6"/>
  <c r="DO163" i="6"/>
  <c r="DO167" i="6"/>
  <c r="DO172" i="6"/>
  <c r="DO173" i="6"/>
  <c r="DO196" i="6"/>
  <c r="DO210" i="6"/>
  <c r="DP26" i="6"/>
  <c r="DP43" i="6"/>
  <c r="DP52" i="6"/>
  <c r="DP63" i="6"/>
  <c r="DP65" i="6"/>
  <c r="DP72" i="6"/>
  <c r="DP74" i="6"/>
  <c r="DP80" i="6"/>
  <c r="DP93" i="6"/>
  <c r="DP96" i="6"/>
  <c r="DP100" i="6"/>
  <c r="DP125" i="6"/>
  <c r="DP126" i="6"/>
  <c r="DP160" i="6"/>
  <c r="DP163" i="6"/>
  <c r="DP167" i="6"/>
  <c r="DP172" i="6"/>
  <c r="DP173" i="6"/>
  <c r="DP196" i="6"/>
  <c r="DP210" i="6"/>
  <c r="DR26" i="6"/>
  <c r="DR43" i="6"/>
  <c r="DR52" i="6"/>
  <c r="DR63" i="6"/>
  <c r="DR65" i="6"/>
  <c r="DR72" i="6"/>
  <c r="DR74" i="6"/>
  <c r="DR80" i="6"/>
  <c r="DR93" i="6"/>
  <c r="DR96" i="6"/>
  <c r="DR100" i="6"/>
  <c r="DR125" i="6"/>
  <c r="DR126" i="6"/>
  <c r="DR160" i="6"/>
  <c r="DR163" i="6"/>
  <c r="DR167" i="6"/>
  <c r="DR172" i="6"/>
  <c r="DR173" i="6"/>
  <c r="DR196" i="6"/>
  <c r="DR210" i="6"/>
  <c r="DS26" i="6"/>
  <c r="DS43" i="6"/>
  <c r="DS52" i="6"/>
  <c r="DS63" i="6"/>
  <c r="DS65" i="6"/>
  <c r="DS72" i="6"/>
  <c r="DS74" i="6"/>
  <c r="DS80" i="6"/>
  <c r="DS93" i="6"/>
  <c r="DS96" i="6"/>
  <c r="DS100" i="6"/>
  <c r="DS125" i="6"/>
  <c r="DS126" i="6"/>
  <c r="DS160" i="6"/>
  <c r="DS163" i="6"/>
  <c r="DS167" i="6"/>
  <c r="DS172" i="6"/>
  <c r="DS173" i="6"/>
  <c r="DS196" i="6"/>
  <c r="DS210" i="6"/>
  <c r="DT26" i="6"/>
  <c r="DT43" i="6"/>
  <c r="DT52" i="6"/>
  <c r="DT63" i="6"/>
  <c r="DT65" i="6"/>
  <c r="DT72" i="6"/>
  <c r="DT74" i="6"/>
  <c r="DT80" i="6"/>
  <c r="DT93" i="6"/>
  <c r="DT96" i="6"/>
  <c r="DT100" i="6"/>
  <c r="DT125" i="6"/>
  <c r="DT126" i="6"/>
  <c r="DT160" i="6"/>
  <c r="DT163" i="6"/>
  <c r="DT167" i="6"/>
  <c r="DT172" i="6"/>
  <c r="DT173" i="6"/>
  <c r="DT196" i="6"/>
  <c r="DT210" i="6"/>
  <c r="DY26" i="6"/>
  <c r="DY43" i="6"/>
  <c r="DY52" i="6"/>
  <c r="DY63" i="6"/>
  <c r="DY65" i="6"/>
  <c r="DY72" i="6"/>
  <c r="DY74" i="6"/>
  <c r="DY80" i="6"/>
  <c r="DY93" i="6"/>
  <c r="DY96" i="6"/>
  <c r="DY100" i="6"/>
  <c r="DY125" i="6"/>
  <c r="DY126" i="6"/>
  <c r="DY160" i="6"/>
  <c r="DY163" i="6"/>
  <c r="DY167" i="6"/>
  <c r="DY172" i="6"/>
  <c r="DY173" i="6"/>
  <c r="DY196" i="6"/>
  <c r="DY210" i="6"/>
  <c r="EC26" i="6"/>
  <c r="EC43" i="6"/>
  <c r="EC52" i="6"/>
  <c r="EC63" i="6"/>
  <c r="EC65" i="6"/>
  <c r="EC72" i="6"/>
  <c r="EC74" i="6"/>
  <c r="EC80" i="6"/>
  <c r="EC93" i="6"/>
  <c r="EC96" i="6"/>
  <c r="EC100" i="6"/>
  <c r="EC125" i="6"/>
  <c r="EC126" i="6"/>
  <c r="EC160" i="6"/>
  <c r="EC163" i="6"/>
  <c r="EC167" i="6"/>
  <c r="EC172" i="6"/>
  <c r="EC173" i="6"/>
  <c r="EC196" i="6"/>
  <c r="EC210" i="6"/>
  <c r="EH26" i="6"/>
  <c r="EH43" i="6"/>
  <c r="EH52" i="6"/>
  <c r="EH63" i="6"/>
  <c r="EH65" i="6"/>
  <c r="EH72" i="6"/>
  <c r="EH74" i="6"/>
  <c r="EH80" i="6"/>
  <c r="EH93" i="6"/>
  <c r="EH96" i="6"/>
  <c r="EH100" i="6"/>
  <c r="EH125" i="6"/>
  <c r="EH126" i="6"/>
  <c r="EH160" i="6"/>
  <c r="EH163" i="6"/>
  <c r="EH167" i="6"/>
  <c r="EH172" i="6"/>
  <c r="EH173" i="6"/>
  <c r="EH196" i="6"/>
  <c r="EH210" i="6"/>
  <c r="EI26" i="6"/>
  <c r="EI43" i="6"/>
  <c r="EI52" i="6"/>
  <c r="EI63" i="6"/>
  <c r="EI65" i="6"/>
  <c r="EI72" i="6"/>
  <c r="EI74" i="6"/>
  <c r="EI80" i="6"/>
  <c r="EI93" i="6"/>
  <c r="EI96" i="6"/>
  <c r="EI100" i="6"/>
  <c r="EI125" i="6"/>
  <c r="EI126" i="6"/>
  <c r="EI160" i="6"/>
  <c r="EI163" i="6"/>
  <c r="EI167" i="6"/>
  <c r="EI172" i="6"/>
  <c r="EI173" i="6"/>
  <c r="EI196" i="6"/>
  <c r="EI210" i="6"/>
  <c r="EJ26" i="6"/>
  <c r="EJ43" i="6"/>
  <c r="EJ52" i="6"/>
  <c r="EJ63" i="6"/>
  <c r="EJ65" i="6"/>
  <c r="EJ72" i="6"/>
  <c r="EJ74" i="6"/>
  <c r="EJ80" i="6"/>
  <c r="EJ93" i="6"/>
  <c r="EJ96" i="6"/>
  <c r="EJ100" i="6"/>
  <c r="EJ125" i="6"/>
  <c r="EJ126" i="6"/>
  <c r="EJ160" i="6"/>
  <c r="EJ163" i="6"/>
  <c r="EJ167" i="6"/>
  <c r="EJ172" i="6"/>
  <c r="EJ173" i="6"/>
  <c r="EJ196" i="6"/>
  <c r="EJ210" i="6"/>
  <c r="EK26" i="6"/>
  <c r="EK43" i="6"/>
  <c r="EK52" i="6"/>
  <c r="EK63" i="6"/>
  <c r="EK65" i="6"/>
  <c r="EK72" i="6"/>
  <c r="EK74" i="6"/>
  <c r="EK80" i="6"/>
  <c r="EK93" i="6"/>
  <c r="EK96" i="6"/>
  <c r="EK100" i="6"/>
  <c r="EK125" i="6"/>
  <c r="EK126" i="6"/>
  <c r="EK160" i="6"/>
  <c r="EK163" i="6"/>
  <c r="EK167" i="6"/>
  <c r="EK172" i="6"/>
  <c r="EK173" i="6"/>
  <c r="EK196" i="6"/>
  <c r="EK210" i="6"/>
  <c r="EM26" i="6"/>
  <c r="EM43" i="6"/>
  <c r="EM52" i="6"/>
  <c r="EM63" i="6"/>
  <c r="EM65" i="6"/>
  <c r="EM72" i="6"/>
  <c r="EM74" i="6"/>
  <c r="EM80" i="6"/>
  <c r="EM93" i="6"/>
  <c r="EM96" i="6"/>
  <c r="EM100" i="6"/>
  <c r="EM125" i="6"/>
  <c r="EM126" i="6"/>
  <c r="EM160" i="6"/>
  <c r="EM163" i="6"/>
  <c r="EM167" i="6"/>
  <c r="EM172" i="6"/>
  <c r="EM173" i="6"/>
  <c r="EM196" i="6"/>
  <c r="EM210" i="6"/>
  <c r="EQ43" i="6"/>
  <c r="ER43" i="6" s="1"/>
  <c r="ES26" i="6"/>
  <c r="ES43" i="6"/>
  <c r="ES52" i="6"/>
  <c r="ES63" i="6"/>
  <c r="ES65" i="6"/>
  <c r="ES72" i="6"/>
  <c r="ES74" i="6"/>
  <c r="ES80" i="6"/>
  <c r="ES93" i="6"/>
  <c r="ES96" i="6"/>
  <c r="ES100" i="6"/>
  <c r="ES125" i="6"/>
  <c r="ES126" i="6"/>
  <c r="ES160" i="6"/>
  <c r="ES163" i="6"/>
  <c r="ES167" i="6"/>
  <c r="ES172" i="6"/>
  <c r="ES173" i="6"/>
  <c r="ES196" i="6"/>
  <c r="ES210" i="6"/>
  <c r="ET26" i="6"/>
  <c r="ET43" i="6"/>
  <c r="ET52" i="6"/>
  <c r="ET63" i="6"/>
  <c r="ET65" i="6"/>
  <c r="ET72" i="6"/>
  <c r="ET74" i="6"/>
  <c r="ET80" i="6"/>
  <c r="ET93" i="6"/>
  <c r="ET96" i="6"/>
  <c r="ET100" i="6"/>
  <c r="ET125" i="6"/>
  <c r="ET126" i="6"/>
  <c r="ET160" i="6"/>
  <c r="ET163" i="6"/>
  <c r="ET167" i="6"/>
  <c r="ET172" i="6"/>
  <c r="ET173" i="6"/>
  <c r="ET196" i="6"/>
  <c r="ET210" i="6"/>
  <c r="EU26" i="6"/>
  <c r="EU43" i="6"/>
  <c r="EU52" i="6"/>
  <c r="EU63" i="6"/>
  <c r="EU65" i="6"/>
  <c r="EU72" i="6"/>
  <c r="EU74" i="6"/>
  <c r="EU80" i="6"/>
  <c r="EU93" i="6"/>
  <c r="EU96" i="6"/>
  <c r="EU100" i="6"/>
  <c r="EU125" i="6"/>
  <c r="EU126" i="6"/>
  <c r="EU160" i="6"/>
  <c r="EU163" i="6"/>
  <c r="EU167" i="6"/>
  <c r="EU172" i="6"/>
  <c r="EU173" i="6"/>
  <c r="EU196" i="6"/>
  <c r="EU210" i="6"/>
  <c r="EW26" i="6"/>
  <c r="EW43" i="6"/>
  <c r="EW52" i="6"/>
  <c r="EW63" i="6"/>
  <c r="EW65" i="6"/>
  <c r="EW72" i="6"/>
  <c r="EW74" i="6"/>
  <c r="EW80" i="6"/>
  <c r="EW93" i="6"/>
  <c r="EW96" i="6"/>
  <c r="EW100" i="6"/>
  <c r="EW125" i="6"/>
  <c r="EW126" i="6"/>
  <c r="EW160" i="6"/>
  <c r="EW163" i="6"/>
  <c r="EW167" i="6"/>
  <c r="EW172" i="6"/>
  <c r="EW173" i="6"/>
  <c r="EW196" i="6"/>
  <c r="EW210" i="6"/>
  <c r="FA26" i="6"/>
  <c r="FA43" i="6"/>
  <c r="FA52" i="6"/>
  <c r="FA63" i="6"/>
  <c r="FA65" i="6"/>
  <c r="FA72" i="6"/>
  <c r="FA74" i="6"/>
  <c r="FA80" i="6"/>
  <c r="FA93" i="6"/>
  <c r="FA96" i="6"/>
  <c r="FA100" i="6"/>
  <c r="FA125" i="6"/>
  <c r="FA126" i="6"/>
  <c r="FA160" i="6"/>
  <c r="FA163" i="6"/>
  <c r="FA167" i="6"/>
  <c r="FA172" i="6"/>
  <c r="FA173" i="6"/>
  <c r="FA196" i="6"/>
  <c r="FA210" i="6"/>
  <c r="FE26" i="6"/>
  <c r="FE43" i="6"/>
  <c r="FE52" i="6"/>
  <c r="FE63" i="6"/>
  <c r="FE65" i="6"/>
  <c r="FE72" i="6"/>
  <c r="FE74" i="6"/>
  <c r="FE80" i="6"/>
  <c r="FE93" i="6"/>
  <c r="FE96" i="6"/>
  <c r="FE100" i="6"/>
  <c r="FE125" i="6"/>
  <c r="FE126" i="6"/>
  <c r="FE160" i="6"/>
  <c r="FE163" i="6"/>
  <c r="FE167" i="6"/>
  <c r="FE172" i="6"/>
  <c r="FE173" i="6"/>
  <c r="FE196" i="6"/>
  <c r="FE210" i="6"/>
  <c r="FI26" i="6"/>
  <c r="FI43" i="6"/>
  <c r="FI52" i="6"/>
  <c r="FI63" i="6"/>
  <c r="FI65" i="6"/>
  <c r="FI72" i="6"/>
  <c r="FI74" i="6"/>
  <c r="FI80" i="6"/>
  <c r="FI93" i="6"/>
  <c r="FI96" i="6"/>
  <c r="FI100" i="6"/>
  <c r="FI125" i="6"/>
  <c r="FI126" i="6"/>
  <c r="FI160" i="6"/>
  <c r="FI163" i="6"/>
  <c r="FI167" i="6"/>
  <c r="FI172" i="6"/>
  <c r="FI173" i="6"/>
  <c r="FI196" i="6"/>
  <c r="FI210" i="6"/>
  <c r="E77" i="6" l="1"/>
  <c r="E47" i="6"/>
  <c r="E76" i="6"/>
  <c r="CG43" i="6"/>
  <c r="X160" i="6"/>
  <c r="Y72" i="6"/>
  <c r="X43" i="6"/>
  <c r="X126" i="6"/>
  <c r="CG172" i="6"/>
  <c r="CG126" i="6"/>
  <c r="Y173" i="6"/>
  <c r="Y26" i="6"/>
  <c r="X65" i="6"/>
  <c r="CG65" i="6"/>
  <c r="BG96" i="6"/>
  <c r="Y93" i="6"/>
  <c r="Y96" i="6"/>
  <c r="CG93" i="6"/>
  <c r="X196" i="6"/>
  <c r="Y196" i="6"/>
  <c r="Y210" i="6"/>
  <c r="X210" i="6"/>
  <c r="X125" i="6"/>
  <c r="AL26" i="6"/>
  <c r="Y172" i="6"/>
  <c r="Y80" i="6"/>
  <c r="Y63" i="6"/>
  <c r="X163" i="6"/>
  <c r="X100" i="6"/>
  <c r="X74" i="6"/>
  <c r="X52" i="6"/>
  <c r="CG96" i="6"/>
  <c r="X167" i="6"/>
  <c r="Y167" i="6"/>
  <c r="CG160" i="6"/>
  <c r="CG72" i="6"/>
  <c r="CG74" i="6"/>
  <c r="CG163" i="6"/>
  <c r="CG100" i="6"/>
  <c r="CG125" i="6"/>
  <c r="CG80" i="6"/>
  <c r="CG63" i="6"/>
  <c r="CG52" i="6"/>
  <c r="CG173" i="6"/>
  <c r="CG196" i="6"/>
  <c r="CG210" i="6"/>
  <c r="CG167" i="6"/>
  <c r="BH163" i="6"/>
  <c r="BD163" i="6"/>
  <c r="BF196" i="6"/>
  <c r="BD52" i="6"/>
  <c r="BI196" i="6"/>
  <c r="BE196" i="6"/>
  <c r="BI80" i="6"/>
  <c r="BF167" i="6"/>
  <c r="BD160" i="6"/>
  <c r="BF80" i="6"/>
  <c r="BG26" i="6"/>
  <c r="BG196" i="6"/>
  <c r="BF210" i="6"/>
  <c r="BF93" i="6"/>
  <c r="BE80" i="6"/>
  <c r="AL74" i="6"/>
  <c r="BG74" i="6"/>
  <c r="BF65" i="6"/>
  <c r="BF76" i="6"/>
  <c r="BI47" i="6"/>
  <c r="BF126" i="6"/>
  <c r="BI163" i="6"/>
  <c r="BI52" i="6"/>
  <c r="BH74" i="6"/>
  <c r="BG100" i="6"/>
  <c r="BF100" i="6"/>
  <c r="BE163" i="6"/>
  <c r="BE52" i="6"/>
  <c r="BD100" i="6"/>
  <c r="AL163" i="6"/>
  <c r="BF47" i="6"/>
  <c r="Y47" i="6"/>
  <c r="BI100" i="6"/>
  <c r="BH196" i="6"/>
  <c r="BH52" i="6"/>
  <c r="BF163" i="6"/>
  <c r="BF52" i="6"/>
  <c r="BE100" i="6"/>
  <c r="BD196" i="6"/>
  <c r="BD74" i="6"/>
  <c r="AL100" i="6"/>
  <c r="BH76" i="6"/>
  <c r="BE47" i="6"/>
  <c r="BI167" i="6"/>
  <c r="BI74" i="6"/>
  <c r="BG52" i="6"/>
  <c r="BF172" i="6"/>
  <c r="BF125" i="6"/>
  <c r="BF74" i="6"/>
  <c r="BE167" i="6"/>
  <c r="DD47" i="6"/>
  <c r="BE76" i="6"/>
  <c r="BG173" i="6"/>
  <c r="BE43" i="6"/>
  <c r="BH72" i="6"/>
  <c r="AL173" i="6"/>
  <c r="BI76" i="6"/>
  <c r="BD76" i="6"/>
  <c r="BI43" i="6"/>
  <c r="AL43" i="6"/>
  <c r="AL96" i="6"/>
  <c r="BH160" i="6"/>
  <c r="BG43" i="6"/>
  <c r="BF173" i="6"/>
  <c r="BF160" i="6"/>
  <c r="BF96" i="6"/>
  <c r="BF72" i="6"/>
  <c r="BD72" i="6"/>
  <c r="FJ43" i="6"/>
  <c r="BH173" i="6"/>
  <c r="BH96" i="6"/>
  <c r="BH43" i="6"/>
  <c r="BG160" i="6"/>
  <c r="BG72" i="6"/>
  <c r="BD173" i="6"/>
  <c r="BD96" i="6"/>
  <c r="BD43" i="6"/>
  <c r="AL160" i="6"/>
  <c r="AL72" i="6"/>
  <c r="DC52" i="6"/>
  <c r="BI210" i="6"/>
  <c r="BI125" i="6"/>
  <c r="BE210" i="6"/>
  <c r="BE125" i="6"/>
  <c r="DC47" i="6"/>
  <c r="CG47" i="6"/>
  <c r="EO47" i="6"/>
  <c r="EP47" i="6"/>
  <c r="EN47" i="6"/>
  <c r="ER47" i="6"/>
  <c r="FJ47" i="6" s="1"/>
  <c r="CN47" i="6"/>
  <c r="CS47" i="6"/>
  <c r="ED47" i="6" s="1"/>
  <c r="CL47" i="6"/>
  <c r="CM47" i="6"/>
  <c r="CV47" i="6"/>
  <c r="CT47" i="6"/>
  <c r="CU47" i="6"/>
  <c r="CZ47" i="6"/>
  <c r="CX47" i="6"/>
  <c r="CY47" i="6"/>
  <c r="CL160" i="6"/>
  <c r="CS160" i="6"/>
  <c r="CP160" i="6" s="1"/>
  <c r="CL96" i="6"/>
  <c r="CS96" i="6"/>
  <c r="CP96" i="6" s="1"/>
  <c r="EN72" i="6"/>
  <c r="ER72" i="6"/>
  <c r="FJ72" i="6" s="1"/>
  <c r="EO72" i="6"/>
  <c r="DD76" i="6"/>
  <c r="DC76" i="6"/>
  <c r="Y76" i="6"/>
  <c r="X76" i="6"/>
  <c r="BH26" i="6"/>
  <c r="BG126" i="6"/>
  <c r="BG65" i="6"/>
  <c r="BD26" i="6"/>
  <c r="ER100" i="6"/>
  <c r="BI173" i="6"/>
  <c r="BI160" i="6"/>
  <c r="BI96" i="6"/>
  <c r="BI72" i="6"/>
  <c r="BI26" i="6"/>
  <c r="BH172" i="6"/>
  <c r="BH126" i="6"/>
  <c r="BH93" i="6"/>
  <c r="BH65" i="6"/>
  <c r="BG210" i="6"/>
  <c r="BG167" i="6"/>
  <c r="BG125" i="6"/>
  <c r="BG80" i="6"/>
  <c r="BE26" i="6"/>
  <c r="BD172" i="6"/>
  <c r="BD126" i="6"/>
  <c r="BD93" i="6"/>
  <c r="BD65" i="6"/>
  <c r="AL210" i="6"/>
  <c r="AL167" i="6"/>
  <c r="AL125" i="6"/>
  <c r="AL80" i="6"/>
  <c r="BI77" i="6"/>
  <c r="CG76" i="6"/>
  <c r="BG76" i="6"/>
  <c r="BH47" i="6"/>
  <c r="BD47" i="6"/>
  <c r="ER196" i="6"/>
  <c r="FJ196" i="6" s="1"/>
  <c r="BG172" i="6"/>
  <c r="BG93" i="6"/>
  <c r="AL172" i="6"/>
  <c r="AL126" i="6"/>
  <c r="AL93" i="6"/>
  <c r="AL65" i="6"/>
  <c r="CU52" i="6"/>
  <c r="BI172" i="6"/>
  <c r="BI126" i="6"/>
  <c r="BI93" i="6"/>
  <c r="BI65" i="6"/>
  <c r="BH210" i="6"/>
  <c r="BH167" i="6"/>
  <c r="BH125" i="6"/>
  <c r="BH80" i="6"/>
  <c r="BE77" i="6"/>
  <c r="BG47" i="6"/>
  <c r="CG77" i="6"/>
  <c r="CZ76" i="6"/>
  <c r="CX76" i="6"/>
  <c r="CY76" i="6"/>
  <c r="Y77" i="6"/>
  <c r="X77" i="6"/>
  <c r="CV76" i="6"/>
  <c r="CU76" i="6"/>
  <c r="CT76" i="6"/>
  <c r="EO76" i="6"/>
  <c r="EN76" i="6"/>
  <c r="EP76" i="6"/>
  <c r="ER76" i="6"/>
  <c r="FJ76" i="6" s="1"/>
  <c r="CN76" i="6"/>
  <c r="CS76" i="6"/>
  <c r="ED76" i="6" s="1"/>
  <c r="CL76" i="6"/>
  <c r="CM76" i="6"/>
  <c r="ER96" i="6"/>
  <c r="FJ96" i="6" s="1"/>
  <c r="BI63" i="6"/>
  <c r="BF63" i="6"/>
  <c r="BE63" i="6"/>
  <c r="BD63" i="6"/>
  <c r="AL63" i="6"/>
  <c r="DD77" i="6"/>
  <c r="DB76" i="6"/>
  <c r="ER173" i="6"/>
  <c r="FJ173" i="6" s="1"/>
  <c r="CS52" i="6"/>
  <c r="CP52" i="6" s="1"/>
  <c r="DC77" i="6"/>
  <c r="BH63" i="6"/>
  <c r="ER163" i="6"/>
  <c r="FJ163" i="6" s="1"/>
  <c r="BF77" i="6"/>
  <c r="CV77" i="6"/>
  <c r="CT77" i="6"/>
  <c r="CU77" i="6"/>
  <c r="CZ77" i="6"/>
  <c r="CY77" i="6"/>
  <c r="CX77" i="6"/>
  <c r="EO77" i="6"/>
  <c r="ER77" i="6"/>
  <c r="FJ77" i="6" s="1"/>
  <c r="EP77" i="6"/>
  <c r="EN77" i="6"/>
  <c r="CN77" i="6"/>
  <c r="CS77" i="6"/>
  <c r="ED77" i="6" s="1"/>
  <c r="CM77" i="6"/>
  <c r="CL77" i="6"/>
  <c r="CL172" i="6"/>
  <c r="CS172" i="6"/>
  <c r="CP172" i="6" s="1"/>
  <c r="CL93" i="6"/>
  <c r="CS93" i="6"/>
  <c r="CP93" i="6" s="1"/>
  <c r="CL65" i="6"/>
  <c r="CS65" i="6"/>
  <c r="CP65" i="6" s="1"/>
  <c r="CL26" i="6"/>
  <c r="CS26" i="6"/>
  <c r="CP26" i="6" s="1"/>
  <c r="EP126" i="6"/>
  <c r="ER126" i="6"/>
  <c r="EP65" i="6"/>
  <c r="ER65" i="6"/>
  <c r="FJ65" i="6" s="1"/>
  <c r="EO160" i="6"/>
  <c r="EN196" i="6"/>
  <c r="DD163" i="6"/>
  <c r="CX52" i="6"/>
  <c r="CV163" i="6"/>
  <c r="CS173" i="6"/>
  <c r="CR173" i="6" s="1"/>
  <c r="CS126" i="6"/>
  <c r="CP126" i="6" s="1"/>
  <c r="CS43" i="6"/>
  <c r="CR43" i="6" s="1"/>
  <c r="BH77" i="6"/>
  <c r="BD77" i="6"/>
  <c r="DC100" i="6"/>
  <c r="ER52" i="6"/>
  <c r="FJ52" i="6" s="1"/>
  <c r="EO100" i="6"/>
  <c r="EN100" i="6"/>
  <c r="DD74" i="6"/>
  <c r="DB163" i="6"/>
  <c r="CV74" i="6"/>
  <c r="CT163" i="6"/>
  <c r="CS72" i="6"/>
  <c r="CP72" i="6" s="1"/>
  <c r="BG77" i="6"/>
  <c r="CU100" i="6"/>
  <c r="FJ100" i="6"/>
  <c r="ER160" i="6"/>
  <c r="FJ160" i="6" s="1"/>
  <c r="ER74" i="6"/>
  <c r="FJ74" i="6" s="1"/>
  <c r="EO96" i="6"/>
  <c r="EN52" i="6"/>
  <c r="ED126" i="6"/>
  <c r="DC196" i="6"/>
  <c r="DB74" i="6"/>
  <c r="CU196" i="6"/>
  <c r="CT74" i="6"/>
  <c r="CM167" i="6"/>
  <c r="CS167" i="6"/>
  <c r="ED167" i="6" s="1"/>
  <c r="CN167" i="6"/>
  <c r="CS80" i="6"/>
  <c r="CL80" i="6"/>
  <c r="CM80" i="6"/>
  <c r="CU210" i="6"/>
  <c r="CT210" i="6"/>
  <c r="CV210" i="6"/>
  <c r="CT167" i="6"/>
  <c r="CV167" i="6"/>
  <c r="CU167" i="6"/>
  <c r="DB167" i="6"/>
  <c r="DD167" i="6"/>
  <c r="DC167" i="6"/>
  <c r="DC63" i="6"/>
  <c r="DB63" i="6"/>
  <c r="DD63" i="6"/>
  <c r="CY167" i="6"/>
  <c r="CX167" i="6"/>
  <c r="CZ167" i="6"/>
  <c r="CY80" i="6"/>
  <c r="CX80" i="6"/>
  <c r="CZ80" i="6"/>
  <c r="EN210" i="6"/>
  <c r="EO210" i="6"/>
  <c r="EP210" i="6"/>
  <c r="ER210" i="6"/>
  <c r="FJ210" i="6" s="1"/>
  <c r="EN125" i="6"/>
  <c r="EO125" i="6"/>
  <c r="EP125" i="6"/>
  <c r="ER125" i="6"/>
  <c r="FJ125" i="6" s="1"/>
  <c r="ER172" i="6"/>
  <c r="ER26" i="6"/>
  <c r="FJ26" i="6" s="1"/>
  <c r="EN65" i="6"/>
  <c r="EO65" i="6"/>
  <c r="EP26" i="6"/>
  <c r="CX163" i="6"/>
  <c r="CZ163" i="6"/>
  <c r="CZ196" i="6"/>
  <c r="CQ100" i="6"/>
  <c r="ED100" i="6"/>
  <c r="CN80" i="6"/>
  <c r="EN172" i="6"/>
  <c r="EO172" i="6"/>
  <c r="CN125" i="6"/>
  <c r="CS125" i="6"/>
  <c r="CL125" i="6"/>
  <c r="CU125" i="6"/>
  <c r="CT125" i="6"/>
  <c r="CV125" i="6"/>
  <c r="DC125" i="6"/>
  <c r="DB125" i="6"/>
  <c r="DD125" i="6"/>
  <c r="CX125" i="6"/>
  <c r="CZ125" i="6"/>
  <c r="CY125" i="6"/>
  <c r="EO80" i="6"/>
  <c r="EN80" i="6"/>
  <c r="EP80" i="6"/>
  <c r="ER80" i="6"/>
  <c r="FJ80" i="6" s="1"/>
  <c r="EN93" i="6"/>
  <c r="EO93" i="6"/>
  <c r="CZ100" i="6"/>
  <c r="CX196" i="6"/>
  <c r="CP163" i="6"/>
  <c r="CR163" i="6"/>
  <c r="ED163" i="6"/>
  <c r="CM125" i="6"/>
  <c r="EN26" i="6"/>
  <c r="EO26" i="6"/>
  <c r="CP74" i="6"/>
  <c r="CR74" i="6"/>
  <c r="ED74" i="6"/>
  <c r="CL210" i="6"/>
  <c r="CS210" i="6"/>
  <c r="CM210" i="6"/>
  <c r="CN210" i="6"/>
  <c r="CL63" i="6"/>
  <c r="CS63" i="6"/>
  <c r="ED63" i="6" s="1"/>
  <c r="CM63" i="6"/>
  <c r="CN63" i="6"/>
  <c r="CT80" i="6"/>
  <c r="CV80" i="6"/>
  <c r="CU80" i="6"/>
  <c r="CU63" i="6"/>
  <c r="CT63" i="6"/>
  <c r="CV63" i="6"/>
  <c r="DC210" i="6"/>
  <c r="DB210" i="6"/>
  <c r="DD210" i="6"/>
  <c r="DB80" i="6"/>
  <c r="DD80" i="6"/>
  <c r="DC80" i="6"/>
  <c r="CX210" i="6"/>
  <c r="CZ210" i="6"/>
  <c r="CY210" i="6"/>
  <c r="CX63" i="6"/>
  <c r="CZ63" i="6"/>
  <c r="CY63" i="6"/>
  <c r="EN167" i="6"/>
  <c r="EP167" i="6"/>
  <c r="ER167" i="6"/>
  <c r="FJ167" i="6" s="1"/>
  <c r="EN63" i="6"/>
  <c r="EO63" i="6"/>
  <c r="EP63" i="6"/>
  <c r="ER63" i="6"/>
  <c r="FJ63" i="6" s="1"/>
  <c r="ER93" i="6"/>
  <c r="EN126" i="6"/>
  <c r="EO126" i="6"/>
  <c r="EP93" i="6"/>
  <c r="CX74" i="6"/>
  <c r="CZ74" i="6"/>
  <c r="CZ52" i="6"/>
  <c r="CX100" i="6"/>
  <c r="CQ196" i="6"/>
  <c r="ED196" i="6"/>
  <c r="FK196" i="6" s="1"/>
  <c r="CR100" i="6"/>
  <c r="CP196" i="6"/>
  <c r="CL167" i="6"/>
  <c r="EO163" i="6"/>
  <c r="EP196" i="6"/>
  <c r="EP163" i="6"/>
  <c r="EP74" i="6"/>
  <c r="EP52" i="6"/>
  <c r="EN74" i="6"/>
  <c r="DD196" i="6"/>
  <c r="DD100" i="6"/>
  <c r="DD52" i="6"/>
  <c r="CV196" i="6"/>
  <c r="CV100" i="6"/>
  <c r="CV52" i="6"/>
  <c r="CL196" i="6"/>
  <c r="CM196" i="6"/>
  <c r="CN196" i="6"/>
  <c r="CL163" i="6"/>
  <c r="CM163" i="6"/>
  <c r="CN163" i="6"/>
  <c r="CL100" i="6"/>
  <c r="CM100" i="6"/>
  <c r="CN100" i="6"/>
  <c r="CL74" i="6"/>
  <c r="CM74" i="6"/>
  <c r="CN74" i="6"/>
  <c r="EN43" i="6"/>
  <c r="EO43" i="6"/>
  <c r="EP173" i="6"/>
  <c r="EP160" i="6"/>
  <c r="EP96" i="6"/>
  <c r="EP72" i="6"/>
  <c r="EP43" i="6"/>
  <c r="EO173" i="6"/>
  <c r="CN52" i="6"/>
  <c r="CM52" i="6"/>
  <c r="DD173" i="6"/>
  <c r="DD160" i="6"/>
  <c r="DD96" i="6"/>
  <c r="DD72" i="6"/>
  <c r="DD43" i="6"/>
  <c r="DC173" i="6"/>
  <c r="DC160" i="6"/>
  <c r="DC96" i="6"/>
  <c r="DC72" i="6"/>
  <c r="DC43" i="6"/>
  <c r="CZ173" i="6"/>
  <c r="CZ160" i="6"/>
  <c r="CZ96" i="6"/>
  <c r="CZ72" i="6"/>
  <c r="CZ43" i="6"/>
  <c r="CY173" i="6"/>
  <c r="CY160" i="6"/>
  <c r="CY96" i="6"/>
  <c r="CY72" i="6"/>
  <c r="CY43" i="6"/>
  <c r="CV173" i="6"/>
  <c r="CV160" i="6"/>
  <c r="CV96" i="6"/>
  <c r="CV72" i="6"/>
  <c r="CV43" i="6"/>
  <c r="CU173" i="6"/>
  <c r="CU160" i="6"/>
  <c r="CU96" i="6"/>
  <c r="CU72" i="6"/>
  <c r="CU43" i="6"/>
  <c r="CN173" i="6"/>
  <c r="CN160" i="6"/>
  <c r="CN96" i="6"/>
  <c r="CN72" i="6"/>
  <c r="CN43" i="6"/>
  <c r="CM173" i="6"/>
  <c r="CM160" i="6"/>
  <c r="CM96" i="6"/>
  <c r="CM72" i="6"/>
  <c r="CM43" i="6"/>
  <c r="DD172" i="6"/>
  <c r="DD126" i="6"/>
  <c r="DD93" i="6"/>
  <c r="DD65" i="6"/>
  <c r="DD26" i="6"/>
  <c r="DC172" i="6"/>
  <c r="DC126" i="6"/>
  <c r="DC93" i="6"/>
  <c r="DC65" i="6"/>
  <c r="DC26" i="6"/>
  <c r="CZ172" i="6"/>
  <c r="CZ126" i="6"/>
  <c r="CZ93" i="6"/>
  <c r="CZ65" i="6"/>
  <c r="CZ26" i="6"/>
  <c r="CY172" i="6"/>
  <c r="CY126" i="6"/>
  <c r="CY93" i="6"/>
  <c r="CY65" i="6"/>
  <c r="CY26" i="6"/>
  <c r="CV172" i="6"/>
  <c r="CV126" i="6"/>
  <c r="CV93" i="6"/>
  <c r="CV65" i="6"/>
  <c r="CV26" i="6"/>
  <c r="CU172" i="6"/>
  <c r="CU126" i="6"/>
  <c r="CU93" i="6"/>
  <c r="CU65" i="6"/>
  <c r="CU26" i="6"/>
  <c r="CR93" i="6"/>
  <c r="CN172" i="6"/>
  <c r="CN126" i="6"/>
  <c r="CN93" i="6"/>
  <c r="CN65" i="6"/>
  <c r="CN26" i="6"/>
  <c r="CM172" i="6"/>
  <c r="CM126" i="6"/>
  <c r="CM93" i="6"/>
  <c r="CM65" i="6"/>
  <c r="CM26" i="6"/>
  <c r="P87" i="6"/>
  <c r="FK126" i="6" l="1"/>
  <c r="FM126" i="6" s="1"/>
  <c r="FL126" i="6" s="1"/>
  <c r="FK74" i="6"/>
  <c r="FK63" i="6"/>
  <c r="FM63" i="6" s="1"/>
  <c r="FL63" i="6" s="1"/>
  <c r="FK163" i="6"/>
  <c r="FM163" i="6" s="1"/>
  <c r="FL163" i="6" s="1"/>
  <c r="FK100" i="6"/>
  <c r="FM100" i="6" s="1"/>
  <c r="FL100" i="6" s="1"/>
  <c r="FK167" i="6"/>
  <c r="FM167" i="6" s="1"/>
  <c r="FL167" i="6" s="1"/>
  <c r="CR126" i="6"/>
  <c r="BJ74" i="6"/>
  <c r="CR96" i="6"/>
  <c r="BJ100" i="6"/>
  <c r="CQ93" i="6"/>
  <c r="FK77" i="6"/>
  <c r="FM77" i="6" s="1"/>
  <c r="FL77" i="6" s="1"/>
  <c r="BJ52" i="6"/>
  <c r="BJ196" i="6"/>
  <c r="CQ126" i="6"/>
  <c r="CR160" i="6"/>
  <c r="BJ163" i="6"/>
  <c r="CQ160" i="6"/>
  <c r="ED160" i="6"/>
  <c r="FK160" i="6" s="1"/>
  <c r="FM160" i="6" s="1"/>
  <c r="FL160" i="6" s="1"/>
  <c r="FM196" i="6"/>
  <c r="FL196" i="6" s="1"/>
  <c r="CQ96" i="6"/>
  <c r="CR65" i="6"/>
  <c r="FK76" i="6"/>
  <c r="FM76" i="6" s="1"/>
  <c r="FL76" i="6" s="1"/>
  <c r="BJ76" i="6"/>
  <c r="BJ93" i="6"/>
  <c r="BJ173" i="6"/>
  <c r="BJ80" i="6"/>
  <c r="BJ72" i="6"/>
  <c r="FK47" i="6"/>
  <c r="FM47" i="6" s="1"/>
  <c r="FL47" i="6" s="1"/>
  <c r="CQ173" i="6"/>
  <c r="BJ96" i="6"/>
  <c r="BJ43" i="6"/>
  <c r="BJ210" i="6"/>
  <c r="BJ160" i="6"/>
  <c r="BJ125" i="6"/>
  <c r="ED93" i="6"/>
  <c r="FK93" i="6" s="1"/>
  <c r="FM93" i="6" s="1"/>
  <c r="FL93" i="6" s="1"/>
  <c r="BJ167" i="6"/>
  <c r="CQ65" i="6"/>
  <c r="BJ126" i="6"/>
  <c r="BJ47" i="6"/>
  <c r="BJ172" i="6"/>
  <c r="BJ26" i="6"/>
  <c r="ED96" i="6"/>
  <c r="FK96" i="6" s="1"/>
  <c r="FM96" i="6" s="1"/>
  <c r="FL96" i="6" s="1"/>
  <c r="CR47" i="6"/>
  <c r="CP47" i="6"/>
  <c r="CQ47" i="6"/>
  <c r="CQ43" i="6"/>
  <c r="ED65" i="6"/>
  <c r="FK65" i="6" s="1"/>
  <c r="FM65" i="6" s="1"/>
  <c r="FL65" i="6" s="1"/>
  <c r="BJ65" i="6"/>
  <c r="CR52" i="6"/>
  <c r="CQ72" i="6"/>
  <c r="ED52" i="6"/>
  <c r="FK52" i="6" s="1"/>
  <c r="FM52" i="6" s="1"/>
  <c r="FL52" i="6" s="1"/>
  <c r="FJ126" i="6"/>
  <c r="CR72" i="6"/>
  <c r="CQ52" i="6"/>
  <c r="ED172" i="6"/>
  <c r="FK172" i="6" s="1"/>
  <c r="FM172" i="6" s="1"/>
  <c r="FL172" i="6" s="1"/>
  <c r="BJ63" i="6"/>
  <c r="CR76" i="6"/>
  <c r="CQ76" i="6"/>
  <c r="CP76" i="6"/>
  <c r="CP43" i="6"/>
  <c r="ED43" i="6"/>
  <c r="FK43" i="6" s="1"/>
  <c r="FM43" i="6" s="1"/>
  <c r="FL43" i="6" s="1"/>
  <c r="CQ172" i="6"/>
  <c r="FM74" i="6"/>
  <c r="FL74" i="6" s="1"/>
  <c r="CQ26" i="6"/>
  <c r="CR26" i="6"/>
  <c r="CR172" i="6"/>
  <c r="BJ77" i="6"/>
  <c r="CP173" i="6"/>
  <c r="ED173" i="6"/>
  <c r="FK173" i="6" s="1"/>
  <c r="FM173" i="6" s="1"/>
  <c r="FL173" i="6" s="1"/>
  <c r="ED26" i="6"/>
  <c r="FK26" i="6" s="1"/>
  <c r="FM26" i="6" s="1"/>
  <c r="FL26" i="6" s="1"/>
  <c r="ED72" i="6"/>
  <c r="FK72" i="6" s="1"/>
  <c r="FM72" i="6" s="1"/>
  <c r="FL72" i="6" s="1"/>
  <c r="CR77" i="6"/>
  <c r="CQ77" i="6"/>
  <c r="CP77" i="6"/>
  <c r="CQ80" i="6"/>
  <c r="CP80" i="6"/>
  <c r="CR80" i="6"/>
  <c r="FJ172" i="6"/>
  <c r="CP125" i="6"/>
  <c r="CR125" i="6"/>
  <c r="CQ125" i="6"/>
  <c r="ED80" i="6"/>
  <c r="FK80" i="6" s="1"/>
  <c r="FM80" i="6" s="1"/>
  <c r="FL80" i="6" s="1"/>
  <c r="CQ167" i="6"/>
  <c r="CP167" i="6"/>
  <c r="CR167" i="6"/>
  <c r="ED125" i="6"/>
  <c r="FK125" i="6" s="1"/>
  <c r="FM125" i="6" s="1"/>
  <c r="FL125" i="6" s="1"/>
  <c r="FJ93" i="6"/>
  <c r="CP63" i="6"/>
  <c r="CR63" i="6"/>
  <c r="CQ63" i="6"/>
  <c r="CP210" i="6"/>
  <c r="CR210" i="6"/>
  <c r="CQ210" i="6"/>
  <c r="ED210" i="6"/>
  <c r="FK210" i="6" s="1"/>
  <c r="FM210" i="6" s="1"/>
  <c r="FL210" i="6" s="1"/>
  <c r="F1963" i="16" a="1"/>
  <c r="F1963" i="16" s="1"/>
  <c r="F1962" i="16" a="1"/>
  <c r="F1962" i="16" s="1"/>
  <c r="F1961" i="16" a="1"/>
  <c r="F1961" i="16" s="1"/>
  <c r="F1960" i="16" a="1"/>
  <c r="F1960" i="16" s="1"/>
  <c r="F1959" i="16" a="1"/>
  <c r="F1959" i="16" s="1"/>
  <c r="F1958" i="16" a="1"/>
  <c r="F1958" i="16" s="1"/>
  <c r="F1957" i="16" a="1"/>
  <c r="F1957" i="16" s="1"/>
  <c r="F1956" i="16" a="1"/>
  <c r="F1956" i="16" s="1"/>
  <c r="B9" i="6" l="1"/>
  <c r="W9" i="6" s="1"/>
  <c r="X9" i="6" s="1"/>
  <c r="C9" i="6"/>
  <c r="D9" i="6"/>
  <c r="L9" i="6"/>
  <c r="EQ9" i="6" s="1"/>
  <c r="EN9" i="6" s="1"/>
  <c r="M9" i="6"/>
  <c r="N9" i="6"/>
  <c r="O9" i="6"/>
  <c r="P9" i="6"/>
  <c r="DA9" i="6" s="1"/>
  <c r="CX9" i="6" s="1"/>
  <c r="Q9" i="6"/>
  <c r="R9" i="6"/>
  <c r="S9" i="6"/>
  <c r="T9" i="6"/>
  <c r="U9" i="6"/>
  <c r="DE9" i="6" s="1"/>
  <c r="DB9" i="6" s="1"/>
  <c r="V9" i="6"/>
  <c r="Z9" i="6"/>
  <c r="AA9" i="6"/>
  <c r="AB9" i="6"/>
  <c r="AC9" i="6"/>
  <c r="AD9" i="6"/>
  <c r="AE9" i="6"/>
  <c r="AF9" i="6" s="1"/>
  <c r="CW9" i="6" s="1"/>
  <c r="AG9" i="6"/>
  <c r="AH9" i="6"/>
  <c r="AI9" i="6" s="1"/>
  <c r="CO9" i="6" s="1"/>
  <c r="AJ9" i="6"/>
  <c r="AK9" i="6"/>
  <c r="AL9" i="6" s="1"/>
  <c r="BK9" i="6"/>
  <c r="BL9" i="6" s="1"/>
  <c r="BT9" i="6"/>
  <c r="BX9" i="6"/>
  <c r="CB9" i="6"/>
  <c r="CF9" i="6"/>
  <c r="CK9" i="6"/>
  <c r="DF9" i="6"/>
  <c r="DG9" i="6"/>
  <c r="DH9" i="6"/>
  <c r="DN9" i="6"/>
  <c r="DO9" i="6"/>
  <c r="DP9" i="6"/>
  <c r="DR9" i="6"/>
  <c r="DS9" i="6"/>
  <c r="DT9" i="6"/>
  <c r="DY9" i="6"/>
  <c r="EC9" i="6"/>
  <c r="EH9" i="6"/>
  <c r="EI9" i="6"/>
  <c r="EJ9" i="6"/>
  <c r="EK9" i="6"/>
  <c r="EM9" i="6"/>
  <c r="ES9" i="6"/>
  <c r="ET9" i="6"/>
  <c r="EU9" i="6"/>
  <c r="EW9" i="6"/>
  <c r="FA9" i="6"/>
  <c r="FE9" i="6"/>
  <c r="FI9" i="6"/>
  <c r="B19" i="6"/>
  <c r="W19" i="6" s="1"/>
  <c r="X19" i="6" s="1"/>
  <c r="C19" i="6"/>
  <c r="D19" i="6"/>
  <c r="L19" i="6"/>
  <c r="EQ19" i="6" s="1"/>
  <c r="M19" i="6"/>
  <c r="N19" i="6"/>
  <c r="O19" i="6"/>
  <c r="P19" i="6"/>
  <c r="DA19" i="6" s="1"/>
  <c r="Q19" i="6"/>
  <c r="R19" i="6"/>
  <c r="S19" i="6"/>
  <c r="T19" i="6"/>
  <c r="U19" i="6"/>
  <c r="DE19" i="6" s="1"/>
  <c r="V19" i="6"/>
  <c r="Z19" i="6"/>
  <c r="AA19" i="6"/>
  <c r="AB19" i="6"/>
  <c r="AC19" i="6"/>
  <c r="AD19" i="6"/>
  <c r="AE19" i="6"/>
  <c r="AF19" i="6" s="1"/>
  <c r="CW19" i="6" s="1"/>
  <c r="AG19" i="6"/>
  <c r="AH19" i="6"/>
  <c r="AI19" i="6" s="1"/>
  <c r="CO19" i="6" s="1"/>
  <c r="AJ19" i="6"/>
  <c r="AK19" i="6"/>
  <c r="AL19" i="6" s="1"/>
  <c r="BK19" i="6"/>
  <c r="BL19" i="6" s="1"/>
  <c r="BT19" i="6"/>
  <c r="BX19" i="6"/>
  <c r="CB19" i="6"/>
  <c r="CF19" i="6"/>
  <c r="CK19" i="6"/>
  <c r="DF19" i="6"/>
  <c r="DG19" i="6"/>
  <c r="DH19" i="6"/>
  <c r="DN19" i="6"/>
  <c r="DO19" i="6"/>
  <c r="DP19" i="6"/>
  <c r="DR19" i="6"/>
  <c r="DS19" i="6"/>
  <c r="DT19" i="6"/>
  <c r="DY19" i="6"/>
  <c r="EC19" i="6"/>
  <c r="EH19" i="6"/>
  <c r="EI19" i="6"/>
  <c r="EJ19" i="6"/>
  <c r="EK19" i="6"/>
  <c r="EM19" i="6"/>
  <c r="ES19" i="6"/>
  <c r="ET19" i="6"/>
  <c r="EU19" i="6"/>
  <c r="EW19" i="6"/>
  <c r="FA19" i="6"/>
  <c r="FE19" i="6"/>
  <c r="FI19" i="6"/>
  <c r="B8" i="6"/>
  <c r="W8" i="6" s="1"/>
  <c r="C8" i="6"/>
  <c r="D8" i="6"/>
  <c r="L8" i="6"/>
  <c r="EQ8" i="6" s="1"/>
  <c r="M8" i="6"/>
  <c r="N8" i="6"/>
  <c r="O8" i="6"/>
  <c r="P8" i="6"/>
  <c r="DA8" i="6" s="1"/>
  <c r="CX8" i="6" s="1"/>
  <c r="Q8" i="6"/>
  <c r="R8" i="6"/>
  <c r="S8" i="6"/>
  <c r="T8" i="6"/>
  <c r="U8" i="6"/>
  <c r="DE8" i="6" s="1"/>
  <c r="V8" i="6"/>
  <c r="Z8" i="6"/>
  <c r="AA8" i="6"/>
  <c r="AB8" i="6"/>
  <c r="AC8" i="6"/>
  <c r="AD8" i="6"/>
  <c r="AE8" i="6"/>
  <c r="AF8" i="6" s="1"/>
  <c r="CW8" i="6" s="1"/>
  <c r="AG8" i="6"/>
  <c r="AH8" i="6"/>
  <c r="AI8" i="6" s="1"/>
  <c r="CO8" i="6" s="1"/>
  <c r="AJ8" i="6"/>
  <c r="AK8" i="6"/>
  <c r="AL8" i="6" s="1"/>
  <c r="BK8" i="6"/>
  <c r="BL8" i="6" s="1"/>
  <c r="BT8" i="6"/>
  <c r="BX8" i="6"/>
  <c r="CB8" i="6"/>
  <c r="CF8" i="6"/>
  <c r="CK8" i="6"/>
  <c r="DF8" i="6"/>
  <c r="DG8" i="6"/>
  <c r="DH8" i="6"/>
  <c r="DN8" i="6"/>
  <c r="DO8" i="6"/>
  <c r="DP8" i="6"/>
  <c r="DR8" i="6"/>
  <c r="DS8" i="6"/>
  <c r="DT8" i="6"/>
  <c r="DY8" i="6"/>
  <c r="EC8" i="6"/>
  <c r="EH8" i="6"/>
  <c r="EI8" i="6"/>
  <c r="EJ8" i="6"/>
  <c r="EK8" i="6"/>
  <c r="EM8" i="6"/>
  <c r="ES8" i="6"/>
  <c r="ET8" i="6"/>
  <c r="EU8" i="6"/>
  <c r="EW8" i="6"/>
  <c r="FA8" i="6"/>
  <c r="FE8" i="6"/>
  <c r="FI8" i="6"/>
  <c r="E8" i="6" l="1"/>
  <c r="E9" i="6"/>
  <c r="E19" i="6"/>
  <c r="CG9" i="6"/>
  <c r="BF8" i="6"/>
  <c r="DD9" i="6"/>
  <c r="DB19" i="6"/>
  <c r="DC19" i="6"/>
  <c r="DD19" i="6"/>
  <c r="BI8" i="6"/>
  <c r="BF19" i="6"/>
  <c r="EO9" i="6"/>
  <c r="CZ9" i="6"/>
  <c r="Y9" i="6"/>
  <c r="BE19" i="6"/>
  <c r="BF9" i="6"/>
  <c r="BI19" i="6"/>
  <c r="EP9" i="6"/>
  <c r="CN9" i="6"/>
  <c r="CS9" i="6"/>
  <c r="ED9" i="6" s="1"/>
  <c r="FK9" i="6" s="1"/>
  <c r="CL9" i="6"/>
  <c r="CM9" i="6"/>
  <c r="CV9" i="6"/>
  <c r="CT9" i="6"/>
  <c r="CU9" i="6"/>
  <c r="BE8" i="6"/>
  <c r="CG19" i="6"/>
  <c r="Y19" i="6"/>
  <c r="ER9" i="6"/>
  <c r="FJ9" i="6" s="1"/>
  <c r="DC9" i="6"/>
  <c r="CY9" i="6"/>
  <c r="BI9" i="6"/>
  <c r="BE9" i="6"/>
  <c r="BH9" i="6"/>
  <c r="BD9" i="6"/>
  <c r="BG9" i="6"/>
  <c r="CV19" i="6"/>
  <c r="CU19" i="6"/>
  <c r="CT19" i="6"/>
  <c r="CZ19" i="6"/>
  <c r="CY19" i="6"/>
  <c r="CX19" i="6"/>
  <c r="EO19" i="6"/>
  <c r="ER19" i="6"/>
  <c r="FJ19" i="6" s="1"/>
  <c r="EP19" i="6"/>
  <c r="EN19" i="6"/>
  <c r="CN19" i="6"/>
  <c r="CS19" i="6"/>
  <c r="ED19" i="6" s="1"/>
  <c r="CM19" i="6"/>
  <c r="CL19" i="6"/>
  <c r="DB8" i="6"/>
  <c r="DC8" i="6"/>
  <c r="DD8" i="6"/>
  <c r="Y8" i="6"/>
  <c r="X8" i="6"/>
  <c r="CZ8" i="6"/>
  <c r="BH19" i="6"/>
  <c r="BD19" i="6"/>
  <c r="CG8" i="6"/>
  <c r="CY8" i="6"/>
  <c r="BG19" i="6"/>
  <c r="CV8" i="6"/>
  <c r="CU8" i="6"/>
  <c r="CT8" i="6"/>
  <c r="EO8" i="6"/>
  <c r="EN8" i="6"/>
  <c r="ER8" i="6"/>
  <c r="FJ8" i="6" s="1"/>
  <c r="EP8" i="6"/>
  <c r="CN8" i="6"/>
  <c r="CM8" i="6"/>
  <c r="CS8" i="6"/>
  <c r="ED8" i="6" s="1"/>
  <c r="CL8" i="6"/>
  <c r="BH8" i="6"/>
  <c r="BD8" i="6"/>
  <c r="BG8" i="6"/>
  <c r="FM9" i="6" l="1"/>
  <c r="FL9" i="6" s="1"/>
  <c r="FK8" i="6"/>
  <c r="FM8" i="6" s="1"/>
  <c r="FL8" i="6" s="1"/>
  <c r="FK19" i="6"/>
  <c r="FM19" i="6" s="1"/>
  <c r="FL19" i="6" s="1"/>
  <c r="BJ9" i="6"/>
  <c r="CR9" i="6"/>
  <c r="CP9" i="6"/>
  <c r="CQ9" i="6"/>
  <c r="BJ8" i="6"/>
  <c r="BJ19" i="6"/>
  <c r="CR19" i="6"/>
  <c r="CQ19" i="6"/>
  <c r="CP19" i="6"/>
  <c r="CR8" i="6"/>
  <c r="CQ8" i="6"/>
  <c r="CP8" i="6"/>
  <c r="F1976" i="16" l="1" a="1"/>
  <c r="F1976" i="16" s="1"/>
  <c r="F1975" i="16" a="1"/>
  <c r="F1975" i="16" s="1"/>
  <c r="F1974" i="16" a="1"/>
  <c r="F1974" i="16" s="1"/>
  <c r="F1973" i="16" a="1"/>
  <c r="F1973" i="16" s="1"/>
  <c r="F1972" i="16" a="1"/>
  <c r="F1972" i="16" s="1"/>
  <c r="F1971" i="16" a="1"/>
  <c r="F1971" i="16" s="1"/>
  <c r="F1970" i="16" a="1"/>
  <c r="F1970" i="16" s="1"/>
  <c r="F1969" i="16" a="1"/>
  <c r="F1969" i="16" s="1"/>
  <c r="F1968" i="16" a="1"/>
  <c r="F1968" i="16" s="1"/>
  <c r="F1967" i="16" a="1"/>
  <c r="F1967" i="16" s="1"/>
  <c r="F1966" i="16" a="1"/>
  <c r="F1966" i="16" s="1"/>
  <c r="F1965" i="16" a="1"/>
  <c r="F1965" i="16" s="1"/>
  <c r="F1964" i="16" a="1"/>
  <c r="F1964" i="16" s="1"/>
  <c r="AH22" i="6" l="1"/>
  <c r="B34" i="6" l="1"/>
  <c r="W34" i="6" s="1"/>
  <c r="X34" i="6" s="1"/>
  <c r="B41" i="6"/>
  <c r="W41" i="6" s="1"/>
  <c r="B56" i="6"/>
  <c r="W56" i="6" s="1"/>
  <c r="X56" i="6" s="1"/>
  <c r="B66" i="6"/>
  <c r="W66" i="6" s="1"/>
  <c r="B67" i="6"/>
  <c r="W67" i="6" s="1"/>
  <c r="B69" i="6"/>
  <c r="W69" i="6" s="1"/>
  <c r="B95" i="6"/>
  <c r="W95" i="6" s="1"/>
  <c r="B112" i="6"/>
  <c r="W112" i="6" s="1"/>
  <c r="B113" i="6"/>
  <c r="W113" i="6" s="1"/>
  <c r="B115" i="6"/>
  <c r="W115" i="6" s="1"/>
  <c r="X115" i="6" s="1"/>
  <c r="B118" i="6"/>
  <c r="W118" i="6" s="1"/>
  <c r="B135" i="6"/>
  <c r="W135" i="6" s="1"/>
  <c r="Y135" i="6" s="1"/>
  <c r="B136" i="6"/>
  <c r="W136" i="6" s="1"/>
  <c r="B137" i="6"/>
  <c r="W137" i="6" s="1"/>
  <c r="X137" i="6" s="1"/>
  <c r="B139" i="6"/>
  <c r="W139" i="6" s="1"/>
  <c r="B143" i="6"/>
  <c r="W143" i="6" s="1"/>
  <c r="X143" i="6" s="1"/>
  <c r="B148" i="6"/>
  <c r="W148" i="6" s="1"/>
  <c r="B166" i="6"/>
  <c r="W166" i="6" s="1"/>
  <c r="X166" i="6" s="1"/>
  <c r="B181" i="6"/>
  <c r="W181" i="6" s="1"/>
  <c r="B204" i="6"/>
  <c r="W204" i="6" s="1"/>
  <c r="B206" i="6"/>
  <c r="W206" i="6" s="1"/>
  <c r="B207" i="6"/>
  <c r="W207" i="6" s="1"/>
  <c r="X207" i="6" s="1"/>
  <c r="B216" i="6"/>
  <c r="W216" i="6" s="1"/>
  <c r="B218" i="6"/>
  <c r="W218" i="6" s="1"/>
  <c r="C34" i="6"/>
  <c r="E34" i="6" s="1"/>
  <c r="C41" i="6"/>
  <c r="C56" i="6"/>
  <c r="E56" i="6" s="1"/>
  <c r="C66" i="6"/>
  <c r="C67" i="6"/>
  <c r="E67" i="6" s="1"/>
  <c r="C69" i="6"/>
  <c r="E69" i="6" s="1"/>
  <c r="C95" i="6"/>
  <c r="E95" i="6" s="1"/>
  <c r="C112" i="6"/>
  <c r="E112" i="6" s="1"/>
  <c r="C113" i="6"/>
  <c r="E113" i="6" s="1"/>
  <c r="C115" i="6"/>
  <c r="E115" i="6" s="1"/>
  <c r="C118" i="6"/>
  <c r="E118" i="6" s="1"/>
  <c r="C135" i="6"/>
  <c r="E135" i="6" s="1"/>
  <c r="C136" i="6"/>
  <c r="E136" i="6" s="1"/>
  <c r="C137" i="6"/>
  <c r="E137" i="6" s="1"/>
  <c r="C139" i="6"/>
  <c r="E139" i="6" s="1"/>
  <c r="C143" i="6"/>
  <c r="C148" i="6"/>
  <c r="E148" i="6" s="1"/>
  <c r="C166" i="6"/>
  <c r="E166" i="6" s="1"/>
  <c r="C181" i="6"/>
  <c r="E181" i="6" s="1"/>
  <c r="C204" i="6"/>
  <c r="E204" i="6" s="1"/>
  <c r="C206" i="6"/>
  <c r="E206" i="6" s="1"/>
  <c r="C207" i="6"/>
  <c r="E207" i="6" s="1"/>
  <c r="C216" i="6"/>
  <c r="E216" i="6" s="1"/>
  <c r="C218" i="6"/>
  <c r="E218" i="6" s="1"/>
  <c r="D34" i="6"/>
  <c r="D41" i="6"/>
  <c r="D56" i="6"/>
  <c r="D66" i="6"/>
  <c r="D67" i="6"/>
  <c r="D69" i="6"/>
  <c r="D95" i="6"/>
  <c r="D112" i="6"/>
  <c r="D113" i="6"/>
  <c r="D115" i="6"/>
  <c r="D118" i="6"/>
  <c r="D135" i="6"/>
  <c r="D136" i="6"/>
  <c r="D137" i="6"/>
  <c r="D139" i="6"/>
  <c r="D143" i="6"/>
  <c r="D148" i="6"/>
  <c r="D166" i="6"/>
  <c r="D181" i="6"/>
  <c r="D204" i="6"/>
  <c r="D206" i="6"/>
  <c r="D207" i="6"/>
  <c r="D216" i="6"/>
  <c r="D218" i="6"/>
  <c r="L34" i="6"/>
  <c r="EQ34" i="6" s="1"/>
  <c r="EP34" i="6" s="1"/>
  <c r="L41" i="6"/>
  <c r="EQ41" i="6" s="1"/>
  <c r="EN41" i="6" s="1"/>
  <c r="L56" i="6"/>
  <c r="EQ56" i="6" s="1"/>
  <c r="L66" i="6"/>
  <c r="EQ66" i="6" s="1"/>
  <c r="L67" i="6"/>
  <c r="EQ67" i="6" s="1"/>
  <c r="EP67" i="6" s="1"/>
  <c r="L69" i="6"/>
  <c r="EQ69" i="6" s="1"/>
  <c r="L95" i="6"/>
  <c r="EQ95" i="6" s="1"/>
  <c r="EN95" i="6" s="1"/>
  <c r="L112" i="6"/>
  <c r="EQ112" i="6" s="1"/>
  <c r="EP112" i="6" s="1"/>
  <c r="L113" i="6"/>
  <c r="L115" i="6"/>
  <c r="EQ115" i="6" s="1"/>
  <c r="L118" i="6"/>
  <c r="EQ118" i="6" s="1"/>
  <c r="EN118" i="6" s="1"/>
  <c r="L135" i="6"/>
  <c r="EQ135" i="6" s="1"/>
  <c r="EP135" i="6" s="1"/>
  <c r="L136" i="6"/>
  <c r="EQ136" i="6" s="1"/>
  <c r="ER136" i="6" s="1"/>
  <c r="L137" i="6"/>
  <c r="EQ137" i="6" s="1"/>
  <c r="L139" i="6"/>
  <c r="EQ139" i="6" s="1"/>
  <c r="EN139" i="6" s="1"/>
  <c r="L143" i="6"/>
  <c r="EQ143" i="6" s="1"/>
  <c r="EP143" i="6" s="1"/>
  <c r="L148" i="6"/>
  <c r="EQ148" i="6" s="1"/>
  <c r="EN148" i="6" s="1"/>
  <c r="L166" i="6"/>
  <c r="EQ166" i="6" s="1"/>
  <c r="L181" i="6"/>
  <c r="EQ181" i="6" s="1"/>
  <c r="EN181" i="6" s="1"/>
  <c r="L204" i="6"/>
  <c r="EQ204" i="6" s="1"/>
  <c r="EP204" i="6" s="1"/>
  <c r="L206" i="6"/>
  <c r="EQ206" i="6" s="1"/>
  <c r="EN206" i="6" s="1"/>
  <c r="L207" i="6"/>
  <c r="EQ207" i="6" s="1"/>
  <c r="EP207" i="6" s="1"/>
  <c r="L216" i="6"/>
  <c r="EQ216" i="6" s="1"/>
  <c r="L218" i="6"/>
  <c r="EQ218" i="6" s="1"/>
  <c r="EP218" i="6" s="1"/>
  <c r="M34" i="6"/>
  <c r="M41" i="6"/>
  <c r="M56" i="6"/>
  <c r="M66" i="6"/>
  <c r="M67" i="6"/>
  <c r="M69" i="6"/>
  <c r="M95" i="6"/>
  <c r="M112" i="6"/>
  <c r="M113" i="6"/>
  <c r="M115" i="6"/>
  <c r="M118" i="6"/>
  <c r="M135" i="6"/>
  <c r="M136" i="6"/>
  <c r="M137" i="6"/>
  <c r="M139" i="6"/>
  <c r="M143" i="6"/>
  <c r="M148" i="6"/>
  <c r="M166" i="6"/>
  <c r="M181" i="6"/>
  <c r="M204" i="6"/>
  <c r="M206" i="6"/>
  <c r="M207" i="6"/>
  <c r="M216" i="6"/>
  <c r="M218" i="6"/>
  <c r="N34" i="6"/>
  <c r="N41" i="6"/>
  <c r="N56" i="6"/>
  <c r="N66" i="6"/>
  <c r="N67" i="6"/>
  <c r="N69" i="6"/>
  <c r="N95" i="6"/>
  <c r="N112" i="6"/>
  <c r="N113" i="6"/>
  <c r="N115" i="6"/>
  <c r="N118" i="6"/>
  <c r="N135" i="6"/>
  <c r="N136" i="6"/>
  <c r="N137" i="6"/>
  <c r="N139" i="6"/>
  <c r="N143" i="6"/>
  <c r="N148" i="6"/>
  <c r="N166" i="6"/>
  <c r="N181" i="6"/>
  <c r="N204" i="6"/>
  <c r="N206" i="6"/>
  <c r="N207" i="6"/>
  <c r="N216" i="6"/>
  <c r="N218" i="6"/>
  <c r="O34" i="6"/>
  <c r="O41" i="6"/>
  <c r="O56" i="6"/>
  <c r="O66" i="6"/>
  <c r="O67" i="6"/>
  <c r="O69" i="6"/>
  <c r="O95" i="6"/>
  <c r="O112" i="6"/>
  <c r="O113" i="6"/>
  <c r="O115" i="6"/>
  <c r="O118" i="6"/>
  <c r="O135" i="6"/>
  <c r="O136" i="6"/>
  <c r="O137" i="6"/>
  <c r="O139" i="6"/>
  <c r="O143" i="6"/>
  <c r="O148" i="6"/>
  <c r="O166" i="6"/>
  <c r="O181" i="6"/>
  <c r="O204" i="6"/>
  <c r="O206" i="6"/>
  <c r="O207" i="6"/>
  <c r="O216" i="6"/>
  <c r="O218" i="6"/>
  <c r="P34" i="6"/>
  <c r="DA34" i="6" s="1"/>
  <c r="CX34" i="6" s="1"/>
  <c r="P41" i="6"/>
  <c r="DA41" i="6" s="1"/>
  <c r="P56" i="6"/>
  <c r="DA56" i="6" s="1"/>
  <c r="P66" i="6"/>
  <c r="DA66" i="6" s="1"/>
  <c r="CZ66" i="6" s="1"/>
  <c r="P67" i="6"/>
  <c r="DA67" i="6" s="1"/>
  <c r="CX67" i="6" s="1"/>
  <c r="P69" i="6"/>
  <c r="DA69" i="6" s="1"/>
  <c r="P95" i="6"/>
  <c r="DA95" i="6" s="1"/>
  <c r="CZ95" i="6" s="1"/>
  <c r="P112" i="6"/>
  <c r="DA112" i="6" s="1"/>
  <c r="CX112" i="6" s="1"/>
  <c r="P113" i="6"/>
  <c r="DA113" i="6" s="1"/>
  <c r="P115" i="6"/>
  <c r="DA115" i="6" s="1"/>
  <c r="P118" i="6"/>
  <c r="DA118" i="6" s="1"/>
  <c r="P135" i="6"/>
  <c r="DA135" i="6" s="1"/>
  <c r="CX135" i="6" s="1"/>
  <c r="P136" i="6"/>
  <c r="DA136" i="6" s="1"/>
  <c r="P137" i="6"/>
  <c r="DA137" i="6" s="1"/>
  <c r="CX137" i="6" s="1"/>
  <c r="P139" i="6"/>
  <c r="DA139" i="6" s="1"/>
  <c r="CZ139" i="6" s="1"/>
  <c r="P143" i="6"/>
  <c r="DA143" i="6" s="1"/>
  <c r="CX143" i="6" s="1"/>
  <c r="P148" i="6"/>
  <c r="DA148" i="6" s="1"/>
  <c r="CY148" i="6" s="1"/>
  <c r="P166" i="6"/>
  <c r="DA166" i="6" s="1"/>
  <c r="P181" i="6"/>
  <c r="DA181" i="6" s="1"/>
  <c r="CZ181" i="6" s="1"/>
  <c r="P204" i="6"/>
  <c r="DA204" i="6" s="1"/>
  <c r="CX204" i="6" s="1"/>
  <c r="P206" i="6"/>
  <c r="DA206" i="6" s="1"/>
  <c r="P207" i="6"/>
  <c r="DA207" i="6" s="1"/>
  <c r="P216" i="6"/>
  <c r="DA216" i="6" s="1"/>
  <c r="CZ216" i="6" s="1"/>
  <c r="P218" i="6"/>
  <c r="DA218" i="6" s="1"/>
  <c r="CX218" i="6" s="1"/>
  <c r="Q34" i="6"/>
  <c r="Q41" i="6"/>
  <c r="Q56" i="6"/>
  <c r="Q66" i="6"/>
  <c r="Q67" i="6"/>
  <c r="Q69" i="6"/>
  <c r="Q95" i="6"/>
  <c r="Q112" i="6"/>
  <c r="Q113" i="6"/>
  <c r="Q115" i="6"/>
  <c r="Q118" i="6"/>
  <c r="Q135" i="6"/>
  <c r="Q136" i="6"/>
  <c r="Q137" i="6"/>
  <c r="Q139" i="6"/>
  <c r="Q143" i="6"/>
  <c r="Q148" i="6"/>
  <c r="Q166" i="6"/>
  <c r="Q181" i="6"/>
  <c r="Q204" i="6"/>
  <c r="Q206" i="6"/>
  <c r="Q207" i="6"/>
  <c r="Q216" i="6"/>
  <c r="Q218" i="6"/>
  <c r="R34" i="6"/>
  <c r="R41" i="6"/>
  <c r="R56" i="6"/>
  <c r="R66" i="6"/>
  <c r="R67" i="6"/>
  <c r="R69" i="6"/>
  <c r="R95" i="6"/>
  <c r="R112" i="6"/>
  <c r="R113" i="6"/>
  <c r="R115" i="6"/>
  <c r="R118" i="6"/>
  <c r="R135" i="6"/>
  <c r="R136" i="6"/>
  <c r="R137" i="6"/>
  <c r="R139" i="6"/>
  <c r="R143" i="6"/>
  <c r="R148" i="6"/>
  <c r="R166" i="6"/>
  <c r="R181" i="6"/>
  <c r="R204" i="6"/>
  <c r="R206" i="6"/>
  <c r="R207" i="6"/>
  <c r="R216" i="6"/>
  <c r="R218" i="6"/>
  <c r="S34" i="6"/>
  <c r="S41" i="6"/>
  <c r="S56" i="6"/>
  <c r="S66" i="6"/>
  <c r="S67" i="6"/>
  <c r="S69" i="6"/>
  <c r="S95" i="6"/>
  <c r="S112" i="6"/>
  <c r="S113" i="6"/>
  <c r="S115" i="6"/>
  <c r="S118" i="6"/>
  <c r="S135" i="6"/>
  <c r="S136" i="6"/>
  <c r="S137" i="6"/>
  <c r="S139" i="6"/>
  <c r="S143" i="6"/>
  <c r="S148" i="6"/>
  <c r="S166" i="6"/>
  <c r="S181" i="6"/>
  <c r="S204" i="6"/>
  <c r="S206" i="6"/>
  <c r="S207" i="6"/>
  <c r="S216" i="6"/>
  <c r="S218" i="6"/>
  <c r="T34" i="6"/>
  <c r="T41" i="6"/>
  <c r="T56" i="6"/>
  <c r="T66" i="6"/>
  <c r="T67" i="6"/>
  <c r="T69" i="6"/>
  <c r="T95" i="6"/>
  <c r="T112" i="6"/>
  <c r="T113" i="6"/>
  <c r="T115" i="6"/>
  <c r="T118" i="6"/>
  <c r="T135" i="6"/>
  <c r="T136" i="6"/>
  <c r="T137" i="6"/>
  <c r="T139" i="6"/>
  <c r="T143" i="6"/>
  <c r="T148" i="6"/>
  <c r="T166" i="6"/>
  <c r="T181" i="6"/>
  <c r="T204" i="6"/>
  <c r="T206" i="6"/>
  <c r="T207" i="6"/>
  <c r="T216" i="6"/>
  <c r="T218" i="6"/>
  <c r="U34" i="6"/>
  <c r="DE34" i="6" s="1"/>
  <c r="U41" i="6"/>
  <c r="DE41" i="6" s="1"/>
  <c r="U56" i="6"/>
  <c r="DE56" i="6" s="1"/>
  <c r="U66" i="6"/>
  <c r="DE66" i="6" s="1"/>
  <c r="U67" i="6"/>
  <c r="DE67" i="6" s="1"/>
  <c r="U69" i="6"/>
  <c r="DE69" i="6" s="1"/>
  <c r="U95" i="6"/>
  <c r="DE95" i="6" s="1"/>
  <c r="U112" i="6"/>
  <c r="DE112" i="6" s="1"/>
  <c r="U113" i="6"/>
  <c r="DE113" i="6" s="1"/>
  <c r="DB113" i="6" s="1"/>
  <c r="U115" i="6"/>
  <c r="DE115" i="6" s="1"/>
  <c r="DB115" i="6" s="1"/>
  <c r="U118" i="6"/>
  <c r="DE118" i="6" s="1"/>
  <c r="U135" i="6"/>
  <c r="DE135" i="6" s="1"/>
  <c r="U136" i="6"/>
  <c r="DE136" i="6" s="1"/>
  <c r="U137" i="6"/>
  <c r="DE137" i="6" s="1"/>
  <c r="U139" i="6"/>
  <c r="DE139" i="6" s="1"/>
  <c r="U143" i="6"/>
  <c r="DE143" i="6" s="1"/>
  <c r="U148" i="6"/>
  <c r="DE148" i="6" s="1"/>
  <c r="U166" i="6"/>
  <c r="DE166" i="6" s="1"/>
  <c r="U181" i="6"/>
  <c r="DE181" i="6" s="1"/>
  <c r="U204" i="6"/>
  <c r="DE204" i="6" s="1"/>
  <c r="U206" i="6"/>
  <c r="DE206" i="6" s="1"/>
  <c r="U207" i="6"/>
  <c r="DE207" i="6" s="1"/>
  <c r="U216" i="6"/>
  <c r="DE216" i="6" s="1"/>
  <c r="U218" i="6"/>
  <c r="DE218" i="6" s="1"/>
  <c r="V34" i="6"/>
  <c r="V41" i="6"/>
  <c r="V56" i="6"/>
  <c r="V66" i="6"/>
  <c r="V67" i="6"/>
  <c r="V69" i="6"/>
  <c r="V95" i="6"/>
  <c r="V112" i="6"/>
  <c r="V113" i="6"/>
  <c r="V115" i="6"/>
  <c r="V118" i="6"/>
  <c r="V135" i="6"/>
  <c r="V136" i="6"/>
  <c r="V137" i="6"/>
  <c r="V139" i="6"/>
  <c r="V143" i="6"/>
  <c r="V148" i="6"/>
  <c r="V166" i="6"/>
  <c r="V181" i="6"/>
  <c r="V204" i="6"/>
  <c r="V206" i="6"/>
  <c r="V207" i="6"/>
  <c r="V216" i="6"/>
  <c r="V218" i="6"/>
  <c r="Z34" i="6"/>
  <c r="Z41" i="6"/>
  <c r="Z56" i="6"/>
  <c r="Z66" i="6"/>
  <c r="Z67" i="6"/>
  <c r="Z69" i="6"/>
  <c r="Z95" i="6"/>
  <c r="Z112" i="6"/>
  <c r="Z113" i="6"/>
  <c r="Z115" i="6"/>
  <c r="Z118" i="6"/>
  <c r="Z135" i="6"/>
  <c r="Z136" i="6"/>
  <c r="Z137" i="6"/>
  <c r="Z139" i="6"/>
  <c r="Z143" i="6"/>
  <c r="Z148" i="6"/>
  <c r="Z166" i="6"/>
  <c r="Z181" i="6"/>
  <c r="Z204" i="6"/>
  <c r="Z206" i="6"/>
  <c r="Z207" i="6"/>
  <c r="Z216" i="6"/>
  <c r="Z218" i="6"/>
  <c r="AA34" i="6"/>
  <c r="AA41" i="6"/>
  <c r="AA56" i="6"/>
  <c r="AA66" i="6"/>
  <c r="AA67" i="6"/>
  <c r="AA69" i="6"/>
  <c r="AA95" i="6"/>
  <c r="AA112" i="6"/>
  <c r="AA113" i="6"/>
  <c r="AA115" i="6"/>
  <c r="AA118" i="6"/>
  <c r="AA135" i="6"/>
  <c r="AA136" i="6"/>
  <c r="AA137" i="6"/>
  <c r="AA139" i="6"/>
  <c r="AA143" i="6"/>
  <c r="AA148" i="6"/>
  <c r="AA166" i="6"/>
  <c r="AA181" i="6"/>
  <c r="AA204" i="6"/>
  <c r="AA206" i="6"/>
  <c r="AA207" i="6"/>
  <c r="AA216" i="6"/>
  <c r="AA218" i="6"/>
  <c r="AB34" i="6"/>
  <c r="AB41" i="6"/>
  <c r="AB56" i="6"/>
  <c r="AB66" i="6"/>
  <c r="AB67" i="6"/>
  <c r="AB69" i="6"/>
  <c r="AB95" i="6"/>
  <c r="AB112" i="6"/>
  <c r="AB113" i="6"/>
  <c r="AB115" i="6"/>
  <c r="AB118" i="6"/>
  <c r="AB135" i="6"/>
  <c r="AB136" i="6"/>
  <c r="AB137" i="6"/>
  <c r="AB139" i="6"/>
  <c r="AB143" i="6"/>
  <c r="AB148" i="6"/>
  <c r="AB166" i="6"/>
  <c r="AB181" i="6"/>
  <c r="AB204" i="6"/>
  <c r="AB206" i="6"/>
  <c r="AB207" i="6"/>
  <c r="AB216" i="6"/>
  <c r="AB218" i="6"/>
  <c r="AC34" i="6"/>
  <c r="AC41" i="6"/>
  <c r="AC56" i="6"/>
  <c r="AC66" i="6"/>
  <c r="AC67" i="6"/>
  <c r="AC69" i="6"/>
  <c r="AC95" i="6"/>
  <c r="AC112" i="6"/>
  <c r="AC113" i="6"/>
  <c r="AC115" i="6"/>
  <c r="AC118" i="6"/>
  <c r="AC135" i="6"/>
  <c r="AC136" i="6"/>
  <c r="AC137" i="6"/>
  <c r="AC139" i="6"/>
  <c r="AC143" i="6"/>
  <c r="AC148" i="6"/>
  <c r="AC166" i="6"/>
  <c r="AC181" i="6"/>
  <c r="AC204" i="6"/>
  <c r="AC206" i="6"/>
  <c r="AC207" i="6"/>
  <c r="AC216" i="6"/>
  <c r="AC218" i="6"/>
  <c r="AD34" i="6"/>
  <c r="AD41" i="6"/>
  <c r="AD56" i="6"/>
  <c r="AD66" i="6"/>
  <c r="AD67" i="6"/>
  <c r="AD69" i="6"/>
  <c r="AD95" i="6"/>
  <c r="AD112" i="6"/>
  <c r="AD113" i="6"/>
  <c r="AD115" i="6"/>
  <c r="AD118" i="6"/>
  <c r="AD135" i="6"/>
  <c r="AD136" i="6"/>
  <c r="AD137" i="6"/>
  <c r="AD139" i="6"/>
  <c r="AD143" i="6"/>
  <c r="AD148" i="6"/>
  <c r="AD166" i="6"/>
  <c r="AD181" i="6"/>
  <c r="AD204" i="6"/>
  <c r="AD206" i="6"/>
  <c r="AD207" i="6"/>
  <c r="AD216" i="6"/>
  <c r="AD218" i="6"/>
  <c r="AE34" i="6"/>
  <c r="AF34" i="6" s="1"/>
  <c r="CW34" i="6" s="1"/>
  <c r="CT34" i="6" s="1"/>
  <c r="AE41" i="6"/>
  <c r="AF41" i="6" s="1"/>
  <c r="CW41" i="6" s="1"/>
  <c r="AE56" i="6"/>
  <c r="AF56" i="6" s="1"/>
  <c r="CW56" i="6" s="1"/>
  <c r="CT56" i="6" s="1"/>
  <c r="AE66" i="6"/>
  <c r="AF66" i="6" s="1"/>
  <c r="CW66" i="6" s="1"/>
  <c r="CU66" i="6" s="1"/>
  <c r="AE67" i="6"/>
  <c r="AF67" i="6" s="1"/>
  <c r="CW67" i="6" s="1"/>
  <c r="AE69" i="6"/>
  <c r="AF69" i="6" s="1"/>
  <c r="CW69" i="6" s="1"/>
  <c r="AE95" i="6"/>
  <c r="AF95" i="6" s="1"/>
  <c r="CW95" i="6" s="1"/>
  <c r="CT95" i="6" s="1"/>
  <c r="AE112" i="6"/>
  <c r="AF112" i="6" s="1"/>
  <c r="CW112" i="6" s="1"/>
  <c r="CT112" i="6" s="1"/>
  <c r="AE113" i="6"/>
  <c r="AF113" i="6" s="1"/>
  <c r="CW113" i="6" s="1"/>
  <c r="CV113" i="6" s="1"/>
  <c r="AE115" i="6"/>
  <c r="AF115" i="6" s="1"/>
  <c r="CW115" i="6" s="1"/>
  <c r="CU115" i="6" s="1"/>
  <c r="AE118" i="6"/>
  <c r="AF118" i="6" s="1"/>
  <c r="CW118" i="6" s="1"/>
  <c r="AE135" i="6"/>
  <c r="AF135" i="6" s="1"/>
  <c r="CW135" i="6" s="1"/>
  <c r="AE136" i="6"/>
  <c r="AF136" i="6" s="1"/>
  <c r="CW136" i="6" s="1"/>
  <c r="CV136" i="6" s="1"/>
  <c r="AE137" i="6"/>
  <c r="AF137" i="6" s="1"/>
  <c r="CW137" i="6" s="1"/>
  <c r="AE139" i="6"/>
  <c r="AF139" i="6" s="1"/>
  <c r="CW139" i="6" s="1"/>
  <c r="AE143" i="6"/>
  <c r="AF143" i="6" s="1"/>
  <c r="CW143" i="6" s="1"/>
  <c r="CT143" i="6" s="1"/>
  <c r="AE148" i="6"/>
  <c r="AF148" i="6" s="1"/>
  <c r="CW148" i="6" s="1"/>
  <c r="AE166" i="6"/>
  <c r="AF166" i="6" s="1"/>
  <c r="CW166" i="6" s="1"/>
  <c r="CT166" i="6" s="1"/>
  <c r="AE181" i="6"/>
  <c r="AF181" i="6" s="1"/>
  <c r="CW181" i="6" s="1"/>
  <c r="CU181" i="6" s="1"/>
  <c r="AE204" i="6"/>
  <c r="AF204" i="6" s="1"/>
  <c r="CW204" i="6" s="1"/>
  <c r="CV204" i="6" s="1"/>
  <c r="AE206" i="6"/>
  <c r="AF206" i="6" s="1"/>
  <c r="CW206" i="6" s="1"/>
  <c r="AE207" i="6"/>
  <c r="AF207" i="6" s="1"/>
  <c r="CW207" i="6" s="1"/>
  <c r="CU207" i="6" s="1"/>
  <c r="AE216" i="6"/>
  <c r="AF216" i="6" s="1"/>
  <c r="CW216" i="6" s="1"/>
  <c r="CT216" i="6" s="1"/>
  <c r="AE218" i="6"/>
  <c r="AF218" i="6" s="1"/>
  <c r="CW218" i="6" s="1"/>
  <c r="AG34" i="6"/>
  <c r="AG41" i="6"/>
  <c r="AG56" i="6"/>
  <c r="AG66" i="6"/>
  <c r="AG67" i="6"/>
  <c r="AG69" i="6"/>
  <c r="AG95" i="6"/>
  <c r="AG112" i="6"/>
  <c r="AG113" i="6"/>
  <c r="AG115" i="6"/>
  <c r="AG118" i="6"/>
  <c r="AG135" i="6"/>
  <c r="AG136" i="6"/>
  <c r="AG137" i="6"/>
  <c r="AG139" i="6"/>
  <c r="AG143" i="6"/>
  <c r="AG148" i="6"/>
  <c r="AG166" i="6"/>
  <c r="AG181" i="6"/>
  <c r="AG204" i="6"/>
  <c r="AG206" i="6"/>
  <c r="AG207" i="6"/>
  <c r="AG216" i="6"/>
  <c r="AG218" i="6"/>
  <c r="AH34" i="6"/>
  <c r="AI34" i="6" s="1"/>
  <c r="CO34" i="6" s="1"/>
  <c r="AH41" i="6"/>
  <c r="AI41" i="6" s="1"/>
  <c r="CO41" i="6" s="1"/>
  <c r="AH56" i="6"/>
  <c r="AI56" i="6" s="1"/>
  <c r="CO56" i="6" s="1"/>
  <c r="CS56" i="6" s="1"/>
  <c r="AH66" i="6"/>
  <c r="AI66" i="6" s="1"/>
  <c r="CO66" i="6" s="1"/>
  <c r="CL66" i="6" s="1"/>
  <c r="AH67" i="6"/>
  <c r="AI67" i="6" s="1"/>
  <c r="CO67" i="6" s="1"/>
  <c r="CS67" i="6" s="1"/>
  <c r="AH69" i="6"/>
  <c r="AI69" i="6" s="1"/>
  <c r="CO69" i="6" s="1"/>
  <c r="AH95" i="6"/>
  <c r="AI95" i="6" s="1"/>
  <c r="CO95" i="6" s="1"/>
  <c r="AH112" i="6"/>
  <c r="AI112" i="6" s="1"/>
  <c r="CO112" i="6" s="1"/>
  <c r="AH113" i="6"/>
  <c r="AI113" i="6" s="1"/>
  <c r="CO113" i="6" s="1"/>
  <c r="CS113" i="6" s="1"/>
  <c r="AH115" i="6"/>
  <c r="AI115" i="6" s="1"/>
  <c r="CO115" i="6" s="1"/>
  <c r="AH118" i="6"/>
  <c r="AI118" i="6" s="1"/>
  <c r="CO118" i="6" s="1"/>
  <c r="CL118" i="6" s="1"/>
  <c r="AH135" i="6"/>
  <c r="AI135" i="6" s="1"/>
  <c r="CO135" i="6" s="1"/>
  <c r="CS135" i="6" s="1"/>
  <c r="AH136" i="6"/>
  <c r="AI136" i="6" s="1"/>
  <c r="CO136" i="6" s="1"/>
  <c r="CS136" i="6" s="1"/>
  <c r="AH137" i="6"/>
  <c r="AI137" i="6" s="1"/>
  <c r="CO137" i="6" s="1"/>
  <c r="CL137" i="6" s="1"/>
  <c r="AH139" i="6"/>
  <c r="AI139" i="6" s="1"/>
  <c r="CO139" i="6" s="1"/>
  <c r="CM139" i="6" s="1"/>
  <c r="AH143" i="6"/>
  <c r="AI143" i="6" s="1"/>
  <c r="CO143" i="6" s="1"/>
  <c r="CS143" i="6" s="1"/>
  <c r="AH148" i="6"/>
  <c r="AI148" i="6" s="1"/>
  <c r="CO148" i="6" s="1"/>
  <c r="AH166" i="6"/>
  <c r="AI166" i="6" s="1"/>
  <c r="CO166" i="6" s="1"/>
  <c r="AH181" i="6"/>
  <c r="AI181" i="6" s="1"/>
  <c r="CO181" i="6" s="1"/>
  <c r="CL181" i="6" s="1"/>
  <c r="AH204" i="6"/>
  <c r="AI204" i="6" s="1"/>
  <c r="CO204" i="6" s="1"/>
  <c r="CS204" i="6" s="1"/>
  <c r="AH206" i="6"/>
  <c r="AI206" i="6" s="1"/>
  <c r="CO206" i="6" s="1"/>
  <c r="CS206" i="6" s="1"/>
  <c r="AH207" i="6"/>
  <c r="AI207" i="6" s="1"/>
  <c r="CO207" i="6" s="1"/>
  <c r="CL207" i="6" s="1"/>
  <c r="AH216" i="6"/>
  <c r="AI216" i="6" s="1"/>
  <c r="CO216" i="6" s="1"/>
  <c r="CM216" i="6" s="1"/>
  <c r="AH218" i="6"/>
  <c r="AI218" i="6" s="1"/>
  <c r="CO218" i="6" s="1"/>
  <c r="AJ34" i="6"/>
  <c r="AJ41" i="6"/>
  <c r="AJ56" i="6"/>
  <c r="AJ66" i="6"/>
  <c r="AJ67" i="6"/>
  <c r="AJ69" i="6"/>
  <c r="AJ95" i="6"/>
  <c r="AJ112" i="6"/>
  <c r="AJ113" i="6"/>
  <c r="AJ115" i="6"/>
  <c r="AJ118" i="6"/>
  <c r="AJ135" i="6"/>
  <c r="AJ136" i="6"/>
  <c r="AJ137" i="6"/>
  <c r="AJ139" i="6"/>
  <c r="AJ143" i="6"/>
  <c r="AJ148" i="6"/>
  <c r="AJ166" i="6"/>
  <c r="AJ181" i="6"/>
  <c r="AJ204" i="6"/>
  <c r="AJ206" i="6"/>
  <c r="AJ207" i="6"/>
  <c r="AJ216" i="6"/>
  <c r="AJ218" i="6"/>
  <c r="AK34" i="6"/>
  <c r="BF34" i="6" s="1"/>
  <c r="AK41" i="6"/>
  <c r="AL41" i="6" s="1"/>
  <c r="AK56" i="6"/>
  <c r="AL56" i="6" s="1"/>
  <c r="AK66" i="6"/>
  <c r="AL66" i="6" s="1"/>
  <c r="AK67" i="6"/>
  <c r="BD67" i="6" s="1"/>
  <c r="AK69" i="6"/>
  <c r="BE69" i="6" s="1"/>
  <c r="AK95" i="6"/>
  <c r="AK112" i="6"/>
  <c r="BF112" i="6" s="1"/>
  <c r="AK113" i="6"/>
  <c r="BI113" i="6" s="1"/>
  <c r="AK115" i="6"/>
  <c r="AK118" i="6"/>
  <c r="AK135" i="6"/>
  <c r="BD135" i="6" s="1"/>
  <c r="AK136" i="6"/>
  <c r="AL136" i="6" s="1"/>
  <c r="AK137" i="6"/>
  <c r="BH137" i="6" s="1"/>
  <c r="AK139" i="6"/>
  <c r="BI139" i="6" s="1"/>
  <c r="AK143" i="6"/>
  <c r="BF143" i="6" s="1"/>
  <c r="AK148" i="6"/>
  <c r="AK166" i="6"/>
  <c r="AL166" i="6" s="1"/>
  <c r="AK181" i="6"/>
  <c r="AL181" i="6" s="1"/>
  <c r="AK204" i="6"/>
  <c r="BD204" i="6" s="1"/>
  <c r="AK206" i="6"/>
  <c r="BG206" i="6" s="1"/>
  <c r="AK207" i="6"/>
  <c r="BF207" i="6" s="1"/>
  <c r="AK216" i="6"/>
  <c r="BE216" i="6" s="1"/>
  <c r="AK218" i="6"/>
  <c r="BF218" i="6" s="1"/>
  <c r="BK34" i="6"/>
  <c r="BL34" i="6" s="1"/>
  <c r="BK41" i="6"/>
  <c r="BL41" i="6" s="1"/>
  <c r="BK56" i="6"/>
  <c r="BL56" i="6" s="1"/>
  <c r="BK66" i="6"/>
  <c r="BL66" i="6" s="1"/>
  <c r="BK67" i="6"/>
  <c r="BL67" i="6" s="1"/>
  <c r="BK69" i="6"/>
  <c r="BL69" i="6" s="1"/>
  <c r="BK95" i="6"/>
  <c r="BL95" i="6" s="1"/>
  <c r="BK112" i="6"/>
  <c r="BL112" i="6" s="1"/>
  <c r="BK113" i="6"/>
  <c r="BL113" i="6" s="1"/>
  <c r="BK115" i="6"/>
  <c r="BL115" i="6" s="1"/>
  <c r="BK118" i="6"/>
  <c r="BL118" i="6" s="1"/>
  <c r="BK135" i="6"/>
  <c r="BL135" i="6" s="1"/>
  <c r="BK136" i="6"/>
  <c r="BL136" i="6" s="1"/>
  <c r="BK137" i="6"/>
  <c r="BL137" i="6" s="1"/>
  <c r="BK139" i="6"/>
  <c r="BL139" i="6" s="1"/>
  <c r="BK143" i="6"/>
  <c r="BL143" i="6" s="1"/>
  <c r="BK148" i="6"/>
  <c r="BL148" i="6" s="1"/>
  <c r="BK166" i="6"/>
  <c r="BL166" i="6" s="1"/>
  <c r="BK181" i="6"/>
  <c r="BL181" i="6" s="1"/>
  <c r="BK204" i="6"/>
  <c r="BL204" i="6" s="1"/>
  <c r="BK206" i="6"/>
  <c r="BL206" i="6" s="1"/>
  <c r="BK207" i="6"/>
  <c r="BL207" i="6" s="1"/>
  <c r="BK216" i="6"/>
  <c r="BL216" i="6" s="1"/>
  <c r="BK218" i="6"/>
  <c r="BL218" i="6" s="1"/>
  <c r="BT34" i="6"/>
  <c r="BT41" i="6"/>
  <c r="BT56" i="6"/>
  <c r="BT66" i="6"/>
  <c r="BT67" i="6"/>
  <c r="BT69" i="6"/>
  <c r="BT95" i="6"/>
  <c r="BT112" i="6"/>
  <c r="BT113" i="6"/>
  <c r="BT115" i="6"/>
  <c r="BT118" i="6"/>
  <c r="BT135" i="6"/>
  <c r="BT136" i="6"/>
  <c r="BT137" i="6"/>
  <c r="BT139" i="6"/>
  <c r="BT143" i="6"/>
  <c r="BT148" i="6"/>
  <c r="BT166" i="6"/>
  <c r="BT181" i="6"/>
  <c r="BT204" i="6"/>
  <c r="BT206" i="6"/>
  <c r="BT207" i="6"/>
  <c r="BT216" i="6"/>
  <c r="BT218" i="6"/>
  <c r="BX34" i="6"/>
  <c r="BX41" i="6"/>
  <c r="BX56" i="6"/>
  <c r="BX66" i="6"/>
  <c r="BX67" i="6"/>
  <c r="BX69" i="6"/>
  <c r="BX95" i="6"/>
  <c r="BX112" i="6"/>
  <c r="BX113" i="6"/>
  <c r="BX115" i="6"/>
  <c r="BX118" i="6"/>
  <c r="BX135" i="6"/>
  <c r="BX136" i="6"/>
  <c r="BX137" i="6"/>
  <c r="BX139" i="6"/>
  <c r="BX143" i="6"/>
  <c r="BX148" i="6"/>
  <c r="BX166" i="6"/>
  <c r="BX181" i="6"/>
  <c r="BX204" i="6"/>
  <c r="BX206" i="6"/>
  <c r="BX207" i="6"/>
  <c r="BX216" i="6"/>
  <c r="BX218" i="6"/>
  <c r="CB34" i="6"/>
  <c r="CB41" i="6"/>
  <c r="CB56" i="6"/>
  <c r="CB66" i="6"/>
  <c r="CB67" i="6"/>
  <c r="CB69" i="6"/>
  <c r="CB95" i="6"/>
  <c r="CB112" i="6"/>
  <c r="CB113" i="6"/>
  <c r="CB115" i="6"/>
  <c r="CB118" i="6"/>
  <c r="CB135" i="6"/>
  <c r="CB136" i="6"/>
  <c r="CB137" i="6"/>
  <c r="CB139" i="6"/>
  <c r="CB143" i="6"/>
  <c r="CB148" i="6"/>
  <c r="CB166" i="6"/>
  <c r="CB181" i="6"/>
  <c r="CB204" i="6"/>
  <c r="CB206" i="6"/>
  <c r="CB207" i="6"/>
  <c r="CB216" i="6"/>
  <c r="CB218" i="6"/>
  <c r="CF34" i="6"/>
  <c r="CF41" i="6"/>
  <c r="CF56" i="6"/>
  <c r="CF66" i="6"/>
  <c r="CF67" i="6"/>
  <c r="CF69" i="6"/>
  <c r="CF95" i="6"/>
  <c r="CF112" i="6"/>
  <c r="CF113" i="6"/>
  <c r="CF115" i="6"/>
  <c r="CF118" i="6"/>
  <c r="CF135" i="6"/>
  <c r="CF136" i="6"/>
  <c r="CF137" i="6"/>
  <c r="CF139" i="6"/>
  <c r="CF143" i="6"/>
  <c r="CF148" i="6"/>
  <c r="CF166" i="6"/>
  <c r="CF181" i="6"/>
  <c r="CF204" i="6"/>
  <c r="CF206" i="6"/>
  <c r="CF207" i="6"/>
  <c r="CF216" i="6"/>
  <c r="CF218" i="6"/>
  <c r="CK34" i="6"/>
  <c r="CK41" i="6"/>
  <c r="CK56" i="6"/>
  <c r="CK66" i="6"/>
  <c r="CK67" i="6"/>
  <c r="CK69" i="6"/>
  <c r="CK95" i="6"/>
  <c r="CK112" i="6"/>
  <c r="CK113" i="6"/>
  <c r="CK115" i="6"/>
  <c r="CK118" i="6"/>
  <c r="CK135" i="6"/>
  <c r="CK136" i="6"/>
  <c r="CK137" i="6"/>
  <c r="CK139" i="6"/>
  <c r="CK143" i="6"/>
  <c r="CK148" i="6"/>
  <c r="CK166" i="6"/>
  <c r="CK181" i="6"/>
  <c r="CK204" i="6"/>
  <c r="CK206" i="6"/>
  <c r="CK207" i="6"/>
  <c r="CK216" i="6"/>
  <c r="CK218" i="6"/>
  <c r="DF34" i="6"/>
  <c r="DF41" i="6"/>
  <c r="DF56" i="6"/>
  <c r="DF66" i="6"/>
  <c r="DF67" i="6"/>
  <c r="DF69" i="6"/>
  <c r="DF95" i="6"/>
  <c r="DF112" i="6"/>
  <c r="DF113" i="6"/>
  <c r="DF115" i="6"/>
  <c r="DF118" i="6"/>
  <c r="DF135" i="6"/>
  <c r="DF136" i="6"/>
  <c r="DF137" i="6"/>
  <c r="DF139" i="6"/>
  <c r="DF143" i="6"/>
  <c r="DF148" i="6"/>
  <c r="DF166" i="6"/>
  <c r="DF181" i="6"/>
  <c r="DF204" i="6"/>
  <c r="DF206" i="6"/>
  <c r="DF207" i="6"/>
  <c r="DF216" i="6"/>
  <c r="DF218" i="6"/>
  <c r="DG34" i="6"/>
  <c r="DG41" i="6"/>
  <c r="DG56" i="6"/>
  <c r="DG66" i="6"/>
  <c r="DG67" i="6"/>
  <c r="DG69" i="6"/>
  <c r="DG95" i="6"/>
  <c r="DG112" i="6"/>
  <c r="DG113" i="6"/>
  <c r="DG115" i="6"/>
  <c r="DG118" i="6"/>
  <c r="DG135" i="6"/>
  <c r="DG136" i="6"/>
  <c r="DG137" i="6"/>
  <c r="DG139" i="6"/>
  <c r="DG143" i="6"/>
  <c r="DG148" i="6"/>
  <c r="DG166" i="6"/>
  <c r="DG181" i="6"/>
  <c r="DG204" i="6"/>
  <c r="DG206" i="6"/>
  <c r="DG207" i="6"/>
  <c r="DG216" i="6"/>
  <c r="DG218" i="6"/>
  <c r="DH34" i="6"/>
  <c r="DH41" i="6"/>
  <c r="DH56" i="6"/>
  <c r="DH66" i="6"/>
  <c r="DH67" i="6"/>
  <c r="DH69" i="6"/>
  <c r="DH95" i="6"/>
  <c r="DH112" i="6"/>
  <c r="DH113" i="6"/>
  <c r="DH115" i="6"/>
  <c r="DH118" i="6"/>
  <c r="DH135" i="6"/>
  <c r="DH136" i="6"/>
  <c r="DH137" i="6"/>
  <c r="DH139" i="6"/>
  <c r="DH143" i="6"/>
  <c r="DH148" i="6"/>
  <c r="DH166" i="6"/>
  <c r="DH181" i="6"/>
  <c r="DH204" i="6"/>
  <c r="DH206" i="6"/>
  <c r="DH207" i="6"/>
  <c r="DH216" i="6"/>
  <c r="DH218" i="6"/>
  <c r="DN34" i="6"/>
  <c r="DN41" i="6"/>
  <c r="DN56" i="6"/>
  <c r="DN66" i="6"/>
  <c r="DN67" i="6"/>
  <c r="DN69" i="6"/>
  <c r="DN95" i="6"/>
  <c r="DN112" i="6"/>
  <c r="DN113" i="6"/>
  <c r="DN115" i="6"/>
  <c r="DN118" i="6"/>
  <c r="DN135" i="6"/>
  <c r="DN136" i="6"/>
  <c r="DN137" i="6"/>
  <c r="DN139" i="6"/>
  <c r="DN143" i="6"/>
  <c r="DN148" i="6"/>
  <c r="DN166" i="6"/>
  <c r="DN181" i="6"/>
  <c r="DN204" i="6"/>
  <c r="DN206" i="6"/>
  <c r="DN207" i="6"/>
  <c r="DN216" i="6"/>
  <c r="DN218" i="6"/>
  <c r="DO34" i="6"/>
  <c r="DO41" i="6"/>
  <c r="DO56" i="6"/>
  <c r="DO66" i="6"/>
  <c r="DO67" i="6"/>
  <c r="DO69" i="6"/>
  <c r="DO95" i="6"/>
  <c r="DO112" i="6"/>
  <c r="DO113" i="6"/>
  <c r="DO115" i="6"/>
  <c r="DO118" i="6"/>
  <c r="DO135" i="6"/>
  <c r="DO136" i="6"/>
  <c r="DO137" i="6"/>
  <c r="DO139" i="6"/>
  <c r="DO143" i="6"/>
  <c r="DO148" i="6"/>
  <c r="DO166" i="6"/>
  <c r="DO181" i="6"/>
  <c r="DO204" i="6"/>
  <c r="DO206" i="6"/>
  <c r="DO207" i="6"/>
  <c r="DO216" i="6"/>
  <c r="DO218" i="6"/>
  <c r="DP34" i="6"/>
  <c r="DP41" i="6"/>
  <c r="DP56" i="6"/>
  <c r="DP66" i="6"/>
  <c r="DP67" i="6"/>
  <c r="DP69" i="6"/>
  <c r="DP95" i="6"/>
  <c r="DP112" i="6"/>
  <c r="DP113" i="6"/>
  <c r="DP115" i="6"/>
  <c r="DP118" i="6"/>
  <c r="DP135" i="6"/>
  <c r="DP136" i="6"/>
  <c r="DP137" i="6"/>
  <c r="DP139" i="6"/>
  <c r="DP143" i="6"/>
  <c r="DP148" i="6"/>
  <c r="DP166" i="6"/>
  <c r="DP181" i="6"/>
  <c r="DP204" i="6"/>
  <c r="DP206" i="6"/>
  <c r="DP207" i="6"/>
  <c r="DP216" i="6"/>
  <c r="DP218" i="6"/>
  <c r="DR34" i="6"/>
  <c r="DR41" i="6"/>
  <c r="DR56" i="6"/>
  <c r="DR66" i="6"/>
  <c r="DR67" i="6"/>
  <c r="DR69" i="6"/>
  <c r="DR95" i="6"/>
  <c r="DR112" i="6"/>
  <c r="DR113" i="6"/>
  <c r="DR115" i="6"/>
  <c r="DR118" i="6"/>
  <c r="DR135" i="6"/>
  <c r="DR136" i="6"/>
  <c r="DR137" i="6"/>
  <c r="DR139" i="6"/>
  <c r="DR143" i="6"/>
  <c r="DR148" i="6"/>
  <c r="DR166" i="6"/>
  <c r="DR181" i="6"/>
  <c r="DR204" i="6"/>
  <c r="DR206" i="6"/>
  <c r="DR207" i="6"/>
  <c r="DR216" i="6"/>
  <c r="DR218" i="6"/>
  <c r="DS34" i="6"/>
  <c r="DS41" i="6"/>
  <c r="DS56" i="6"/>
  <c r="DS66" i="6"/>
  <c r="DS67" i="6"/>
  <c r="DS69" i="6"/>
  <c r="DS95" i="6"/>
  <c r="DS112" i="6"/>
  <c r="DS113" i="6"/>
  <c r="DS115" i="6"/>
  <c r="DS118" i="6"/>
  <c r="DS135" i="6"/>
  <c r="DS136" i="6"/>
  <c r="DS137" i="6"/>
  <c r="DS139" i="6"/>
  <c r="DS143" i="6"/>
  <c r="DS148" i="6"/>
  <c r="DS166" i="6"/>
  <c r="DS181" i="6"/>
  <c r="DS204" i="6"/>
  <c r="DS206" i="6"/>
  <c r="DS207" i="6"/>
  <c r="DS216" i="6"/>
  <c r="DS218" i="6"/>
  <c r="DT34" i="6"/>
  <c r="DT41" i="6"/>
  <c r="DT56" i="6"/>
  <c r="DT66" i="6"/>
  <c r="DT67" i="6"/>
  <c r="DT69" i="6"/>
  <c r="DT95" i="6"/>
  <c r="DT112" i="6"/>
  <c r="DT113" i="6"/>
  <c r="DT115" i="6"/>
  <c r="DT118" i="6"/>
  <c r="DT135" i="6"/>
  <c r="DT136" i="6"/>
  <c r="DT137" i="6"/>
  <c r="DT139" i="6"/>
  <c r="DT143" i="6"/>
  <c r="DT148" i="6"/>
  <c r="DT166" i="6"/>
  <c r="DT181" i="6"/>
  <c r="DT204" i="6"/>
  <c r="DT206" i="6"/>
  <c r="DT207" i="6"/>
  <c r="DT216" i="6"/>
  <c r="DT218" i="6"/>
  <c r="DY34" i="6"/>
  <c r="DY41" i="6"/>
  <c r="DY56" i="6"/>
  <c r="DY66" i="6"/>
  <c r="DY67" i="6"/>
  <c r="DY69" i="6"/>
  <c r="DY95" i="6"/>
  <c r="DY112" i="6"/>
  <c r="DY113" i="6"/>
  <c r="DY115" i="6"/>
  <c r="DY118" i="6"/>
  <c r="DY135" i="6"/>
  <c r="DY136" i="6"/>
  <c r="DY137" i="6"/>
  <c r="DY139" i="6"/>
  <c r="DY143" i="6"/>
  <c r="DY148" i="6"/>
  <c r="DY166" i="6"/>
  <c r="DY181" i="6"/>
  <c r="DY204" i="6"/>
  <c r="DY206" i="6"/>
  <c r="DY207" i="6"/>
  <c r="DY216" i="6"/>
  <c r="DY218" i="6"/>
  <c r="EC34" i="6"/>
  <c r="EC41" i="6"/>
  <c r="EC56" i="6"/>
  <c r="EC66" i="6"/>
  <c r="EC67" i="6"/>
  <c r="EC69" i="6"/>
  <c r="EC95" i="6"/>
  <c r="EC112" i="6"/>
  <c r="EC113" i="6"/>
  <c r="EC115" i="6"/>
  <c r="EC118" i="6"/>
  <c r="EC135" i="6"/>
  <c r="EC136" i="6"/>
  <c r="EC137" i="6"/>
  <c r="EC139" i="6"/>
  <c r="EC143" i="6"/>
  <c r="EC148" i="6"/>
  <c r="EC166" i="6"/>
  <c r="EC181" i="6"/>
  <c r="EC204" i="6"/>
  <c r="EC206" i="6"/>
  <c r="EC207" i="6"/>
  <c r="EC216" i="6"/>
  <c r="EC218" i="6"/>
  <c r="EH34" i="6"/>
  <c r="EH41" i="6"/>
  <c r="EH56" i="6"/>
  <c r="EH66" i="6"/>
  <c r="EH67" i="6"/>
  <c r="EH69" i="6"/>
  <c r="EH95" i="6"/>
  <c r="EH112" i="6"/>
  <c r="EH113" i="6"/>
  <c r="EH115" i="6"/>
  <c r="EH118" i="6"/>
  <c r="EH135" i="6"/>
  <c r="EH136" i="6"/>
  <c r="EH137" i="6"/>
  <c r="EH139" i="6"/>
  <c r="EH143" i="6"/>
  <c r="EH148" i="6"/>
  <c r="EH166" i="6"/>
  <c r="EH181" i="6"/>
  <c r="EH204" i="6"/>
  <c r="EH206" i="6"/>
  <c r="EH207" i="6"/>
  <c r="EH216" i="6"/>
  <c r="EH218" i="6"/>
  <c r="EI34" i="6"/>
  <c r="EI41" i="6"/>
  <c r="EI56" i="6"/>
  <c r="EI66" i="6"/>
  <c r="EI67" i="6"/>
  <c r="EI69" i="6"/>
  <c r="EI95" i="6"/>
  <c r="EI112" i="6"/>
  <c r="EI113" i="6"/>
  <c r="EI115" i="6"/>
  <c r="EI118" i="6"/>
  <c r="EI135" i="6"/>
  <c r="EI136" i="6"/>
  <c r="EI137" i="6"/>
  <c r="EI139" i="6"/>
  <c r="EI143" i="6"/>
  <c r="EI148" i="6"/>
  <c r="EI166" i="6"/>
  <c r="EI181" i="6"/>
  <c r="EI204" i="6"/>
  <c r="EI206" i="6"/>
  <c r="EI207" i="6"/>
  <c r="EI216" i="6"/>
  <c r="EI218" i="6"/>
  <c r="EJ34" i="6"/>
  <c r="EJ41" i="6"/>
  <c r="EJ56" i="6"/>
  <c r="EJ66" i="6"/>
  <c r="EJ67" i="6"/>
  <c r="EJ69" i="6"/>
  <c r="EJ95" i="6"/>
  <c r="EJ112" i="6"/>
  <c r="EJ113" i="6"/>
  <c r="EJ115" i="6"/>
  <c r="EJ118" i="6"/>
  <c r="EJ135" i="6"/>
  <c r="EJ136" i="6"/>
  <c r="EJ137" i="6"/>
  <c r="EJ139" i="6"/>
  <c r="EJ143" i="6"/>
  <c r="EJ148" i="6"/>
  <c r="EJ166" i="6"/>
  <c r="EJ181" i="6"/>
  <c r="EJ204" i="6"/>
  <c r="EJ206" i="6"/>
  <c r="EJ207" i="6"/>
  <c r="EJ216" i="6"/>
  <c r="EJ218" i="6"/>
  <c r="EK34" i="6"/>
  <c r="EK41" i="6"/>
  <c r="EK56" i="6"/>
  <c r="EK66" i="6"/>
  <c r="EK67" i="6"/>
  <c r="EK69" i="6"/>
  <c r="EK95" i="6"/>
  <c r="EK112" i="6"/>
  <c r="EK113" i="6"/>
  <c r="EK115" i="6"/>
  <c r="EK118" i="6"/>
  <c r="EK135" i="6"/>
  <c r="EK136" i="6"/>
  <c r="EK137" i="6"/>
  <c r="EK139" i="6"/>
  <c r="EK143" i="6"/>
  <c r="EK148" i="6"/>
  <c r="EK166" i="6"/>
  <c r="EK181" i="6"/>
  <c r="EK204" i="6"/>
  <c r="EK206" i="6"/>
  <c r="EK207" i="6"/>
  <c r="EK216" i="6"/>
  <c r="EK218" i="6"/>
  <c r="EM34" i="6"/>
  <c r="EM41" i="6"/>
  <c r="EM56" i="6"/>
  <c r="EM66" i="6"/>
  <c r="EM67" i="6"/>
  <c r="EM69" i="6"/>
  <c r="EM95" i="6"/>
  <c r="EM112" i="6"/>
  <c r="EM113" i="6"/>
  <c r="EM115" i="6"/>
  <c r="EM118" i="6"/>
  <c r="EM135" i="6"/>
  <c r="EM136" i="6"/>
  <c r="EM137" i="6"/>
  <c r="EM139" i="6"/>
  <c r="EM143" i="6"/>
  <c r="EM148" i="6"/>
  <c r="EM166" i="6"/>
  <c r="EM181" i="6"/>
  <c r="EM204" i="6"/>
  <c r="EM206" i="6"/>
  <c r="EM207" i="6"/>
  <c r="EM216" i="6"/>
  <c r="EM218" i="6"/>
  <c r="EQ113" i="6"/>
  <c r="ER113" i="6" s="1"/>
  <c r="ES34" i="6"/>
  <c r="ES41" i="6"/>
  <c r="ES56" i="6"/>
  <c r="ES66" i="6"/>
  <c r="ES67" i="6"/>
  <c r="ES69" i="6"/>
  <c r="ES95" i="6"/>
  <c r="ES112" i="6"/>
  <c r="ES113" i="6"/>
  <c r="ES115" i="6"/>
  <c r="ES118" i="6"/>
  <c r="ES135" i="6"/>
  <c r="ES136" i="6"/>
  <c r="ES137" i="6"/>
  <c r="ES139" i="6"/>
  <c r="ES143" i="6"/>
  <c r="ES148" i="6"/>
  <c r="ES166" i="6"/>
  <c r="ES181" i="6"/>
  <c r="ES204" i="6"/>
  <c r="ES206" i="6"/>
  <c r="ES207" i="6"/>
  <c r="ES216" i="6"/>
  <c r="ES218" i="6"/>
  <c r="ET34" i="6"/>
  <c r="ET41" i="6"/>
  <c r="ET56" i="6"/>
  <c r="ET66" i="6"/>
  <c r="ET67" i="6"/>
  <c r="ET69" i="6"/>
  <c r="ET95" i="6"/>
  <c r="ET112" i="6"/>
  <c r="ET113" i="6"/>
  <c r="ET115" i="6"/>
  <c r="ET118" i="6"/>
  <c r="ET135" i="6"/>
  <c r="ET136" i="6"/>
  <c r="ET137" i="6"/>
  <c r="ET139" i="6"/>
  <c r="ET143" i="6"/>
  <c r="ET148" i="6"/>
  <c r="ET166" i="6"/>
  <c r="ET181" i="6"/>
  <c r="ET204" i="6"/>
  <c r="ET206" i="6"/>
  <c r="ET207" i="6"/>
  <c r="ET216" i="6"/>
  <c r="ET218" i="6"/>
  <c r="EU34" i="6"/>
  <c r="EU41" i="6"/>
  <c r="EU56" i="6"/>
  <c r="EU66" i="6"/>
  <c r="EU67" i="6"/>
  <c r="EU69" i="6"/>
  <c r="EU95" i="6"/>
  <c r="EU112" i="6"/>
  <c r="EU113" i="6"/>
  <c r="EU115" i="6"/>
  <c r="EU118" i="6"/>
  <c r="EU135" i="6"/>
  <c r="EU136" i="6"/>
  <c r="EU137" i="6"/>
  <c r="EU139" i="6"/>
  <c r="EU143" i="6"/>
  <c r="EU148" i="6"/>
  <c r="EU166" i="6"/>
  <c r="EU181" i="6"/>
  <c r="EU204" i="6"/>
  <c r="EU206" i="6"/>
  <c r="EU207" i="6"/>
  <c r="EU216" i="6"/>
  <c r="EU218" i="6"/>
  <c r="EW34" i="6"/>
  <c r="EW41" i="6"/>
  <c r="EW56" i="6"/>
  <c r="EW66" i="6"/>
  <c r="EW67" i="6"/>
  <c r="EW69" i="6"/>
  <c r="EW95" i="6"/>
  <c r="EW112" i="6"/>
  <c r="EW113" i="6"/>
  <c r="EW115" i="6"/>
  <c r="EW118" i="6"/>
  <c r="EW135" i="6"/>
  <c r="EW136" i="6"/>
  <c r="EW137" i="6"/>
  <c r="EW139" i="6"/>
  <c r="EW143" i="6"/>
  <c r="EW148" i="6"/>
  <c r="EW166" i="6"/>
  <c r="EW181" i="6"/>
  <c r="EW204" i="6"/>
  <c r="EW206" i="6"/>
  <c r="EW207" i="6"/>
  <c r="EW216" i="6"/>
  <c r="EW218" i="6"/>
  <c r="FA34" i="6"/>
  <c r="FA41" i="6"/>
  <c r="FA56" i="6"/>
  <c r="FA66" i="6"/>
  <c r="FA67" i="6"/>
  <c r="FA69" i="6"/>
  <c r="FA95" i="6"/>
  <c r="FA112" i="6"/>
  <c r="FA113" i="6"/>
  <c r="FA115" i="6"/>
  <c r="FA118" i="6"/>
  <c r="FA135" i="6"/>
  <c r="FA136" i="6"/>
  <c r="FA137" i="6"/>
  <c r="FA139" i="6"/>
  <c r="FA143" i="6"/>
  <c r="FA148" i="6"/>
  <c r="FA166" i="6"/>
  <c r="FA181" i="6"/>
  <c r="FA204" i="6"/>
  <c r="FA206" i="6"/>
  <c r="FA207" i="6"/>
  <c r="FA216" i="6"/>
  <c r="FA218" i="6"/>
  <c r="FE34" i="6"/>
  <c r="FE41" i="6"/>
  <c r="FE56" i="6"/>
  <c r="FE66" i="6"/>
  <c r="FE67" i="6"/>
  <c r="FE69" i="6"/>
  <c r="FE95" i="6"/>
  <c r="FE112" i="6"/>
  <c r="FE113" i="6"/>
  <c r="FE115" i="6"/>
  <c r="FE118" i="6"/>
  <c r="FE135" i="6"/>
  <c r="FE136" i="6"/>
  <c r="FE137" i="6"/>
  <c r="FE139" i="6"/>
  <c r="FE143" i="6"/>
  <c r="FE148" i="6"/>
  <c r="FE166" i="6"/>
  <c r="FE181" i="6"/>
  <c r="FE204" i="6"/>
  <c r="FE206" i="6"/>
  <c r="FE207" i="6"/>
  <c r="FE216" i="6"/>
  <c r="FE218" i="6"/>
  <c r="FI34" i="6"/>
  <c r="FI41" i="6"/>
  <c r="FI56" i="6"/>
  <c r="FI66" i="6"/>
  <c r="FI67" i="6"/>
  <c r="FI69" i="6"/>
  <c r="FI95" i="6"/>
  <c r="FI112" i="6"/>
  <c r="FI113" i="6"/>
  <c r="FI115" i="6"/>
  <c r="FI118" i="6"/>
  <c r="FI135" i="6"/>
  <c r="FI136" i="6"/>
  <c r="FI137" i="6"/>
  <c r="FI139" i="6"/>
  <c r="FI143" i="6"/>
  <c r="FI148" i="6"/>
  <c r="FI166" i="6"/>
  <c r="FI181" i="6"/>
  <c r="FI204" i="6"/>
  <c r="FI206" i="6"/>
  <c r="FI207" i="6"/>
  <c r="FI216" i="6"/>
  <c r="FI218" i="6"/>
  <c r="E143" i="6" l="1"/>
  <c r="E66" i="6"/>
  <c r="E41" i="6"/>
  <c r="BD34" i="6"/>
  <c r="BD113" i="6"/>
  <c r="CZ67" i="6"/>
  <c r="BI67" i="6"/>
  <c r="BH204" i="6"/>
  <c r="BE135" i="6"/>
  <c r="BH135" i="6"/>
  <c r="BE67" i="6"/>
  <c r="BE218" i="6"/>
  <c r="BI143" i="6"/>
  <c r="BH34" i="6"/>
  <c r="CY143" i="6"/>
  <c r="BG69" i="6"/>
  <c r="EO143" i="6"/>
  <c r="EO112" i="6"/>
  <c r="BH136" i="6"/>
  <c r="BF204" i="6"/>
  <c r="BD143" i="6"/>
  <c r="CG207" i="6"/>
  <c r="CG166" i="6"/>
  <c r="CG115" i="6"/>
  <c r="CG56" i="6"/>
  <c r="BI204" i="6"/>
  <c r="BI34" i="6"/>
  <c r="BH112" i="6"/>
  <c r="BF67" i="6"/>
  <c r="BE112" i="6"/>
  <c r="CG118" i="6"/>
  <c r="BI135" i="6"/>
  <c r="BE204" i="6"/>
  <c r="BD218" i="6"/>
  <c r="X135" i="6"/>
  <c r="BI112" i="6"/>
  <c r="BH67" i="6"/>
  <c r="BF135" i="6"/>
  <c r="BE143" i="6"/>
  <c r="BE34" i="6"/>
  <c r="BD112" i="6"/>
  <c r="ER148" i="6"/>
  <c r="FJ148" i="6" s="1"/>
  <c r="DB41" i="6"/>
  <c r="DC41" i="6"/>
  <c r="DB148" i="6"/>
  <c r="DC148" i="6"/>
  <c r="DD148" i="6"/>
  <c r="DC113" i="6"/>
  <c r="DD113" i="6"/>
  <c r="CZ204" i="6"/>
  <c r="CY112" i="6"/>
  <c r="CS207" i="6"/>
  <c r="ED207" i="6" s="1"/>
  <c r="BE206" i="6"/>
  <c r="CS148" i="6"/>
  <c r="CR148" i="6" s="1"/>
  <c r="CN148" i="6"/>
  <c r="AL148" i="6"/>
  <c r="BE148" i="6"/>
  <c r="BF148" i="6"/>
  <c r="BG148" i="6"/>
  <c r="BH148" i="6"/>
  <c r="BE113" i="6"/>
  <c r="BH113" i="6"/>
  <c r="BF113" i="6"/>
  <c r="BE41" i="6"/>
  <c r="BH41" i="6"/>
  <c r="BF41" i="6"/>
  <c r="BG41" i="6"/>
  <c r="CL115" i="6"/>
  <c r="CS115" i="6"/>
  <c r="CP115" i="6" s="1"/>
  <c r="BI148" i="6"/>
  <c r="BH206" i="6"/>
  <c r="BF206" i="6"/>
  <c r="BD148" i="6"/>
  <c r="BD41" i="6"/>
  <c r="BI206" i="6"/>
  <c r="AL206" i="6"/>
  <c r="BD206" i="6"/>
  <c r="BG136" i="6"/>
  <c r="BI136" i="6"/>
  <c r="BD136" i="6"/>
  <c r="BI69" i="6"/>
  <c r="AL69" i="6"/>
  <c r="BD69" i="6"/>
  <c r="CP56" i="6"/>
  <c r="CQ56" i="6"/>
  <c r="BF69" i="6"/>
  <c r="AL113" i="6"/>
  <c r="CM115" i="6"/>
  <c r="DC136" i="6"/>
  <c r="DB136" i="6"/>
  <c r="BI41" i="6"/>
  <c r="BH69" i="6"/>
  <c r="BG113" i="6"/>
  <c r="BF136" i="6"/>
  <c r="BE136" i="6"/>
  <c r="CL56" i="6"/>
  <c r="CN56" i="6"/>
  <c r="CM56" i="6"/>
  <c r="CN137" i="6"/>
  <c r="DD41" i="6"/>
  <c r="BH218" i="6"/>
  <c r="BH143" i="6"/>
  <c r="DB143" i="6"/>
  <c r="DD143" i="6"/>
  <c r="DC143" i="6"/>
  <c r="CX136" i="6"/>
  <c r="CY136" i="6"/>
  <c r="CZ136" i="6"/>
  <c r="Y112" i="6"/>
  <c r="X112" i="6"/>
  <c r="Y218" i="6"/>
  <c r="X218" i="6"/>
  <c r="EO181" i="6"/>
  <c r="DB34" i="6"/>
  <c r="DD34" i="6"/>
  <c r="DC34" i="6"/>
  <c r="BE118" i="6"/>
  <c r="BG118" i="6"/>
  <c r="BI118" i="6"/>
  <c r="BG95" i="6"/>
  <c r="AL95" i="6"/>
  <c r="BE95" i="6"/>
  <c r="DB204" i="6"/>
  <c r="DC204" i="6"/>
  <c r="DD204" i="6"/>
  <c r="DB135" i="6"/>
  <c r="DC135" i="6"/>
  <c r="DD135" i="6"/>
  <c r="DB67" i="6"/>
  <c r="DC67" i="6"/>
  <c r="DD67" i="6"/>
  <c r="CY206" i="6"/>
  <c r="CZ206" i="6"/>
  <c r="CX113" i="6"/>
  <c r="CY113" i="6"/>
  <c r="CZ113" i="6"/>
  <c r="CZ69" i="6"/>
  <c r="CY69" i="6"/>
  <c r="CX41" i="6"/>
  <c r="CY41" i="6"/>
  <c r="CZ41" i="6"/>
  <c r="Y204" i="6"/>
  <c r="X204" i="6"/>
  <c r="Y67" i="6"/>
  <c r="X67" i="6"/>
  <c r="ER41" i="6"/>
  <c r="FJ41" i="6" s="1"/>
  <c r="EP181" i="6"/>
  <c r="EN113" i="6"/>
  <c r="DB69" i="6"/>
  <c r="DC69" i="6"/>
  <c r="DD69" i="6"/>
  <c r="CX206" i="6"/>
  <c r="EN216" i="6"/>
  <c r="EO216" i="6"/>
  <c r="EP216" i="6"/>
  <c r="EN66" i="6"/>
  <c r="EO66" i="6"/>
  <c r="EP66" i="6"/>
  <c r="EP95" i="6"/>
  <c r="CX69" i="6"/>
  <c r="CL166" i="6"/>
  <c r="CN166" i="6"/>
  <c r="CS166" i="6"/>
  <c r="ED166" i="6" s="1"/>
  <c r="CN41" i="6"/>
  <c r="CS41" i="6"/>
  <c r="CR41" i="6" s="1"/>
  <c r="CM166" i="6"/>
  <c r="CG34" i="6"/>
  <c r="Y143" i="6"/>
  <c r="DB206" i="6"/>
  <c r="DC206" i="6"/>
  <c r="DD206" i="6"/>
  <c r="BG216" i="6"/>
  <c r="AL216" i="6"/>
  <c r="DB218" i="6"/>
  <c r="DD218" i="6"/>
  <c r="DB112" i="6"/>
  <c r="DC112" i="6"/>
  <c r="DD112" i="6"/>
  <c r="CZ148" i="6"/>
  <c r="CX148" i="6"/>
  <c r="FJ136" i="6"/>
  <c r="EO95" i="6"/>
  <c r="Y34" i="6"/>
  <c r="EP139" i="6"/>
  <c r="EO139" i="6"/>
  <c r="FJ113" i="6"/>
  <c r="ED56" i="6"/>
  <c r="DD136" i="6"/>
  <c r="CV56" i="6"/>
  <c r="CS137" i="6"/>
  <c r="CN207" i="6"/>
  <c r="CN115" i="6"/>
  <c r="CM137" i="6"/>
  <c r="CR56" i="6"/>
  <c r="EP118" i="6"/>
  <c r="EO118" i="6"/>
  <c r="EO34" i="6"/>
  <c r="CY34" i="6"/>
  <c r="CV216" i="6"/>
  <c r="CM207" i="6"/>
  <c r="CG139" i="6"/>
  <c r="CG95" i="6"/>
  <c r="CG204" i="6"/>
  <c r="CG143" i="6"/>
  <c r="CG135" i="6"/>
  <c r="CG67" i="6"/>
  <c r="CG206" i="6"/>
  <c r="CU218" i="6"/>
  <c r="CV218" i="6"/>
  <c r="CT218" i="6"/>
  <c r="EO218" i="6"/>
  <c r="BI218" i="6"/>
  <c r="DC218" i="6"/>
  <c r="CY218" i="6"/>
  <c r="CG218" i="6"/>
  <c r="DB216" i="6"/>
  <c r="DC216" i="6"/>
  <c r="DD216" i="6"/>
  <c r="DB181" i="6"/>
  <c r="DC181" i="6"/>
  <c r="DD181" i="6"/>
  <c r="DB139" i="6"/>
  <c r="DC139" i="6"/>
  <c r="DD139" i="6"/>
  <c r="DB118" i="6"/>
  <c r="DC118" i="6"/>
  <c r="DD118" i="6"/>
  <c r="DB95" i="6"/>
  <c r="DC95" i="6"/>
  <c r="DD95" i="6"/>
  <c r="DB66" i="6"/>
  <c r="DC66" i="6"/>
  <c r="DD66" i="6"/>
  <c r="EN115" i="6"/>
  <c r="ER115" i="6"/>
  <c r="FJ115" i="6" s="1"/>
  <c r="EO115" i="6"/>
  <c r="EO69" i="6"/>
  <c r="EP69" i="6"/>
  <c r="DC137" i="6"/>
  <c r="DD137" i="6"/>
  <c r="CY207" i="6"/>
  <c r="CZ207" i="6"/>
  <c r="CQ143" i="6"/>
  <c r="CR143" i="6"/>
  <c r="X41" i="6"/>
  <c r="Y41" i="6"/>
  <c r="X139" i="6"/>
  <c r="Y139" i="6"/>
  <c r="X66" i="6"/>
  <c r="Y66" i="6"/>
  <c r="ER218" i="6"/>
  <c r="FJ218" i="6" s="1"/>
  <c r="ER112" i="6"/>
  <c r="FJ112" i="6" s="1"/>
  <c r="ER34" i="6"/>
  <c r="FJ34" i="6" s="1"/>
  <c r="EN137" i="6"/>
  <c r="ER137" i="6"/>
  <c r="FJ137" i="6" s="1"/>
  <c r="EO137" i="6"/>
  <c r="EN218" i="6"/>
  <c r="EN143" i="6"/>
  <c r="EN112" i="6"/>
  <c r="EN34" i="6"/>
  <c r="DB166" i="6"/>
  <c r="DB56" i="6"/>
  <c r="CX139" i="6"/>
  <c r="CY139" i="6"/>
  <c r="CY115" i="6"/>
  <c r="CZ115" i="6"/>
  <c r="CZ218" i="6"/>
  <c r="CZ112" i="6"/>
  <c r="CX207" i="6"/>
  <c r="CT137" i="6"/>
  <c r="CU137" i="6"/>
  <c r="CV181" i="6"/>
  <c r="CU216" i="6"/>
  <c r="CT181" i="6"/>
  <c r="CT66" i="6"/>
  <c r="CQ204" i="6"/>
  <c r="CR204" i="6"/>
  <c r="CP204" i="6"/>
  <c r="CP113" i="6"/>
  <c r="CQ113" i="6"/>
  <c r="CR113" i="6"/>
  <c r="CL69" i="6"/>
  <c r="CM69" i="6"/>
  <c r="CN69" i="6"/>
  <c r="CM34" i="6"/>
  <c r="CN34" i="6"/>
  <c r="CL34" i="6"/>
  <c r="ED206" i="6"/>
  <c r="ED136" i="6"/>
  <c r="ED113" i="6"/>
  <c r="CG148" i="6"/>
  <c r="CG136" i="6"/>
  <c r="CG113" i="6"/>
  <c r="CG69" i="6"/>
  <c r="CG41" i="6"/>
  <c r="DC207" i="6"/>
  <c r="DD207" i="6"/>
  <c r="DC115" i="6"/>
  <c r="DD115" i="6"/>
  <c r="CV139" i="6"/>
  <c r="CT139" i="6"/>
  <c r="CU139" i="6"/>
  <c r="CP206" i="6"/>
  <c r="CQ206" i="6"/>
  <c r="CR206" i="6"/>
  <c r="CP143" i="6"/>
  <c r="X181" i="6"/>
  <c r="Y181" i="6"/>
  <c r="X95" i="6"/>
  <c r="Y95" i="6"/>
  <c r="ER143" i="6"/>
  <c r="FJ143" i="6" s="1"/>
  <c r="EO113" i="6"/>
  <c r="EP113" i="6"/>
  <c r="EP137" i="6"/>
  <c r="ER206" i="6"/>
  <c r="FJ206" i="6" s="1"/>
  <c r="ER69" i="6"/>
  <c r="FJ69" i="6" s="1"/>
  <c r="EN166" i="6"/>
  <c r="ER166" i="6"/>
  <c r="FJ166" i="6" s="1"/>
  <c r="EO166" i="6"/>
  <c r="EO136" i="6"/>
  <c r="EP136" i="6"/>
  <c r="EN56" i="6"/>
  <c r="ER56" i="6"/>
  <c r="FJ56" i="6" s="1"/>
  <c r="EO56" i="6"/>
  <c r="EO204" i="6"/>
  <c r="EO135" i="6"/>
  <c r="EO67" i="6"/>
  <c r="EN136" i="6"/>
  <c r="EN69" i="6"/>
  <c r="CX181" i="6"/>
  <c r="CY181" i="6"/>
  <c r="CY137" i="6"/>
  <c r="CZ137" i="6"/>
  <c r="CX66" i="6"/>
  <c r="CY66" i="6"/>
  <c r="CZ135" i="6"/>
  <c r="CY204" i="6"/>
  <c r="CY135" i="6"/>
  <c r="CY67" i="6"/>
  <c r="CU118" i="6"/>
  <c r="CV118" i="6"/>
  <c r="CV166" i="6"/>
  <c r="CV95" i="6"/>
  <c r="CU95" i="6"/>
  <c r="CL206" i="6"/>
  <c r="CM206" i="6"/>
  <c r="CN206" i="6"/>
  <c r="CM143" i="6"/>
  <c r="CN143" i="6"/>
  <c r="ED143" i="6"/>
  <c r="CL143" i="6"/>
  <c r="CM67" i="6"/>
  <c r="CN67" i="6"/>
  <c r="CL67" i="6"/>
  <c r="ED67" i="6"/>
  <c r="CM218" i="6"/>
  <c r="CN218" i="6"/>
  <c r="CS218" i="6"/>
  <c r="CL218" i="6"/>
  <c r="CM112" i="6"/>
  <c r="CN112" i="6"/>
  <c r="CS112" i="6"/>
  <c r="ED112" i="6" s="1"/>
  <c r="CL112" i="6"/>
  <c r="CT206" i="6"/>
  <c r="CU206" i="6"/>
  <c r="CV206" i="6"/>
  <c r="CT148" i="6"/>
  <c r="CU148" i="6"/>
  <c r="CV148" i="6"/>
  <c r="CT136" i="6"/>
  <c r="CU136" i="6"/>
  <c r="CT113" i="6"/>
  <c r="CU113" i="6"/>
  <c r="CT69" i="6"/>
  <c r="CU69" i="6"/>
  <c r="CV69" i="6"/>
  <c r="CT41" i="6"/>
  <c r="CU41" i="6"/>
  <c r="CV41" i="6"/>
  <c r="EO206" i="6"/>
  <c r="EP206" i="6"/>
  <c r="DC166" i="6"/>
  <c r="DD166" i="6"/>
  <c r="DC56" i="6"/>
  <c r="DD56" i="6"/>
  <c r="CX118" i="6"/>
  <c r="CY118" i="6"/>
  <c r="CQ67" i="6"/>
  <c r="CR67" i="6"/>
  <c r="CP67" i="6"/>
  <c r="X148" i="6"/>
  <c r="Y148" i="6"/>
  <c r="X216" i="6"/>
  <c r="Y216" i="6"/>
  <c r="X118" i="6"/>
  <c r="Y118" i="6"/>
  <c r="ER204" i="6"/>
  <c r="FJ204" i="6" s="1"/>
  <c r="ER135" i="6"/>
  <c r="FJ135" i="6" s="1"/>
  <c r="ER67" i="6"/>
  <c r="FJ67" i="6" s="1"/>
  <c r="EN207" i="6"/>
  <c r="ER207" i="6"/>
  <c r="FJ207" i="6" s="1"/>
  <c r="EO207" i="6"/>
  <c r="EO148" i="6"/>
  <c r="EP148" i="6"/>
  <c r="EO41" i="6"/>
  <c r="EP41" i="6"/>
  <c r="EP166" i="6"/>
  <c r="EP115" i="6"/>
  <c r="EP56" i="6"/>
  <c r="EN204" i="6"/>
  <c r="EN135" i="6"/>
  <c r="EN67" i="6"/>
  <c r="DB207" i="6"/>
  <c r="DB137" i="6"/>
  <c r="CX216" i="6"/>
  <c r="CY216" i="6"/>
  <c r="CY166" i="6"/>
  <c r="CZ166" i="6"/>
  <c r="CX95" i="6"/>
  <c r="CY95" i="6"/>
  <c r="CY56" i="6"/>
  <c r="CZ56" i="6"/>
  <c r="CZ143" i="6"/>
  <c r="CZ118" i="6"/>
  <c r="CZ34" i="6"/>
  <c r="CX166" i="6"/>
  <c r="CX115" i="6"/>
  <c r="CX56" i="6"/>
  <c r="CT207" i="6"/>
  <c r="CV207" i="6"/>
  <c r="CT115" i="6"/>
  <c r="CV115" i="6"/>
  <c r="CV137" i="6"/>
  <c r="CV66" i="6"/>
  <c r="CU166" i="6"/>
  <c r="CU56" i="6"/>
  <c r="CT118" i="6"/>
  <c r="CS69" i="6"/>
  <c r="CS34" i="6"/>
  <c r="ED34" i="6" s="1"/>
  <c r="CM204" i="6"/>
  <c r="CN204" i="6"/>
  <c r="CL204" i="6"/>
  <c r="ED204" i="6"/>
  <c r="CL113" i="6"/>
  <c r="CM113" i="6"/>
  <c r="CN113" i="6"/>
  <c r="BE207" i="6"/>
  <c r="BI207" i="6"/>
  <c r="BD207" i="6"/>
  <c r="AL207" i="6"/>
  <c r="BH207" i="6"/>
  <c r="BG207" i="6"/>
  <c r="BE166" i="6"/>
  <c r="BI166" i="6"/>
  <c r="BD166" i="6"/>
  <c r="BF166" i="6"/>
  <c r="BG166" i="6"/>
  <c r="BH166" i="6"/>
  <c r="BE137" i="6"/>
  <c r="BI137" i="6"/>
  <c r="BG137" i="6"/>
  <c r="BD137" i="6"/>
  <c r="AL137" i="6"/>
  <c r="BF137" i="6"/>
  <c r="BE115" i="6"/>
  <c r="BI115" i="6"/>
  <c r="AL115" i="6"/>
  <c r="BH115" i="6"/>
  <c r="BG115" i="6"/>
  <c r="BD115" i="6"/>
  <c r="BF115" i="6"/>
  <c r="BE56" i="6"/>
  <c r="BI56" i="6"/>
  <c r="BD56" i="6"/>
  <c r="BF56" i="6"/>
  <c r="BH56" i="6"/>
  <c r="BG56" i="6"/>
  <c r="CN216" i="6"/>
  <c r="CS216" i="6"/>
  <c r="CL216" i="6"/>
  <c r="CN181" i="6"/>
  <c r="CS181" i="6"/>
  <c r="CM181" i="6"/>
  <c r="CN139" i="6"/>
  <c r="CS139" i="6"/>
  <c r="CL139" i="6"/>
  <c r="CN118" i="6"/>
  <c r="CS118" i="6"/>
  <c r="CM118" i="6"/>
  <c r="CN95" i="6"/>
  <c r="CS95" i="6"/>
  <c r="CL95" i="6"/>
  <c r="CM95" i="6"/>
  <c r="CN66" i="6"/>
  <c r="CS66" i="6"/>
  <c r="CM66" i="6"/>
  <c r="CU135" i="6"/>
  <c r="CV135" i="6"/>
  <c r="CT135" i="6"/>
  <c r="ED135" i="6"/>
  <c r="CG137" i="6"/>
  <c r="CG216" i="6"/>
  <c r="CG181" i="6"/>
  <c r="CG66" i="6"/>
  <c r="CG112" i="6"/>
  <c r="X206" i="6"/>
  <c r="Y206" i="6"/>
  <c r="X69" i="6"/>
  <c r="Y69" i="6"/>
  <c r="ER216" i="6"/>
  <c r="FJ216" i="6" s="1"/>
  <c r="ER181" i="6"/>
  <c r="FJ181" i="6" s="1"/>
  <c r="ER139" i="6"/>
  <c r="FJ139" i="6" s="1"/>
  <c r="ER118" i="6"/>
  <c r="FJ118" i="6" s="1"/>
  <c r="ER95" i="6"/>
  <c r="FJ95" i="6" s="1"/>
  <c r="ER66" i="6"/>
  <c r="FJ66" i="6" s="1"/>
  <c r="CU204" i="6"/>
  <c r="CP136" i="6"/>
  <c r="CQ136" i="6"/>
  <c r="CR136" i="6"/>
  <c r="CL136" i="6"/>
  <c r="CM136" i="6"/>
  <c r="CN136" i="6"/>
  <c r="CU143" i="6"/>
  <c r="CV143" i="6"/>
  <c r="CU112" i="6"/>
  <c r="CV112" i="6"/>
  <c r="CU67" i="6"/>
  <c r="CV67" i="6"/>
  <c r="CU34" i="6"/>
  <c r="CV34" i="6"/>
  <c r="CT204" i="6"/>
  <c r="CT67" i="6"/>
  <c r="CQ135" i="6"/>
  <c r="CR135" i="6"/>
  <c r="CP135" i="6"/>
  <c r="CL148" i="6"/>
  <c r="CM148" i="6"/>
  <c r="CM135" i="6"/>
  <c r="CN135" i="6"/>
  <c r="CL41" i="6"/>
  <c r="CM41" i="6"/>
  <c r="CL135" i="6"/>
  <c r="BD216" i="6"/>
  <c r="BH216" i="6"/>
  <c r="BF216" i="6"/>
  <c r="BI216" i="6"/>
  <c r="BD181" i="6"/>
  <c r="BH181" i="6"/>
  <c r="BE181" i="6"/>
  <c r="BF181" i="6"/>
  <c r="BG181" i="6"/>
  <c r="BI181" i="6"/>
  <c r="BD139" i="6"/>
  <c r="BH139" i="6"/>
  <c r="AL139" i="6"/>
  <c r="BF139" i="6"/>
  <c r="BE139" i="6"/>
  <c r="BG139" i="6"/>
  <c r="BD118" i="6"/>
  <c r="BH118" i="6"/>
  <c r="BF118" i="6"/>
  <c r="AL118" i="6"/>
  <c r="BD95" i="6"/>
  <c r="BH95" i="6"/>
  <c r="BF95" i="6"/>
  <c r="BI95" i="6"/>
  <c r="BD66" i="6"/>
  <c r="BH66" i="6"/>
  <c r="BE66" i="6"/>
  <c r="BF66" i="6"/>
  <c r="BG66" i="6"/>
  <c r="BI66" i="6"/>
  <c r="X113" i="6"/>
  <c r="Y113" i="6"/>
  <c r="AL218" i="6"/>
  <c r="BG218" i="6"/>
  <c r="AL204" i="6"/>
  <c r="BG204" i="6"/>
  <c r="AL143" i="6"/>
  <c r="BG143" i="6"/>
  <c r="AL135" i="6"/>
  <c r="BG135" i="6"/>
  <c r="AL112" i="6"/>
  <c r="BG112" i="6"/>
  <c r="AL67" i="6"/>
  <c r="BG67" i="6"/>
  <c r="AL34" i="6"/>
  <c r="BG34" i="6"/>
  <c r="X136" i="6"/>
  <c r="Y136" i="6"/>
  <c r="Y207" i="6"/>
  <c r="Y166" i="6"/>
  <c r="Y137" i="6"/>
  <c r="Y115" i="6"/>
  <c r="Y56" i="6"/>
  <c r="FI24" i="6"/>
  <c r="FE24" i="6"/>
  <c r="FA24" i="6"/>
  <c r="EW24" i="6"/>
  <c r="EU24" i="6"/>
  <c r="ET24" i="6"/>
  <c r="ES24" i="6"/>
  <c r="EM24" i="6"/>
  <c r="EK24" i="6"/>
  <c r="EJ24" i="6"/>
  <c r="EI24" i="6"/>
  <c r="EH24" i="6"/>
  <c r="EC24" i="6"/>
  <c r="DY24" i="6"/>
  <c r="DT24" i="6"/>
  <c r="DS24" i="6"/>
  <c r="DR24" i="6"/>
  <c r="DP24" i="6"/>
  <c r="DO24" i="6"/>
  <c r="DN24" i="6"/>
  <c r="DH24" i="6"/>
  <c r="DG24" i="6"/>
  <c r="DF24" i="6"/>
  <c r="CK24" i="6"/>
  <c r="CF24" i="6"/>
  <c r="CB24" i="6"/>
  <c r="BX24" i="6"/>
  <c r="BT24" i="6"/>
  <c r="BK24" i="6"/>
  <c r="BL24" i="6" s="1"/>
  <c r="AK24" i="6"/>
  <c r="BF24" i="6" s="1"/>
  <c r="AJ24" i="6"/>
  <c r="AH24" i="6"/>
  <c r="AI24" i="6" s="1"/>
  <c r="CO24" i="6" s="1"/>
  <c r="AG24" i="6"/>
  <c r="AE24" i="6"/>
  <c r="AF24" i="6" s="1"/>
  <c r="CW24" i="6" s="1"/>
  <c r="AD24" i="6"/>
  <c r="AC24" i="6"/>
  <c r="AB24" i="6"/>
  <c r="AA24" i="6"/>
  <c r="Z24" i="6"/>
  <c r="V24" i="6"/>
  <c r="U24" i="6"/>
  <c r="DE24" i="6" s="1"/>
  <c r="T24" i="6"/>
  <c r="S24" i="6"/>
  <c r="R24" i="6"/>
  <c r="Q24" i="6"/>
  <c r="P24" i="6"/>
  <c r="DA24" i="6" s="1"/>
  <c r="O24" i="6"/>
  <c r="N24" i="6"/>
  <c r="M24" i="6"/>
  <c r="L24" i="6"/>
  <c r="EQ24" i="6" s="1"/>
  <c r="D24" i="6"/>
  <c r="C24" i="6"/>
  <c r="B24" i="6"/>
  <c r="W24" i="6" s="1"/>
  <c r="Y24" i="6" s="1"/>
  <c r="FI23" i="6"/>
  <c r="FE23" i="6"/>
  <c r="FA23" i="6"/>
  <c r="EW23" i="6"/>
  <c r="EU23" i="6"/>
  <c r="ET23" i="6"/>
  <c r="ES23" i="6"/>
  <c r="EM23" i="6"/>
  <c r="EK23" i="6"/>
  <c r="EJ23" i="6"/>
  <c r="EI23" i="6"/>
  <c r="EH23" i="6"/>
  <c r="EC23" i="6"/>
  <c r="DY23" i="6"/>
  <c r="DT23" i="6"/>
  <c r="DS23" i="6"/>
  <c r="DR23" i="6"/>
  <c r="DP23" i="6"/>
  <c r="DO23" i="6"/>
  <c r="DN23" i="6"/>
  <c r="DH23" i="6"/>
  <c r="DG23" i="6"/>
  <c r="DF23" i="6"/>
  <c r="CK23" i="6"/>
  <c r="CF23" i="6"/>
  <c r="CB23" i="6"/>
  <c r="BX23" i="6"/>
  <c r="BT23" i="6"/>
  <c r="BK23" i="6"/>
  <c r="BL23" i="6" s="1"/>
  <c r="AK23" i="6"/>
  <c r="BG23" i="6" s="1"/>
  <c r="AJ23" i="6"/>
  <c r="AH23" i="6"/>
  <c r="AI23" i="6" s="1"/>
  <c r="CO23" i="6" s="1"/>
  <c r="AG23" i="6"/>
  <c r="AE23" i="6"/>
  <c r="AF23" i="6" s="1"/>
  <c r="CW23" i="6" s="1"/>
  <c r="AD23" i="6"/>
  <c r="AC23" i="6"/>
  <c r="AB23" i="6"/>
  <c r="AA23" i="6"/>
  <c r="Z23" i="6"/>
  <c r="V23" i="6"/>
  <c r="U23" i="6"/>
  <c r="DE23" i="6" s="1"/>
  <c r="T23" i="6"/>
  <c r="S23" i="6"/>
  <c r="R23" i="6"/>
  <c r="Q23" i="6"/>
  <c r="P23" i="6"/>
  <c r="DA23" i="6" s="1"/>
  <c r="O23" i="6"/>
  <c r="N23" i="6"/>
  <c r="M23" i="6"/>
  <c r="L23" i="6"/>
  <c r="EQ23" i="6" s="1"/>
  <c r="D23" i="6"/>
  <c r="C23" i="6"/>
  <c r="B23" i="6"/>
  <c r="W23" i="6" s="1"/>
  <c r="Y23" i="6" s="1"/>
  <c r="FI2" i="6"/>
  <c r="FE2" i="6"/>
  <c r="FA2" i="6"/>
  <c r="EW2" i="6"/>
  <c r="EU2" i="6"/>
  <c r="ET2" i="6"/>
  <c r="ES2" i="6"/>
  <c r="EM2" i="6"/>
  <c r="EK2" i="6"/>
  <c r="EJ2" i="6"/>
  <c r="EI2" i="6"/>
  <c r="EH2" i="6"/>
  <c r="EC2" i="6"/>
  <c r="DY2" i="6"/>
  <c r="DT2" i="6"/>
  <c r="DS2" i="6"/>
  <c r="DR2" i="6"/>
  <c r="DP2" i="6"/>
  <c r="DO2" i="6"/>
  <c r="DN2" i="6"/>
  <c r="DH2" i="6"/>
  <c r="DG2" i="6"/>
  <c r="DF2" i="6"/>
  <c r="CK2" i="6"/>
  <c r="CF2" i="6"/>
  <c r="CB2" i="6"/>
  <c r="BX2" i="6"/>
  <c r="BT2" i="6"/>
  <c r="BP2" i="6"/>
  <c r="BK2" i="6"/>
  <c r="BL2" i="6" s="1"/>
  <c r="AK2" i="6"/>
  <c r="BF2" i="6" s="1"/>
  <c r="AJ2" i="6"/>
  <c r="AH2" i="6"/>
  <c r="AI2" i="6" s="1"/>
  <c r="CO2" i="6" s="1"/>
  <c r="AG2" i="6"/>
  <c r="AE2" i="6"/>
  <c r="AF2" i="6" s="1"/>
  <c r="CW2" i="6" s="1"/>
  <c r="AD2" i="6"/>
  <c r="AC2" i="6"/>
  <c r="AB2" i="6"/>
  <c r="AA2" i="6"/>
  <c r="Z2" i="6"/>
  <c r="V2" i="6"/>
  <c r="U2" i="6"/>
  <c r="DE2" i="6" s="1"/>
  <c r="T2" i="6"/>
  <c r="S2" i="6"/>
  <c r="R2" i="6"/>
  <c r="Q2" i="6"/>
  <c r="P2" i="6"/>
  <c r="DA2" i="6" s="1"/>
  <c r="O2" i="6"/>
  <c r="N2" i="6"/>
  <c r="M2" i="6"/>
  <c r="L2" i="6"/>
  <c r="EQ2" i="6" s="1"/>
  <c r="D2" i="6"/>
  <c r="C2" i="6"/>
  <c r="B2" i="6"/>
  <c r="W2" i="6" s="1"/>
  <c r="FI3" i="6"/>
  <c r="FE3" i="6"/>
  <c r="FA3" i="6"/>
  <c r="EW3" i="6"/>
  <c r="EU3" i="6"/>
  <c r="ET3" i="6"/>
  <c r="ES3" i="6"/>
  <c r="EM3" i="6"/>
  <c r="EK3" i="6"/>
  <c r="EJ3" i="6"/>
  <c r="EI3" i="6"/>
  <c r="EH3" i="6"/>
  <c r="EC3" i="6"/>
  <c r="DY3" i="6"/>
  <c r="DT3" i="6"/>
  <c r="DS3" i="6"/>
  <c r="DR3" i="6"/>
  <c r="DP3" i="6"/>
  <c r="DO3" i="6"/>
  <c r="DN3" i="6"/>
  <c r="DH3" i="6"/>
  <c r="DG3" i="6"/>
  <c r="DF3" i="6"/>
  <c r="CK3" i="6"/>
  <c r="CF3" i="6"/>
  <c r="CB3" i="6"/>
  <c r="BX3" i="6"/>
  <c r="BT3" i="6"/>
  <c r="BK3" i="6"/>
  <c r="BL3" i="6" s="1"/>
  <c r="AK3" i="6"/>
  <c r="BH3" i="6" s="1"/>
  <c r="AJ3" i="6"/>
  <c r="AH3" i="6"/>
  <c r="AI3" i="6" s="1"/>
  <c r="CO3" i="6" s="1"/>
  <c r="AG3" i="6"/>
  <c r="AE3" i="6"/>
  <c r="AF3" i="6" s="1"/>
  <c r="CW3" i="6" s="1"/>
  <c r="AD3" i="6"/>
  <c r="AC3" i="6"/>
  <c r="AB3" i="6"/>
  <c r="AA3" i="6"/>
  <c r="Z3" i="6"/>
  <c r="V3" i="6"/>
  <c r="U3" i="6"/>
  <c r="DE3" i="6" s="1"/>
  <c r="T3" i="6"/>
  <c r="S3" i="6"/>
  <c r="R3" i="6"/>
  <c r="Q3" i="6"/>
  <c r="P3" i="6"/>
  <c r="DA3" i="6" s="1"/>
  <c r="O3" i="6"/>
  <c r="N3" i="6"/>
  <c r="M3" i="6"/>
  <c r="L3" i="6"/>
  <c r="EQ3" i="6" s="1"/>
  <c r="D3" i="6"/>
  <c r="C3" i="6"/>
  <c r="B3" i="6"/>
  <c r="W3" i="6" s="1"/>
  <c r="FI4" i="6"/>
  <c r="FE4" i="6"/>
  <c r="FA4" i="6"/>
  <c r="EW4" i="6"/>
  <c r="EU4" i="6"/>
  <c r="ET4" i="6"/>
  <c r="ES4" i="6"/>
  <c r="EM4" i="6"/>
  <c r="EK4" i="6"/>
  <c r="EJ4" i="6"/>
  <c r="EI4" i="6"/>
  <c r="EH4" i="6"/>
  <c r="EC4" i="6"/>
  <c r="DY4" i="6"/>
  <c r="DT4" i="6"/>
  <c r="DS4" i="6"/>
  <c r="DR4" i="6"/>
  <c r="DP4" i="6"/>
  <c r="DO4" i="6"/>
  <c r="DN4" i="6"/>
  <c r="DH4" i="6"/>
  <c r="DG4" i="6"/>
  <c r="DF4" i="6"/>
  <c r="CK4" i="6"/>
  <c r="CF4" i="6"/>
  <c r="CB4" i="6"/>
  <c r="BX4" i="6"/>
  <c r="BT4" i="6"/>
  <c r="BK4" i="6"/>
  <c r="BL4" i="6" s="1"/>
  <c r="AK4" i="6"/>
  <c r="BG4" i="6" s="1"/>
  <c r="AJ4" i="6"/>
  <c r="AH4" i="6"/>
  <c r="AI4" i="6" s="1"/>
  <c r="CO4" i="6" s="1"/>
  <c r="CL4" i="6" s="1"/>
  <c r="AG4" i="6"/>
  <c r="AE4" i="6"/>
  <c r="AF4" i="6" s="1"/>
  <c r="CW4" i="6" s="1"/>
  <c r="CV4" i="6" s="1"/>
  <c r="AD4" i="6"/>
  <c r="AC4" i="6"/>
  <c r="AB4" i="6"/>
  <c r="AA4" i="6"/>
  <c r="Z4" i="6"/>
  <c r="V4" i="6"/>
  <c r="U4" i="6"/>
  <c r="DE4" i="6" s="1"/>
  <c r="DD4" i="6" s="1"/>
  <c r="T4" i="6"/>
  <c r="S4" i="6"/>
  <c r="R4" i="6"/>
  <c r="Q4" i="6"/>
  <c r="P4" i="6"/>
  <c r="DA4" i="6" s="1"/>
  <c r="CZ4" i="6" s="1"/>
  <c r="O4" i="6"/>
  <c r="N4" i="6"/>
  <c r="M4" i="6"/>
  <c r="L4" i="6"/>
  <c r="EQ4" i="6" s="1"/>
  <c r="D4" i="6"/>
  <c r="C4" i="6"/>
  <c r="B4" i="6"/>
  <c r="W4" i="6" s="1"/>
  <c r="Y4" i="6" s="1"/>
  <c r="FI5" i="6"/>
  <c r="FE5" i="6"/>
  <c r="FA5" i="6"/>
  <c r="EW5" i="6"/>
  <c r="EU5" i="6"/>
  <c r="ET5" i="6"/>
  <c r="ES5" i="6"/>
  <c r="EM5" i="6"/>
  <c r="EK5" i="6"/>
  <c r="EJ5" i="6"/>
  <c r="EI5" i="6"/>
  <c r="EH5" i="6"/>
  <c r="EC5" i="6"/>
  <c r="DY5" i="6"/>
  <c r="DT5" i="6"/>
  <c r="DS5" i="6"/>
  <c r="DR5" i="6"/>
  <c r="DP5" i="6"/>
  <c r="DO5" i="6"/>
  <c r="DN5" i="6"/>
  <c r="DH5" i="6"/>
  <c r="DG5" i="6"/>
  <c r="DF5" i="6"/>
  <c r="CK5" i="6"/>
  <c r="CF5" i="6"/>
  <c r="CB5" i="6"/>
  <c r="BX5" i="6"/>
  <c r="BT5" i="6"/>
  <c r="BK5" i="6"/>
  <c r="BL5" i="6" s="1"/>
  <c r="AK5" i="6"/>
  <c r="BG5" i="6" s="1"/>
  <c r="AJ5" i="6"/>
  <c r="AH5" i="6"/>
  <c r="AI5" i="6" s="1"/>
  <c r="CO5" i="6" s="1"/>
  <c r="CL5" i="6" s="1"/>
  <c r="AG5" i="6"/>
  <c r="AE5" i="6"/>
  <c r="AF5" i="6" s="1"/>
  <c r="CW5" i="6" s="1"/>
  <c r="AD5" i="6"/>
  <c r="AC5" i="6"/>
  <c r="AB5" i="6"/>
  <c r="AA5" i="6"/>
  <c r="Z5" i="6"/>
  <c r="V5" i="6"/>
  <c r="U5" i="6"/>
  <c r="DE5" i="6" s="1"/>
  <c r="DD5" i="6" s="1"/>
  <c r="T5" i="6"/>
  <c r="S5" i="6"/>
  <c r="R5" i="6"/>
  <c r="Q5" i="6"/>
  <c r="P5" i="6"/>
  <c r="DA5" i="6" s="1"/>
  <c r="CZ5" i="6" s="1"/>
  <c r="O5" i="6"/>
  <c r="N5" i="6"/>
  <c r="M5" i="6"/>
  <c r="L5" i="6"/>
  <c r="EQ5" i="6" s="1"/>
  <c r="D5" i="6"/>
  <c r="C5" i="6"/>
  <c r="B5" i="6"/>
  <c r="W5" i="6" s="1"/>
  <c r="Y5" i="6" s="1"/>
  <c r="FI6" i="6"/>
  <c r="FE6" i="6"/>
  <c r="FA6" i="6"/>
  <c r="EW6" i="6"/>
  <c r="EU6" i="6"/>
  <c r="ET6" i="6"/>
  <c r="ES6" i="6"/>
  <c r="EM6" i="6"/>
  <c r="EK6" i="6"/>
  <c r="EJ6" i="6"/>
  <c r="EI6" i="6"/>
  <c r="EH6" i="6"/>
  <c r="EC6" i="6"/>
  <c r="DY6" i="6"/>
  <c r="DT6" i="6"/>
  <c r="DS6" i="6"/>
  <c r="DR6" i="6"/>
  <c r="DP6" i="6"/>
  <c r="DO6" i="6"/>
  <c r="DN6" i="6"/>
  <c r="DH6" i="6"/>
  <c r="DG6" i="6"/>
  <c r="DF6" i="6"/>
  <c r="CK6" i="6"/>
  <c r="CF6" i="6"/>
  <c r="CB6" i="6"/>
  <c r="BX6" i="6"/>
  <c r="BT6" i="6"/>
  <c r="BK6" i="6"/>
  <c r="BL6" i="6" s="1"/>
  <c r="AK6" i="6"/>
  <c r="BF6" i="6" s="1"/>
  <c r="AJ6" i="6"/>
  <c r="AH6" i="6"/>
  <c r="AI6" i="6" s="1"/>
  <c r="CO6" i="6" s="1"/>
  <c r="CS6" i="6" s="1"/>
  <c r="CQ6" i="6" s="1"/>
  <c r="AG6" i="6"/>
  <c r="AE6" i="6"/>
  <c r="AF6" i="6" s="1"/>
  <c r="CW6" i="6" s="1"/>
  <c r="AD6" i="6"/>
  <c r="AC6" i="6"/>
  <c r="AB6" i="6"/>
  <c r="AA6" i="6"/>
  <c r="Z6" i="6"/>
  <c r="V6" i="6"/>
  <c r="U6" i="6"/>
  <c r="DE6" i="6" s="1"/>
  <c r="DB6" i="6" s="1"/>
  <c r="T6" i="6"/>
  <c r="S6" i="6"/>
  <c r="R6" i="6"/>
  <c r="Q6" i="6"/>
  <c r="P6" i="6"/>
  <c r="DA6" i="6" s="1"/>
  <c r="CZ6" i="6" s="1"/>
  <c r="O6" i="6"/>
  <c r="N6" i="6"/>
  <c r="M6" i="6"/>
  <c r="L6" i="6"/>
  <c r="EQ6" i="6" s="1"/>
  <c r="D6" i="6"/>
  <c r="C6" i="6"/>
  <c r="B6" i="6"/>
  <c r="W6" i="6" s="1"/>
  <c r="Y6" i="6" s="1"/>
  <c r="FI7" i="6"/>
  <c r="FE7" i="6"/>
  <c r="FA7" i="6"/>
  <c r="EW7" i="6"/>
  <c r="EU7" i="6"/>
  <c r="ET7" i="6"/>
  <c r="ES7" i="6"/>
  <c r="EM7" i="6"/>
  <c r="EK7" i="6"/>
  <c r="EJ7" i="6"/>
  <c r="EI7" i="6"/>
  <c r="EH7" i="6"/>
  <c r="EC7" i="6"/>
  <c r="DY7" i="6"/>
  <c r="DT7" i="6"/>
  <c r="DS7" i="6"/>
  <c r="DR7" i="6"/>
  <c r="DP7" i="6"/>
  <c r="DO7" i="6"/>
  <c r="DN7" i="6"/>
  <c r="DH7" i="6"/>
  <c r="DG7" i="6"/>
  <c r="DF7" i="6"/>
  <c r="CK7" i="6"/>
  <c r="CF7" i="6"/>
  <c r="CB7" i="6"/>
  <c r="BX7" i="6"/>
  <c r="BT7" i="6"/>
  <c r="BK7" i="6"/>
  <c r="BL7" i="6" s="1"/>
  <c r="AK7" i="6"/>
  <c r="AJ7" i="6"/>
  <c r="AH7" i="6"/>
  <c r="AI7" i="6" s="1"/>
  <c r="CO7" i="6" s="1"/>
  <c r="AG7" i="6"/>
  <c r="AE7" i="6"/>
  <c r="AF7" i="6" s="1"/>
  <c r="CW7" i="6" s="1"/>
  <c r="AD7" i="6"/>
  <c r="AC7" i="6"/>
  <c r="AB7" i="6"/>
  <c r="AA7" i="6"/>
  <c r="Z7" i="6"/>
  <c r="V7" i="6"/>
  <c r="U7" i="6"/>
  <c r="DE7" i="6" s="1"/>
  <c r="DD7" i="6" s="1"/>
  <c r="T7" i="6"/>
  <c r="S7" i="6"/>
  <c r="R7" i="6"/>
  <c r="Q7" i="6"/>
  <c r="P7" i="6"/>
  <c r="DA7" i="6" s="1"/>
  <c r="O7" i="6"/>
  <c r="N7" i="6"/>
  <c r="M7" i="6"/>
  <c r="L7" i="6"/>
  <c r="EQ7" i="6" s="1"/>
  <c r="D7" i="6"/>
  <c r="C7" i="6"/>
  <c r="B7" i="6"/>
  <c r="W7" i="6" s="1"/>
  <c r="Y7" i="6" s="1"/>
  <c r="FI13" i="6"/>
  <c r="FE13" i="6"/>
  <c r="FA13" i="6"/>
  <c r="EW13" i="6"/>
  <c r="EU13" i="6"/>
  <c r="ET13" i="6"/>
  <c r="ES13" i="6"/>
  <c r="EM13" i="6"/>
  <c r="EK13" i="6"/>
  <c r="EJ13" i="6"/>
  <c r="EI13" i="6"/>
  <c r="EH13" i="6"/>
  <c r="EC13" i="6"/>
  <c r="DY13" i="6"/>
  <c r="DT13" i="6"/>
  <c r="DS13" i="6"/>
  <c r="DR13" i="6"/>
  <c r="DP13" i="6"/>
  <c r="DO13" i="6"/>
  <c r="DN13" i="6"/>
  <c r="DH13" i="6"/>
  <c r="DG13" i="6"/>
  <c r="DF13" i="6"/>
  <c r="CK13" i="6"/>
  <c r="CF13" i="6"/>
  <c r="CB13" i="6"/>
  <c r="BX13" i="6"/>
  <c r="BT13" i="6"/>
  <c r="BK13" i="6"/>
  <c r="BL13" i="6" s="1"/>
  <c r="AK13" i="6"/>
  <c r="BF13" i="6" s="1"/>
  <c r="AJ13" i="6"/>
  <c r="AH13" i="6"/>
  <c r="AI13" i="6" s="1"/>
  <c r="CO13" i="6" s="1"/>
  <c r="AG13" i="6"/>
  <c r="AE13" i="6"/>
  <c r="AF13" i="6" s="1"/>
  <c r="CW13" i="6" s="1"/>
  <c r="AD13" i="6"/>
  <c r="AC13" i="6"/>
  <c r="AB13" i="6"/>
  <c r="AA13" i="6"/>
  <c r="Z13" i="6"/>
  <c r="V13" i="6"/>
  <c r="U13" i="6"/>
  <c r="DE13" i="6" s="1"/>
  <c r="DB13" i="6" s="1"/>
  <c r="T13" i="6"/>
  <c r="S13" i="6"/>
  <c r="R13" i="6"/>
  <c r="Q13" i="6"/>
  <c r="P13" i="6"/>
  <c r="DA13" i="6" s="1"/>
  <c r="CZ13" i="6" s="1"/>
  <c r="O13" i="6"/>
  <c r="N13" i="6"/>
  <c r="M13" i="6"/>
  <c r="L13" i="6"/>
  <c r="EQ13" i="6" s="1"/>
  <c r="D13" i="6"/>
  <c r="C13" i="6"/>
  <c r="B13" i="6"/>
  <c r="W13" i="6" s="1"/>
  <c r="Y13" i="6" s="1"/>
  <c r="FI12" i="6"/>
  <c r="FE12" i="6"/>
  <c r="FA12" i="6"/>
  <c r="EW12" i="6"/>
  <c r="EU12" i="6"/>
  <c r="ET12" i="6"/>
  <c r="ES12" i="6"/>
  <c r="EM12" i="6"/>
  <c r="EK12" i="6"/>
  <c r="EJ12" i="6"/>
  <c r="EI12" i="6"/>
  <c r="EH12" i="6"/>
  <c r="EC12" i="6"/>
  <c r="DY12" i="6"/>
  <c r="DT12" i="6"/>
  <c r="DS12" i="6"/>
  <c r="DR12" i="6"/>
  <c r="DP12" i="6"/>
  <c r="DO12" i="6"/>
  <c r="DN12" i="6"/>
  <c r="DH12" i="6"/>
  <c r="DG12" i="6"/>
  <c r="DF12" i="6"/>
  <c r="CK12" i="6"/>
  <c r="CF12" i="6"/>
  <c r="CB12" i="6"/>
  <c r="BX12" i="6"/>
  <c r="BT12" i="6"/>
  <c r="BK12" i="6"/>
  <c r="BL12" i="6" s="1"/>
  <c r="AK12" i="6"/>
  <c r="BF12" i="6" s="1"/>
  <c r="AJ12" i="6"/>
  <c r="AH12" i="6"/>
  <c r="AI12" i="6" s="1"/>
  <c r="CO12" i="6" s="1"/>
  <c r="AG12" i="6"/>
  <c r="AE12" i="6"/>
  <c r="AF12" i="6" s="1"/>
  <c r="CW12" i="6" s="1"/>
  <c r="AD12" i="6"/>
  <c r="AC12" i="6"/>
  <c r="AB12" i="6"/>
  <c r="AA12" i="6"/>
  <c r="Z12" i="6"/>
  <c r="V12" i="6"/>
  <c r="U12" i="6"/>
  <c r="DE12" i="6" s="1"/>
  <c r="T12" i="6"/>
  <c r="S12" i="6"/>
  <c r="R12" i="6"/>
  <c r="Q12" i="6"/>
  <c r="P12" i="6"/>
  <c r="DA12" i="6" s="1"/>
  <c r="O12" i="6"/>
  <c r="N12" i="6"/>
  <c r="M12" i="6"/>
  <c r="L12" i="6"/>
  <c r="EQ12" i="6" s="1"/>
  <c r="EP12" i="6" s="1"/>
  <c r="D12" i="6"/>
  <c r="C12" i="6"/>
  <c r="B12" i="6"/>
  <c r="W12" i="6" s="1"/>
  <c r="FI10" i="6"/>
  <c r="FE10" i="6"/>
  <c r="FA10" i="6"/>
  <c r="EW10" i="6"/>
  <c r="EU10" i="6"/>
  <c r="ET10" i="6"/>
  <c r="ES10" i="6"/>
  <c r="EM10" i="6"/>
  <c r="EK10" i="6"/>
  <c r="EJ10" i="6"/>
  <c r="EI10" i="6"/>
  <c r="EH10" i="6"/>
  <c r="EC10" i="6"/>
  <c r="DY10" i="6"/>
  <c r="DT10" i="6"/>
  <c r="DS10" i="6"/>
  <c r="DR10" i="6"/>
  <c r="DP10" i="6"/>
  <c r="DO10" i="6"/>
  <c r="DN10" i="6"/>
  <c r="DH10" i="6"/>
  <c r="DG10" i="6"/>
  <c r="DF10" i="6"/>
  <c r="CK10" i="6"/>
  <c r="CF10" i="6"/>
  <c r="CB10" i="6"/>
  <c r="BX10" i="6"/>
  <c r="BT10" i="6"/>
  <c r="BK10" i="6"/>
  <c r="BL10" i="6" s="1"/>
  <c r="AK10" i="6"/>
  <c r="BF10" i="6" s="1"/>
  <c r="AJ10" i="6"/>
  <c r="AH10" i="6"/>
  <c r="AI10" i="6" s="1"/>
  <c r="CO10" i="6" s="1"/>
  <c r="AG10" i="6"/>
  <c r="AE10" i="6"/>
  <c r="AF10" i="6" s="1"/>
  <c r="CW10" i="6" s="1"/>
  <c r="AD10" i="6"/>
  <c r="AC10" i="6"/>
  <c r="AB10" i="6"/>
  <c r="AA10" i="6"/>
  <c r="Z10" i="6"/>
  <c r="V10" i="6"/>
  <c r="U10" i="6"/>
  <c r="DE10" i="6" s="1"/>
  <c r="T10" i="6"/>
  <c r="S10" i="6"/>
  <c r="R10" i="6"/>
  <c r="Q10" i="6"/>
  <c r="P10" i="6"/>
  <c r="DA10" i="6" s="1"/>
  <c r="O10" i="6"/>
  <c r="N10" i="6"/>
  <c r="M10" i="6"/>
  <c r="L10" i="6"/>
  <c r="EQ10" i="6" s="1"/>
  <c r="D10" i="6"/>
  <c r="C10" i="6"/>
  <c r="B10" i="6"/>
  <c r="W10" i="6" s="1"/>
  <c r="FI14" i="6"/>
  <c r="FE14" i="6"/>
  <c r="FA14" i="6"/>
  <c r="EW14" i="6"/>
  <c r="EU14" i="6"/>
  <c r="ET14" i="6"/>
  <c r="ES14" i="6"/>
  <c r="EM14" i="6"/>
  <c r="EK14" i="6"/>
  <c r="EJ14" i="6"/>
  <c r="EI14" i="6"/>
  <c r="EH14" i="6"/>
  <c r="EC14" i="6"/>
  <c r="DY14" i="6"/>
  <c r="DT14" i="6"/>
  <c r="DS14" i="6"/>
  <c r="DR14" i="6"/>
  <c r="DP14" i="6"/>
  <c r="DO14" i="6"/>
  <c r="DN14" i="6"/>
  <c r="DH14" i="6"/>
  <c r="DG14" i="6"/>
  <c r="DF14" i="6"/>
  <c r="CK14" i="6"/>
  <c r="CF14" i="6"/>
  <c r="CB14" i="6"/>
  <c r="BX14" i="6"/>
  <c r="BT14" i="6"/>
  <c r="BK14" i="6"/>
  <c r="BL14" i="6" s="1"/>
  <c r="AK14" i="6"/>
  <c r="BF14" i="6" s="1"/>
  <c r="AJ14" i="6"/>
  <c r="AH14" i="6"/>
  <c r="AI14" i="6" s="1"/>
  <c r="CO14" i="6" s="1"/>
  <c r="AG14" i="6"/>
  <c r="AE14" i="6"/>
  <c r="AF14" i="6" s="1"/>
  <c r="CW14" i="6" s="1"/>
  <c r="AD14" i="6"/>
  <c r="AC14" i="6"/>
  <c r="AB14" i="6"/>
  <c r="AA14" i="6"/>
  <c r="Z14" i="6"/>
  <c r="V14" i="6"/>
  <c r="U14" i="6"/>
  <c r="DE14" i="6" s="1"/>
  <c r="T14" i="6"/>
  <c r="S14" i="6"/>
  <c r="R14" i="6"/>
  <c r="Q14" i="6"/>
  <c r="P14" i="6"/>
  <c r="DA14" i="6" s="1"/>
  <c r="O14" i="6"/>
  <c r="N14" i="6"/>
  <c r="M14" i="6"/>
  <c r="L14" i="6"/>
  <c r="EQ14" i="6" s="1"/>
  <c r="D14" i="6"/>
  <c r="C14" i="6"/>
  <c r="B14" i="6"/>
  <c r="W14" i="6" s="1"/>
  <c r="Y14" i="6" s="1"/>
  <c r="FI15" i="6"/>
  <c r="FE15" i="6"/>
  <c r="FA15" i="6"/>
  <c r="EW15" i="6"/>
  <c r="EU15" i="6"/>
  <c r="ET15" i="6"/>
  <c r="ES15" i="6"/>
  <c r="EM15" i="6"/>
  <c r="EK15" i="6"/>
  <c r="EJ15" i="6"/>
  <c r="EI15" i="6"/>
  <c r="EH15" i="6"/>
  <c r="EC15" i="6"/>
  <c r="DY15" i="6"/>
  <c r="DT15" i="6"/>
  <c r="DS15" i="6"/>
  <c r="DR15" i="6"/>
  <c r="DP15" i="6"/>
  <c r="DO15" i="6"/>
  <c r="DN15" i="6"/>
  <c r="DH15" i="6"/>
  <c r="DG15" i="6"/>
  <c r="DF15" i="6"/>
  <c r="CK15" i="6"/>
  <c r="CF15" i="6"/>
  <c r="CB15" i="6"/>
  <c r="BX15" i="6"/>
  <c r="BT15" i="6"/>
  <c r="BK15" i="6"/>
  <c r="BL15" i="6" s="1"/>
  <c r="AK15" i="6"/>
  <c r="BF15" i="6" s="1"/>
  <c r="AJ15" i="6"/>
  <c r="AH15" i="6"/>
  <c r="AI15" i="6" s="1"/>
  <c r="CO15" i="6" s="1"/>
  <c r="AG15" i="6"/>
  <c r="AE15" i="6"/>
  <c r="AF15" i="6" s="1"/>
  <c r="CW15" i="6" s="1"/>
  <c r="AD15" i="6"/>
  <c r="AC15" i="6"/>
  <c r="AB15" i="6"/>
  <c r="AA15" i="6"/>
  <c r="Z15" i="6"/>
  <c r="V15" i="6"/>
  <c r="U15" i="6"/>
  <c r="DE15" i="6" s="1"/>
  <c r="T15" i="6"/>
  <c r="S15" i="6"/>
  <c r="R15" i="6"/>
  <c r="Q15" i="6"/>
  <c r="P15" i="6"/>
  <c r="DA15" i="6" s="1"/>
  <c r="O15" i="6"/>
  <c r="N15" i="6"/>
  <c r="M15" i="6"/>
  <c r="L15" i="6"/>
  <c r="EQ15" i="6" s="1"/>
  <c r="EO15" i="6" s="1"/>
  <c r="D15" i="6"/>
  <c r="C15" i="6"/>
  <c r="B15" i="6"/>
  <c r="W15" i="6" s="1"/>
  <c r="Y15" i="6" s="1"/>
  <c r="FI16" i="6"/>
  <c r="FE16" i="6"/>
  <c r="FA16" i="6"/>
  <c r="EW16" i="6"/>
  <c r="EU16" i="6"/>
  <c r="ET16" i="6"/>
  <c r="ES16" i="6"/>
  <c r="EM16" i="6"/>
  <c r="EK16" i="6"/>
  <c r="EJ16" i="6"/>
  <c r="EI16" i="6"/>
  <c r="EH16" i="6"/>
  <c r="EC16" i="6"/>
  <c r="DY16" i="6"/>
  <c r="DT16" i="6"/>
  <c r="DS16" i="6"/>
  <c r="DR16" i="6"/>
  <c r="DP16" i="6"/>
  <c r="DO16" i="6"/>
  <c r="DN16" i="6"/>
  <c r="DH16" i="6"/>
  <c r="DG16" i="6"/>
  <c r="DF16" i="6"/>
  <c r="CK16" i="6"/>
  <c r="CF16" i="6"/>
  <c r="CB16" i="6"/>
  <c r="BX16" i="6"/>
  <c r="BT16" i="6"/>
  <c r="BK16" i="6"/>
  <c r="BL16" i="6" s="1"/>
  <c r="AK16" i="6"/>
  <c r="AJ16" i="6"/>
  <c r="AH16" i="6"/>
  <c r="AI16" i="6" s="1"/>
  <c r="CO16" i="6" s="1"/>
  <c r="AG16" i="6"/>
  <c r="AE16" i="6"/>
  <c r="AF16" i="6" s="1"/>
  <c r="CW16" i="6" s="1"/>
  <c r="CV16" i="6" s="1"/>
  <c r="AD16" i="6"/>
  <c r="AC16" i="6"/>
  <c r="AB16" i="6"/>
  <c r="AA16" i="6"/>
  <c r="Z16" i="6"/>
  <c r="V16" i="6"/>
  <c r="U16" i="6"/>
  <c r="DE16" i="6" s="1"/>
  <c r="T16" i="6"/>
  <c r="S16" i="6"/>
  <c r="R16" i="6"/>
  <c r="Q16" i="6"/>
  <c r="P16" i="6"/>
  <c r="DA16" i="6" s="1"/>
  <c r="O16" i="6"/>
  <c r="N16" i="6"/>
  <c r="M16" i="6"/>
  <c r="L16" i="6"/>
  <c r="EQ16" i="6" s="1"/>
  <c r="EP16" i="6" s="1"/>
  <c r="D16" i="6"/>
  <c r="C16" i="6"/>
  <c r="B16" i="6"/>
  <c r="W16" i="6" s="1"/>
  <c r="FI17" i="6"/>
  <c r="FE17" i="6"/>
  <c r="FA17" i="6"/>
  <c r="EW17" i="6"/>
  <c r="EU17" i="6"/>
  <c r="ET17" i="6"/>
  <c r="ES17" i="6"/>
  <c r="EM17" i="6"/>
  <c r="EK17" i="6"/>
  <c r="EJ17" i="6"/>
  <c r="EI17" i="6"/>
  <c r="EH17" i="6"/>
  <c r="EC17" i="6"/>
  <c r="DY17" i="6"/>
  <c r="DT17" i="6"/>
  <c r="DS17" i="6"/>
  <c r="DR17" i="6"/>
  <c r="DP17" i="6"/>
  <c r="DO17" i="6"/>
  <c r="DN17" i="6"/>
  <c r="DH17" i="6"/>
  <c r="DG17" i="6"/>
  <c r="DF17" i="6"/>
  <c r="CK17" i="6"/>
  <c r="CF17" i="6"/>
  <c r="CB17" i="6"/>
  <c r="BX17" i="6"/>
  <c r="BT17" i="6"/>
  <c r="BK17" i="6"/>
  <c r="BL17" i="6" s="1"/>
  <c r="AK17" i="6"/>
  <c r="BG17" i="6" s="1"/>
  <c r="AJ17" i="6"/>
  <c r="AH17" i="6"/>
  <c r="AI17" i="6" s="1"/>
  <c r="CO17" i="6" s="1"/>
  <c r="AG17" i="6"/>
  <c r="AE17" i="6"/>
  <c r="AF17" i="6" s="1"/>
  <c r="CW17" i="6" s="1"/>
  <c r="AD17" i="6"/>
  <c r="AC17" i="6"/>
  <c r="AB17" i="6"/>
  <c r="AA17" i="6"/>
  <c r="Z17" i="6"/>
  <c r="V17" i="6"/>
  <c r="U17" i="6"/>
  <c r="DE17" i="6" s="1"/>
  <c r="T17" i="6"/>
  <c r="S17" i="6"/>
  <c r="R17" i="6"/>
  <c r="Q17" i="6"/>
  <c r="P17" i="6"/>
  <c r="DA17" i="6" s="1"/>
  <c r="CZ17" i="6" s="1"/>
  <c r="O17" i="6"/>
  <c r="N17" i="6"/>
  <c r="M17" i="6"/>
  <c r="L17" i="6"/>
  <c r="EQ17" i="6" s="1"/>
  <c r="D17" i="6"/>
  <c r="C17" i="6"/>
  <c r="B17" i="6"/>
  <c r="W17" i="6" s="1"/>
  <c r="X17" i="6" s="1"/>
  <c r="FI18" i="6"/>
  <c r="FE18" i="6"/>
  <c r="FA18" i="6"/>
  <c r="EW18" i="6"/>
  <c r="EU18" i="6"/>
  <c r="ET18" i="6"/>
  <c r="ES18" i="6"/>
  <c r="EM18" i="6"/>
  <c r="EK18" i="6"/>
  <c r="EJ18" i="6"/>
  <c r="EI18" i="6"/>
  <c r="EH18" i="6"/>
  <c r="EC18" i="6"/>
  <c r="DY18" i="6"/>
  <c r="DT18" i="6"/>
  <c r="DS18" i="6"/>
  <c r="DR18" i="6"/>
  <c r="DP18" i="6"/>
  <c r="DO18" i="6"/>
  <c r="DN18" i="6"/>
  <c r="DH18" i="6"/>
  <c r="DG18" i="6"/>
  <c r="DF18" i="6"/>
  <c r="CK18" i="6"/>
  <c r="CF18" i="6"/>
  <c r="CB18" i="6"/>
  <c r="BX18" i="6"/>
  <c r="BT18" i="6"/>
  <c r="BK18" i="6"/>
  <c r="BL18" i="6" s="1"/>
  <c r="AK18" i="6"/>
  <c r="BG18" i="6" s="1"/>
  <c r="AJ18" i="6"/>
  <c r="AH18" i="6"/>
  <c r="AI18" i="6" s="1"/>
  <c r="CO18" i="6" s="1"/>
  <c r="AG18" i="6"/>
  <c r="AE18" i="6"/>
  <c r="AF18" i="6" s="1"/>
  <c r="CW18" i="6" s="1"/>
  <c r="CV18" i="6" s="1"/>
  <c r="AD18" i="6"/>
  <c r="AC18" i="6"/>
  <c r="AB18" i="6"/>
  <c r="AA18" i="6"/>
  <c r="Z18" i="6"/>
  <c r="V18" i="6"/>
  <c r="U18" i="6"/>
  <c r="DE18" i="6" s="1"/>
  <c r="DD18" i="6" s="1"/>
  <c r="T18" i="6"/>
  <c r="S18" i="6"/>
  <c r="R18" i="6"/>
  <c r="Q18" i="6"/>
  <c r="P18" i="6"/>
  <c r="DA18" i="6" s="1"/>
  <c r="CZ18" i="6" s="1"/>
  <c r="O18" i="6"/>
  <c r="N18" i="6"/>
  <c r="M18" i="6"/>
  <c r="L18" i="6"/>
  <c r="EQ18" i="6" s="1"/>
  <c r="D18" i="6"/>
  <c r="C18" i="6"/>
  <c r="B18" i="6"/>
  <c r="W18" i="6" s="1"/>
  <c r="FI20" i="6"/>
  <c r="FE20" i="6"/>
  <c r="FA20" i="6"/>
  <c r="EW20" i="6"/>
  <c r="EU20" i="6"/>
  <c r="ET20" i="6"/>
  <c r="ES20" i="6"/>
  <c r="EM20" i="6"/>
  <c r="EK20" i="6"/>
  <c r="EJ20" i="6"/>
  <c r="EI20" i="6"/>
  <c r="EH20" i="6"/>
  <c r="EC20" i="6"/>
  <c r="DY20" i="6"/>
  <c r="DT20" i="6"/>
  <c r="DS20" i="6"/>
  <c r="DR20" i="6"/>
  <c r="DP20" i="6"/>
  <c r="DO20" i="6"/>
  <c r="DN20" i="6"/>
  <c r="DH20" i="6"/>
  <c r="DG20" i="6"/>
  <c r="DF20" i="6"/>
  <c r="CK20" i="6"/>
  <c r="CF20" i="6"/>
  <c r="CB20" i="6"/>
  <c r="BX20" i="6"/>
  <c r="BT20" i="6"/>
  <c r="BK20" i="6"/>
  <c r="BL20" i="6" s="1"/>
  <c r="AK20" i="6"/>
  <c r="BG20" i="6" s="1"/>
  <c r="AJ20" i="6"/>
  <c r="AH20" i="6"/>
  <c r="AI20" i="6" s="1"/>
  <c r="CO20" i="6" s="1"/>
  <c r="AG20" i="6"/>
  <c r="AE20" i="6"/>
  <c r="AF20" i="6" s="1"/>
  <c r="CW20" i="6" s="1"/>
  <c r="AD20" i="6"/>
  <c r="AC20" i="6"/>
  <c r="AB20" i="6"/>
  <c r="AA20" i="6"/>
  <c r="Z20" i="6"/>
  <c r="V20" i="6"/>
  <c r="U20" i="6"/>
  <c r="DE20" i="6" s="1"/>
  <c r="T20" i="6"/>
  <c r="S20" i="6"/>
  <c r="R20" i="6"/>
  <c r="Q20" i="6"/>
  <c r="P20" i="6"/>
  <c r="DA20" i="6" s="1"/>
  <c r="CZ20" i="6" s="1"/>
  <c r="O20" i="6"/>
  <c r="N20" i="6"/>
  <c r="M20" i="6"/>
  <c r="L20" i="6"/>
  <c r="EQ20" i="6" s="1"/>
  <c r="D20" i="6"/>
  <c r="C20" i="6"/>
  <c r="B20" i="6"/>
  <c r="W20" i="6" s="1"/>
  <c r="FI21" i="6"/>
  <c r="FE21" i="6"/>
  <c r="FA21" i="6"/>
  <c r="EW21" i="6"/>
  <c r="EU21" i="6"/>
  <c r="ET21" i="6"/>
  <c r="ES21" i="6"/>
  <c r="EM21" i="6"/>
  <c r="EK21" i="6"/>
  <c r="EJ21" i="6"/>
  <c r="EI21" i="6"/>
  <c r="EH21" i="6"/>
  <c r="EC21" i="6"/>
  <c r="DY21" i="6"/>
  <c r="DT21" i="6"/>
  <c r="DS21" i="6"/>
  <c r="DR21" i="6"/>
  <c r="DP21" i="6"/>
  <c r="DO21" i="6"/>
  <c r="DN21" i="6"/>
  <c r="DH21" i="6"/>
  <c r="DG21" i="6"/>
  <c r="DF21" i="6"/>
  <c r="CK21" i="6"/>
  <c r="CF21" i="6"/>
  <c r="CB21" i="6"/>
  <c r="BX21" i="6"/>
  <c r="BT21" i="6"/>
  <c r="BK21" i="6"/>
  <c r="BL21" i="6" s="1"/>
  <c r="AK21" i="6"/>
  <c r="BD21" i="6" s="1"/>
  <c r="AJ21" i="6"/>
  <c r="AH21" i="6"/>
  <c r="AI21" i="6" s="1"/>
  <c r="CO21" i="6" s="1"/>
  <c r="AG21" i="6"/>
  <c r="AE21" i="6"/>
  <c r="AF21" i="6" s="1"/>
  <c r="CW21" i="6" s="1"/>
  <c r="AD21" i="6"/>
  <c r="AC21" i="6"/>
  <c r="AB21" i="6"/>
  <c r="AA21" i="6"/>
  <c r="Z21" i="6"/>
  <c r="V21" i="6"/>
  <c r="U21" i="6"/>
  <c r="DE21" i="6" s="1"/>
  <c r="T21" i="6"/>
  <c r="S21" i="6"/>
  <c r="R21" i="6"/>
  <c r="Q21" i="6"/>
  <c r="P21" i="6"/>
  <c r="DA21" i="6" s="1"/>
  <c r="CY21" i="6" s="1"/>
  <c r="O21" i="6"/>
  <c r="N21" i="6"/>
  <c r="M21" i="6"/>
  <c r="L21" i="6"/>
  <c r="EQ21" i="6" s="1"/>
  <c r="D21" i="6"/>
  <c r="C21" i="6"/>
  <c r="B21" i="6"/>
  <c r="W21" i="6" s="1"/>
  <c r="X21" i="6" s="1"/>
  <c r="FI25" i="6"/>
  <c r="FE25" i="6"/>
  <c r="FA25" i="6"/>
  <c r="EW25" i="6"/>
  <c r="EU25" i="6"/>
  <c r="ET25" i="6"/>
  <c r="ES25" i="6"/>
  <c r="EM25" i="6"/>
  <c r="EK25" i="6"/>
  <c r="EJ25" i="6"/>
  <c r="EI25" i="6"/>
  <c r="EH25" i="6"/>
  <c r="EC25" i="6"/>
  <c r="DY25" i="6"/>
  <c r="DT25" i="6"/>
  <c r="DS25" i="6"/>
  <c r="DR25" i="6"/>
  <c r="DP25" i="6"/>
  <c r="DO25" i="6"/>
  <c r="DN25" i="6"/>
  <c r="DH25" i="6"/>
  <c r="DG25" i="6"/>
  <c r="DF25" i="6"/>
  <c r="CK25" i="6"/>
  <c r="CF25" i="6"/>
  <c r="CB25" i="6"/>
  <c r="BX25" i="6"/>
  <c r="BT25" i="6"/>
  <c r="BK25" i="6"/>
  <c r="BL25" i="6" s="1"/>
  <c r="AK25" i="6"/>
  <c r="BG25" i="6" s="1"/>
  <c r="AJ25" i="6"/>
  <c r="AH25" i="6"/>
  <c r="AI25" i="6" s="1"/>
  <c r="CO25" i="6" s="1"/>
  <c r="CL25" i="6" s="1"/>
  <c r="AG25" i="6"/>
  <c r="AE25" i="6"/>
  <c r="AF25" i="6" s="1"/>
  <c r="CW25" i="6" s="1"/>
  <c r="AD25" i="6"/>
  <c r="AC25" i="6"/>
  <c r="AB25" i="6"/>
  <c r="AA25" i="6"/>
  <c r="Z25" i="6"/>
  <c r="V25" i="6"/>
  <c r="U25" i="6"/>
  <c r="DE25" i="6" s="1"/>
  <c r="T25" i="6"/>
  <c r="S25" i="6"/>
  <c r="R25" i="6"/>
  <c r="Q25" i="6"/>
  <c r="P25" i="6"/>
  <c r="DA25" i="6" s="1"/>
  <c r="O25" i="6"/>
  <c r="N25" i="6"/>
  <c r="M25" i="6"/>
  <c r="L25" i="6"/>
  <c r="EQ25" i="6" s="1"/>
  <c r="D25" i="6"/>
  <c r="C25" i="6"/>
  <c r="B25" i="6"/>
  <c r="W25" i="6" s="1"/>
  <c r="FI27" i="6"/>
  <c r="FE27" i="6"/>
  <c r="FA27" i="6"/>
  <c r="EW27" i="6"/>
  <c r="EU27" i="6"/>
  <c r="ET27" i="6"/>
  <c r="ES27" i="6"/>
  <c r="EM27" i="6"/>
  <c r="EK27" i="6"/>
  <c r="EJ27" i="6"/>
  <c r="EI27" i="6"/>
  <c r="EH27" i="6"/>
  <c r="EC27" i="6"/>
  <c r="DY27" i="6"/>
  <c r="DT27" i="6"/>
  <c r="DS27" i="6"/>
  <c r="DR27" i="6"/>
  <c r="DP27" i="6"/>
  <c r="DO27" i="6"/>
  <c r="DN27" i="6"/>
  <c r="DH27" i="6"/>
  <c r="DG27" i="6"/>
  <c r="DF27" i="6"/>
  <c r="CK27" i="6"/>
  <c r="CF27" i="6"/>
  <c r="CB27" i="6"/>
  <c r="BX27" i="6"/>
  <c r="BT27" i="6"/>
  <c r="BK27" i="6"/>
  <c r="BL27" i="6" s="1"/>
  <c r="AK27" i="6"/>
  <c r="BG27" i="6" s="1"/>
  <c r="AJ27" i="6"/>
  <c r="AH27" i="6"/>
  <c r="AI27" i="6" s="1"/>
  <c r="CO27" i="6" s="1"/>
  <c r="CL27" i="6" s="1"/>
  <c r="AG27" i="6"/>
  <c r="AE27" i="6"/>
  <c r="AF27" i="6" s="1"/>
  <c r="CW27" i="6" s="1"/>
  <c r="AD27" i="6"/>
  <c r="AC27" i="6"/>
  <c r="AB27" i="6"/>
  <c r="AA27" i="6"/>
  <c r="Z27" i="6"/>
  <c r="V27" i="6"/>
  <c r="U27" i="6"/>
  <c r="DE27" i="6" s="1"/>
  <c r="DD27" i="6" s="1"/>
  <c r="T27" i="6"/>
  <c r="S27" i="6"/>
  <c r="R27" i="6"/>
  <c r="Q27" i="6"/>
  <c r="P27" i="6"/>
  <c r="DA27" i="6" s="1"/>
  <c r="CZ27" i="6" s="1"/>
  <c r="O27" i="6"/>
  <c r="N27" i="6"/>
  <c r="M27" i="6"/>
  <c r="L27" i="6"/>
  <c r="EQ27" i="6" s="1"/>
  <c r="D27" i="6"/>
  <c r="C27" i="6"/>
  <c r="B27" i="6"/>
  <c r="W27" i="6" s="1"/>
  <c r="Y27" i="6" s="1"/>
  <c r="FI28" i="6"/>
  <c r="FE28" i="6"/>
  <c r="FA28" i="6"/>
  <c r="EW28" i="6"/>
  <c r="EU28" i="6"/>
  <c r="ET28" i="6"/>
  <c r="ES28" i="6"/>
  <c r="EM28" i="6"/>
  <c r="EK28" i="6"/>
  <c r="EJ28" i="6"/>
  <c r="EI28" i="6"/>
  <c r="EH28" i="6"/>
  <c r="EC28" i="6"/>
  <c r="DY28" i="6"/>
  <c r="DT28" i="6"/>
  <c r="DS28" i="6"/>
  <c r="DR28" i="6"/>
  <c r="DP28" i="6"/>
  <c r="DO28" i="6"/>
  <c r="DN28" i="6"/>
  <c r="DH28" i="6"/>
  <c r="DG28" i="6"/>
  <c r="DF28" i="6"/>
  <c r="CK28" i="6"/>
  <c r="CF28" i="6"/>
  <c r="CB28" i="6"/>
  <c r="BX28" i="6"/>
  <c r="BT28" i="6"/>
  <c r="BK28" i="6"/>
  <c r="BL28" i="6" s="1"/>
  <c r="AK28" i="6"/>
  <c r="BG28" i="6" s="1"/>
  <c r="AJ28" i="6"/>
  <c r="AH28" i="6"/>
  <c r="AI28" i="6" s="1"/>
  <c r="CO28" i="6" s="1"/>
  <c r="AG28" i="6"/>
  <c r="AE28" i="6"/>
  <c r="AF28" i="6" s="1"/>
  <c r="CW28" i="6" s="1"/>
  <c r="AD28" i="6"/>
  <c r="AC28" i="6"/>
  <c r="AB28" i="6"/>
  <c r="AA28" i="6"/>
  <c r="Z28" i="6"/>
  <c r="V28" i="6"/>
  <c r="U28" i="6"/>
  <c r="DE28" i="6" s="1"/>
  <c r="DD28" i="6" s="1"/>
  <c r="T28" i="6"/>
  <c r="S28" i="6"/>
  <c r="R28" i="6"/>
  <c r="Q28" i="6"/>
  <c r="P28" i="6"/>
  <c r="DA28" i="6" s="1"/>
  <c r="CZ28" i="6" s="1"/>
  <c r="O28" i="6"/>
  <c r="N28" i="6"/>
  <c r="M28" i="6"/>
  <c r="L28" i="6"/>
  <c r="EQ28" i="6" s="1"/>
  <c r="D28" i="6"/>
  <c r="C28" i="6"/>
  <c r="B28" i="6"/>
  <c r="W28" i="6" s="1"/>
  <c r="Y28" i="6" s="1"/>
  <c r="FI29" i="6"/>
  <c r="FE29" i="6"/>
  <c r="FA29" i="6"/>
  <c r="EW29" i="6"/>
  <c r="EU29" i="6"/>
  <c r="ET29" i="6"/>
  <c r="ES29" i="6"/>
  <c r="EM29" i="6"/>
  <c r="EK29" i="6"/>
  <c r="EJ29" i="6"/>
  <c r="EI29" i="6"/>
  <c r="EH29" i="6"/>
  <c r="EC29" i="6"/>
  <c r="DY29" i="6"/>
  <c r="DT29" i="6"/>
  <c r="DS29" i="6"/>
  <c r="DR29" i="6"/>
  <c r="DP29" i="6"/>
  <c r="DO29" i="6"/>
  <c r="DN29" i="6"/>
  <c r="DH29" i="6"/>
  <c r="DG29" i="6"/>
  <c r="DF29" i="6"/>
  <c r="CK29" i="6"/>
  <c r="CF29" i="6"/>
  <c r="CB29" i="6"/>
  <c r="BX29" i="6"/>
  <c r="BT29" i="6"/>
  <c r="BK29" i="6"/>
  <c r="BL29" i="6" s="1"/>
  <c r="AK29" i="6"/>
  <c r="BG29" i="6" s="1"/>
  <c r="AJ29" i="6"/>
  <c r="AH29" i="6"/>
  <c r="AI29" i="6" s="1"/>
  <c r="CO29" i="6" s="1"/>
  <c r="CL29" i="6" s="1"/>
  <c r="AG29" i="6"/>
  <c r="AE29" i="6"/>
  <c r="AF29" i="6" s="1"/>
  <c r="CW29" i="6" s="1"/>
  <c r="AD29" i="6"/>
  <c r="AC29" i="6"/>
  <c r="AB29" i="6"/>
  <c r="AA29" i="6"/>
  <c r="Z29" i="6"/>
  <c r="V29" i="6"/>
  <c r="U29" i="6"/>
  <c r="DE29" i="6" s="1"/>
  <c r="DD29" i="6" s="1"/>
  <c r="T29" i="6"/>
  <c r="S29" i="6"/>
  <c r="R29" i="6"/>
  <c r="Q29" i="6"/>
  <c r="P29" i="6"/>
  <c r="DA29" i="6" s="1"/>
  <c r="CZ29" i="6" s="1"/>
  <c r="O29" i="6"/>
  <c r="N29" i="6"/>
  <c r="M29" i="6"/>
  <c r="L29" i="6"/>
  <c r="EQ29" i="6" s="1"/>
  <c r="D29" i="6"/>
  <c r="C29" i="6"/>
  <c r="B29" i="6"/>
  <c r="W29" i="6" s="1"/>
  <c r="FI30" i="6"/>
  <c r="FE30" i="6"/>
  <c r="FA30" i="6"/>
  <c r="EW30" i="6"/>
  <c r="EU30" i="6"/>
  <c r="ET30" i="6"/>
  <c r="ES30" i="6"/>
  <c r="EM30" i="6"/>
  <c r="EK30" i="6"/>
  <c r="EJ30" i="6"/>
  <c r="EI30" i="6"/>
  <c r="EH30" i="6"/>
  <c r="EC30" i="6"/>
  <c r="DY30" i="6"/>
  <c r="DT30" i="6"/>
  <c r="DS30" i="6"/>
  <c r="DR30" i="6"/>
  <c r="DP30" i="6"/>
  <c r="DO30" i="6"/>
  <c r="DN30" i="6"/>
  <c r="DH30" i="6"/>
  <c r="DG30" i="6"/>
  <c r="DF30" i="6"/>
  <c r="CK30" i="6"/>
  <c r="CF30" i="6"/>
  <c r="CB30" i="6"/>
  <c r="BX30" i="6"/>
  <c r="BT30" i="6"/>
  <c r="BK30" i="6"/>
  <c r="BL30" i="6" s="1"/>
  <c r="AK30" i="6"/>
  <c r="BG30" i="6" s="1"/>
  <c r="AJ30" i="6"/>
  <c r="AH30" i="6"/>
  <c r="AI30" i="6" s="1"/>
  <c r="CO30" i="6" s="1"/>
  <c r="CL30" i="6" s="1"/>
  <c r="AG30" i="6"/>
  <c r="AE30" i="6"/>
  <c r="AF30" i="6" s="1"/>
  <c r="CW30" i="6" s="1"/>
  <c r="CV30" i="6" s="1"/>
  <c r="AD30" i="6"/>
  <c r="AC30" i="6"/>
  <c r="AB30" i="6"/>
  <c r="AA30" i="6"/>
  <c r="Z30" i="6"/>
  <c r="V30" i="6"/>
  <c r="U30" i="6"/>
  <c r="DE30" i="6" s="1"/>
  <c r="DD30" i="6" s="1"/>
  <c r="T30" i="6"/>
  <c r="S30" i="6"/>
  <c r="R30" i="6"/>
  <c r="Q30" i="6"/>
  <c r="P30" i="6"/>
  <c r="DA30" i="6" s="1"/>
  <c r="CZ30" i="6" s="1"/>
  <c r="O30" i="6"/>
  <c r="N30" i="6"/>
  <c r="M30" i="6"/>
  <c r="L30" i="6"/>
  <c r="EQ30" i="6" s="1"/>
  <c r="D30" i="6"/>
  <c r="C30" i="6"/>
  <c r="B30" i="6"/>
  <c r="W30" i="6" s="1"/>
  <c r="Y30" i="6" s="1"/>
  <c r="FI31" i="6"/>
  <c r="FE31" i="6"/>
  <c r="FA31" i="6"/>
  <c r="EW31" i="6"/>
  <c r="EU31" i="6"/>
  <c r="ET31" i="6"/>
  <c r="ES31" i="6"/>
  <c r="EM31" i="6"/>
  <c r="EK31" i="6"/>
  <c r="EJ31" i="6"/>
  <c r="EI31" i="6"/>
  <c r="EH31" i="6"/>
  <c r="EC31" i="6"/>
  <c r="DY31" i="6"/>
  <c r="DT31" i="6"/>
  <c r="DS31" i="6"/>
  <c r="DR31" i="6"/>
  <c r="DP31" i="6"/>
  <c r="DO31" i="6"/>
  <c r="DN31" i="6"/>
  <c r="DH31" i="6"/>
  <c r="DG31" i="6"/>
  <c r="DF31" i="6"/>
  <c r="CK31" i="6"/>
  <c r="CF31" i="6"/>
  <c r="CB31" i="6"/>
  <c r="BX31" i="6"/>
  <c r="BT31" i="6"/>
  <c r="BK31" i="6"/>
  <c r="BL31" i="6" s="1"/>
  <c r="AK31" i="6"/>
  <c r="BF31" i="6" s="1"/>
  <c r="AJ31" i="6"/>
  <c r="AH31" i="6"/>
  <c r="AI31" i="6" s="1"/>
  <c r="CO31" i="6" s="1"/>
  <c r="CM31" i="6" s="1"/>
  <c r="AG31" i="6"/>
  <c r="AE31" i="6"/>
  <c r="AF31" i="6" s="1"/>
  <c r="CW31" i="6" s="1"/>
  <c r="AD31" i="6"/>
  <c r="AC31" i="6"/>
  <c r="AB31" i="6"/>
  <c r="AA31" i="6"/>
  <c r="Z31" i="6"/>
  <c r="V31" i="6"/>
  <c r="U31" i="6"/>
  <c r="DE31" i="6" s="1"/>
  <c r="DD31" i="6" s="1"/>
  <c r="T31" i="6"/>
  <c r="S31" i="6"/>
  <c r="R31" i="6"/>
  <c r="Q31" i="6"/>
  <c r="P31" i="6"/>
  <c r="DA31" i="6" s="1"/>
  <c r="CZ31" i="6" s="1"/>
  <c r="O31" i="6"/>
  <c r="N31" i="6"/>
  <c r="M31" i="6"/>
  <c r="L31" i="6"/>
  <c r="EQ31" i="6" s="1"/>
  <c r="D31" i="6"/>
  <c r="C31" i="6"/>
  <c r="B31" i="6"/>
  <c r="W31" i="6" s="1"/>
  <c r="FI32" i="6"/>
  <c r="FE32" i="6"/>
  <c r="FA32" i="6"/>
  <c r="EW32" i="6"/>
  <c r="EU32" i="6"/>
  <c r="ET32" i="6"/>
  <c r="ES32" i="6"/>
  <c r="EM32" i="6"/>
  <c r="EK32" i="6"/>
  <c r="EJ32" i="6"/>
  <c r="EI32" i="6"/>
  <c r="EH32" i="6"/>
  <c r="EC32" i="6"/>
  <c r="DY32" i="6"/>
  <c r="DT32" i="6"/>
  <c r="DS32" i="6"/>
  <c r="DR32" i="6"/>
  <c r="DP32" i="6"/>
  <c r="DO32" i="6"/>
  <c r="DN32" i="6"/>
  <c r="DH32" i="6"/>
  <c r="DG32" i="6"/>
  <c r="DF32" i="6"/>
  <c r="CK32" i="6"/>
  <c r="CF32" i="6"/>
  <c r="CB32" i="6"/>
  <c r="BX32" i="6"/>
  <c r="BT32" i="6"/>
  <c r="BK32" i="6"/>
  <c r="BL32" i="6" s="1"/>
  <c r="AK32" i="6"/>
  <c r="BG32" i="6" s="1"/>
  <c r="AJ32" i="6"/>
  <c r="AH32" i="6"/>
  <c r="AI32" i="6" s="1"/>
  <c r="CO32" i="6" s="1"/>
  <c r="CL32" i="6" s="1"/>
  <c r="AG32" i="6"/>
  <c r="AE32" i="6"/>
  <c r="AF32" i="6" s="1"/>
  <c r="CW32" i="6" s="1"/>
  <c r="CV32" i="6" s="1"/>
  <c r="AD32" i="6"/>
  <c r="AC32" i="6"/>
  <c r="AB32" i="6"/>
  <c r="AA32" i="6"/>
  <c r="Z32" i="6"/>
  <c r="V32" i="6"/>
  <c r="U32" i="6"/>
  <c r="DE32" i="6" s="1"/>
  <c r="DD32" i="6" s="1"/>
  <c r="T32" i="6"/>
  <c r="S32" i="6"/>
  <c r="R32" i="6"/>
  <c r="Q32" i="6"/>
  <c r="P32" i="6"/>
  <c r="DA32" i="6" s="1"/>
  <c r="CZ32" i="6" s="1"/>
  <c r="O32" i="6"/>
  <c r="N32" i="6"/>
  <c r="M32" i="6"/>
  <c r="L32" i="6"/>
  <c r="EQ32" i="6" s="1"/>
  <c r="D32" i="6"/>
  <c r="C32" i="6"/>
  <c r="B32" i="6"/>
  <c r="W32" i="6" s="1"/>
  <c r="Y32" i="6" s="1"/>
  <c r="FI33" i="6"/>
  <c r="FE33" i="6"/>
  <c r="FA33" i="6"/>
  <c r="EW33" i="6"/>
  <c r="EU33" i="6"/>
  <c r="ET33" i="6"/>
  <c r="ES33" i="6"/>
  <c r="EM33" i="6"/>
  <c r="EK33" i="6"/>
  <c r="EJ33" i="6"/>
  <c r="EI33" i="6"/>
  <c r="EH33" i="6"/>
  <c r="EC33" i="6"/>
  <c r="DY33" i="6"/>
  <c r="DT33" i="6"/>
  <c r="DS33" i="6"/>
  <c r="DR33" i="6"/>
  <c r="DP33" i="6"/>
  <c r="DO33" i="6"/>
  <c r="DN33" i="6"/>
  <c r="DH33" i="6"/>
  <c r="DG33" i="6"/>
  <c r="DF33" i="6"/>
  <c r="CK33" i="6"/>
  <c r="CF33" i="6"/>
  <c r="CB33" i="6"/>
  <c r="BX33" i="6"/>
  <c r="BT33" i="6"/>
  <c r="BK33" i="6"/>
  <c r="BL33" i="6" s="1"/>
  <c r="AK33" i="6"/>
  <c r="BG33" i="6" s="1"/>
  <c r="AJ33" i="6"/>
  <c r="AH33" i="6"/>
  <c r="AI33" i="6" s="1"/>
  <c r="CO33" i="6" s="1"/>
  <c r="CL33" i="6" s="1"/>
  <c r="AG33" i="6"/>
  <c r="AE33" i="6"/>
  <c r="AF33" i="6" s="1"/>
  <c r="CW33" i="6" s="1"/>
  <c r="AD33" i="6"/>
  <c r="AC33" i="6"/>
  <c r="AB33" i="6"/>
  <c r="AA33" i="6"/>
  <c r="Z33" i="6"/>
  <c r="V33" i="6"/>
  <c r="U33" i="6"/>
  <c r="DE33" i="6" s="1"/>
  <c r="DD33" i="6" s="1"/>
  <c r="T33" i="6"/>
  <c r="S33" i="6"/>
  <c r="R33" i="6"/>
  <c r="Q33" i="6"/>
  <c r="P33" i="6"/>
  <c r="DA33" i="6" s="1"/>
  <c r="CZ33" i="6" s="1"/>
  <c r="O33" i="6"/>
  <c r="N33" i="6"/>
  <c r="M33" i="6"/>
  <c r="L33" i="6"/>
  <c r="EQ33" i="6" s="1"/>
  <c r="D33" i="6"/>
  <c r="C33" i="6"/>
  <c r="B33" i="6"/>
  <c r="W33" i="6" s="1"/>
  <c r="Y33" i="6" s="1"/>
  <c r="FI36" i="6"/>
  <c r="FE36" i="6"/>
  <c r="FA36" i="6"/>
  <c r="EW36" i="6"/>
  <c r="EU36" i="6"/>
  <c r="ET36" i="6"/>
  <c r="ES36" i="6"/>
  <c r="EM36" i="6"/>
  <c r="EK36" i="6"/>
  <c r="EJ36" i="6"/>
  <c r="EI36" i="6"/>
  <c r="EH36" i="6"/>
  <c r="EC36" i="6"/>
  <c r="DY36" i="6"/>
  <c r="DT36" i="6"/>
  <c r="DS36" i="6"/>
  <c r="DR36" i="6"/>
  <c r="DP36" i="6"/>
  <c r="DO36" i="6"/>
  <c r="DN36" i="6"/>
  <c r="DH36" i="6"/>
  <c r="DG36" i="6"/>
  <c r="DF36" i="6"/>
  <c r="CK36" i="6"/>
  <c r="CF36" i="6"/>
  <c r="CB36" i="6"/>
  <c r="BX36" i="6"/>
  <c r="BT36" i="6"/>
  <c r="BK36" i="6"/>
  <c r="BL36" i="6" s="1"/>
  <c r="AK36" i="6"/>
  <c r="BG36" i="6" s="1"/>
  <c r="AJ36" i="6"/>
  <c r="AH36" i="6"/>
  <c r="AI36" i="6" s="1"/>
  <c r="CO36" i="6" s="1"/>
  <c r="CL36" i="6" s="1"/>
  <c r="AG36" i="6"/>
  <c r="AE36" i="6"/>
  <c r="AF36" i="6" s="1"/>
  <c r="CW36" i="6" s="1"/>
  <c r="AD36" i="6"/>
  <c r="AC36" i="6"/>
  <c r="AB36" i="6"/>
  <c r="AA36" i="6"/>
  <c r="Z36" i="6"/>
  <c r="V36" i="6"/>
  <c r="U36" i="6"/>
  <c r="DE36" i="6" s="1"/>
  <c r="DD36" i="6" s="1"/>
  <c r="T36" i="6"/>
  <c r="S36" i="6"/>
  <c r="R36" i="6"/>
  <c r="Q36" i="6"/>
  <c r="P36" i="6"/>
  <c r="DA36" i="6" s="1"/>
  <c r="CZ36" i="6" s="1"/>
  <c r="O36" i="6"/>
  <c r="N36" i="6"/>
  <c r="M36" i="6"/>
  <c r="L36" i="6"/>
  <c r="EQ36" i="6" s="1"/>
  <c r="D36" i="6"/>
  <c r="C36" i="6"/>
  <c r="B36" i="6"/>
  <c r="W36" i="6" s="1"/>
  <c r="Y36" i="6" s="1"/>
  <c r="FI38" i="6"/>
  <c r="FE38" i="6"/>
  <c r="FA38" i="6"/>
  <c r="EW38" i="6"/>
  <c r="EU38" i="6"/>
  <c r="ET38" i="6"/>
  <c r="ES38" i="6"/>
  <c r="EM38" i="6"/>
  <c r="EK38" i="6"/>
  <c r="EJ38" i="6"/>
  <c r="EI38" i="6"/>
  <c r="EH38" i="6"/>
  <c r="EC38" i="6"/>
  <c r="DY38" i="6"/>
  <c r="DT38" i="6"/>
  <c r="DS38" i="6"/>
  <c r="DR38" i="6"/>
  <c r="DP38" i="6"/>
  <c r="DO38" i="6"/>
  <c r="DN38" i="6"/>
  <c r="DH38" i="6"/>
  <c r="DG38" i="6"/>
  <c r="DF38" i="6"/>
  <c r="CK38" i="6"/>
  <c r="CF38" i="6"/>
  <c r="CB38" i="6"/>
  <c r="BX38" i="6"/>
  <c r="BT38" i="6"/>
  <c r="BK38" i="6"/>
  <c r="BL38" i="6" s="1"/>
  <c r="AK38" i="6"/>
  <c r="BG38" i="6" s="1"/>
  <c r="AJ38" i="6"/>
  <c r="AH38" i="6"/>
  <c r="AI38" i="6" s="1"/>
  <c r="CO38" i="6" s="1"/>
  <c r="CL38" i="6" s="1"/>
  <c r="AG38" i="6"/>
  <c r="AE38" i="6"/>
  <c r="AF38" i="6" s="1"/>
  <c r="CW38" i="6" s="1"/>
  <c r="AD38" i="6"/>
  <c r="AC38" i="6"/>
  <c r="AB38" i="6"/>
  <c r="AA38" i="6"/>
  <c r="Z38" i="6"/>
  <c r="V38" i="6"/>
  <c r="U38" i="6"/>
  <c r="DE38" i="6" s="1"/>
  <c r="DD38" i="6" s="1"/>
  <c r="T38" i="6"/>
  <c r="S38" i="6"/>
  <c r="R38" i="6"/>
  <c r="Q38" i="6"/>
  <c r="P38" i="6"/>
  <c r="DA38" i="6" s="1"/>
  <c r="CZ38" i="6" s="1"/>
  <c r="O38" i="6"/>
  <c r="N38" i="6"/>
  <c r="M38" i="6"/>
  <c r="L38" i="6"/>
  <c r="EQ38" i="6" s="1"/>
  <c r="D38" i="6"/>
  <c r="C38" i="6"/>
  <c r="B38" i="6"/>
  <c r="W38" i="6" s="1"/>
  <c r="FI37" i="6"/>
  <c r="FE37" i="6"/>
  <c r="FA37" i="6"/>
  <c r="EW37" i="6"/>
  <c r="EU37" i="6"/>
  <c r="ET37" i="6"/>
  <c r="ES37" i="6"/>
  <c r="EM37" i="6"/>
  <c r="EK37" i="6"/>
  <c r="EJ37" i="6"/>
  <c r="EI37" i="6"/>
  <c r="EH37" i="6"/>
  <c r="EC37" i="6"/>
  <c r="DY37" i="6"/>
  <c r="DT37" i="6"/>
  <c r="DS37" i="6"/>
  <c r="DR37" i="6"/>
  <c r="DP37" i="6"/>
  <c r="DO37" i="6"/>
  <c r="DN37" i="6"/>
  <c r="DH37" i="6"/>
  <c r="DG37" i="6"/>
  <c r="DF37" i="6"/>
  <c r="CK37" i="6"/>
  <c r="CF37" i="6"/>
  <c r="CB37" i="6"/>
  <c r="BX37" i="6"/>
  <c r="BT37" i="6"/>
  <c r="BK37" i="6"/>
  <c r="BL37" i="6" s="1"/>
  <c r="AK37" i="6"/>
  <c r="BF37" i="6" s="1"/>
  <c r="AJ37" i="6"/>
  <c r="AH37" i="6"/>
  <c r="AI37" i="6" s="1"/>
  <c r="CO37" i="6" s="1"/>
  <c r="AG37" i="6"/>
  <c r="AE37" i="6"/>
  <c r="AF37" i="6" s="1"/>
  <c r="CW37" i="6" s="1"/>
  <c r="AD37" i="6"/>
  <c r="AC37" i="6"/>
  <c r="AB37" i="6"/>
  <c r="AA37" i="6"/>
  <c r="Z37" i="6"/>
  <c r="V37" i="6"/>
  <c r="U37" i="6"/>
  <c r="DE37" i="6" s="1"/>
  <c r="DD37" i="6" s="1"/>
  <c r="T37" i="6"/>
  <c r="S37" i="6"/>
  <c r="R37" i="6"/>
  <c r="Q37" i="6"/>
  <c r="P37" i="6"/>
  <c r="DA37" i="6" s="1"/>
  <c r="CZ37" i="6" s="1"/>
  <c r="O37" i="6"/>
  <c r="N37" i="6"/>
  <c r="M37" i="6"/>
  <c r="L37" i="6"/>
  <c r="EQ37" i="6" s="1"/>
  <c r="D37" i="6"/>
  <c r="C37" i="6"/>
  <c r="B37" i="6"/>
  <c r="W37" i="6" s="1"/>
  <c r="Y37" i="6" s="1"/>
  <c r="FI40" i="6"/>
  <c r="FE40" i="6"/>
  <c r="FA40" i="6"/>
  <c r="EW40" i="6"/>
  <c r="EU40" i="6"/>
  <c r="ET40" i="6"/>
  <c r="ES40" i="6"/>
  <c r="EM40" i="6"/>
  <c r="EK40" i="6"/>
  <c r="EJ40" i="6"/>
  <c r="EI40" i="6"/>
  <c r="EH40" i="6"/>
  <c r="EC40" i="6"/>
  <c r="DY40" i="6"/>
  <c r="DT40" i="6"/>
  <c r="DS40" i="6"/>
  <c r="DR40" i="6"/>
  <c r="DP40" i="6"/>
  <c r="DO40" i="6"/>
  <c r="DN40" i="6"/>
  <c r="DH40" i="6"/>
  <c r="DG40" i="6"/>
  <c r="DF40" i="6"/>
  <c r="CK40" i="6"/>
  <c r="CF40" i="6"/>
  <c r="CB40" i="6"/>
  <c r="BX40" i="6"/>
  <c r="BT40" i="6"/>
  <c r="BK40" i="6"/>
  <c r="BL40" i="6" s="1"/>
  <c r="AK40" i="6"/>
  <c r="BF40" i="6" s="1"/>
  <c r="AJ40" i="6"/>
  <c r="AH40" i="6"/>
  <c r="AI40" i="6" s="1"/>
  <c r="CO40" i="6" s="1"/>
  <c r="CM40" i="6" s="1"/>
  <c r="AG40" i="6"/>
  <c r="AE40" i="6"/>
  <c r="AF40" i="6" s="1"/>
  <c r="CW40" i="6" s="1"/>
  <c r="AD40" i="6"/>
  <c r="AC40" i="6"/>
  <c r="AB40" i="6"/>
  <c r="AA40" i="6"/>
  <c r="Z40" i="6"/>
  <c r="V40" i="6"/>
  <c r="U40" i="6"/>
  <c r="DE40" i="6" s="1"/>
  <c r="DD40" i="6" s="1"/>
  <c r="T40" i="6"/>
  <c r="S40" i="6"/>
  <c r="R40" i="6"/>
  <c r="Q40" i="6"/>
  <c r="P40" i="6"/>
  <c r="DA40" i="6" s="1"/>
  <c r="CZ40" i="6" s="1"/>
  <c r="O40" i="6"/>
  <c r="N40" i="6"/>
  <c r="M40" i="6"/>
  <c r="L40" i="6"/>
  <c r="EQ40" i="6" s="1"/>
  <c r="EN40" i="6" s="1"/>
  <c r="D40" i="6"/>
  <c r="C40" i="6"/>
  <c r="B40" i="6"/>
  <c r="W40" i="6" s="1"/>
  <c r="FI42" i="6"/>
  <c r="FE42" i="6"/>
  <c r="FA42" i="6"/>
  <c r="EW42" i="6"/>
  <c r="EU42" i="6"/>
  <c r="ET42" i="6"/>
  <c r="ES42" i="6"/>
  <c r="EM42" i="6"/>
  <c r="EK42" i="6"/>
  <c r="EJ42" i="6"/>
  <c r="EI42" i="6"/>
  <c r="EH42" i="6"/>
  <c r="EC42" i="6"/>
  <c r="DY42" i="6"/>
  <c r="DT42" i="6"/>
  <c r="DS42" i="6"/>
  <c r="DR42" i="6"/>
  <c r="DP42" i="6"/>
  <c r="DO42" i="6"/>
  <c r="DN42" i="6"/>
  <c r="DH42" i="6"/>
  <c r="DG42" i="6"/>
  <c r="DF42" i="6"/>
  <c r="CK42" i="6"/>
  <c r="CF42" i="6"/>
  <c r="CB42" i="6"/>
  <c r="BX42" i="6"/>
  <c r="BT42" i="6"/>
  <c r="BK42" i="6"/>
  <c r="BL42" i="6" s="1"/>
  <c r="AK42" i="6"/>
  <c r="BF42" i="6" s="1"/>
  <c r="AJ42" i="6"/>
  <c r="AH42" i="6"/>
  <c r="AI42" i="6" s="1"/>
  <c r="CO42" i="6" s="1"/>
  <c r="AG42" i="6"/>
  <c r="AE42" i="6"/>
  <c r="AF42" i="6" s="1"/>
  <c r="CW42" i="6" s="1"/>
  <c r="AD42" i="6"/>
  <c r="AC42" i="6"/>
  <c r="AB42" i="6"/>
  <c r="AA42" i="6"/>
  <c r="Z42" i="6"/>
  <c r="V42" i="6"/>
  <c r="U42" i="6"/>
  <c r="DE42" i="6" s="1"/>
  <c r="T42" i="6"/>
  <c r="S42" i="6"/>
  <c r="R42" i="6"/>
  <c r="Q42" i="6"/>
  <c r="DA42" i="6"/>
  <c r="CZ42" i="6" s="1"/>
  <c r="O42" i="6"/>
  <c r="N42" i="6"/>
  <c r="M42" i="6"/>
  <c r="L42" i="6"/>
  <c r="EQ42" i="6" s="1"/>
  <c r="D42" i="6"/>
  <c r="C42" i="6"/>
  <c r="B42" i="6"/>
  <c r="W42" i="6" s="1"/>
  <c r="Y42" i="6" s="1"/>
  <c r="FI46" i="6"/>
  <c r="FE46" i="6"/>
  <c r="FA46" i="6"/>
  <c r="EW46" i="6"/>
  <c r="EU46" i="6"/>
  <c r="ET46" i="6"/>
  <c r="ES46" i="6"/>
  <c r="EM46" i="6"/>
  <c r="EK46" i="6"/>
  <c r="EJ46" i="6"/>
  <c r="EI46" i="6"/>
  <c r="EH46" i="6"/>
  <c r="EC46" i="6"/>
  <c r="DY46" i="6"/>
  <c r="DT46" i="6"/>
  <c r="DS46" i="6"/>
  <c r="DR46" i="6"/>
  <c r="DP46" i="6"/>
  <c r="DO46" i="6"/>
  <c r="DN46" i="6"/>
  <c r="DH46" i="6"/>
  <c r="DG46" i="6"/>
  <c r="DF46" i="6"/>
  <c r="CK46" i="6"/>
  <c r="CF46" i="6"/>
  <c r="CB46" i="6"/>
  <c r="BX46" i="6"/>
  <c r="BT46" i="6"/>
  <c r="BK46" i="6"/>
  <c r="BL46" i="6" s="1"/>
  <c r="AK46" i="6"/>
  <c r="BG46" i="6" s="1"/>
  <c r="AJ46" i="6"/>
  <c r="AH46" i="6"/>
  <c r="AI46" i="6" s="1"/>
  <c r="CO46" i="6" s="1"/>
  <c r="AG46" i="6"/>
  <c r="AE46" i="6"/>
  <c r="AF46" i="6" s="1"/>
  <c r="CW46" i="6" s="1"/>
  <c r="AD46" i="6"/>
  <c r="AC46" i="6"/>
  <c r="AB46" i="6"/>
  <c r="AA46" i="6"/>
  <c r="Z46" i="6"/>
  <c r="V46" i="6"/>
  <c r="U46" i="6"/>
  <c r="DE46" i="6" s="1"/>
  <c r="T46" i="6"/>
  <c r="S46" i="6"/>
  <c r="R46" i="6"/>
  <c r="Q46" i="6"/>
  <c r="P46" i="6"/>
  <c r="DA46" i="6" s="1"/>
  <c r="O46" i="6"/>
  <c r="N46" i="6"/>
  <c r="M46" i="6"/>
  <c r="L46" i="6"/>
  <c r="EQ46" i="6" s="1"/>
  <c r="EP46" i="6" s="1"/>
  <c r="D46" i="6"/>
  <c r="C46" i="6"/>
  <c r="B46" i="6"/>
  <c r="W46" i="6" s="1"/>
  <c r="Y46" i="6" s="1"/>
  <c r="FI48" i="6"/>
  <c r="FE48" i="6"/>
  <c r="FA48" i="6"/>
  <c r="EW48" i="6"/>
  <c r="EU48" i="6"/>
  <c r="ET48" i="6"/>
  <c r="ES48" i="6"/>
  <c r="EM48" i="6"/>
  <c r="EK48" i="6"/>
  <c r="EJ48" i="6"/>
  <c r="EI48" i="6"/>
  <c r="EH48" i="6"/>
  <c r="EC48" i="6"/>
  <c r="DY48" i="6"/>
  <c r="DT48" i="6"/>
  <c r="DS48" i="6"/>
  <c r="DR48" i="6"/>
  <c r="DP48" i="6"/>
  <c r="DO48" i="6"/>
  <c r="DN48" i="6"/>
  <c r="DH48" i="6"/>
  <c r="DG48" i="6"/>
  <c r="DF48" i="6"/>
  <c r="CK48" i="6"/>
  <c r="CF48" i="6"/>
  <c r="CB48" i="6"/>
  <c r="BX48" i="6"/>
  <c r="BT48" i="6"/>
  <c r="BK48" i="6"/>
  <c r="BL48" i="6" s="1"/>
  <c r="AK48" i="6"/>
  <c r="BG48" i="6" s="1"/>
  <c r="AJ48" i="6"/>
  <c r="AH48" i="6"/>
  <c r="AI48" i="6" s="1"/>
  <c r="CO48" i="6" s="1"/>
  <c r="AG48" i="6"/>
  <c r="AE48" i="6"/>
  <c r="AF48" i="6" s="1"/>
  <c r="CW48" i="6" s="1"/>
  <c r="AD48" i="6"/>
  <c r="AC48" i="6"/>
  <c r="AB48" i="6"/>
  <c r="AA48" i="6"/>
  <c r="Z48" i="6"/>
  <c r="V48" i="6"/>
  <c r="U48" i="6"/>
  <c r="DE48" i="6" s="1"/>
  <c r="T48" i="6"/>
  <c r="S48" i="6"/>
  <c r="R48" i="6"/>
  <c r="Q48" i="6"/>
  <c r="P48" i="6"/>
  <c r="DA48" i="6" s="1"/>
  <c r="O48" i="6"/>
  <c r="N48" i="6"/>
  <c r="M48" i="6"/>
  <c r="L48" i="6"/>
  <c r="EQ48" i="6" s="1"/>
  <c r="EP48" i="6" s="1"/>
  <c r="D48" i="6"/>
  <c r="C48" i="6"/>
  <c r="B48" i="6"/>
  <c r="W48" i="6" s="1"/>
  <c r="Y48" i="6" s="1"/>
  <c r="FI49" i="6"/>
  <c r="FE49" i="6"/>
  <c r="FA49" i="6"/>
  <c r="EW49" i="6"/>
  <c r="EU49" i="6"/>
  <c r="ET49" i="6"/>
  <c r="ES49" i="6"/>
  <c r="EM49" i="6"/>
  <c r="EK49" i="6"/>
  <c r="EJ49" i="6"/>
  <c r="EI49" i="6"/>
  <c r="EH49" i="6"/>
  <c r="EC49" i="6"/>
  <c r="DY49" i="6"/>
  <c r="DT49" i="6"/>
  <c r="DS49" i="6"/>
  <c r="DR49" i="6"/>
  <c r="DP49" i="6"/>
  <c r="DO49" i="6"/>
  <c r="DN49" i="6"/>
  <c r="DH49" i="6"/>
  <c r="DG49" i="6"/>
  <c r="DF49" i="6"/>
  <c r="CK49" i="6"/>
  <c r="CF49" i="6"/>
  <c r="CB49" i="6"/>
  <c r="BX49" i="6"/>
  <c r="BT49" i="6"/>
  <c r="BK49" i="6"/>
  <c r="BL49" i="6" s="1"/>
  <c r="AK49" i="6"/>
  <c r="BG49" i="6" s="1"/>
  <c r="AJ49" i="6"/>
  <c r="AH49" i="6"/>
  <c r="AI49" i="6" s="1"/>
  <c r="CO49" i="6" s="1"/>
  <c r="AG49" i="6"/>
  <c r="AE49" i="6"/>
  <c r="AF49" i="6" s="1"/>
  <c r="CW49" i="6" s="1"/>
  <c r="AD49" i="6"/>
  <c r="AC49" i="6"/>
  <c r="AB49" i="6"/>
  <c r="AA49" i="6"/>
  <c r="Z49" i="6"/>
  <c r="V49" i="6"/>
  <c r="U49" i="6"/>
  <c r="DE49" i="6" s="1"/>
  <c r="T49" i="6"/>
  <c r="S49" i="6"/>
  <c r="R49" i="6"/>
  <c r="Q49" i="6"/>
  <c r="P49" i="6"/>
  <c r="DA49" i="6" s="1"/>
  <c r="O49" i="6"/>
  <c r="N49" i="6"/>
  <c r="M49" i="6"/>
  <c r="L49" i="6"/>
  <c r="EQ49" i="6" s="1"/>
  <c r="EP49" i="6" s="1"/>
  <c r="D49" i="6"/>
  <c r="C49" i="6"/>
  <c r="B49" i="6"/>
  <c r="W49" i="6" s="1"/>
  <c r="Y49" i="6" s="1"/>
  <c r="FI50" i="6"/>
  <c r="FE50" i="6"/>
  <c r="FA50" i="6"/>
  <c r="EW50" i="6"/>
  <c r="EU50" i="6"/>
  <c r="ET50" i="6"/>
  <c r="ES50" i="6"/>
  <c r="EM50" i="6"/>
  <c r="EK50" i="6"/>
  <c r="EJ50" i="6"/>
  <c r="EI50" i="6"/>
  <c r="EH50" i="6"/>
  <c r="EC50" i="6"/>
  <c r="DY50" i="6"/>
  <c r="DT50" i="6"/>
  <c r="DS50" i="6"/>
  <c r="DR50" i="6"/>
  <c r="DP50" i="6"/>
  <c r="DO50" i="6"/>
  <c r="DN50" i="6"/>
  <c r="DH50" i="6"/>
  <c r="DG50" i="6"/>
  <c r="DF50" i="6"/>
  <c r="CK50" i="6"/>
  <c r="CF50" i="6"/>
  <c r="CB50" i="6"/>
  <c r="BX50" i="6"/>
  <c r="BT50" i="6"/>
  <c r="BK50" i="6"/>
  <c r="BL50" i="6" s="1"/>
  <c r="AK50" i="6"/>
  <c r="BG50" i="6" s="1"/>
  <c r="AJ50" i="6"/>
  <c r="AH50" i="6"/>
  <c r="AI50" i="6" s="1"/>
  <c r="CO50" i="6" s="1"/>
  <c r="AG50" i="6"/>
  <c r="AE50" i="6"/>
  <c r="AF50" i="6" s="1"/>
  <c r="CW50" i="6" s="1"/>
  <c r="AD50" i="6"/>
  <c r="AC50" i="6"/>
  <c r="AB50" i="6"/>
  <c r="AA50" i="6"/>
  <c r="Z50" i="6"/>
  <c r="V50" i="6"/>
  <c r="U50" i="6"/>
  <c r="DE50" i="6" s="1"/>
  <c r="T50" i="6"/>
  <c r="S50" i="6"/>
  <c r="R50" i="6"/>
  <c r="Q50" i="6"/>
  <c r="P50" i="6"/>
  <c r="DA50" i="6" s="1"/>
  <c r="O50" i="6"/>
  <c r="N50" i="6"/>
  <c r="M50" i="6"/>
  <c r="L50" i="6"/>
  <c r="EQ50" i="6" s="1"/>
  <c r="EP50" i="6" s="1"/>
  <c r="D50" i="6"/>
  <c r="C50" i="6"/>
  <c r="B50" i="6"/>
  <c r="W50" i="6" s="1"/>
  <c r="Y50" i="6" s="1"/>
  <c r="FI51" i="6"/>
  <c r="FE51" i="6"/>
  <c r="FA51" i="6"/>
  <c r="EW51" i="6"/>
  <c r="EU51" i="6"/>
  <c r="ET51" i="6"/>
  <c r="ES51" i="6"/>
  <c r="EM51" i="6"/>
  <c r="EK51" i="6"/>
  <c r="EJ51" i="6"/>
  <c r="EI51" i="6"/>
  <c r="EH51" i="6"/>
  <c r="EC51" i="6"/>
  <c r="DY51" i="6"/>
  <c r="DT51" i="6"/>
  <c r="DS51" i="6"/>
  <c r="DR51" i="6"/>
  <c r="DP51" i="6"/>
  <c r="DO51" i="6"/>
  <c r="DN51" i="6"/>
  <c r="DH51" i="6"/>
  <c r="DG51" i="6"/>
  <c r="DF51" i="6"/>
  <c r="CK51" i="6"/>
  <c r="CF51" i="6"/>
  <c r="CB51" i="6"/>
  <c r="BX51" i="6"/>
  <c r="BT51" i="6"/>
  <c r="BK51" i="6"/>
  <c r="BL51" i="6" s="1"/>
  <c r="AK51" i="6"/>
  <c r="BG51" i="6" s="1"/>
  <c r="AJ51" i="6"/>
  <c r="AH51" i="6"/>
  <c r="AI51" i="6" s="1"/>
  <c r="CO51" i="6" s="1"/>
  <c r="CL51" i="6" s="1"/>
  <c r="AG51" i="6"/>
  <c r="AE51" i="6"/>
  <c r="AF51" i="6" s="1"/>
  <c r="CW51" i="6" s="1"/>
  <c r="AD51" i="6"/>
  <c r="AC51" i="6"/>
  <c r="AB51" i="6"/>
  <c r="AA51" i="6"/>
  <c r="Z51" i="6"/>
  <c r="V51" i="6"/>
  <c r="U51" i="6"/>
  <c r="DE51" i="6" s="1"/>
  <c r="T51" i="6"/>
  <c r="S51" i="6"/>
  <c r="R51" i="6"/>
  <c r="Q51" i="6"/>
  <c r="P51" i="6"/>
  <c r="DA51" i="6" s="1"/>
  <c r="CX51" i="6" s="1"/>
  <c r="O51" i="6"/>
  <c r="N51" i="6"/>
  <c r="M51" i="6"/>
  <c r="L51" i="6"/>
  <c r="EQ51" i="6" s="1"/>
  <c r="D51" i="6"/>
  <c r="C51" i="6"/>
  <c r="B51" i="6"/>
  <c r="W51" i="6" s="1"/>
  <c r="FI53" i="6"/>
  <c r="FE53" i="6"/>
  <c r="FA53" i="6"/>
  <c r="EW53" i="6"/>
  <c r="EU53" i="6"/>
  <c r="ET53" i="6"/>
  <c r="ES53" i="6"/>
  <c r="EM53" i="6"/>
  <c r="EK53" i="6"/>
  <c r="EJ53" i="6"/>
  <c r="EI53" i="6"/>
  <c r="EH53" i="6"/>
  <c r="EC53" i="6"/>
  <c r="DY53" i="6"/>
  <c r="DT53" i="6"/>
  <c r="DS53" i="6"/>
  <c r="DR53" i="6"/>
  <c r="DP53" i="6"/>
  <c r="DO53" i="6"/>
  <c r="DN53" i="6"/>
  <c r="DH53" i="6"/>
  <c r="DG53" i="6"/>
  <c r="DF53" i="6"/>
  <c r="CK53" i="6"/>
  <c r="CF53" i="6"/>
  <c r="CB53" i="6"/>
  <c r="BX53" i="6"/>
  <c r="BT53" i="6"/>
  <c r="BK53" i="6"/>
  <c r="BL53" i="6" s="1"/>
  <c r="AK53" i="6"/>
  <c r="AJ53" i="6"/>
  <c r="AH53" i="6"/>
  <c r="AI53" i="6" s="1"/>
  <c r="CO53" i="6" s="1"/>
  <c r="AG53" i="6"/>
  <c r="AE53" i="6"/>
  <c r="AF53" i="6" s="1"/>
  <c r="CW53" i="6" s="1"/>
  <c r="AD53" i="6"/>
  <c r="AC53" i="6"/>
  <c r="AB53" i="6"/>
  <c r="AA53" i="6"/>
  <c r="Z53" i="6"/>
  <c r="V53" i="6"/>
  <c r="U53" i="6"/>
  <c r="DE53" i="6" s="1"/>
  <c r="T53" i="6"/>
  <c r="S53" i="6"/>
  <c r="R53" i="6"/>
  <c r="Q53" i="6"/>
  <c r="P53" i="6"/>
  <c r="DA53" i="6" s="1"/>
  <c r="O53" i="6"/>
  <c r="N53" i="6"/>
  <c r="M53" i="6"/>
  <c r="L53" i="6"/>
  <c r="EQ53" i="6" s="1"/>
  <c r="D53" i="6"/>
  <c r="C53" i="6"/>
  <c r="B53" i="6"/>
  <c r="W53" i="6" s="1"/>
  <c r="FI54" i="6"/>
  <c r="FE54" i="6"/>
  <c r="FA54" i="6"/>
  <c r="EW54" i="6"/>
  <c r="EU54" i="6"/>
  <c r="ET54" i="6"/>
  <c r="ES54" i="6"/>
  <c r="EM54" i="6"/>
  <c r="EK54" i="6"/>
  <c r="EJ54" i="6"/>
  <c r="EI54" i="6"/>
  <c r="EH54" i="6"/>
  <c r="EC54" i="6"/>
  <c r="DY54" i="6"/>
  <c r="DT54" i="6"/>
  <c r="DS54" i="6"/>
  <c r="DR54" i="6"/>
  <c r="DP54" i="6"/>
  <c r="DO54" i="6"/>
  <c r="DN54" i="6"/>
  <c r="DH54" i="6"/>
  <c r="DG54" i="6"/>
  <c r="DF54" i="6"/>
  <c r="CK54" i="6"/>
  <c r="CF54" i="6"/>
  <c r="CB54" i="6"/>
  <c r="BX54" i="6"/>
  <c r="BT54" i="6"/>
  <c r="BK54" i="6"/>
  <c r="BL54" i="6" s="1"/>
  <c r="AK54" i="6"/>
  <c r="AJ54" i="6"/>
  <c r="AH54" i="6"/>
  <c r="AI54" i="6" s="1"/>
  <c r="CO54" i="6" s="1"/>
  <c r="AG54" i="6"/>
  <c r="AE54" i="6"/>
  <c r="AF54" i="6" s="1"/>
  <c r="CW54" i="6" s="1"/>
  <c r="AD54" i="6"/>
  <c r="AC54" i="6"/>
  <c r="AB54" i="6"/>
  <c r="AA54" i="6"/>
  <c r="Z54" i="6"/>
  <c r="V54" i="6"/>
  <c r="U54" i="6"/>
  <c r="DE54" i="6" s="1"/>
  <c r="T54" i="6"/>
  <c r="S54" i="6"/>
  <c r="R54" i="6"/>
  <c r="Q54" i="6"/>
  <c r="DA54" i="6"/>
  <c r="O54" i="6"/>
  <c r="N54" i="6"/>
  <c r="M54" i="6"/>
  <c r="L54" i="6"/>
  <c r="EQ54" i="6" s="1"/>
  <c r="D54" i="6"/>
  <c r="C54" i="6"/>
  <c r="B54" i="6"/>
  <c r="W54" i="6" s="1"/>
  <c r="FI55" i="6"/>
  <c r="FE55" i="6"/>
  <c r="FA55" i="6"/>
  <c r="EW55" i="6"/>
  <c r="EU55" i="6"/>
  <c r="ET55" i="6"/>
  <c r="ES55" i="6"/>
  <c r="EM55" i="6"/>
  <c r="EK55" i="6"/>
  <c r="EJ55" i="6"/>
  <c r="EI55" i="6"/>
  <c r="EH55" i="6"/>
  <c r="EC55" i="6"/>
  <c r="DY55" i="6"/>
  <c r="DT55" i="6"/>
  <c r="DS55" i="6"/>
  <c r="DR55" i="6"/>
  <c r="DP55" i="6"/>
  <c r="DO55" i="6"/>
  <c r="DN55" i="6"/>
  <c r="DH55" i="6"/>
  <c r="DG55" i="6"/>
  <c r="DF55" i="6"/>
  <c r="CK55" i="6"/>
  <c r="CF55" i="6"/>
  <c r="CB55" i="6"/>
  <c r="BX55" i="6"/>
  <c r="BT55" i="6"/>
  <c r="BK55" i="6"/>
  <c r="BL55" i="6" s="1"/>
  <c r="AK55" i="6"/>
  <c r="BH55" i="6" s="1"/>
  <c r="AJ55" i="6"/>
  <c r="AH55" i="6"/>
  <c r="AI55" i="6" s="1"/>
  <c r="CO55" i="6" s="1"/>
  <c r="AG55" i="6"/>
  <c r="AE55" i="6"/>
  <c r="AF55" i="6" s="1"/>
  <c r="CW55" i="6" s="1"/>
  <c r="CT55" i="6" s="1"/>
  <c r="AD55" i="6"/>
  <c r="AC55" i="6"/>
  <c r="AB55" i="6"/>
  <c r="AA55" i="6"/>
  <c r="Z55" i="6"/>
  <c r="V55" i="6"/>
  <c r="U55" i="6"/>
  <c r="DE55" i="6" s="1"/>
  <c r="T55" i="6"/>
  <c r="S55" i="6"/>
  <c r="R55" i="6"/>
  <c r="Q55" i="6"/>
  <c r="P55" i="6"/>
  <c r="DA55" i="6" s="1"/>
  <c r="O55" i="6"/>
  <c r="N55" i="6"/>
  <c r="M55" i="6"/>
  <c r="L55" i="6"/>
  <c r="EQ55" i="6" s="1"/>
  <c r="D55" i="6"/>
  <c r="C55" i="6"/>
  <c r="B55" i="6"/>
  <c r="W55" i="6" s="1"/>
  <c r="FI57" i="6"/>
  <c r="FE57" i="6"/>
  <c r="FA57" i="6"/>
  <c r="EW57" i="6"/>
  <c r="EU57" i="6"/>
  <c r="ET57" i="6"/>
  <c r="ES57" i="6"/>
  <c r="EM57" i="6"/>
  <c r="EK57" i="6"/>
  <c r="EJ57" i="6"/>
  <c r="EI57" i="6"/>
  <c r="EH57" i="6"/>
  <c r="EC57" i="6"/>
  <c r="DY57" i="6"/>
  <c r="DT57" i="6"/>
  <c r="DS57" i="6"/>
  <c r="DR57" i="6"/>
  <c r="DP57" i="6"/>
  <c r="DO57" i="6"/>
  <c r="DN57" i="6"/>
  <c r="DH57" i="6"/>
  <c r="DG57" i="6"/>
  <c r="DF57" i="6"/>
  <c r="CK57" i="6"/>
  <c r="CF57" i="6"/>
  <c r="CB57" i="6"/>
  <c r="BX57" i="6"/>
  <c r="BT57" i="6"/>
  <c r="BK57" i="6"/>
  <c r="BL57" i="6" s="1"/>
  <c r="AK57" i="6"/>
  <c r="BH57" i="6" s="1"/>
  <c r="AJ57" i="6"/>
  <c r="AH57" i="6"/>
  <c r="AI57" i="6" s="1"/>
  <c r="CO57" i="6" s="1"/>
  <c r="AG57" i="6"/>
  <c r="AE57" i="6"/>
  <c r="AF57" i="6" s="1"/>
  <c r="CW57" i="6" s="1"/>
  <c r="CT57" i="6" s="1"/>
  <c r="AD57" i="6"/>
  <c r="AC57" i="6"/>
  <c r="AB57" i="6"/>
  <c r="AA57" i="6"/>
  <c r="Z57" i="6"/>
  <c r="V57" i="6"/>
  <c r="U57" i="6"/>
  <c r="DE57" i="6" s="1"/>
  <c r="T57" i="6"/>
  <c r="S57" i="6"/>
  <c r="R57" i="6"/>
  <c r="Q57" i="6"/>
  <c r="P57" i="6"/>
  <c r="DA57" i="6" s="1"/>
  <c r="CX57" i="6" s="1"/>
  <c r="O57" i="6"/>
  <c r="N57" i="6"/>
  <c r="M57" i="6"/>
  <c r="L57" i="6"/>
  <c r="EQ57" i="6" s="1"/>
  <c r="D57" i="6"/>
  <c r="C57" i="6"/>
  <c r="B57" i="6"/>
  <c r="W57" i="6" s="1"/>
  <c r="X57" i="6" s="1"/>
  <c r="FI58" i="6"/>
  <c r="FE58" i="6"/>
  <c r="FA58" i="6"/>
  <c r="EW58" i="6"/>
  <c r="EU58" i="6"/>
  <c r="ET58" i="6"/>
  <c r="ES58" i="6"/>
  <c r="EM58" i="6"/>
  <c r="EK58" i="6"/>
  <c r="EJ58" i="6"/>
  <c r="EI58" i="6"/>
  <c r="EH58" i="6"/>
  <c r="EC58" i="6"/>
  <c r="DY58" i="6"/>
  <c r="DT58" i="6"/>
  <c r="DS58" i="6"/>
  <c r="DR58" i="6"/>
  <c r="DP58" i="6"/>
  <c r="DO58" i="6"/>
  <c r="DN58" i="6"/>
  <c r="DH58" i="6"/>
  <c r="DG58" i="6"/>
  <c r="DF58" i="6"/>
  <c r="CK58" i="6"/>
  <c r="CF58" i="6"/>
  <c r="CB58" i="6"/>
  <c r="BX58" i="6"/>
  <c r="BT58" i="6"/>
  <c r="BK58" i="6"/>
  <c r="BL58" i="6" s="1"/>
  <c r="AK58" i="6"/>
  <c r="BF58" i="6" s="1"/>
  <c r="AJ58" i="6"/>
  <c r="AH58" i="6"/>
  <c r="AI58" i="6" s="1"/>
  <c r="CO58" i="6" s="1"/>
  <c r="AG58" i="6"/>
  <c r="AE58" i="6"/>
  <c r="AF58" i="6" s="1"/>
  <c r="CW58" i="6" s="1"/>
  <c r="AD58" i="6"/>
  <c r="AC58" i="6"/>
  <c r="AB58" i="6"/>
  <c r="AA58" i="6"/>
  <c r="Z58" i="6"/>
  <c r="V58" i="6"/>
  <c r="U58" i="6"/>
  <c r="DE58" i="6" s="1"/>
  <c r="T58" i="6"/>
  <c r="S58" i="6"/>
  <c r="R58" i="6"/>
  <c r="Q58" i="6"/>
  <c r="P58" i="6"/>
  <c r="DA58" i="6" s="1"/>
  <c r="O58" i="6"/>
  <c r="N58" i="6"/>
  <c r="M58" i="6"/>
  <c r="L58" i="6"/>
  <c r="EQ58" i="6" s="1"/>
  <c r="EP58" i="6" s="1"/>
  <c r="D58" i="6"/>
  <c r="C58" i="6"/>
  <c r="B58" i="6"/>
  <c r="W58" i="6" s="1"/>
  <c r="Y58" i="6" s="1"/>
  <c r="FI59" i="6"/>
  <c r="FE59" i="6"/>
  <c r="FA59" i="6"/>
  <c r="EW59" i="6"/>
  <c r="EU59" i="6"/>
  <c r="ET59" i="6"/>
  <c r="ES59" i="6"/>
  <c r="EM59" i="6"/>
  <c r="EK59" i="6"/>
  <c r="EJ59" i="6"/>
  <c r="EI59" i="6"/>
  <c r="EH59" i="6"/>
  <c r="EC59" i="6"/>
  <c r="DY59" i="6"/>
  <c r="DT59" i="6"/>
  <c r="DS59" i="6"/>
  <c r="DR59" i="6"/>
  <c r="DP59" i="6"/>
  <c r="DO59" i="6"/>
  <c r="DN59" i="6"/>
  <c r="DH59" i="6"/>
  <c r="DG59" i="6"/>
  <c r="DF59" i="6"/>
  <c r="CK59" i="6"/>
  <c r="CF59" i="6"/>
  <c r="CB59" i="6"/>
  <c r="BX59" i="6"/>
  <c r="BT59" i="6"/>
  <c r="BK59" i="6"/>
  <c r="BL59" i="6" s="1"/>
  <c r="AK59" i="6"/>
  <c r="BF59" i="6" s="1"/>
  <c r="AJ59" i="6"/>
  <c r="AH59" i="6"/>
  <c r="AI59" i="6" s="1"/>
  <c r="CO59" i="6" s="1"/>
  <c r="AG59" i="6"/>
  <c r="AE59" i="6"/>
  <c r="AF59" i="6" s="1"/>
  <c r="CW59" i="6" s="1"/>
  <c r="AD59" i="6"/>
  <c r="AC59" i="6"/>
  <c r="AB59" i="6"/>
  <c r="AA59" i="6"/>
  <c r="Z59" i="6"/>
  <c r="V59" i="6"/>
  <c r="U59" i="6"/>
  <c r="DE59" i="6" s="1"/>
  <c r="T59" i="6"/>
  <c r="S59" i="6"/>
  <c r="R59" i="6"/>
  <c r="Q59" i="6"/>
  <c r="P59" i="6"/>
  <c r="DA59" i="6" s="1"/>
  <c r="CX59" i="6" s="1"/>
  <c r="O59" i="6"/>
  <c r="N59" i="6"/>
  <c r="M59" i="6"/>
  <c r="L59" i="6"/>
  <c r="EQ59" i="6" s="1"/>
  <c r="EO59" i="6" s="1"/>
  <c r="D59" i="6"/>
  <c r="C59" i="6"/>
  <c r="B59" i="6"/>
  <c r="W59" i="6" s="1"/>
  <c r="X59" i="6" s="1"/>
  <c r="FI60" i="6"/>
  <c r="FE60" i="6"/>
  <c r="FA60" i="6"/>
  <c r="EW60" i="6"/>
  <c r="EU60" i="6"/>
  <c r="ET60" i="6"/>
  <c r="ES60" i="6"/>
  <c r="EM60" i="6"/>
  <c r="EK60" i="6"/>
  <c r="EJ60" i="6"/>
  <c r="EI60" i="6"/>
  <c r="EH60" i="6"/>
  <c r="EC60" i="6"/>
  <c r="DY60" i="6"/>
  <c r="DT60" i="6"/>
  <c r="DS60" i="6"/>
  <c r="DR60" i="6"/>
  <c r="DP60" i="6"/>
  <c r="DO60" i="6"/>
  <c r="DN60" i="6"/>
  <c r="DH60" i="6"/>
  <c r="DG60" i="6"/>
  <c r="DF60" i="6"/>
  <c r="CK60" i="6"/>
  <c r="CF60" i="6"/>
  <c r="CB60" i="6"/>
  <c r="BX60" i="6"/>
  <c r="BT60" i="6"/>
  <c r="BK60" i="6"/>
  <c r="BL60" i="6" s="1"/>
  <c r="AK60" i="6"/>
  <c r="BH60" i="6" s="1"/>
  <c r="AJ60" i="6"/>
  <c r="AH60" i="6"/>
  <c r="AI60" i="6" s="1"/>
  <c r="CO60" i="6" s="1"/>
  <c r="AG60" i="6"/>
  <c r="AE60" i="6"/>
  <c r="AF60" i="6" s="1"/>
  <c r="CW60" i="6" s="1"/>
  <c r="AD60" i="6"/>
  <c r="AC60" i="6"/>
  <c r="AB60" i="6"/>
  <c r="AA60" i="6"/>
  <c r="Z60" i="6"/>
  <c r="V60" i="6"/>
  <c r="U60" i="6"/>
  <c r="DE60" i="6" s="1"/>
  <c r="T60" i="6"/>
  <c r="S60" i="6"/>
  <c r="R60" i="6"/>
  <c r="Q60" i="6"/>
  <c r="P60" i="6"/>
  <c r="DA60" i="6" s="1"/>
  <c r="O60" i="6"/>
  <c r="N60" i="6"/>
  <c r="M60" i="6"/>
  <c r="L60" i="6"/>
  <c r="EQ60" i="6" s="1"/>
  <c r="EN60" i="6" s="1"/>
  <c r="D60" i="6"/>
  <c r="C60" i="6"/>
  <c r="B60" i="6"/>
  <c r="W60" i="6" s="1"/>
  <c r="FI62" i="6"/>
  <c r="FE62" i="6"/>
  <c r="FA62" i="6"/>
  <c r="EW62" i="6"/>
  <c r="EU62" i="6"/>
  <c r="ET62" i="6"/>
  <c r="ES62" i="6"/>
  <c r="EM62" i="6"/>
  <c r="EK62" i="6"/>
  <c r="EJ62" i="6"/>
  <c r="EI62" i="6"/>
  <c r="EH62" i="6"/>
  <c r="EC62" i="6"/>
  <c r="DY62" i="6"/>
  <c r="DT62" i="6"/>
  <c r="DS62" i="6"/>
  <c r="DR62" i="6"/>
  <c r="DP62" i="6"/>
  <c r="DO62" i="6"/>
  <c r="DN62" i="6"/>
  <c r="DH62" i="6"/>
  <c r="DG62" i="6"/>
  <c r="DF62" i="6"/>
  <c r="CK62" i="6"/>
  <c r="CF62" i="6"/>
  <c r="CB62" i="6"/>
  <c r="BX62" i="6"/>
  <c r="BT62" i="6"/>
  <c r="BK62" i="6"/>
  <c r="BL62" i="6" s="1"/>
  <c r="AK62" i="6"/>
  <c r="BH62" i="6" s="1"/>
  <c r="AJ62" i="6"/>
  <c r="AH62" i="6"/>
  <c r="AI62" i="6" s="1"/>
  <c r="CO62" i="6" s="1"/>
  <c r="AG62" i="6"/>
  <c r="AE62" i="6"/>
  <c r="AF62" i="6" s="1"/>
  <c r="CW62" i="6" s="1"/>
  <c r="AD62" i="6"/>
  <c r="AC62" i="6"/>
  <c r="AB62" i="6"/>
  <c r="AA62" i="6"/>
  <c r="Z62" i="6"/>
  <c r="V62" i="6"/>
  <c r="U62" i="6"/>
  <c r="DE62" i="6" s="1"/>
  <c r="T62" i="6"/>
  <c r="S62" i="6"/>
  <c r="R62" i="6"/>
  <c r="Q62" i="6"/>
  <c r="P62" i="6"/>
  <c r="DA62" i="6" s="1"/>
  <c r="O62" i="6"/>
  <c r="N62" i="6"/>
  <c r="M62" i="6"/>
  <c r="L62" i="6"/>
  <c r="EQ62" i="6" s="1"/>
  <c r="D62" i="6"/>
  <c r="C62" i="6"/>
  <c r="B62" i="6"/>
  <c r="W62" i="6" s="1"/>
  <c r="FI70" i="6"/>
  <c r="FE70" i="6"/>
  <c r="FA70" i="6"/>
  <c r="EW70" i="6"/>
  <c r="EU70" i="6"/>
  <c r="ET70" i="6"/>
  <c r="ES70" i="6"/>
  <c r="EM70" i="6"/>
  <c r="EK70" i="6"/>
  <c r="EJ70" i="6"/>
  <c r="EI70" i="6"/>
  <c r="EH70" i="6"/>
  <c r="EC70" i="6"/>
  <c r="DY70" i="6"/>
  <c r="DT70" i="6"/>
  <c r="DS70" i="6"/>
  <c r="DR70" i="6"/>
  <c r="DP70" i="6"/>
  <c r="DO70" i="6"/>
  <c r="DN70" i="6"/>
  <c r="DH70" i="6"/>
  <c r="DG70" i="6"/>
  <c r="DF70" i="6"/>
  <c r="CK70" i="6"/>
  <c r="CF70" i="6"/>
  <c r="CB70" i="6"/>
  <c r="BX70" i="6"/>
  <c r="BT70" i="6"/>
  <c r="BK70" i="6"/>
  <c r="BL70" i="6" s="1"/>
  <c r="AK70" i="6"/>
  <c r="BH70" i="6" s="1"/>
  <c r="AJ70" i="6"/>
  <c r="AH70" i="6"/>
  <c r="AI70" i="6" s="1"/>
  <c r="CO70" i="6" s="1"/>
  <c r="AG70" i="6"/>
  <c r="AE70" i="6"/>
  <c r="AF70" i="6" s="1"/>
  <c r="CW70" i="6" s="1"/>
  <c r="AD70" i="6"/>
  <c r="AC70" i="6"/>
  <c r="AB70" i="6"/>
  <c r="AA70" i="6"/>
  <c r="Z70" i="6"/>
  <c r="V70" i="6"/>
  <c r="U70" i="6"/>
  <c r="DE70" i="6" s="1"/>
  <c r="T70" i="6"/>
  <c r="S70" i="6"/>
  <c r="R70" i="6"/>
  <c r="Q70" i="6"/>
  <c r="P70" i="6"/>
  <c r="DA70" i="6" s="1"/>
  <c r="O70" i="6"/>
  <c r="N70" i="6"/>
  <c r="M70" i="6"/>
  <c r="L70" i="6"/>
  <c r="EQ70" i="6" s="1"/>
  <c r="D70" i="6"/>
  <c r="C70" i="6"/>
  <c r="B70" i="6"/>
  <c r="W70" i="6" s="1"/>
  <c r="FI71" i="6"/>
  <c r="FE71" i="6"/>
  <c r="FA71" i="6"/>
  <c r="EW71" i="6"/>
  <c r="EU71" i="6"/>
  <c r="ET71" i="6"/>
  <c r="ES71" i="6"/>
  <c r="EM71" i="6"/>
  <c r="EK71" i="6"/>
  <c r="EJ71" i="6"/>
  <c r="EI71" i="6"/>
  <c r="EH71" i="6"/>
  <c r="EC71" i="6"/>
  <c r="DY71" i="6"/>
  <c r="DT71" i="6"/>
  <c r="DS71" i="6"/>
  <c r="DR71" i="6"/>
  <c r="DP71" i="6"/>
  <c r="DO71" i="6"/>
  <c r="DN71" i="6"/>
  <c r="DH71" i="6"/>
  <c r="DG71" i="6"/>
  <c r="DF71" i="6"/>
  <c r="CK71" i="6"/>
  <c r="CF71" i="6"/>
  <c r="CB71" i="6"/>
  <c r="BX71" i="6"/>
  <c r="BT71" i="6"/>
  <c r="BK71" i="6"/>
  <c r="BL71" i="6" s="1"/>
  <c r="AK71" i="6"/>
  <c r="BH71" i="6" s="1"/>
  <c r="AJ71" i="6"/>
  <c r="AH71" i="6"/>
  <c r="AI71" i="6" s="1"/>
  <c r="CO71" i="6" s="1"/>
  <c r="AG71" i="6"/>
  <c r="AE71" i="6"/>
  <c r="AF71" i="6" s="1"/>
  <c r="CW71" i="6" s="1"/>
  <c r="AD71" i="6"/>
  <c r="AC71" i="6"/>
  <c r="AB71" i="6"/>
  <c r="AA71" i="6"/>
  <c r="Z71" i="6"/>
  <c r="V71" i="6"/>
  <c r="U71" i="6"/>
  <c r="DE71" i="6" s="1"/>
  <c r="DC71" i="6" s="1"/>
  <c r="T71" i="6"/>
  <c r="S71" i="6"/>
  <c r="R71" i="6"/>
  <c r="Q71" i="6"/>
  <c r="P71" i="6"/>
  <c r="DA71" i="6" s="1"/>
  <c r="O71" i="6"/>
  <c r="N71" i="6"/>
  <c r="M71" i="6"/>
  <c r="L71" i="6"/>
  <c r="EQ71" i="6" s="1"/>
  <c r="D71" i="6"/>
  <c r="C71" i="6"/>
  <c r="B71" i="6"/>
  <c r="W71" i="6" s="1"/>
  <c r="Y71" i="6" s="1"/>
  <c r="FI73" i="6"/>
  <c r="FE73" i="6"/>
  <c r="FA73" i="6"/>
  <c r="EW73" i="6"/>
  <c r="EU73" i="6"/>
  <c r="ET73" i="6"/>
  <c r="ES73" i="6"/>
  <c r="EM73" i="6"/>
  <c r="EK73" i="6"/>
  <c r="EJ73" i="6"/>
  <c r="EI73" i="6"/>
  <c r="EH73" i="6"/>
  <c r="EC73" i="6"/>
  <c r="DY73" i="6"/>
  <c r="DT73" i="6"/>
  <c r="DS73" i="6"/>
  <c r="DR73" i="6"/>
  <c r="DP73" i="6"/>
  <c r="DO73" i="6"/>
  <c r="DN73" i="6"/>
  <c r="DH73" i="6"/>
  <c r="DG73" i="6"/>
  <c r="DF73" i="6"/>
  <c r="CK73" i="6"/>
  <c r="CF73" i="6"/>
  <c r="CB73" i="6"/>
  <c r="BX73" i="6"/>
  <c r="BT73" i="6"/>
  <c r="BK73" i="6"/>
  <c r="BL73" i="6" s="1"/>
  <c r="AK73" i="6"/>
  <c r="BH73" i="6" s="1"/>
  <c r="AJ73" i="6"/>
  <c r="AH73" i="6"/>
  <c r="AI73" i="6" s="1"/>
  <c r="CO73" i="6" s="1"/>
  <c r="AG73" i="6"/>
  <c r="AE73" i="6"/>
  <c r="AF73" i="6" s="1"/>
  <c r="CW73" i="6" s="1"/>
  <c r="AD73" i="6"/>
  <c r="AC73" i="6"/>
  <c r="AB73" i="6"/>
  <c r="AA73" i="6"/>
  <c r="Z73" i="6"/>
  <c r="V73" i="6"/>
  <c r="U73" i="6"/>
  <c r="DE73" i="6" s="1"/>
  <c r="DC73" i="6" s="1"/>
  <c r="T73" i="6"/>
  <c r="S73" i="6"/>
  <c r="R73" i="6"/>
  <c r="Q73" i="6"/>
  <c r="P73" i="6"/>
  <c r="DA73" i="6" s="1"/>
  <c r="CY73" i="6" s="1"/>
  <c r="O73" i="6"/>
  <c r="N73" i="6"/>
  <c r="M73" i="6"/>
  <c r="L73" i="6"/>
  <c r="EQ73" i="6" s="1"/>
  <c r="D73" i="6"/>
  <c r="C73" i="6"/>
  <c r="B73" i="6"/>
  <c r="W73" i="6" s="1"/>
  <c r="Y73" i="6" s="1"/>
  <c r="FI79" i="6"/>
  <c r="FE79" i="6"/>
  <c r="FA79" i="6"/>
  <c r="EW79" i="6"/>
  <c r="EU79" i="6"/>
  <c r="ET79" i="6"/>
  <c r="ES79" i="6"/>
  <c r="EM79" i="6"/>
  <c r="EK79" i="6"/>
  <c r="EJ79" i="6"/>
  <c r="EI79" i="6"/>
  <c r="EH79" i="6"/>
  <c r="EC79" i="6"/>
  <c r="DY79" i="6"/>
  <c r="DT79" i="6"/>
  <c r="DS79" i="6"/>
  <c r="DR79" i="6"/>
  <c r="DP79" i="6"/>
  <c r="DO79" i="6"/>
  <c r="DN79" i="6"/>
  <c r="DH79" i="6"/>
  <c r="DG79" i="6"/>
  <c r="DF79" i="6"/>
  <c r="CK79" i="6"/>
  <c r="CF79" i="6"/>
  <c r="CB79" i="6"/>
  <c r="BX79" i="6"/>
  <c r="BT79" i="6"/>
  <c r="BK79" i="6"/>
  <c r="BL79" i="6" s="1"/>
  <c r="AK79" i="6"/>
  <c r="BH79" i="6" s="1"/>
  <c r="AJ79" i="6"/>
  <c r="AH79" i="6"/>
  <c r="AI79" i="6" s="1"/>
  <c r="CO79" i="6" s="1"/>
  <c r="AG79" i="6"/>
  <c r="AE79" i="6"/>
  <c r="AF79" i="6" s="1"/>
  <c r="CW79" i="6" s="1"/>
  <c r="AD79" i="6"/>
  <c r="AC79" i="6"/>
  <c r="AB79" i="6"/>
  <c r="AA79" i="6"/>
  <c r="Z79" i="6"/>
  <c r="V79" i="6"/>
  <c r="U79" i="6"/>
  <c r="DE79" i="6" s="1"/>
  <c r="T79" i="6"/>
  <c r="S79" i="6"/>
  <c r="R79" i="6"/>
  <c r="Q79" i="6"/>
  <c r="P79" i="6"/>
  <c r="DA79" i="6" s="1"/>
  <c r="O79" i="6"/>
  <c r="N79" i="6"/>
  <c r="M79" i="6"/>
  <c r="L79" i="6"/>
  <c r="EQ79" i="6" s="1"/>
  <c r="D79" i="6"/>
  <c r="C79" i="6"/>
  <c r="B79" i="6"/>
  <c r="W79" i="6" s="1"/>
  <c r="Y79" i="6" s="1"/>
  <c r="FI78" i="6"/>
  <c r="FE78" i="6"/>
  <c r="FA78" i="6"/>
  <c r="EW78" i="6"/>
  <c r="EU78" i="6"/>
  <c r="ET78" i="6"/>
  <c r="ES78" i="6"/>
  <c r="EM78" i="6"/>
  <c r="EK78" i="6"/>
  <c r="EJ78" i="6"/>
  <c r="EI78" i="6"/>
  <c r="EH78" i="6"/>
  <c r="EC78" i="6"/>
  <c r="DY78" i="6"/>
  <c r="DT78" i="6"/>
  <c r="DS78" i="6"/>
  <c r="DR78" i="6"/>
  <c r="DP78" i="6"/>
  <c r="DO78" i="6"/>
  <c r="DN78" i="6"/>
  <c r="DH78" i="6"/>
  <c r="DG78" i="6"/>
  <c r="DF78" i="6"/>
  <c r="CK78" i="6"/>
  <c r="CF78" i="6"/>
  <c r="CB78" i="6"/>
  <c r="BX78" i="6"/>
  <c r="BT78" i="6"/>
  <c r="BK78" i="6"/>
  <c r="BL78" i="6" s="1"/>
  <c r="AK78" i="6"/>
  <c r="BI78" i="6" s="1"/>
  <c r="AJ78" i="6"/>
  <c r="AH78" i="6"/>
  <c r="AI78" i="6" s="1"/>
  <c r="CO78" i="6" s="1"/>
  <c r="CM78" i="6" s="1"/>
  <c r="AG78" i="6"/>
  <c r="AE78" i="6"/>
  <c r="AF78" i="6" s="1"/>
  <c r="CW78" i="6" s="1"/>
  <c r="CT78" i="6" s="1"/>
  <c r="AD78" i="6"/>
  <c r="AC78" i="6"/>
  <c r="AB78" i="6"/>
  <c r="AA78" i="6"/>
  <c r="Z78" i="6"/>
  <c r="V78" i="6"/>
  <c r="U78" i="6"/>
  <c r="DE78" i="6" s="1"/>
  <c r="DB78" i="6" s="1"/>
  <c r="T78" i="6"/>
  <c r="S78" i="6"/>
  <c r="R78" i="6"/>
  <c r="Q78" i="6"/>
  <c r="P78" i="6"/>
  <c r="DA78" i="6" s="1"/>
  <c r="CX78" i="6" s="1"/>
  <c r="O78" i="6"/>
  <c r="N78" i="6"/>
  <c r="M78" i="6"/>
  <c r="L78" i="6"/>
  <c r="EQ78" i="6" s="1"/>
  <c r="EP78" i="6" s="1"/>
  <c r="D78" i="6"/>
  <c r="C78" i="6"/>
  <c r="B78" i="6"/>
  <c r="W78" i="6" s="1"/>
  <c r="Y78" i="6" s="1"/>
  <c r="FI81" i="6"/>
  <c r="FE81" i="6"/>
  <c r="FA81" i="6"/>
  <c r="EW81" i="6"/>
  <c r="EU81" i="6"/>
  <c r="ET81" i="6"/>
  <c r="ES81" i="6"/>
  <c r="EM81" i="6"/>
  <c r="EK81" i="6"/>
  <c r="EJ81" i="6"/>
  <c r="EI81" i="6"/>
  <c r="EH81" i="6"/>
  <c r="EC81" i="6"/>
  <c r="DY81" i="6"/>
  <c r="DT81" i="6"/>
  <c r="DS81" i="6"/>
  <c r="DR81" i="6"/>
  <c r="DP81" i="6"/>
  <c r="DO81" i="6"/>
  <c r="DN81" i="6"/>
  <c r="DH81" i="6"/>
  <c r="DG81" i="6"/>
  <c r="DF81" i="6"/>
  <c r="CK81" i="6"/>
  <c r="CF81" i="6"/>
  <c r="CB81" i="6"/>
  <c r="BX81" i="6"/>
  <c r="BT81" i="6"/>
  <c r="BK81" i="6"/>
  <c r="BL81" i="6" s="1"/>
  <c r="AK81" i="6"/>
  <c r="BF81" i="6" s="1"/>
  <c r="AJ81" i="6"/>
  <c r="AH81" i="6"/>
  <c r="AI81" i="6" s="1"/>
  <c r="CO81" i="6" s="1"/>
  <c r="CL81" i="6" s="1"/>
  <c r="AG81" i="6"/>
  <c r="AE81" i="6"/>
  <c r="AF81" i="6" s="1"/>
  <c r="CW81" i="6" s="1"/>
  <c r="AD81" i="6"/>
  <c r="AC81" i="6"/>
  <c r="AB81" i="6"/>
  <c r="AA81" i="6"/>
  <c r="Z81" i="6"/>
  <c r="V81" i="6"/>
  <c r="U81" i="6"/>
  <c r="DE81" i="6" s="1"/>
  <c r="DB81" i="6" s="1"/>
  <c r="T81" i="6"/>
  <c r="S81" i="6"/>
  <c r="R81" i="6"/>
  <c r="Q81" i="6"/>
  <c r="P81" i="6"/>
  <c r="DA81" i="6" s="1"/>
  <c r="O81" i="6"/>
  <c r="N81" i="6"/>
  <c r="M81" i="6"/>
  <c r="L81" i="6"/>
  <c r="EQ81" i="6" s="1"/>
  <c r="EP81" i="6" s="1"/>
  <c r="D81" i="6"/>
  <c r="C81" i="6"/>
  <c r="B81" i="6"/>
  <c r="W81" i="6" s="1"/>
  <c r="X81" i="6" s="1"/>
  <c r="FI82" i="6"/>
  <c r="FE82" i="6"/>
  <c r="FA82" i="6"/>
  <c r="EW82" i="6"/>
  <c r="EU82" i="6"/>
  <c r="ET82" i="6"/>
  <c r="ES82" i="6"/>
  <c r="EM82" i="6"/>
  <c r="EK82" i="6"/>
  <c r="EJ82" i="6"/>
  <c r="EI82" i="6"/>
  <c r="EH82" i="6"/>
  <c r="EC82" i="6"/>
  <c r="DY82" i="6"/>
  <c r="DT82" i="6"/>
  <c r="DS82" i="6"/>
  <c r="DR82" i="6"/>
  <c r="DP82" i="6"/>
  <c r="DO82" i="6"/>
  <c r="DN82" i="6"/>
  <c r="DH82" i="6"/>
  <c r="DG82" i="6"/>
  <c r="DF82" i="6"/>
  <c r="CK82" i="6"/>
  <c r="CF82" i="6"/>
  <c r="CB82" i="6"/>
  <c r="BX82" i="6"/>
  <c r="BT82" i="6"/>
  <c r="BK82" i="6"/>
  <c r="BL82" i="6" s="1"/>
  <c r="AK82" i="6"/>
  <c r="BF82" i="6" s="1"/>
  <c r="AJ82" i="6"/>
  <c r="AH82" i="6"/>
  <c r="AI82" i="6" s="1"/>
  <c r="CO82" i="6" s="1"/>
  <c r="AG82" i="6"/>
  <c r="AE82" i="6"/>
  <c r="AF82" i="6" s="1"/>
  <c r="CW82" i="6" s="1"/>
  <c r="AD82" i="6"/>
  <c r="AC82" i="6"/>
  <c r="AB82" i="6"/>
  <c r="AA82" i="6"/>
  <c r="Z82" i="6"/>
  <c r="V82" i="6"/>
  <c r="U82" i="6"/>
  <c r="DE82" i="6" s="1"/>
  <c r="T82" i="6"/>
  <c r="S82" i="6"/>
  <c r="R82" i="6"/>
  <c r="Q82" i="6"/>
  <c r="P82" i="6"/>
  <c r="DA82" i="6" s="1"/>
  <c r="CX82" i="6" s="1"/>
  <c r="O82" i="6"/>
  <c r="N82" i="6"/>
  <c r="M82" i="6"/>
  <c r="L82" i="6"/>
  <c r="EQ82" i="6" s="1"/>
  <c r="EP82" i="6" s="1"/>
  <c r="D82" i="6"/>
  <c r="C82" i="6"/>
  <c r="B82" i="6"/>
  <c r="W82" i="6" s="1"/>
  <c r="X82" i="6" s="1"/>
  <c r="FI83" i="6"/>
  <c r="FE83" i="6"/>
  <c r="FA83" i="6"/>
  <c r="EW83" i="6"/>
  <c r="EU83" i="6"/>
  <c r="ET83" i="6"/>
  <c r="ES83" i="6"/>
  <c r="EM83" i="6"/>
  <c r="EK83" i="6"/>
  <c r="EJ83" i="6"/>
  <c r="EI83" i="6"/>
  <c r="EH83" i="6"/>
  <c r="EC83" i="6"/>
  <c r="DY83" i="6"/>
  <c r="DT83" i="6"/>
  <c r="DS83" i="6"/>
  <c r="DR83" i="6"/>
  <c r="DP83" i="6"/>
  <c r="DO83" i="6"/>
  <c r="DN83" i="6"/>
  <c r="DH83" i="6"/>
  <c r="DG83" i="6"/>
  <c r="DF83" i="6"/>
  <c r="CK83" i="6"/>
  <c r="CF83" i="6"/>
  <c r="CB83" i="6"/>
  <c r="BX83" i="6"/>
  <c r="BT83" i="6"/>
  <c r="BK83" i="6"/>
  <c r="BL83" i="6" s="1"/>
  <c r="AK83" i="6"/>
  <c r="BI83" i="6" s="1"/>
  <c r="AJ83" i="6"/>
  <c r="AH83" i="6"/>
  <c r="AI83" i="6" s="1"/>
  <c r="CO83" i="6" s="1"/>
  <c r="CL83" i="6" s="1"/>
  <c r="AG83" i="6"/>
  <c r="AE83" i="6"/>
  <c r="AF83" i="6" s="1"/>
  <c r="CW83" i="6" s="1"/>
  <c r="AD83" i="6"/>
  <c r="AC83" i="6"/>
  <c r="AB83" i="6"/>
  <c r="AA83" i="6"/>
  <c r="Z83" i="6"/>
  <c r="V83" i="6"/>
  <c r="U83" i="6"/>
  <c r="DE83" i="6" s="1"/>
  <c r="DB83" i="6" s="1"/>
  <c r="T83" i="6"/>
  <c r="S83" i="6"/>
  <c r="R83" i="6"/>
  <c r="Q83" i="6"/>
  <c r="P83" i="6"/>
  <c r="DA83" i="6" s="1"/>
  <c r="O83" i="6"/>
  <c r="N83" i="6"/>
  <c r="M83" i="6"/>
  <c r="L83" i="6"/>
  <c r="EQ83" i="6" s="1"/>
  <c r="EN83" i="6" s="1"/>
  <c r="D83" i="6"/>
  <c r="C83" i="6"/>
  <c r="B83" i="6"/>
  <c r="W83" i="6" s="1"/>
  <c r="X83" i="6" s="1"/>
  <c r="FI84" i="6"/>
  <c r="FE84" i="6"/>
  <c r="FA84" i="6"/>
  <c r="EW84" i="6"/>
  <c r="EU84" i="6"/>
  <c r="ET84" i="6"/>
  <c r="ES84" i="6"/>
  <c r="EM84" i="6"/>
  <c r="EK84" i="6"/>
  <c r="EJ84" i="6"/>
  <c r="EI84" i="6"/>
  <c r="EH84" i="6"/>
  <c r="EC84" i="6"/>
  <c r="DY84" i="6"/>
  <c r="DT84" i="6"/>
  <c r="DS84" i="6"/>
  <c r="DR84" i="6"/>
  <c r="DP84" i="6"/>
  <c r="DO84" i="6"/>
  <c r="DN84" i="6"/>
  <c r="DH84" i="6"/>
  <c r="DG84" i="6"/>
  <c r="DF84" i="6"/>
  <c r="CK84" i="6"/>
  <c r="CF84" i="6"/>
  <c r="CB84" i="6"/>
  <c r="BX84" i="6"/>
  <c r="BT84" i="6"/>
  <c r="BK84" i="6"/>
  <c r="BL84" i="6" s="1"/>
  <c r="AK84" i="6"/>
  <c r="BF84" i="6" s="1"/>
  <c r="AJ84" i="6"/>
  <c r="AH84" i="6"/>
  <c r="AI84" i="6" s="1"/>
  <c r="CO84" i="6" s="1"/>
  <c r="CL84" i="6" s="1"/>
  <c r="AG84" i="6"/>
  <c r="AE84" i="6"/>
  <c r="AF84" i="6" s="1"/>
  <c r="CW84" i="6" s="1"/>
  <c r="AD84" i="6"/>
  <c r="AC84" i="6"/>
  <c r="AB84" i="6"/>
  <c r="AA84" i="6"/>
  <c r="Z84" i="6"/>
  <c r="V84" i="6"/>
  <c r="U84" i="6"/>
  <c r="DE84" i="6" s="1"/>
  <c r="T84" i="6"/>
  <c r="S84" i="6"/>
  <c r="R84" i="6"/>
  <c r="Q84" i="6"/>
  <c r="P84" i="6"/>
  <c r="DA84" i="6" s="1"/>
  <c r="O84" i="6"/>
  <c r="N84" i="6"/>
  <c r="M84" i="6"/>
  <c r="L84" i="6"/>
  <c r="EQ84" i="6" s="1"/>
  <c r="EO84" i="6" s="1"/>
  <c r="D84" i="6"/>
  <c r="C84" i="6"/>
  <c r="B84" i="6"/>
  <c r="W84" i="6" s="1"/>
  <c r="X84" i="6" s="1"/>
  <c r="EM223" i="6"/>
  <c r="EM222" i="6"/>
  <c r="EM221" i="6"/>
  <c r="EM220" i="6"/>
  <c r="EM219" i="6"/>
  <c r="EM217" i="6"/>
  <c r="EM215" i="6"/>
  <c r="EM214" i="6"/>
  <c r="EM213" i="6"/>
  <c r="EM208" i="6"/>
  <c r="EM211" i="6"/>
  <c r="EM212" i="6"/>
  <c r="EM205" i="6"/>
  <c r="EM202" i="6"/>
  <c r="EM201" i="6"/>
  <c r="EM200" i="6"/>
  <c r="EM197" i="6"/>
  <c r="EM198" i="6"/>
  <c r="EM195" i="6"/>
  <c r="EM193" i="6"/>
  <c r="EM191" i="6"/>
  <c r="EM190" i="6"/>
  <c r="EM189" i="6"/>
  <c r="EM22" i="6"/>
  <c r="EM188" i="6"/>
  <c r="EM187" i="6"/>
  <c r="EM185" i="6"/>
  <c r="EM184" i="6"/>
  <c r="EM183" i="6"/>
  <c r="EM182" i="6"/>
  <c r="EM180" i="6"/>
  <c r="EM177" i="6"/>
  <c r="EM175" i="6"/>
  <c r="EM176" i="6"/>
  <c r="EM174" i="6"/>
  <c r="EM171" i="6"/>
  <c r="EM170" i="6"/>
  <c r="EM168" i="6"/>
  <c r="EM165" i="6"/>
  <c r="EM164" i="6"/>
  <c r="EM162" i="6"/>
  <c r="EM161" i="6"/>
  <c r="EM159" i="6"/>
  <c r="EM158" i="6"/>
  <c r="EM156" i="6"/>
  <c r="EM155" i="6"/>
  <c r="EM154" i="6"/>
  <c r="EM152" i="6"/>
  <c r="EM151" i="6"/>
  <c r="EM150" i="6"/>
  <c r="EM149" i="6"/>
  <c r="EM144" i="6"/>
  <c r="EM145" i="6"/>
  <c r="EM146" i="6"/>
  <c r="EM147" i="6"/>
  <c r="EM140" i="6"/>
  <c r="EM141" i="6"/>
  <c r="EM138" i="6"/>
  <c r="EM134" i="6"/>
  <c r="EM133" i="6"/>
  <c r="EM132" i="6"/>
  <c r="EM131" i="6"/>
  <c r="EM130" i="6"/>
  <c r="EM129" i="6"/>
  <c r="EM128" i="6"/>
  <c r="EM127" i="6"/>
  <c r="EM123" i="6"/>
  <c r="EM122" i="6"/>
  <c r="EM120" i="6"/>
  <c r="EM121" i="6"/>
  <c r="EM119" i="6"/>
  <c r="EM117" i="6"/>
  <c r="EM116" i="6"/>
  <c r="EM114" i="6"/>
  <c r="EM111" i="6"/>
  <c r="EM110" i="6"/>
  <c r="EM109" i="6"/>
  <c r="EM108" i="6"/>
  <c r="EM107" i="6"/>
  <c r="EM106" i="6"/>
  <c r="EM103" i="6"/>
  <c r="EM102" i="6"/>
  <c r="EM101" i="6"/>
  <c r="EM99" i="6"/>
  <c r="EM98" i="6"/>
  <c r="EM94" i="6"/>
  <c r="EM92" i="6"/>
  <c r="EM89" i="6"/>
  <c r="EM90" i="6"/>
  <c r="EM91" i="6"/>
  <c r="EM88" i="6"/>
  <c r="EM87" i="6"/>
  <c r="EM86" i="6"/>
  <c r="EM85" i="6"/>
  <c r="BT223" i="6"/>
  <c r="BT222" i="6"/>
  <c r="BT221" i="6"/>
  <c r="BT220" i="6"/>
  <c r="BT219" i="6"/>
  <c r="BT217" i="6"/>
  <c r="BT215" i="6"/>
  <c r="BT214" i="6"/>
  <c r="BT213" i="6"/>
  <c r="BT208" i="6"/>
  <c r="BT211" i="6"/>
  <c r="BT212" i="6"/>
  <c r="BT205" i="6"/>
  <c r="BT202" i="6"/>
  <c r="BT201" i="6"/>
  <c r="BT200" i="6"/>
  <c r="BT197" i="6"/>
  <c r="BT198" i="6"/>
  <c r="BT195" i="6"/>
  <c r="BT193" i="6"/>
  <c r="BT191" i="6"/>
  <c r="BT190" i="6"/>
  <c r="BT189" i="6"/>
  <c r="BT22" i="6"/>
  <c r="BT188" i="6"/>
  <c r="BT187" i="6"/>
  <c r="BT185" i="6"/>
  <c r="BT184" i="6"/>
  <c r="BT183" i="6"/>
  <c r="BT182" i="6"/>
  <c r="BT180" i="6"/>
  <c r="BT177" i="6"/>
  <c r="BT175" i="6"/>
  <c r="BT176" i="6"/>
  <c r="BT174" i="6"/>
  <c r="BT171" i="6"/>
  <c r="BT170" i="6"/>
  <c r="BT168" i="6"/>
  <c r="BT165" i="6"/>
  <c r="BT164" i="6"/>
  <c r="BT162" i="6"/>
  <c r="BT161" i="6"/>
  <c r="BT159" i="6"/>
  <c r="BT158" i="6"/>
  <c r="BT156" i="6"/>
  <c r="BT155" i="6"/>
  <c r="BT154" i="6"/>
  <c r="BT152" i="6"/>
  <c r="BT151" i="6"/>
  <c r="BT150" i="6"/>
  <c r="BT149" i="6"/>
  <c r="BT144" i="6"/>
  <c r="BT145" i="6"/>
  <c r="BT146" i="6"/>
  <c r="BT147" i="6"/>
  <c r="BT140" i="6"/>
  <c r="BT141" i="6"/>
  <c r="BT138" i="6"/>
  <c r="BT134" i="6"/>
  <c r="BT133" i="6"/>
  <c r="BT132" i="6"/>
  <c r="BT131" i="6"/>
  <c r="BT130" i="6"/>
  <c r="BT129" i="6"/>
  <c r="BT128" i="6"/>
  <c r="BT127" i="6"/>
  <c r="BT123" i="6"/>
  <c r="BT122" i="6"/>
  <c r="BT120" i="6"/>
  <c r="BT121" i="6"/>
  <c r="BT119" i="6"/>
  <c r="BT117" i="6"/>
  <c r="BT116" i="6"/>
  <c r="BT114" i="6"/>
  <c r="BT111" i="6"/>
  <c r="BT110" i="6"/>
  <c r="BT109" i="6"/>
  <c r="BT108" i="6"/>
  <c r="BT107" i="6"/>
  <c r="BT106" i="6"/>
  <c r="BT103" i="6"/>
  <c r="BT102" i="6"/>
  <c r="BT101" i="6"/>
  <c r="BT99" i="6"/>
  <c r="BT98" i="6"/>
  <c r="BT94" i="6"/>
  <c r="BT92" i="6"/>
  <c r="BT89" i="6"/>
  <c r="BT90" i="6"/>
  <c r="BT91" i="6"/>
  <c r="BT88" i="6"/>
  <c r="BT87" i="6"/>
  <c r="BT86" i="6"/>
  <c r="BT85" i="6"/>
  <c r="BX223" i="6"/>
  <c r="BX222" i="6"/>
  <c r="BX221" i="6"/>
  <c r="BX220" i="6"/>
  <c r="BX219" i="6"/>
  <c r="BX217" i="6"/>
  <c r="BX215" i="6"/>
  <c r="BX214" i="6"/>
  <c r="BX213" i="6"/>
  <c r="BX208" i="6"/>
  <c r="BX211" i="6"/>
  <c r="BX212" i="6"/>
  <c r="BX205" i="6"/>
  <c r="BX202" i="6"/>
  <c r="BX201" i="6"/>
  <c r="BX200" i="6"/>
  <c r="BX197" i="6"/>
  <c r="BX198" i="6"/>
  <c r="BX195" i="6"/>
  <c r="BX193" i="6"/>
  <c r="BX191" i="6"/>
  <c r="BX190" i="6"/>
  <c r="BX189" i="6"/>
  <c r="BX22" i="6"/>
  <c r="BX188" i="6"/>
  <c r="BX187" i="6"/>
  <c r="BX185" i="6"/>
  <c r="BX184" i="6"/>
  <c r="BX183" i="6"/>
  <c r="BX182" i="6"/>
  <c r="BX180" i="6"/>
  <c r="BX177" i="6"/>
  <c r="BX175" i="6"/>
  <c r="BX176" i="6"/>
  <c r="BX174" i="6"/>
  <c r="BX171" i="6"/>
  <c r="BX170" i="6"/>
  <c r="BX168" i="6"/>
  <c r="BX165" i="6"/>
  <c r="BX164" i="6"/>
  <c r="BX162" i="6"/>
  <c r="BX161" i="6"/>
  <c r="BX159" i="6"/>
  <c r="BX158" i="6"/>
  <c r="BX156" i="6"/>
  <c r="BX155" i="6"/>
  <c r="BX154" i="6"/>
  <c r="BX152" i="6"/>
  <c r="BX151" i="6"/>
  <c r="BX150" i="6"/>
  <c r="BX149" i="6"/>
  <c r="BX144" i="6"/>
  <c r="BX145" i="6"/>
  <c r="BX146" i="6"/>
  <c r="BX147" i="6"/>
  <c r="BX140" i="6"/>
  <c r="BX141" i="6"/>
  <c r="BX138" i="6"/>
  <c r="BX134" i="6"/>
  <c r="BX133" i="6"/>
  <c r="BX132" i="6"/>
  <c r="BX131" i="6"/>
  <c r="BX130" i="6"/>
  <c r="BX129" i="6"/>
  <c r="BX128" i="6"/>
  <c r="BX127" i="6"/>
  <c r="BX123" i="6"/>
  <c r="BX122" i="6"/>
  <c r="BX120" i="6"/>
  <c r="BX121" i="6"/>
  <c r="BX119" i="6"/>
  <c r="BX117" i="6"/>
  <c r="BX116" i="6"/>
  <c r="BX114" i="6"/>
  <c r="BX111" i="6"/>
  <c r="BX110" i="6"/>
  <c r="BX109" i="6"/>
  <c r="BX108" i="6"/>
  <c r="BX107" i="6"/>
  <c r="BX106" i="6"/>
  <c r="BX103" i="6"/>
  <c r="BX102" i="6"/>
  <c r="BX101" i="6"/>
  <c r="BX99" i="6"/>
  <c r="BX98" i="6"/>
  <c r="BX94" i="6"/>
  <c r="BX92" i="6"/>
  <c r="BX89" i="6"/>
  <c r="BX90" i="6"/>
  <c r="BX91" i="6"/>
  <c r="BX88" i="6"/>
  <c r="BX87" i="6"/>
  <c r="BX86" i="6"/>
  <c r="BX85" i="6"/>
  <c r="FI85" i="6"/>
  <c r="FE85" i="6"/>
  <c r="FA85" i="6"/>
  <c r="EW85" i="6"/>
  <c r="EU85" i="6"/>
  <c r="ET85" i="6"/>
  <c r="ES85" i="6"/>
  <c r="EK85" i="6"/>
  <c r="EJ85" i="6"/>
  <c r="EI85" i="6"/>
  <c r="EH85" i="6"/>
  <c r="EC85" i="6"/>
  <c r="DY85" i="6"/>
  <c r="DT85" i="6"/>
  <c r="DS85" i="6"/>
  <c r="DR85" i="6"/>
  <c r="DP85" i="6"/>
  <c r="DO85" i="6"/>
  <c r="DN85" i="6"/>
  <c r="DH85" i="6"/>
  <c r="DG85" i="6"/>
  <c r="DF85" i="6"/>
  <c r="CK85" i="6"/>
  <c r="CF85" i="6"/>
  <c r="CB85" i="6"/>
  <c r="BK85" i="6"/>
  <c r="BL85" i="6" s="1"/>
  <c r="AK85" i="6"/>
  <c r="BF85" i="6" s="1"/>
  <c r="AJ85" i="6"/>
  <c r="AH85" i="6"/>
  <c r="AI85" i="6" s="1"/>
  <c r="CO85" i="6" s="1"/>
  <c r="AG85" i="6"/>
  <c r="AE85" i="6"/>
  <c r="AF85" i="6" s="1"/>
  <c r="CW85" i="6" s="1"/>
  <c r="AD85" i="6"/>
  <c r="AC85" i="6"/>
  <c r="AB85" i="6"/>
  <c r="AA85" i="6"/>
  <c r="Z85" i="6"/>
  <c r="V85" i="6"/>
  <c r="U85" i="6"/>
  <c r="DE85" i="6" s="1"/>
  <c r="T85" i="6"/>
  <c r="S85" i="6"/>
  <c r="R85" i="6"/>
  <c r="Q85" i="6"/>
  <c r="DA85" i="6"/>
  <c r="O85" i="6"/>
  <c r="N85" i="6"/>
  <c r="M85" i="6"/>
  <c r="L85" i="6"/>
  <c r="EQ85" i="6" s="1"/>
  <c r="D85" i="6"/>
  <c r="C85" i="6"/>
  <c r="B85" i="6"/>
  <c r="W85" i="6" s="1"/>
  <c r="E84" i="6" l="1"/>
  <c r="E78" i="6"/>
  <c r="E28" i="6"/>
  <c r="E20" i="6"/>
  <c r="E15" i="6"/>
  <c r="E13" i="6"/>
  <c r="E82" i="6"/>
  <c r="E73" i="6"/>
  <c r="E60" i="6"/>
  <c r="E85" i="6"/>
  <c r="E55" i="6"/>
  <c r="E50" i="6"/>
  <c r="E36" i="6"/>
  <c r="E30" i="6"/>
  <c r="E25" i="6"/>
  <c r="E17" i="6"/>
  <c r="E23" i="6"/>
  <c r="E10" i="6"/>
  <c r="E51" i="6"/>
  <c r="E46" i="6"/>
  <c r="E38" i="6"/>
  <c r="E31" i="6"/>
  <c r="E27" i="6"/>
  <c r="E81" i="6"/>
  <c r="E71" i="6"/>
  <c r="E59" i="6"/>
  <c r="E54" i="6"/>
  <c r="E49" i="6"/>
  <c r="E33" i="6"/>
  <c r="E29" i="6"/>
  <c r="E21" i="6"/>
  <c r="E16" i="6"/>
  <c r="E12" i="6"/>
  <c r="E70" i="6"/>
  <c r="E58" i="6"/>
  <c r="E53" i="6"/>
  <c r="E48" i="6"/>
  <c r="E37" i="6"/>
  <c r="E32" i="6"/>
  <c r="E83" i="6"/>
  <c r="E79" i="6"/>
  <c r="E62" i="6"/>
  <c r="E57" i="6"/>
  <c r="E18" i="6"/>
  <c r="E14" i="6"/>
  <c r="E24" i="6"/>
  <c r="E40" i="6"/>
  <c r="FK56" i="6"/>
  <c r="FM56" i="6" s="1"/>
  <c r="FL56" i="6" s="1"/>
  <c r="ED148" i="6"/>
  <c r="FK148" i="6" s="1"/>
  <c r="FM148" i="6" s="1"/>
  <c r="FL148" i="6" s="1"/>
  <c r="FK207" i="6"/>
  <c r="FM207" i="6" s="1"/>
  <c r="FL207" i="6" s="1"/>
  <c r="FK166" i="6"/>
  <c r="FM166" i="6" s="1"/>
  <c r="FL166" i="6" s="1"/>
  <c r="BJ34" i="6"/>
  <c r="FK135" i="6"/>
  <c r="FM135" i="6" s="1"/>
  <c r="FL135" i="6" s="1"/>
  <c r="CR115" i="6"/>
  <c r="BJ112" i="6"/>
  <c r="FK143" i="6"/>
  <c r="FM143" i="6" s="1"/>
  <c r="FL143" i="6" s="1"/>
  <c r="CR207" i="6"/>
  <c r="BJ207" i="6"/>
  <c r="CQ207" i="6"/>
  <c r="BJ204" i="6"/>
  <c r="CP207" i="6"/>
  <c r="BJ67" i="6"/>
  <c r="BJ135" i="6"/>
  <c r="BJ206" i="6"/>
  <c r="BJ143" i="6"/>
  <c r="BJ218" i="6"/>
  <c r="CQ148" i="6"/>
  <c r="BJ41" i="6"/>
  <c r="BJ113" i="6"/>
  <c r="BJ69" i="6"/>
  <c r="CP148" i="6"/>
  <c r="BJ136" i="6"/>
  <c r="BJ148" i="6"/>
  <c r="BE27" i="6"/>
  <c r="BE4" i="6"/>
  <c r="AL40" i="6"/>
  <c r="BE28" i="6"/>
  <c r="AL12" i="6"/>
  <c r="FK34" i="6"/>
  <c r="FM34" i="6" s="1"/>
  <c r="FL34" i="6" s="1"/>
  <c r="FK206" i="6"/>
  <c r="FM206" i="6" s="1"/>
  <c r="FL206" i="6" s="1"/>
  <c r="BE40" i="6"/>
  <c r="ED115" i="6"/>
  <c r="FK115" i="6" s="1"/>
  <c r="FM115" i="6" s="1"/>
  <c r="FL115" i="6" s="1"/>
  <c r="CQ115" i="6"/>
  <c r="CP137" i="6"/>
  <c r="ED137" i="6"/>
  <c r="FK137" i="6" s="1"/>
  <c r="FM137" i="6" s="1"/>
  <c r="FL137" i="6" s="1"/>
  <c r="CR137" i="6"/>
  <c r="CQ137" i="6"/>
  <c r="CQ41" i="6"/>
  <c r="BJ95" i="6"/>
  <c r="BJ118" i="6"/>
  <c r="BJ216" i="6"/>
  <c r="CP41" i="6"/>
  <c r="FK204" i="6"/>
  <c r="FM204" i="6" s="1"/>
  <c r="FL204" i="6" s="1"/>
  <c r="FK67" i="6"/>
  <c r="FM67" i="6" s="1"/>
  <c r="FL67" i="6" s="1"/>
  <c r="ED41" i="6"/>
  <c r="FK41" i="6" s="1"/>
  <c r="FM41" i="6" s="1"/>
  <c r="FL41" i="6" s="1"/>
  <c r="CP166" i="6"/>
  <c r="CQ166" i="6"/>
  <c r="CR166" i="6"/>
  <c r="BJ66" i="6"/>
  <c r="BJ181" i="6"/>
  <c r="CR66" i="6"/>
  <c r="CQ66" i="6"/>
  <c r="CP66" i="6"/>
  <c r="ED66" i="6"/>
  <c r="FK66" i="6" s="1"/>
  <c r="FM66" i="6" s="1"/>
  <c r="FL66" i="6" s="1"/>
  <c r="CR95" i="6"/>
  <c r="CP95" i="6"/>
  <c r="CQ95" i="6"/>
  <c r="ED95" i="6"/>
  <c r="FK95" i="6" s="1"/>
  <c r="FM95" i="6" s="1"/>
  <c r="FL95" i="6" s="1"/>
  <c r="CR216" i="6"/>
  <c r="CP216" i="6"/>
  <c r="ED216" i="6"/>
  <c r="FK216" i="6" s="1"/>
  <c r="FM216" i="6" s="1"/>
  <c r="FL216" i="6" s="1"/>
  <c r="CQ216" i="6"/>
  <c r="CQ218" i="6"/>
  <c r="CR218" i="6"/>
  <c r="CP218" i="6"/>
  <c r="BI79" i="6"/>
  <c r="BH4" i="6"/>
  <c r="CR181" i="6"/>
  <c r="CQ181" i="6"/>
  <c r="CP181" i="6"/>
  <c r="ED181" i="6"/>
  <c r="FK181" i="6" s="1"/>
  <c r="FM181" i="6" s="1"/>
  <c r="FL181" i="6" s="1"/>
  <c r="BJ56" i="6"/>
  <c r="ED218" i="6"/>
  <c r="FK218" i="6" s="1"/>
  <c r="FM218" i="6" s="1"/>
  <c r="FL218" i="6" s="1"/>
  <c r="BE51" i="6"/>
  <c r="EP15" i="6"/>
  <c r="AL14" i="6"/>
  <c r="BJ139" i="6"/>
  <c r="FK112" i="6"/>
  <c r="FM112" i="6" s="1"/>
  <c r="FL112" i="6" s="1"/>
  <c r="CR139" i="6"/>
  <c r="CP139" i="6"/>
  <c r="ED139" i="6"/>
  <c r="FK139" i="6" s="1"/>
  <c r="FM139" i="6" s="1"/>
  <c r="FL139" i="6" s="1"/>
  <c r="CQ139" i="6"/>
  <c r="BJ166" i="6"/>
  <c r="CQ34" i="6"/>
  <c r="CR34" i="6"/>
  <c r="CP34" i="6"/>
  <c r="FK113" i="6"/>
  <c r="FM113" i="6" s="1"/>
  <c r="FL113" i="6" s="1"/>
  <c r="CR118" i="6"/>
  <c r="CQ118" i="6"/>
  <c r="CP118" i="6"/>
  <c r="ED118" i="6"/>
  <c r="FK118" i="6" s="1"/>
  <c r="FM118" i="6" s="1"/>
  <c r="FL118" i="6" s="1"/>
  <c r="BJ115" i="6"/>
  <c r="BJ137" i="6"/>
  <c r="CP69" i="6"/>
  <c r="CQ69" i="6"/>
  <c r="CR69" i="6"/>
  <c r="CQ112" i="6"/>
  <c r="CR112" i="6"/>
  <c r="CP112" i="6"/>
  <c r="FK136" i="6"/>
  <c r="FM136" i="6" s="1"/>
  <c r="FL136" i="6" s="1"/>
  <c r="ED69" i="6"/>
  <c r="FK69" i="6" s="1"/>
  <c r="FM69" i="6" s="1"/>
  <c r="FL69" i="6" s="1"/>
  <c r="E42" i="6"/>
  <c r="X15" i="6"/>
  <c r="X14" i="6"/>
  <c r="BD37" i="6"/>
  <c r="BE50" i="6"/>
  <c r="BH40" i="6"/>
  <c r="BI37" i="6"/>
  <c r="BI31" i="6"/>
  <c r="BD25" i="6"/>
  <c r="AL17" i="6"/>
  <c r="E5" i="6"/>
  <c r="AL24" i="6"/>
  <c r="BH25" i="6"/>
  <c r="E6" i="6"/>
  <c r="BD4" i="6"/>
  <c r="CG24" i="6"/>
  <c r="X20" i="6"/>
  <c r="Y20" i="6"/>
  <c r="ER17" i="6"/>
  <c r="FJ17" i="6" s="1"/>
  <c r="EO17" i="6"/>
  <c r="BE73" i="6"/>
  <c r="BH38" i="6"/>
  <c r="BE33" i="6"/>
  <c r="BD31" i="6"/>
  <c r="CG30" i="6"/>
  <c r="E2" i="6"/>
  <c r="BE23" i="6"/>
  <c r="BG24" i="6"/>
  <c r="BF21" i="6"/>
  <c r="BD13" i="6"/>
  <c r="BH23" i="6"/>
  <c r="BH24" i="6"/>
  <c r="CG49" i="6"/>
  <c r="BD46" i="6"/>
  <c r="BD38" i="6"/>
  <c r="BE30" i="6"/>
  <c r="BE29" i="6"/>
  <c r="E3" i="6"/>
  <c r="BI23" i="6"/>
  <c r="BH46" i="6"/>
  <c r="BE38" i="6"/>
  <c r="CG16" i="6"/>
  <c r="AL10" i="6"/>
  <c r="CG13" i="6"/>
  <c r="CM6" i="6"/>
  <c r="BD5" i="6"/>
  <c r="DC5" i="6"/>
  <c r="AL2" i="6"/>
  <c r="BD23" i="6"/>
  <c r="BD24" i="6"/>
  <c r="CS7" i="6"/>
  <c r="ED7" i="6" s="1"/>
  <c r="CM7" i="6"/>
  <c r="CL7" i="6"/>
  <c r="ER20" i="6"/>
  <c r="FJ20" i="6" s="1"/>
  <c r="EO20" i="6"/>
  <c r="EP20" i="6"/>
  <c r="ER18" i="6"/>
  <c r="FJ18" i="6" s="1"/>
  <c r="EO18" i="6"/>
  <c r="EP18" i="6"/>
  <c r="BI71" i="6"/>
  <c r="CG70" i="6"/>
  <c r="CG54" i="6"/>
  <c r="BH51" i="6"/>
  <c r="BH50" i="6"/>
  <c r="BD49" i="6"/>
  <c r="BD48" i="6"/>
  <c r="BE46" i="6"/>
  <c r="BD42" i="6"/>
  <c r="BD40" i="6"/>
  <c r="BI40" i="6"/>
  <c r="BE37" i="6"/>
  <c r="CY37" i="6"/>
  <c r="BI38" i="6"/>
  <c r="BD36" i="6"/>
  <c r="BH33" i="6"/>
  <c r="BD32" i="6"/>
  <c r="BE31" i="6"/>
  <c r="BH30" i="6"/>
  <c r="BH29" i="6"/>
  <c r="BH28" i="6"/>
  <c r="BH27" i="6"/>
  <c r="BE25" i="6"/>
  <c r="AL18" i="6"/>
  <c r="Y17" i="6"/>
  <c r="EP17" i="6"/>
  <c r="EO16" i="6"/>
  <c r="BE14" i="6"/>
  <c r="BG10" i="6"/>
  <c r="BD12" i="6"/>
  <c r="CG12" i="6"/>
  <c r="BE13" i="6"/>
  <c r="BD6" i="6"/>
  <c r="CR6" i="6"/>
  <c r="BE5" i="6"/>
  <c r="E4" i="6"/>
  <c r="BI4" i="6"/>
  <c r="DC4" i="6"/>
  <c r="BD2" i="6"/>
  <c r="BI36" i="6"/>
  <c r="BI32" i="6"/>
  <c r="AL83" i="6"/>
  <c r="BE82" i="6"/>
  <c r="BI51" i="6"/>
  <c r="BI50" i="6"/>
  <c r="BE49" i="6"/>
  <c r="BE48" i="6"/>
  <c r="BE42" i="6"/>
  <c r="BG37" i="6"/>
  <c r="BE36" i="6"/>
  <c r="BI33" i="6"/>
  <c r="CX33" i="6"/>
  <c r="BE32" i="6"/>
  <c r="CX32" i="6"/>
  <c r="BG31" i="6"/>
  <c r="BI30" i="6"/>
  <c r="BI29" i="6"/>
  <c r="BI28" i="6"/>
  <c r="CX28" i="6"/>
  <c r="BI27" i="6"/>
  <c r="CG20" i="6"/>
  <c r="BF18" i="6"/>
  <c r="CG18" i="6"/>
  <c r="BG14" i="6"/>
  <c r="BG12" i="6"/>
  <c r="BI13" i="6"/>
  <c r="CX13" i="6"/>
  <c r="X7" i="6"/>
  <c r="BE6" i="6"/>
  <c r="CY6" i="6"/>
  <c r="BH5" i="6"/>
  <c r="BG2" i="6"/>
  <c r="BI49" i="6"/>
  <c r="BI48" i="6"/>
  <c r="BF83" i="6"/>
  <c r="CG81" i="6"/>
  <c r="CG62" i="6"/>
  <c r="CG57" i="6"/>
  <c r="BG55" i="6"/>
  <c r="CG53" i="6"/>
  <c r="BD51" i="6"/>
  <c r="BD50" i="6"/>
  <c r="BH49" i="6"/>
  <c r="BH48" i="6"/>
  <c r="BI42" i="6"/>
  <c r="BG40" i="6"/>
  <c r="AL37" i="6"/>
  <c r="BH37" i="6"/>
  <c r="BH36" i="6"/>
  <c r="BD33" i="6"/>
  <c r="BH32" i="6"/>
  <c r="AL31" i="6"/>
  <c r="BH31" i="6"/>
  <c r="BD30" i="6"/>
  <c r="BD29" i="6"/>
  <c r="BD28" i="6"/>
  <c r="BD27" i="6"/>
  <c r="DC27" i="6"/>
  <c r="BI25" i="6"/>
  <c r="CG21" i="6"/>
  <c r="CG17" i="6"/>
  <c r="BI14" i="6"/>
  <c r="BH12" i="6"/>
  <c r="DC13" i="6"/>
  <c r="BI6" i="6"/>
  <c r="DD6" i="6"/>
  <c r="BI5" i="6"/>
  <c r="BH2" i="6"/>
  <c r="CX3" i="6"/>
  <c r="CZ3" i="6"/>
  <c r="X18" i="6"/>
  <c r="Y18" i="6"/>
  <c r="X16" i="6"/>
  <c r="Y16" i="6"/>
  <c r="DB40" i="6"/>
  <c r="CG58" i="6"/>
  <c r="CG50" i="6"/>
  <c r="CG46" i="6"/>
  <c r="DC40" i="6"/>
  <c r="CG37" i="6"/>
  <c r="CX36" i="6"/>
  <c r="DC33" i="6"/>
  <c r="CX27" i="6"/>
  <c r="CZ21" i="6"/>
  <c r="CG15" i="6"/>
  <c r="DD13" i="6"/>
  <c r="CG6" i="6"/>
  <c r="CX6" i="6"/>
  <c r="Y84" i="6"/>
  <c r="CG60" i="6"/>
  <c r="DC31" i="6"/>
  <c r="CG23" i="6"/>
  <c r="Y83" i="6"/>
  <c r="CG82" i="6"/>
  <c r="Y81" i="6"/>
  <c r="CG78" i="6"/>
  <c r="CG79" i="6"/>
  <c r="CG73" i="6"/>
  <c r="CG48" i="6"/>
  <c r="CY40" i="6"/>
  <c r="CX37" i="6"/>
  <c r="CG32" i="6"/>
  <c r="CX30" i="6"/>
  <c r="CG27" i="6"/>
  <c r="CG25" i="6"/>
  <c r="CY13" i="6"/>
  <c r="E7" i="6"/>
  <c r="CG7" i="6"/>
  <c r="DC6" i="6"/>
  <c r="CX5" i="6"/>
  <c r="CG3" i="6"/>
  <c r="CG2" i="6"/>
  <c r="DB84" i="6"/>
  <c r="DD84" i="6"/>
  <c r="CT83" i="6"/>
  <c r="CV83" i="6"/>
  <c r="CU83" i="6"/>
  <c r="BG85" i="6"/>
  <c r="CN84" i="6"/>
  <c r="BE83" i="6"/>
  <c r="EN82" i="6"/>
  <c r="BI73" i="6"/>
  <c r="CG71" i="6"/>
  <c r="CG59" i="6"/>
  <c r="X58" i="6"/>
  <c r="BH53" i="6"/>
  <c r="BG53" i="6"/>
  <c r="AL53" i="6"/>
  <c r="DD51" i="6"/>
  <c r="DC51" i="6"/>
  <c r="CV51" i="6"/>
  <c r="CU51" i="6"/>
  <c r="CG51" i="6"/>
  <c r="CT51" i="6"/>
  <c r="DB50" i="6"/>
  <c r="DD50" i="6"/>
  <c r="DC50" i="6"/>
  <c r="CT50" i="6"/>
  <c r="CV50" i="6"/>
  <c r="CU50" i="6"/>
  <c r="CX46" i="6"/>
  <c r="CZ46" i="6"/>
  <c r="CY46" i="6"/>
  <c r="CL46" i="6"/>
  <c r="CS46" i="6"/>
  <c r="ED46" i="6" s="1"/>
  <c r="CN46" i="6"/>
  <c r="CM46" i="6"/>
  <c r="EP36" i="6"/>
  <c r="EO36" i="6"/>
  <c r="ER36" i="6"/>
  <c r="FJ36" i="6" s="1"/>
  <c r="EN36" i="6"/>
  <c r="EP33" i="6"/>
  <c r="EO33" i="6"/>
  <c r="ER33" i="6"/>
  <c r="FJ33" i="6" s="1"/>
  <c r="EN33" i="6"/>
  <c r="EP32" i="6"/>
  <c r="EO32" i="6"/>
  <c r="EN32" i="6"/>
  <c r="ER32" i="6"/>
  <c r="FJ32" i="6" s="1"/>
  <c r="EP31" i="6"/>
  <c r="EO31" i="6"/>
  <c r="ER31" i="6"/>
  <c r="FJ31" i="6" s="1"/>
  <c r="EN31" i="6"/>
  <c r="CV31" i="6"/>
  <c r="CU31" i="6"/>
  <c r="CT31" i="6"/>
  <c r="CM21" i="6"/>
  <c r="CS21" i="6"/>
  <c r="ED21" i="6" s="1"/>
  <c r="CN21" i="6"/>
  <c r="CL21" i="6"/>
  <c r="BE71" i="6"/>
  <c r="CX48" i="6"/>
  <c r="CZ48" i="6"/>
  <c r="CY48" i="6"/>
  <c r="CL48" i="6"/>
  <c r="CS48" i="6"/>
  <c r="ED48" i="6" s="1"/>
  <c r="CN48" i="6"/>
  <c r="CM48" i="6"/>
  <c r="DB46" i="6"/>
  <c r="DD46" i="6"/>
  <c r="DC46" i="6"/>
  <c r="CT46" i="6"/>
  <c r="CV46" i="6"/>
  <c r="CU46" i="6"/>
  <c r="EP37" i="6"/>
  <c r="EO37" i="6"/>
  <c r="EN37" i="6"/>
  <c r="ER37" i="6"/>
  <c r="FJ37" i="6" s="1"/>
  <c r="CV36" i="6"/>
  <c r="CT36" i="6"/>
  <c r="CU36" i="6"/>
  <c r="CV33" i="6"/>
  <c r="CU33" i="6"/>
  <c r="CT33" i="6"/>
  <c r="Y31" i="6"/>
  <c r="X31" i="6"/>
  <c r="EP30" i="6"/>
  <c r="EO30" i="6"/>
  <c r="EN30" i="6"/>
  <c r="ER30" i="6"/>
  <c r="FJ30" i="6" s="1"/>
  <c r="EP29" i="6"/>
  <c r="EO29" i="6"/>
  <c r="EN29" i="6"/>
  <c r="ER29" i="6"/>
  <c r="FJ29" i="6" s="1"/>
  <c r="CV29" i="6"/>
  <c r="CU29" i="6"/>
  <c r="CT29" i="6"/>
  <c r="EP27" i="6"/>
  <c r="EO27" i="6"/>
  <c r="ER27" i="6"/>
  <c r="FJ27" i="6" s="1"/>
  <c r="EN27" i="6"/>
  <c r="Y25" i="6"/>
  <c r="X25" i="6"/>
  <c r="ER25" i="6"/>
  <c r="FJ25" i="6" s="1"/>
  <c r="EN25" i="6"/>
  <c r="EP25" i="6"/>
  <c r="EO25" i="6"/>
  <c r="DC21" i="6"/>
  <c r="DD21" i="6"/>
  <c r="DB21" i="6"/>
  <c r="CG83" i="6"/>
  <c r="EO82" i="6"/>
  <c r="CG84" i="6"/>
  <c r="CS84" i="6"/>
  <c r="CP84" i="6" s="1"/>
  <c r="ER82" i="6"/>
  <c r="FJ82" i="6" s="1"/>
  <c r="X79" i="6"/>
  <c r="BE79" i="6"/>
  <c r="BH54" i="6"/>
  <c r="BG54" i="6"/>
  <c r="AL54" i="6"/>
  <c r="Y51" i="6"/>
  <c r="X51" i="6"/>
  <c r="DB51" i="6"/>
  <c r="CX49" i="6"/>
  <c r="CZ49" i="6"/>
  <c r="CY49" i="6"/>
  <c r="CL49" i="6"/>
  <c r="CS49" i="6"/>
  <c r="CN49" i="6"/>
  <c r="CM49" i="6"/>
  <c r="DB48" i="6"/>
  <c r="DD48" i="6"/>
  <c r="DC48" i="6"/>
  <c r="CT48" i="6"/>
  <c r="CV48" i="6"/>
  <c r="CU48" i="6"/>
  <c r="EO42" i="6"/>
  <c r="ER42" i="6"/>
  <c r="FJ42" i="6" s="1"/>
  <c r="EP42" i="6"/>
  <c r="EN42" i="6"/>
  <c r="CN42" i="6"/>
  <c r="CS42" i="6"/>
  <c r="ED42" i="6" s="1"/>
  <c r="CM42" i="6"/>
  <c r="CL42" i="6"/>
  <c r="CV40" i="6"/>
  <c r="CU40" i="6"/>
  <c r="CT40" i="6"/>
  <c r="CV37" i="6"/>
  <c r="CU37" i="6"/>
  <c r="CT37" i="6"/>
  <c r="EP38" i="6"/>
  <c r="EO38" i="6"/>
  <c r="EN38" i="6"/>
  <c r="ER38" i="6"/>
  <c r="FJ38" i="6" s="1"/>
  <c r="CV38" i="6"/>
  <c r="CU38" i="6"/>
  <c r="CT38" i="6"/>
  <c r="Y29" i="6"/>
  <c r="X29" i="6"/>
  <c r="EP28" i="6"/>
  <c r="EO28" i="6"/>
  <c r="ER28" i="6"/>
  <c r="FJ28" i="6" s="1"/>
  <c r="EN28" i="6"/>
  <c r="CV27" i="6"/>
  <c r="CU27" i="6"/>
  <c r="CT27" i="6"/>
  <c r="CZ51" i="6"/>
  <c r="CY51" i="6"/>
  <c r="CS51" i="6"/>
  <c r="ED51" i="6" s="1"/>
  <c r="CN51" i="6"/>
  <c r="CM51" i="6"/>
  <c r="EP51" i="6"/>
  <c r="EO51" i="6"/>
  <c r="ER51" i="6"/>
  <c r="FJ51" i="6" s="1"/>
  <c r="EN51" i="6"/>
  <c r="CX50" i="6"/>
  <c r="CZ50" i="6"/>
  <c r="CY50" i="6"/>
  <c r="CL50" i="6"/>
  <c r="CS50" i="6"/>
  <c r="ED50" i="6" s="1"/>
  <c r="CN50" i="6"/>
  <c r="CM50" i="6"/>
  <c r="DB49" i="6"/>
  <c r="DD49" i="6"/>
  <c r="DC49" i="6"/>
  <c r="CT49" i="6"/>
  <c r="CV49" i="6"/>
  <c r="CU49" i="6"/>
  <c r="DD42" i="6"/>
  <c r="DC42" i="6"/>
  <c r="DB42" i="6"/>
  <c r="CV42" i="6"/>
  <c r="CU42" i="6"/>
  <c r="CT42" i="6"/>
  <c r="Y40" i="6"/>
  <c r="X40" i="6"/>
  <c r="Y38" i="6"/>
  <c r="X38" i="6"/>
  <c r="CV28" i="6"/>
  <c r="CT28" i="6"/>
  <c r="CU28" i="6"/>
  <c r="X50" i="6"/>
  <c r="EN50" i="6"/>
  <c r="ER50" i="6"/>
  <c r="FJ50" i="6" s="1"/>
  <c r="X49" i="6"/>
  <c r="EN49" i="6"/>
  <c r="ER49" i="6"/>
  <c r="FJ49" i="6" s="1"/>
  <c r="X48" i="6"/>
  <c r="EN48" i="6"/>
  <c r="ER48" i="6"/>
  <c r="FJ48" i="6" s="1"/>
  <c r="X46" i="6"/>
  <c r="BI46" i="6"/>
  <c r="EN46" i="6"/>
  <c r="ER46" i="6"/>
  <c r="FJ46" i="6" s="1"/>
  <c r="X42" i="6"/>
  <c r="CL40" i="6"/>
  <c r="ER40" i="6"/>
  <c r="FJ40" i="6" s="1"/>
  <c r="CS37" i="6"/>
  <c r="ED37" i="6" s="1"/>
  <c r="CN37" i="6"/>
  <c r="DB38" i="6"/>
  <c r="CS36" i="6"/>
  <c r="ED36" i="6" s="1"/>
  <c r="CN36" i="6"/>
  <c r="CM36" i="6"/>
  <c r="DC36" i="6"/>
  <c r="CG33" i="6"/>
  <c r="X32" i="6"/>
  <c r="CY32" i="6"/>
  <c r="CG31" i="6"/>
  <c r="CX31" i="6"/>
  <c r="X30" i="6"/>
  <c r="CY30" i="6"/>
  <c r="DB29" i="6"/>
  <c r="CS28" i="6"/>
  <c r="ED28" i="6" s="1"/>
  <c r="CN28" i="6"/>
  <c r="CM28" i="6"/>
  <c r="DC28" i="6"/>
  <c r="CY25" i="6"/>
  <c r="CX25" i="6"/>
  <c r="CZ25" i="6"/>
  <c r="CU21" i="6"/>
  <c r="CV21" i="6"/>
  <c r="DC20" i="6"/>
  <c r="DB20" i="6"/>
  <c r="DD20" i="6"/>
  <c r="BF51" i="6"/>
  <c r="BF50" i="6"/>
  <c r="EO50" i="6"/>
  <c r="BF49" i="6"/>
  <c r="EO49" i="6"/>
  <c r="BF48" i="6"/>
  <c r="EO48" i="6"/>
  <c r="BF46" i="6"/>
  <c r="EO46" i="6"/>
  <c r="BG42" i="6"/>
  <c r="CX42" i="6"/>
  <c r="CL37" i="6"/>
  <c r="DB37" i="6"/>
  <c r="CS38" i="6"/>
  <c r="ED38" i="6" s="1"/>
  <c r="CN38" i="6"/>
  <c r="CM38" i="6"/>
  <c r="DC38" i="6"/>
  <c r="CG36" i="6"/>
  <c r="X33" i="6"/>
  <c r="CY33" i="6"/>
  <c r="CT32" i="6"/>
  <c r="DB32" i="6"/>
  <c r="CS31" i="6"/>
  <c r="ED31" i="6" s="1"/>
  <c r="CN31" i="6"/>
  <c r="CY31" i="6"/>
  <c r="CT30" i="6"/>
  <c r="DB30" i="6"/>
  <c r="CS29" i="6"/>
  <c r="ED29" i="6" s="1"/>
  <c r="CN29" i="6"/>
  <c r="CM29" i="6"/>
  <c r="DC29" i="6"/>
  <c r="CG28" i="6"/>
  <c r="X27" i="6"/>
  <c r="CY27" i="6"/>
  <c r="DC25" i="6"/>
  <c r="DD25" i="6"/>
  <c r="DB25" i="6"/>
  <c r="CU20" i="6"/>
  <c r="CT20" i="6"/>
  <c r="CV20" i="6"/>
  <c r="CM17" i="6"/>
  <c r="CL17" i="6"/>
  <c r="CN17" i="6"/>
  <c r="CS17" i="6"/>
  <c r="ED17" i="6" s="1"/>
  <c r="AL55" i="6"/>
  <c r="CG55" i="6"/>
  <c r="AL51" i="6"/>
  <c r="AL50" i="6"/>
  <c r="AL49" i="6"/>
  <c r="AL48" i="6"/>
  <c r="AL46" i="6"/>
  <c r="AL42" i="6"/>
  <c r="BH42" i="6"/>
  <c r="CG42" i="6"/>
  <c r="CY42" i="6"/>
  <c r="CG40" i="6"/>
  <c r="CX40" i="6"/>
  <c r="X37" i="6"/>
  <c r="CM37" i="6"/>
  <c r="DC37" i="6"/>
  <c r="CG38" i="6"/>
  <c r="CX38" i="6"/>
  <c r="X36" i="6"/>
  <c r="CY36" i="6"/>
  <c r="DB33" i="6"/>
  <c r="CS32" i="6"/>
  <c r="ED32" i="6" s="1"/>
  <c r="CN32" i="6"/>
  <c r="CM32" i="6"/>
  <c r="CU32" i="6"/>
  <c r="DC32" i="6"/>
  <c r="CL31" i="6"/>
  <c r="DB31" i="6"/>
  <c r="CS30" i="6"/>
  <c r="CN30" i="6"/>
  <c r="CM30" i="6"/>
  <c r="CU30" i="6"/>
  <c r="DC30" i="6"/>
  <c r="CG29" i="6"/>
  <c r="CX29" i="6"/>
  <c r="X28" i="6"/>
  <c r="CY28" i="6"/>
  <c r="DB27" i="6"/>
  <c r="CS25" i="6"/>
  <c r="CN25" i="6"/>
  <c r="CM25" i="6"/>
  <c r="CT21" i="6"/>
  <c r="DC17" i="6"/>
  <c r="DB17" i="6"/>
  <c r="DD17" i="6"/>
  <c r="CM16" i="6"/>
  <c r="CL16" i="6"/>
  <c r="CS16" i="6"/>
  <c r="ED16" i="6" s="1"/>
  <c r="CN16" i="6"/>
  <c r="CS40" i="6"/>
  <c r="ED40" i="6" s="1"/>
  <c r="CN40" i="6"/>
  <c r="EP40" i="6"/>
  <c r="EO40" i="6"/>
  <c r="CY38" i="6"/>
  <c r="DB36" i="6"/>
  <c r="CS33" i="6"/>
  <c r="CN33" i="6"/>
  <c r="CM33" i="6"/>
  <c r="CY29" i="6"/>
  <c r="CL28" i="6"/>
  <c r="DB28" i="6"/>
  <c r="CS27" i="6"/>
  <c r="ED27" i="6" s="1"/>
  <c r="CN27" i="6"/>
  <c r="CM27" i="6"/>
  <c r="CU25" i="6"/>
  <c r="CV25" i="6"/>
  <c r="CT25" i="6"/>
  <c r="ER21" i="6"/>
  <c r="FJ21" i="6" s="1"/>
  <c r="EN21" i="6"/>
  <c r="EP21" i="6"/>
  <c r="EO21" i="6"/>
  <c r="CM20" i="6"/>
  <c r="CL20" i="6"/>
  <c r="CN20" i="6"/>
  <c r="CS20" i="6"/>
  <c r="ED20" i="6" s="1"/>
  <c r="CM18" i="6"/>
  <c r="CL18" i="6"/>
  <c r="CN18" i="6"/>
  <c r="CS18" i="6"/>
  <c r="CU17" i="6"/>
  <c r="CT17" i="6"/>
  <c r="CV17" i="6"/>
  <c r="BI20" i="6"/>
  <c r="BE20" i="6"/>
  <c r="BH20" i="6"/>
  <c r="BD20" i="6"/>
  <c r="CY20" i="6"/>
  <c r="CX20" i="6"/>
  <c r="BF17" i="6"/>
  <c r="AL16" i="6"/>
  <c r="CZ15" i="6"/>
  <c r="CX15" i="6"/>
  <c r="CY15" i="6"/>
  <c r="CL15" i="6"/>
  <c r="CS15" i="6"/>
  <c r="ED15" i="6" s="1"/>
  <c r="CN15" i="6"/>
  <c r="CM15" i="6"/>
  <c r="BF38" i="6"/>
  <c r="BF36" i="6"/>
  <c r="BF33" i="6"/>
  <c r="BF32" i="6"/>
  <c r="BF30" i="6"/>
  <c r="BF29" i="6"/>
  <c r="BF28" i="6"/>
  <c r="BF27" i="6"/>
  <c r="BF25" i="6"/>
  <c r="BI21" i="6"/>
  <c r="BE21" i="6"/>
  <c r="BG21" i="6"/>
  <c r="AL20" i="6"/>
  <c r="BI18" i="6"/>
  <c r="BE18" i="6"/>
  <c r="BH18" i="6"/>
  <c r="BD18" i="6"/>
  <c r="CY18" i="6"/>
  <c r="CX18" i="6"/>
  <c r="CY16" i="6"/>
  <c r="CX16" i="6"/>
  <c r="CZ16" i="6"/>
  <c r="DD15" i="6"/>
  <c r="DB15" i="6"/>
  <c r="DC15" i="6"/>
  <c r="CZ14" i="6"/>
  <c r="CY14" i="6"/>
  <c r="CX14" i="6"/>
  <c r="CN12" i="6"/>
  <c r="CM12" i="6"/>
  <c r="CL12" i="6"/>
  <c r="CS12" i="6"/>
  <c r="AL38" i="6"/>
  <c r="AL36" i="6"/>
  <c r="AL33" i="6"/>
  <c r="AL32" i="6"/>
  <c r="AL30" i="6"/>
  <c r="AL29" i="6"/>
  <c r="AL28" i="6"/>
  <c r="AL27" i="6"/>
  <c r="AL25" i="6"/>
  <c r="Y21" i="6"/>
  <c r="AL21" i="6"/>
  <c r="BH21" i="6"/>
  <c r="CX21" i="6"/>
  <c r="BF20" i="6"/>
  <c r="BI17" i="6"/>
  <c r="BE17" i="6"/>
  <c r="BH17" i="6"/>
  <c r="BD17" i="6"/>
  <c r="CY17" i="6"/>
  <c r="CX17" i="6"/>
  <c r="DC16" i="6"/>
  <c r="DB16" i="6"/>
  <c r="DD16" i="6"/>
  <c r="CT15" i="6"/>
  <c r="CU15" i="6"/>
  <c r="CV15" i="6"/>
  <c r="CN10" i="6"/>
  <c r="CM10" i="6"/>
  <c r="CL10" i="6"/>
  <c r="CS10" i="6"/>
  <c r="CU18" i="6"/>
  <c r="CT18" i="6"/>
  <c r="DC18" i="6"/>
  <c r="DB18" i="6"/>
  <c r="CU16" i="6"/>
  <c r="CT16" i="6"/>
  <c r="BI16" i="6"/>
  <c r="BE16" i="6"/>
  <c r="BD16" i="6"/>
  <c r="CV14" i="6"/>
  <c r="CU14" i="6"/>
  <c r="CT14" i="6"/>
  <c r="CV12" i="6"/>
  <c r="CU12" i="6"/>
  <c r="CT12" i="6"/>
  <c r="BE15" i="6"/>
  <c r="CN14" i="6"/>
  <c r="CM14" i="6"/>
  <c r="CL14" i="6"/>
  <c r="DD14" i="6"/>
  <c r="DC14" i="6"/>
  <c r="DB14" i="6"/>
  <c r="CZ10" i="6"/>
  <c r="CY10" i="6"/>
  <c r="CX10" i="6"/>
  <c r="Y12" i="6"/>
  <c r="X12" i="6"/>
  <c r="EP7" i="6"/>
  <c r="EN7" i="6"/>
  <c r="ER7" i="6"/>
  <c r="FJ7" i="6" s="1"/>
  <c r="EO7" i="6"/>
  <c r="CZ7" i="6"/>
  <c r="CY7" i="6"/>
  <c r="CX7" i="6"/>
  <c r="EP6" i="6"/>
  <c r="EO6" i="6"/>
  <c r="ER6" i="6"/>
  <c r="FJ6" i="6" s="1"/>
  <c r="EN6" i="6"/>
  <c r="CV5" i="6"/>
  <c r="CU5" i="6"/>
  <c r="CT5" i="6"/>
  <c r="EN20" i="6"/>
  <c r="EN18" i="6"/>
  <c r="EN17" i="6"/>
  <c r="EN16" i="6"/>
  <c r="ER16" i="6"/>
  <c r="FJ16" i="6" s="1"/>
  <c r="ER15" i="6"/>
  <c r="FJ15" i="6" s="1"/>
  <c r="CS14" i="6"/>
  <c r="DD10" i="6"/>
  <c r="DC10" i="6"/>
  <c r="DB10" i="6"/>
  <c r="CS13" i="6"/>
  <c r="ED13" i="6" s="1"/>
  <c r="CL13" i="6"/>
  <c r="CN13" i="6"/>
  <c r="EP13" i="6"/>
  <c r="EO13" i="6"/>
  <c r="EN13" i="6"/>
  <c r="ER13" i="6"/>
  <c r="FJ13" i="6" s="1"/>
  <c r="CV6" i="6"/>
  <c r="CU6" i="6"/>
  <c r="CT6" i="6"/>
  <c r="BH15" i="6"/>
  <c r="BD15" i="6"/>
  <c r="BG15" i="6"/>
  <c r="EO14" i="6"/>
  <c r="ER14" i="6"/>
  <c r="FJ14" i="6" s="1"/>
  <c r="EN14" i="6"/>
  <c r="CG14" i="6"/>
  <c r="EP14" i="6"/>
  <c r="EO10" i="6"/>
  <c r="ER10" i="6"/>
  <c r="FJ10" i="6" s="1"/>
  <c r="EN10" i="6"/>
  <c r="CZ12" i="6"/>
  <c r="CY12" i="6"/>
  <c r="CX12" i="6"/>
  <c r="CU7" i="6"/>
  <c r="CT7" i="6"/>
  <c r="CV7" i="6"/>
  <c r="AL15" i="6"/>
  <c r="BI15" i="6"/>
  <c r="EN15" i="6"/>
  <c r="Y10" i="6"/>
  <c r="X10" i="6"/>
  <c r="CG10" i="6"/>
  <c r="CV10" i="6"/>
  <c r="CU10" i="6"/>
  <c r="CT10" i="6"/>
  <c r="EP10" i="6"/>
  <c r="EO12" i="6"/>
  <c r="ER12" i="6"/>
  <c r="FJ12" i="6" s="1"/>
  <c r="EN12" i="6"/>
  <c r="DD12" i="6"/>
  <c r="DC12" i="6"/>
  <c r="DB12" i="6"/>
  <c r="CV13" i="6"/>
  <c r="CU13" i="6"/>
  <c r="CT13" i="6"/>
  <c r="CM13" i="6"/>
  <c r="EP5" i="6"/>
  <c r="EO5" i="6"/>
  <c r="ER5" i="6"/>
  <c r="FJ5" i="6" s="1"/>
  <c r="EN5" i="6"/>
  <c r="EP4" i="6"/>
  <c r="EO4" i="6"/>
  <c r="EN4" i="6"/>
  <c r="ER4" i="6"/>
  <c r="FJ4" i="6" s="1"/>
  <c r="BD14" i="6"/>
  <c r="BH14" i="6"/>
  <c r="BD10" i="6"/>
  <c r="BH10" i="6"/>
  <c r="BG7" i="6"/>
  <c r="AL7" i="6"/>
  <c r="BH7" i="6"/>
  <c r="DB7" i="6"/>
  <c r="CN6" i="6"/>
  <c r="CG5" i="6"/>
  <c r="X4" i="6"/>
  <c r="CY4" i="6"/>
  <c r="DB3" i="6"/>
  <c r="DD3" i="6"/>
  <c r="DC3" i="6"/>
  <c r="Y2" i="6"/>
  <c r="X2" i="6"/>
  <c r="DB2" i="6"/>
  <c r="DD2" i="6"/>
  <c r="DC2" i="6"/>
  <c r="EP23" i="6"/>
  <c r="EO23" i="6"/>
  <c r="ER23" i="6"/>
  <c r="FJ23" i="6" s="1"/>
  <c r="EN23" i="6"/>
  <c r="CX23" i="6"/>
  <c r="CZ23" i="6"/>
  <c r="CY23" i="6"/>
  <c r="CL23" i="6"/>
  <c r="CS23" i="6"/>
  <c r="ED23" i="6" s="1"/>
  <c r="CN23" i="6"/>
  <c r="CM23" i="6"/>
  <c r="BE10" i="6"/>
  <c r="BI10" i="6"/>
  <c r="BE12" i="6"/>
  <c r="BI12" i="6"/>
  <c r="X13" i="6"/>
  <c r="BD7" i="6"/>
  <c r="BI7" i="6"/>
  <c r="DC7" i="6"/>
  <c r="X6" i="6"/>
  <c r="ED6" i="6"/>
  <c r="CP6" i="6"/>
  <c r="X5" i="6"/>
  <c r="CY5" i="6"/>
  <c r="CT4" i="6"/>
  <c r="DB4" i="6"/>
  <c r="CL3" i="6"/>
  <c r="CS3" i="6"/>
  <c r="ED3" i="6" s="1"/>
  <c r="CN3" i="6"/>
  <c r="CM3" i="6"/>
  <c r="DB23" i="6"/>
  <c r="DD23" i="6"/>
  <c r="DC23" i="6"/>
  <c r="CT23" i="6"/>
  <c r="CV23" i="6"/>
  <c r="CU23" i="6"/>
  <c r="BG13" i="6"/>
  <c r="AL13" i="6"/>
  <c r="BH13" i="6"/>
  <c r="BE7" i="6"/>
  <c r="CN7" i="6"/>
  <c r="BG6" i="6"/>
  <c r="AL6" i="6"/>
  <c r="BH6" i="6"/>
  <c r="CL6" i="6"/>
  <c r="DB5" i="6"/>
  <c r="CS4" i="6"/>
  <c r="ED4" i="6" s="1"/>
  <c r="CN4" i="6"/>
  <c r="CM4" i="6"/>
  <c r="CU4" i="6"/>
  <c r="CL2" i="6"/>
  <c r="CS2" i="6"/>
  <c r="ED2" i="6" s="1"/>
  <c r="CN2" i="6"/>
  <c r="CM2" i="6"/>
  <c r="EP24" i="6"/>
  <c r="EO24" i="6"/>
  <c r="ER24" i="6"/>
  <c r="FJ24" i="6" s="1"/>
  <c r="EN24" i="6"/>
  <c r="CX24" i="6"/>
  <c r="CZ24" i="6"/>
  <c r="CY24" i="6"/>
  <c r="CL24" i="6"/>
  <c r="CS24" i="6"/>
  <c r="ED24" i="6" s="1"/>
  <c r="CN24" i="6"/>
  <c r="CM24" i="6"/>
  <c r="BF7" i="6"/>
  <c r="CS5" i="6"/>
  <c r="ED5" i="6" s="1"/>
  <c r="CN5" i="6"/>
  <c r="CM5" i="6"/>
  <c r="CG4" i="6"/>
  <c r="CX4" i="6"/>
  <c r="Y3" i="6"/>
  <c r="X3" i="6"/>
  <c r="EP3" i="6"/>
  <c r="EO3" i="6"/>
  <c r="ER3" i="6"/>
  <c r="FJ3" i="6" s="1"/>
  <c r="EN3" i="6"/>
  <c r="CT3" i="6"/>
  <c r="CV3" i="6"/>
  <c r="CU3" i="6"/>
  <c r="EP2" i="6"/>
  <c r="EO2" i="6"/>
  <c r="ER2" i="6"/>
  <c r="FJ2" i="6" s="1"/>
  <c r="EN2" i="6"/>
  <c r="CX2" i="6"/>
  <c r="CZ2" i="6"/>
  <c r="CY2" i="6"/>
  <c r="CT2" i="6"/>
  <c r="CV2" i="6"/>
  <c r="CU2" i="6"/>
  <c r="DB24" i="6"/>
  <c r="DD24" i="6"/>
  <c r="DC24" i="6"/>
  <c r="CT24" i="6"/>
  <c r="CV24" i="6"/>
  <c r="CU24" i="6"/>
  <c r="BE3" i="6"/>
  <c r="BI3" i="6"/>
  <c r="CY3" i="6"/>
  <c r="BE2" i="6"/>
  <c r="BI2" i="6"/>
  <c r="X23" i="6"/>
  <c r="X24" i="6"/>
  <c r="BE24" i="6"/>
  <c r="BI24" i="6"/>
  <c r="BF5" i="6"/>
  <c r="BF4" i="6"/>
  <c r="BF3" i="6"/>
  <c r="BF23" i="6"/>
  <c r="AL5" i="6"/>
  <c r="AL4" i="6"/>
  <c r="AL3" i="6"/>
  <c r="BG3" i="6"/>
  <c r="AL23" i="6"/>
  <c r="BD3" i="6"/>
  <c r="CX84" i="6"/>
  <c r="CY84" i="6"/>
  <c r="CZ84" i="6"/>
  <c r="DB82" i="6"/>
  <c r="DD82" i="6"/>
  <c r="DC82" i="6"/>
  <c r="CT82" i="6"/>
  <c r="CU82" i="6"/>
  <c r="CV82" i="6"/>
  <c r="CT84" i="6"/>
  <c r="CV84" i="6"/>
  <c r="CU84" i="6"/>
  <c r="CX83" i="6"/>
  <c r="CY83" i="6"/>
  <c r="CZ83" i="6"/>
  <c r="CL82" i="6"/>
  <c r="CS82" i="6"/>
  <c r="ED82" i="6" s="1"/>
  <c r="CN82" i="6"/>
  <c r="CM82" i="6"/>
  <c r="CT81" i="6"/>
  <c r="CU81" i="6"/>
  <c r="CV81" i="6"/>
  <c r="CX81" i="6"/>
  <c r="CZ81" i="6"/>
  <c r="CY81" i="6"/>
  <c r="BG84" i="6"/>
  <c r="EP83" i="6"/>
  <c r="AL84" i="6"/>
  <c r="BI84" i="6"/>
  <c r="EP84" i="6"/>
  <c r="ER84" i="6"/>
  <c r="FJ84" i="6" s="1"/>
  <c r="AL85" i="6"/>
  <c r="CM84" i="6"/>
  <c r="DC84" i="6"/>
  <c r="EN84" i="6"/>
  <c r="BH83" i="6"/>
  <c r="BD83" i="6"/>
  <c r="BG83" i="6"/>
  <c r="CN83" i="6"/>
  <c r="CS83" i="6"/>
  <c r="ED83" i="6" s="1"/>
  <c r="DD83" i="6"/>
  <c r="EO83" i="6"/>
  <c r="Y82" i="6"/>
  <c r="AL82" i="6"/>
  <c r="BI82" i="6"/>
  <c r="CZ82" i="6"/>
  <c r="BE81" i="6"/>
  <c r="ER81" i="6"/>
  <c r="FJ81" i="6" s="1"/>
  <c r="CY78" i="6"/>
  <c r="EN78" i="6"/>
  <c r="DB79" i="6"/>
  <c r="DD79" i="6"/>
  <c r="CL79" i="6"/>
  <c r="CS79" i="6"/>
  <c r="ED79" i="6" s="1"/>
  <c r="CN79" i="6"/>
  <c r="CM79" i="6"/>
  <c r="DC79" i="6"/>
  <c r="CT73" i="6"/>
  <c r="CV73" i="6"/>
  <c r="CU73" i="6"/>
  <c r="ER73" i="6"/>
  <c r="FJ73" i="6" s="1"/>
  <c r="EP71" i="6"/>
  <c r="EO71" i="6"/>
  <c r="CX71" i="6"/>
  <c r="CZ71" i="6"/>
  <c r="CL71" i="6"/>
  <c r="CS71" i="6"/>
  <c r="ED71" i="6" s="1"/>
  <c r="CN71" i="6"/>
  <c r="CM71" i="6"/>
  <c r="CL62" i="6"/>
  <c r="CS62" i="6"/>
  <c r="ED62" i="6" s="1"/>
  <c r="CN62" i="6"/>
  <c r="CM62" i="6"/>
  <c r="CX60" i="6"/>
  <c r="CZ60" i="6"/>
  <c r="CY60" i="6"/>
  <c r="DB59" i="6"/>
  <c r="DD59" i="6"/>
  <c r="DC59" i="6"/>
  <c r="CT59" i="6"/>
  <c r="CV59" i="6"/>
  <c r="CU59" i="6"/>
  <c r="DB58" i="6"/>
  <c r="DD58" i="6"/>
  <c r="DC58" i="6"/>
  <c r="CM81" i="6"/>
  <c r="DC81" i="6"/>
  <c r="EN81" i="6"/>
  <c r="X78" i="6"/>
  <c r="BH78" i="6"/>
  <c r="BD78" i="6"/>
  <c r="BG78" i="6"/>
  <c r="AL78" i="6"/>
  <c r="CZ78" i="6"/>
  <c r="EO78" i="6"/>
  <c r="EN79" i="6"/>
  <c r="X73" i="6"/>
  <c r="DB71" i="6"/>
  <c r="DD71" i="6"/>
  <c r="EN71" i="6"/>
  <c r="CL70" i="6"/>
  <c r="CS70" i="6"/>
  <c r="ED70" i="6" s="1"/>
  <c r="CN70" i="6"/>
  <c r="CM70" i="6"/>
  <c r="EP62" i="6"/>
  <c r="EO62" i="6"/>
  <c r="ER62" i="6"/>
  <c r="FJ62" i="6" s="1"/>
  <c r="EN62" i="6"/>
  <c r="CX62" i="6"/>
  <c r="CZ62" i="6"/>
  <c r="CY62" i="6"/>
  <c r="Y60" i="6"/>
  <c r="X60" i="6"/>
  <c r="DB60" i="6"/>
  <c r="DC60" i="6"/>
  <c r="DD60" i="6"/>
  <c r="CT60" i="6"/>
  <c r="CV60" i="6"/>
  <c r="CU60" i="6"/>
  <c r="CT58" i="6"/>
  <c r="CU58" i="6"/>
  <c r="CV58" i="6"/>
  <c r="BH81" i="6"/>
  <c r="BD81" i="6"/>
  <c r="BG81" i="6"/>
  <c r="CN81" i="6"/>
  <c r="CS81" i="6"/>
  <c r="ED81" i="6" s="1"/>
  <c r="DD81" i="6"/>
  <c r="EO81" i="6"/>
  <c r="BE78" i="6"/>
  <c r="CU78" i="6"/>
  <c r="DC78" i="6"/>
  <c r="ER78" i="6"/>
  <c r="FJ78" i="6" s="1"/>
  <c r="CT79" i="6"/>
  <c r="CV79" i="6"/>
  <c r="CU79" i="6"/>
  <c r="ER79" i="6"/>
  <c r="FJ79" i="6" s="1"/>
  <c r="EP73" i="6"/>
  <c r="EO73" i="6"/>
  <c r="CX73" i="6"/>
  <c r="CZ73" i="6"/>
  <c r="CL73" i="6"/>
  <c r="CS73" i="6"/>
  <c r="ED73" i="6" s="1"/>
  <c r="CN73" i="6"/>
  <c r="CM73" i="6"/>
  <c r="CT71" i="6"/>
  <c r="CV71" i="6"/>
  <c r="CU71" i="6"/>
  <c r="ER71" i="6"/>
  <c r="FJ71" i="6" s="1"/>
  <c r="EP70" i="6"/>
  <c r="EO70" i="6"/>
  <c r="ER70" i="6"/>
  <c r="FJ70" i="6" s="1"/>
  <c r="EN70" i="6"/>
  <c r="CX70" i="6"/>
  <c r="CZ70" i="6"/>
  <c r="CY70" i="6"/>
  <c r="Y62" i="6"/>
  <c r="X62" i="6"/>
  <c r="DB62" i="6"/>
  <c r="DD62" i="6"/>
  <c r="DC62" i="6"/>
  <c r="CT62" i="6"/>
  <c r="CV62" i="6"/>
  <c r="CU62" i="6"/>
  <c r="CL59" i="6"/>
  <c r="CS59" i="6"/>
  <c r="ED59" i="6" s="1"/>
  <c r="CN59" i="6"/>
  <c r="CM59" i="6"/>
  <c r="BH84" i="6"/>
  <c r="BD84" i="6"/>
  <c r="ER83" i="6"/>
  <c r="FJ83" i="6" s="1"/>
  <c r="BE84" i="6"/>
  <c r="CM83" i="6"/>
  <c r="DC83" i="6"/>
  <c r="BH82" i="6"/>
  <c r="BD82" i="6"/>
  <c r="BG82" i="6"/>
  <c r="CY82" i="6"/>
  <c r="AL81" i="6"/>
  <c r="BI81" i="6"/>
  <c r="CL78" i="6"/>
  <c r="CS78" i="6"/>
  <c r="BF78" i="6"/>
  <c r="CN78" i="6"/>
  <c r="CV78" i="6"/>
  <c r="DD78" i="6"/>
  <c r="EP79" i="6"/>
  <c r="EO79" i="6"/>
  <c r="CX79" i="6"/>
  <c r="CZ79" i="6"/>
  <c r="CY79" i="6"/>
  <c r="DB73" i="6"/>
  <c r="DD73" i="6"/>
  <c r="EN73" i="6"/>
  <c r="X71" i="6"/>
  <c r="CY71" i="6"/>
  <c r="Y70" i="6"/>
  <c r="X70" i="6"/>
  <c r="DB70" i="6"/>
  <c r="DD70" i="6"/>
  <c r="DC70" i="6"/>
  <c r="CT70" i="6"/>
  <c r="CV70" i="6"/>
  <c r="CU70" i="6"/>
  <c r="CL60" i="6"/>
  <c r="CM60" i="6"/>
  <c r="CS60" i="6"/>
  <c r="CN60" i="6"/>
  <c r="CX58" i="6"/>
  <c r="CZ58" i="6"/>
  <c r="CY58" i="6"/>
  <c r="CL58" i="6"/>
  <c r="CS58" i="6"/>
  <c r="CN58" i="6"/>
  <c r="CM58" i="6"/>
  <c r="BE70" i="6"/>
  <c r="BI70" i="6"/>
  <c r="BE62" i="6"/>
  <c r="BI62" i="6"/>
  <c r="BE60" i="6"/>
  <c r="BI60" i="6"/>
  <c r="EO60" i="6"/>
  <c r="Y59" i="6"/>
  <c r="AL59" i="6"/>
  <c r="BI59" i="6"/>
  <c r="CZ59" i="6"/>
  <c r="EP59" i="6"/>
  <c r="BE58" i="6"/>
  <c r="ER58" i="6"/>
  <c r="FJ58" i="6" s="1"/>
  <c r="EP55" i="6"/>
  <c r="EO55" i="6"/>
  <c r="ER55" i="6"/>
  <c r="FJ55" i="6" s="1"/>
  <c r="EN55" i="6"/>
  <c r="CX55" i="6"/>
  <c r="CZ55" i="6"/>
  <c r="CY55" i="6"/>
  <c r="Y53" i="6"/>
  <c r="X53" i="6"/>
  <c r="DB53" i="6"/>
  <c r="DD53" i="6"/>
  <c r="DC53" i="6"/>
  <c r="BF79" i="6"/>
  <c r="BF73" i="6"/>
  <c r="BF71" i="6"/>
  <c r="BF70" i="6"/>
  <c r="BF62" i="6"/>
  <c r="BF60" i="6"/>
  <c r="EP60" i="6"/>
  <c r="BE59" i="6"/>
  <c r="ER59" i="6"/>
  <c r="FJ59" i="6" s="1"/>
  <c r="EN58" i="6"/>
  <c r="Y57" i="6"/>
  <c r="Y55" i="6"/>
  <c r="X55" i="6"/>
  <c r="DB55" i="6"/>
  <c r="DD55" i="6"/>
  <c r="DC55" i="6"/>
  <c r="CL54" i="6"/>
  <c r="CS54" i="6"/>
  <c r="ED54" i="6" s="1"/>
  <c r="CN54" i="6"/>
  <c r="CM54" i="6"/>
  <c r="CL53" i="6"/>
  <c r="CS53" i="6"/>
  <c r="CN53" i="6"/>
  <c r="CM53" i="6"/>
  <c r="AL79" i="6"/>
  <c r="BG79" i="6"/>
  <c r="AL73" i="6"/>
  <c r="BG73" i="6"/>
  <c r="AL71" i="6"/>
  <c r="BG71" i="6"/>
  <c r="AL70" i="6"/>
  <c r="BG70" i="6"/>
  <c r="AL62" i="6"/>
  <c r="BG62" i="6"/>
  <c r="AL60" i="6"/>
  <c r="BG60" i="6"/>
  <c r="ER60" i="6"/>
  <c r="FJ60" i="6" s="1"/>
  <c r="EN59" i="6"/>
  <c r="BH58" i="6"/>
  <c r="BD58" i="6"/>
  <c r="BG58" i="6"/>
  <c r="EO58" i="6"/>
  <c r="EP57" i="6"/>
  <c r="EO57" i="6"/>
  <c r="ER57" i="6"/>
  <c r="FJ57" i="6" s="1"/>
  <c r="EN57" i="6"/>
  <c r="CL57" i="6"/>
  <c r="CS57" i="6"/>
  <c r="ED57" i="6" s="1"/>
  <c r="CN57" i="6"/>
  <c r="CM57" i="6"/>
  <c r="EP54" i="6"/>
  <c r="EO54" i="6"/>
  <c r="ER54" i="6"/>
  <c r="FJ54" i="6" s="1"/>
  <c r="EN54" i="6"/>
  <c r="CX54" i="6"/>
  <c r="CZ54" i="6"/>
  <c r="CY54" i="6"/>
  <c r="BD79" i="6"/>
  <c r="BD73" i="6"/>
  <c r="BD71" i="6"/>
  <c r="BD70" i="6"/>
  <c r="BD62" i="6"/>
  <c r="BD60" i="6"/>
  <c r="BH59" i="6"/>
  <c r="BD59" i="6"/>
  <c r="BG59" i="6"/>
  <c r="CY59" i="6"/>
  <c r="AL58" i="6"/>
  <c r="BI58" i="6"/>
  <c r="DB57" i="6"/>
  <c r="DD57" i="6"/>
  <c r="DC57" i="6"/>
  <c r="CL55" i="6"/>
  <c r="CS55" i="6"/>
  <c r="ED55" i="6" s="1"/>
  <c r="CN55" i="6"/>
  <c r="CM55" i="6"/>
  <c r="Y54" i="6"/>
  <c r="X54" i="6"/>
  <c r="DB54" i="6"/>
  <c r="DD54" i="6"/>
  <c r="DC54" i="6"/>
  <c r="CT54" i="6"/>
  <c r="CV54" i="6"/>
  <c r="CU54" i="6"/>
  <c r="EP53" i="6"/>
  <c r="EO53" i="6"/>
  <c r="ER53" i="6"/>
  <c r="FJ53" i="6" s="1"/>
  <c r="EN53" i="6"/>
  <c r="CX53" i="6"/>
  <c r="CZ53" i="6"/>
  <c r="CY53" i="6"/>
  <c r="CT53" i="6"/>
  <c r="CV53" i="6"/>
  <c r="CU53" i="6"/>
  <c r="BE57" i="6"/>
  <c r="BI57" i="6"/>
  <c r="CU57" i="6"/>
  <c r="CY57" i="6"/>
  <c r="BE55" i="6"/>
  <c r="BI55" i="6"/>
  <c r="CU55" i="6"/>
  <c r="BE54" i="6"/>
  <c r="BI54" i="6"/>
  <c r="BE53" i="6"/>
  <c r="BI53" i="6"/>
  <c r="BF57" i="6"/>
  <c r="CV57" i="6"/>
  <c r="CZ57" i="6"/>
  <c r="BF55" i="6"/>
  <c r="CV55" i="6"/>
  <c r="BF54" i="6"/>
  <c r="BF53" i="6"/>
  <c r="AL57" i="6"/>
  <c r="BG57" i="6"/>
  <c r="BD57" i="6"/>
  <c r="BD55" i="6"/>
  <c r="BD54" i="6"/>
  <c r="BD53" i="6"/>
  <c r="CG85" i="6"/>
  <c r="CX85" i="6"/>
  <c r="CY85" i="6"/>
  <c r="CZ85" i="6"/>
  <c r="EP85" i="6"/>
  <c r="ER85" i="6"/>
  <c r="FJ85" i="6" s="1"/>
  <c r="EN85" i="6"/>
  <c r="EO85" i="6"/>
  <c r="CT85" i="6"/>
  <c r="CV85" i="6"/>
  <c r="CU85" i="6"/>
  <c r="Y85" i="6"/>
  <c r="X85" i="6"/>
  <c r="DB85" i="6"/>
  <c r="DC85" i="6"/>
  <c r="DD85" i="6"/>
  <c r="CL85" i="6"/>
  <c r="CS85" i="6"/>
  <c r="CN85" i="6"/>
  <c r="CM85" i="6"/>
  <c r="BD85" i="6"/>
  <c r="BH85" i="6"/>
  <c r="BE85" i="6"/>
  <c r="BI85" i="6"/>
  <c r="BK223" i="6"/>
  <c r="BL223" i="6" s="1"/>
  <c r="BK222" i="6"/>
  <c r="BL222" i="6" s="1"/>
  <c r="BK221" i="6"/>
  <c r="BL221" i="6" s="1"/>
  <c r="BK220" i="6"/>
  <c r="BL220" i="6" s="1"/>
  <c r="BK219" i="6"/>
  <c r="BL219" i="6" s="1"/>
  <c r="BK217" i="6"/>
  <c r="BL217" i="6" s="1"/>
  <c r="BK215" i="6"/>
  <c r="BL215" i="6" s="1"/>
  <c r="BK214" i="6"/>
  <c r="BL214" i="6" s="1"/>
  <c r="BK213" i="6"/>
  <c r="BL213" i="6" s="1"/>
  <c r="BK208" i="6"/>
  <c r="BL208" i="6" s="1"/>
  <c r="BK211" i="6"/>
  <c r="BL211" i="6" s="1"/>
  <c r="BK212" i="6"/>
  <c r="BL212" i="6" s="1"/>
  <c r="BK205" i="6"/>
  <c r="BL205" i="6" s="1"/>
  <c r="BK202" i="6"/>
  <c r="BL202" i="6" s="1"/>
  <c r="BK201" i="6"/>
  <c r="BL201" i="6" s="1"/>
  <c r="BK200" i="6"/>
  <c r="BL200" i="6" s="1"/>
  <c r="BK197" i="6"/>
  <c r="BL197" i="6" s="1"/>
  <c r="BK198" i="6"/>
  <c r="BL198" i="6" s="1"/>
  <c r="BK195" i="6"/>
  <c r="BL195" i="6" s="1"/>
  <c r="BK193" i="6"/>
  <c r="BL193" i="6" s="1"/>
  <c r="BK191" i="6"/>
  <c r="BL191" i="6" s="1"/>
  <c r="BK190" i="6"/>
  <c r="BL190" i="6" s="1"/>
  <c r="BK189" i="6"/>
  <c r="BL189" i="6" s="1"/>
  <c r="BK22" i="6"/>
  <c r="BL22" i="6" s="1"/>
  <c r="BK188" i="6"/>
  <c r="BL188" i="6" s="1"/>
  <c r="BK187" i="6"/>
  <c r="BL187" i="6" s="1"/>
  <c r="BK185" i="6"/>
  <c r="BL185" i="6" s="1"/>
  <c r="BK184" i="6"/>
  <c r="BL184" i="6" s="1"/>
  <c r="BK183" i="6"/>
  <c r="BL183" i="6" s="1"/>
  <c r="BK182" i="6"/>
  <c r="BL182" i="6" s="1"/>
  <c r="BK180" i="6"/>
  <c r="BL180" i="6" s="1"/>
  <c r="BK177" i="6"/>
  <c r="BL177" i="6" s="1"/>
  <c r="BK175" i="6"/>
  <c r="BL175" i="6" s="1"/>
  <c r="BK176" i="6"/>
  <c r="BL176" i="6" s="1"/>
  <c r="BK174" i="6"/>
  <c r="BL174" i="6" s="1"/>
  <c r="BK171" i="6"/>
  <c r="BL171" i="6" s="1"/>
  <c r="BK170" i="6"/>
  <c r="BL170" i="6" s="1"/>
  <c r="BK168" i="6"/>
  <c r="BL168" i="6" s="1"/>
  <c r="BK165" i="6"/>
  <c r="BL165" i="6" s="1"/>
  <c r="BK164" i="6"/>
  <c r="BL164" i="6" s="1"/>
  <c r="BK162" i="6"/>
  <c r="BL162" i="6" s="1"/>
  <c r="BK161" i="6"/>
  <c r="BL161" i="6" s="1"/>
  <c r="BK159" i="6"/>
  <c r="BL159" i="6" s="1"/>
  <c r="BK158" i="6"/>
  <c r="BL158" i="6" s="1"/>
  <c r="BK156" i="6"/>
  <c r="BL156" i="6" s="1"/>
  <c r="BK155" i="6"/>
  <c r="BL155" i="6" s="1"/>
  <c r="BK154" i="6"/>
  <c r="BL154" i="6" s="1"/>
  <c r="BK152" i="6"/>
  <c r="BL152" i="6" s="1"/>
  <c r="BK151" i="6"/>
  <c r="BL151" i="6" s="1"/>
  <c r="BK150" i="6"/>
  <c r="BL150" i="6" s="1"/>
  <c r="BK149" i="6"/>
  <c r="BL149" i="6" s="1"/>
  <c r="BK144" i="6"/>
  <c r="BL144" i="6" s="1"/>
  <c r="BK145" i="6"/>
  <c r="BL145" i="6" s="1"/>
  <c r="BK146" i="6"/>
  <c r="BL146" i="6" s="1"/>
  <c r="BK147" i="6"/>
  <c r="BL147" i="6" s="1"/>
  <c r="BK140" i="6"/>
  <c r="BL140" i="6" s="1"/>
  <c r="BK141" i="6"/>
  <c r="BL141" i="6" s="1"/>
  <c r="BK138" i="6"/>
  <c r="BL138" i="6" s="1"/>
  <c r="BK134" i="6"/>
  <c r="BL134" i="6" s="1"/>
  <c r="BK133" i="6"/>
  <c r="BL133" i="6" s="1"/>
  <c r="BK132" i="6"/>
  <c r="BL132" i="6" s="1"/>
  <c r="BK131" i="6"/>
  <c r="BL131" i="6" s="1"/>
  <c r="BK130" i="6"/>
  <c r="BL130" i="6" s="1"/>
  <c r="BK129" i="6"/>
  <c r="BL129" i="6" s="1"/>
  <c r="BK128" i="6"/>
  <c r="BL128" i="6" s="1"/>
  <c r="BK127" i="6"/>
  <c r="BL127" i="6" s="1"/>
  <c r="BK123" i="6"/>
  <c r="BL123" i="6" s="1"/>
  <c r="BK122" i="6"/>
  <c r="BL122" i="6" s="1"/>
  <c r="BK120" i="6"/>
  <c r="BL120" i="6" s="1"/>
  <c r="BK121" i="6"/>
  <c r="BL121" i="6" s="1"/>
  <c r="BK119" i="6"/>
  <c r="BL119" i="6" s="1"/>
  <c r="BK117" i="6"/>
  <c r="BL117" i="6" s="1"/>
  <c r="BK116" i="6"/>
  <c r="BL116" i="6" s="1"/>
  <c r="BK114" i="6"/>
  <c r="BL114" i="6" s="1"/>
  <c r="BK111" i="6"/>
  <c r="BL111" i="6" s="1"/>
  <c r="BK110" i="6"/>
  <c r="BL110" i="6" s="1"/>
  <c r="BK109" i="6"/>
  <c r="BL109" i="6" s="1"/>
  <c r="BK108" i="6"/>
  <c r="BL108" i="6" s="1"/>
  <c r="BK107" i="6"/>
  <c r="BL107" i="6" s="1"/>
  <c r="BK106" i="6"/>
  <c r="BL106" i="6" s="1"/>
  <c r="BK103" i="6"/>
  <c r="BL103" i="6" s="1"/>
  <c r="BK102" i="6"/>
  <c r="BL102" i="6" s="1"/>
  <c r="BK101" i="6"/>
  <c r="BL101" i="6" s="1"/>
  <c r="BK99" i="6"/>
  <c r="BL99" i="6" s="1"/>
  <c r="BK98" i="6"/>
  <c r="BL98" i="6" s="1"/>
  <c r="BK94" i="6"/>
  <c r="BL94" i="6" s="1"/>
  <c r="BK92" i="6"/>
  <c r="BL92" i="6" s="1"/>
  <c r="BK89" i="6"/>
  <c r="BL89" i="6" s="1"/>
  <c r="BK90" i="6"/>
  <c r="BL90" i="6" s="1"/>
  <c r="BK91" i="6"/>
  <c r="BL91" i="6" s="1"/>
  <c r="BK88" i="6"/>
  <c r="BL88" i="6" s="1"/>
  <c r="BK87" i="6"/>
  <c r="BL87" i="6" s="1"/>
  <c r="BK86" i="6"/>
  <c r="BL86" i="6" s="1"/>
  <c r="FK57" i="6" l="1"/>
  <c r="FK81" i="6"/>
  <c r="FM81" i="6" s="1"/>
  <c r="FL81" i="6" s="1"/>
  <c r="FK16" i="6"/>
  <c r="FK54" i="6"/>
  <c r="FM54" i="6" s="1"/>
  <c r="FL54" i="6" s="1"/>
  <c r="FK82" i="6"/>
  <c r="FM82" i="6" s="1"/>
  <c r="FL82" i="6" s="1"/>
  <c r="FK13" i="6"/>
  <c r="FM13" i="6" s="1"/>
  <c r="FL13" i="6" s="1"/>
  <c r="FK73" i="6"/>
  <c r="FM73" i="6" s="1"/>
  <c r="FL73" i="6" s="1"/>
  <c r="FK71" i="6"/>
  <c r="FM71" i="6" s="1"/>
  <c r="FL71" i="6" s="1"/>
  <c r="FK3" i="6"/>
  <c r="FM3" i="6" s="1"/>
  <c r="FL3" i="6" s="1"/>
  <c r="FK27" i="6"/>
  <c r="FM27" i="6" s="1"/>
  <c r="FL27" i="6" s="1"/>
  <c r="FK24" i="6"/>
  <c r="FM24" i="6" s="1"/>
  <c r="FL24" i="6" s="1"/>
  <c r="FK48" i="6"/>
  <c r="FM48" i="6" s="1"/>
  <c r="FL48" i="6" s="1"/>
  <c r="BJ25" i="6"/>
  <c r="FK23" i="6"/>
  <c r="FM23" i="6" s="1"/>
  <c r="FL23" i="6" s="1"/>
  <c r="FK50" i="6"/>
  <c r="FM50" i="6" s="1"/>
  <c r="FL50" i="6" s="1"/>
  <c r="FK55" i="6"/>
  <c r="FM55" i="6" s="1"/>
  <c r="FL55" i="6" s="1"/>
  <c r="BJ28" i="6"/>
  <c r="FK79" i="6"/>
  <c r="FM79" i="6" s="1"/>
  <c r="FL79" i="6" s="1"/>
  <c r="BJ31" i="6"/>
  <c r="BJ5" i="6"/>
  <c r="BJ36" i="6"/>
  <c r="BJ51" i="6"/>
  <c r="FK62" i="6"/>
  <c r="FM62" i="6" s="1"/>
  <c r="FL62" i="6" s="1"/>
  <c r="BJ33" i="6"/>
  <c r="BJ46" i="6"/>
  <c r="FK70" i="6"/>
  <c r="FM70" i="6" s="1"/>
  <c r="FL70" i="6" s="1"/>
  <c r="FK15" i="6"/>
  <c r="FM15" i="6" s="1"/>
  <c r="FL15" i="6" s="1"/>
  <c r="FK83" i="6"/>
  <c r="FM83" i="6" s="1"/>
  <c r="FL83" i="6" s="1"/>
  <c r="BJ23" i="6"/>
  <c r="BJ42" i="6"/>
  <c r="BJ48" i="6"/>
  <c r="BJ73" i="6"/>
  <c r="FK6" i="6"/>
  <c r="FM6" i="6" s="1"/>
  <c r="FL6" i="6" s="1"/>
  <c r="FK7" i="6"/>
  <c r="FM7" i="6" s="1"/>
  <c r="FL7" i="6" s="1"/>
  <c r="FK21" i="6"/>
  <c r="FM21" i="6" s="1"/>
  <c r="FL21" i="6" s="1"/>
  <c r="FM57" i="6"/>
  <c r="FL57" i="6" s="1"/>
  <c r="FK17" i="6"/>
  <c r="FM17" i="6" s="1"/>
  <c r="FL17" i="6" s="1"/>
  <c r="BJ37" i="6"/>
  <c r="BJ40" i="6"/>
  <c r="FK37" i="6"/>
  <c r="FM37" i="6" s="1"/>
  <c r="FL37" i="6" s="1"/>
  <c r="BJ2" i="6"/>
  <c r="BJ24" i="6"/>
  <c r="CR84" i="6"/>
  <c r="ED84" i="6"/>
  <c r="FK84" i="6" s="1"/>
  <c r="FM84" i="6" s="1"/>
  <c r="FL84" i="6" s="1"/>
  <c r="FK42" i="6"/>
  <c r="FM42" i="6" s="1"/>
  <c r="FL42" i="6" s="1"/>
  <c r="BJ49" i="6"/>
  <c r="BJ84" i="6"/>
  <c r="FK2" i="6"/>
  <c r="FM2" i="6" s="1"/>
  <c r="FL2" i="6" s="1"/>
  <c r="BJ13" i="6"/>
  <c r="BJ12" i="6"/>
  <c r="BJ17" i="6"/>
  <c r="BJ30" i="6"/>
  <c r="BJ38" i="6"/>
  <c r="FK20" i="6"/>
  <c r="FM20" i="6" s="1"/>
  <c r="FL20" i="6" s="1"/>
  <c r="FK46" i="6"/>
  <c r="FM46" i="6" s="1"/>
  <c r="FL46" i="6" s="1"/>
  <c r="FK4" i="6"/>
  <c r="FM4" i="6" s="1"/>
  <c r="FL4" i="6" s="1"/>
  <c r="BJ21" i="6"/>
  <c r="BJ6" i="6"/>
  <c r="BJ14" i="6"/>
  <c r="BJ29" i="6"/>
  <c r="BJ57" i="6"/>
  <c r="FK59" i="6"/>
  <c r="FM59" i="6" s="1"/>
  <c r="FL59" i="6" s="1"/>
  <c r="BJ82" i="6"/>
  <c r="CQ84" i="6"/>
  <c r="BJ3" i="6"/>
  <c r="BJ4" i="6"/>
  <c r="FM16" i="6"/>
  <c r="FL16" i="6" s="1"/>
  <c r="BJ27" i="6"/>
  <c r="BJ32" i="6"/>
  <c r="FK32" i="6"/>
  <c r="FM32" i="6" s="1"/>
  <c r="FL32" i="6" s="1"/>
  <c r="BJ50" i="6"/>
  <c r="CR7" i="6"/>
  <c r="CP7" i="6"/>
  <c r="CQ7" i="6"/>
  <c r="BJ60" i="6"/>
  <c r="BJ7" i="6"/>
  <c r="CR14" i="6"/>
  <c r="CQ14" i="6"/>
  <c r="CP14" i="6"/>
  <c r="BJ20" i="6"/>
  <c r="CR25" i="6"/>
  <c r="CQ25" i="6"/>
  <c r="CP25" i="6"/>
  <c r="ED25" i="6"/>
  <c r="FK25" i="6" s="1"/>
  <c r="FM25" i="6" s="1"/>
  <c r="FL25" i="6" s="1"/>
  <c r="FK38" i="6"/>
  <c r="FM38" i="6" s="1"/>
  <c r="FL38" i="6" s="1"/>
  <c r="FK28" i="6"/>
  <c r="FM28" i="6" s="1"/>
  <c r="FL28" i="6" s="1"/>
  <c r="CR29" i="6"/>
  <c r="CQ29" i="6"/>
  <c r="CP29" i="6"/>
  <c r="CR31" i="6"/>
  <c r="CQ31" i="6"/>
  <c r="CP31" i="6"/>
  <c r="CR37" i="6"/>
  <c r="CP37" i="6"/>
  <c r="CQ37" i="6"/>
  <c r="CP49" i="6"/>
  <c r="CR49" i="6"/>
  <c r="CQ49" i="6"/>
  <c r="CP24" i="6"/>
  <c r="CR24" i="6"/>
  <c r="CQ24" i="6"/>
  <c r="BJ16" i="6"/>
  <c r="CQ18" i="6"/>
  <c r="CP18" i="6"/>
  <c r="CR18" i="6"/>
  <c r="CR33" i="6"/>
  <c r="CQ33" i="6"/>
  <c r="CP33" i="6"/>
  <c r="CR30" i="6"/>
  <c r="CP30" i="6"/>
  <c r="CQ30" i="6"/>
  <c r="CR32" i="6"/>
  <c r="CP32" i="6"/>
  <c r="CQ32" i="6"/>
  <c r="ED33" i="6"/>
  <c r="FK33" i="6" s="1"/>
  <c r="FM33" i="6" s="1"/>
  <c r="FL33" i="6" s="1"/>
  <c r="CR42" i="6"/>
  <c r="CP42" i="6"/>
  <c r="CQ42" i="6"/>
  <c r="CP48" i="6"/>
  <c r="CR48" i="6"/>
  <c r="CQ48" i="6"/>
  <c r="ED49" i="6"/>
  <c r="FK49" i="6" s="1"/>
  <c r="FM49" i="6" s="1"/>
  <c r="FL49" i="6" s="1"/>
  <c r="BJ59" i="6"/>
  <c r="BJ83" i="6"/>
  <c r="CR4" i="6"/>
  <c r="CP4" i="6"/>
  <c r="CQ4" i="6"/>
  <c r="FK5" i="6"/>
  <c r="FM5" i="6" s="1"/>
  <c r="FL5" i="6" s="1"/>
  <c r="BJ10" i="6"/>
  <c r="BJ15" i="6"/>
  <c r="CQ13" i="6"/>
  <c r="CP13" i="6"/>
  <c r="CR13" i="6"/>
  <c r="ED14" i="6"/>
  <c r="FK14" i="6" s="1"/>
  <c r="FM14" i="6" s="1"/>
  <c r="FL14" i="6" s="1"/>
  <c r="CR12" i="6"/>
  <c r="CQ12" i="6"/>
  <c r="CP12" i="6"/>
  <c r="BJ18" i="6"/>
  <c r="CP15" i="6"/>
  <c r="CR15" i="6"/>
  <c r="CQ15" i="6"/>
  <c r="CQ20" i="6"/>
  <c r="CP20" i="6"/>
  <c r="CR20" i="6"/>
  <c r="CQ16" i="6"/>
  <c r="CP16" i="6"/>
  <c r="CR16" i="6"/>
  <c r="FK40" i="6"/>
  <c r="FM40" i="6" s="1"/>
  <c r="FL40" i="6" s="1"/>
  <c r="CQ17" i="6"/>
  <c r="CP17" i="6"/>
  <c r="CR17" i="6"/>
  <c r="FK31" i="6"/>
  <c r="FM31" i="6" s="1"/>
  <c r="FL31" i="6" s="1"/>
  <c r="CR36" i="6"/>
  <c r="CQ36" i="6"/>
  <c r="CP36" i="6"/>
  <c r="CR51" i="6"/>
  <c r="CQ51" i="6"/>
  <c r="CP51" i="6"/>
  <c r="CP46" i="6"/>
  <c r="CR46" i="6"/>
  <c r="CQ46" i="6"/>
  <c r="FK51" i="6"/>
  <c r="FM51" i="6" s="1"/>
  <c r="FL51" i="6" s="1"/>
  <c r="CR5" i="6"/>
  <c r="CQ5" i="6"/>
  <c r="CP5" i="6"/>
  <c r="CP2" i="6"/>
  <c r="CR2" i="6"/>
  <c r="CQ2" i="6"/>
  <c r="CP3" i="6"/>
  <c r="CR3" i="6"/>
  <c r="CQ3" i="6"/>
  <c r="CP23" i="6"/>
  <c r="CR23" i="6"/>
  <c r="CQ23" i="6"/>
  <c r="CR10" i="6"/>
  <c r="CQ10" i="6"/>
  <c r="CP10" i="6"/>
  <c r="ED12" i="6"/>
  <c r="FK12" i="6" s="1"/>
  <c r="FM12" i="6" s="1"/>
  <c r="FL12" i="6" s="1"/>
  <c r="ED10" i="6"/>
  <c r="FK10" i="6" s="1"/>
  <c r="FM10" i="6" s="1"/>
  <c r="FL10" i="6" s="1"/>
  <c r="ED18" i="6"/>
  <c r="FK18" i="6" s="1"/>
  <c r="FM18" i="6" s="1"/>
  <c r="FL18" i="6" s="1"/>
  <c r="CR27" i="6"/>
  <c r="CQ27" i="6"/>
  <c r="CP27" i="6"/>
  <c r="CR40" i="6"/>
  <c r="CQ40" i="6"/>
  <c r="CP40" i="6"/>
  <c r="FK29" i="6"/>
  <c r="FM29" i="6" s="1"/>
  <c r="FL29" i="6" s="1"/>
  <c r="FK36" i="6"/>
  <c r="FM36" i="6" s="1"/>
  <c r="FL36" i="6" s="1"/>
  <c r="CR38" i="6"/>
  <c r="CQ38" i="6"/>
  <c r="CP38" i="6"/>
  <c r="CR28" i="6"/>
  <c r="CQ28" i="6"/>
  <c r="CP28" i="6"/>
  <c r="ED30" i="6"/>
  <c r="FK30" i="6" s="1"/>
  <c r="FM30" i="6" s="1"/>
  <c r="FL30" i="6" s="1"/>
  <c r="CP50" i="6"/>
  <c r="CR50" i="6"/>
  <c r="CQ50" i="6"/>
  <c r="CQ21" i="6"/>
  <c r="CR21" i="6"/>
  <c r="CP21" i="6"/>
  <c r="BJ54" i="6"/>
  <c r="BJ70" i="6"/>
  <c r="CP57" i="6"/>
  <c r="CR57" i="6"/>
  <c r="CQ57" i="6"/>
  <c r="CP53" i="6"/>
  <c r="CR53" i="6"/>
  <c r="CQ53" i="6"/>
  <c r="CP54" i="6"/>
  <c r="CR54" i="6"/>
  <c r="CQ54" i="6"/>
  <c r="ED53" i="6"/>
  <c r="FK53" i="6" s="1"/>
  <c r="FM53" i="6" s="1"/>
  <c r="FL53" i="6" s="1"/>
  <c r="CP58" i="6"/>
  <c r="CR58" i="6"/>
  <c r="CQ58" i="6"/>
  <c r="CP60" i="6"/>
  <c r="CR60" i="6"/>
  <c r="CQ60" i="6"/>
  <c r="BJ81" i="6"/>
  <c r="BJ55" i="6"/>
  <c r="CP55" i="6"/>
  <c r="CR55" i="6"/>
  <c r="CQ55" i="6"/>
  <c r="BJ71" i="6"/>
  <c r="BJ58" i="6"/>
  <c r="ED58" i="6"/>
  <c r="FK58" i="6" s="1"/>
  <c r="FM58" i="6" s="1"/>
  <c r="FL58" i="6" s="1"/>
  <c r="CP81" i="6"/>
  <c r="CR81" i="6"/>
  <c r="CQ81" i="6"/>
  <c r="CP70" i="6"/>
  <c r="CR70" i="6"/>
  <c r="CQ70" i="6"/>
  <c r="CP79" i="6"/>
  <c r="CR79" i="6"/>
  <c r="CQ79" i="6"/>
  <c r="CP83" i="6"/>
  <c r="CR83" i="6"/>
  <c r="CQ83" i="6"/>
  <c r="BJ78" i="6"/>
  <c r="ED60" i="6"/>
  <c r="FK60" i="6" s="1"/>
  <c r="FM60" i="6" s="1"/>
  <c r="FL60" i="6" s="1"/>
  <c r="CP62" i="6"/>
  <c r="CR62" i="6"/>
  <c r="CQ62" i="6"/>
  <c r="CP71" i="6"/>
  <c r="CR71" i="6"/>
  <c r="CQ71" i="6"/>
  <c r="CP82" i="6"/>
  <c r="CR82" i="6"/>
  <c r="CQ82" i="6"/>
  <c r="BJ53" i="6"/>
  <c r="BJ62" i="6"/>
  <c r="BJ79" i="6"/>
  <c r="CP78" i="6"/>
  <c r="CR78" i="6"/>
  <c r="CQ78" i="6"/>
  <c r="CP59" i="6"/>
  <c r="CR59" i="6"/>
  <c r="CQ59" i="6"/>
  <c r="CP73" i="6"/>
  <c r="CR73" i="6"/>
  <c r="CQ73" i="6"/>
  <c r="ED78" i="6"/>
  <c r="FK78" i="6" s="1"/>
  <c r="FM78" i="6" s="1"/>
  <c r="FL78" i="6" s="1"/>
  <c r="CP85" i="6"/>
  <c r="CQ85" i="6"/>
  <c r="CR85" i="6"/>
  <c r="BJ85" i="6"/>
  <c r="ED85" i="6"/>
  <c r="FK85" i="6" s="1"/>
  <c r="FM85" i="6" s="1"/>
  <c r="FL85" i="6" s="1"/>
  <c r="EC176" i="6"/>
  <c r="EC164" i="6"/>
  <c r="EC165" i="6"/>
  <c r="EC86" i="6"/>
  <c r="EC87" i="6"/>
  <c r="EC88" i="6"/>
  <c r="EC91" i="6"/>
  <c r="EC90" i="6"/>
  <c r="EC89" i="6"/>
  <c r="EC92" i="6"/>
  <c r="EC94" i="6"/>
  <c r="EC98" i="6"/>
  <c r="EC99" i="6"/>
  <c r="EC101" i="6"/>
  <c r="EC102" i="6"/>
  <c r="EC103" i="6"/>
  <c r="EC106" i="6"/>
  <c r="EC107" i="6"/>
  <c r="EC108" i="6"/>
  <c r="EC109" i="6"/>
  <c r="EC110" i="6"/>
  <c r="EC111" i="6"/>
  <c r="EC180" i="6"/>
  <c r="EC182" i="6"/>
  <c r="EC183" i="6"/>
  <c r="EC184" i="6"/>
  <c r="EC185" i="6"/>
  <c r="EC187" i="6"/>
  <c r="EC188" i="6"/>
  <c r="EC22" i="6"/>
  <c r="EC189" i="6"/>
  <c r="EC190" i="6"/>
  <c r="EC191" i="6"/>
  <c r="EC193" i="6"/>
  <c r="EC195" i="6"/>
  <c r="EC198" i="6"/>
  <c r="EC197" i="6"/>
  <c r="EC200" i="6"/>
  <c r="EC201" i="6"/>
  <c r="EC223" i="6"/>
  <c r="DY86" i="6"/>
  <c r="DY87" i="6"/>
  <c r="DY88" i="6"/>
  <c r="DY91" i="6"/>
  <c r="DY90" i="6"/>
  <c r="DY89" i="6"/>
  <c r="DY92" i="6"/>
  <c r="DY94" i="6"/>
  <c r="DY98" i="6"/>
  <c r="DY99" i="6"/>
  <c r="DY101" i="6"/>
  <c r="DY102" i="6"/>
  <c r="DY103" i="6"/>
  <c r="DY106" i="6"/>
  <c r="DY107" i="6"/>
  <c r="DY127" i="6"/>
  <c r="DY128" i="6"/>
  <c r="DY129" i="6"/>
  <c r="DY130" i="6"/>
  <c r="DY131" i="6"/>
  <c r="DY132" i="6"/>
  <c r="DY133" i="6"/>
  <c r="DY134" i="6"/>
  <c r="DY138" i="6"/>
  <c r="DY141" i="6"/>
  <c r="DY140" i="6"/>
  <c r="DY147" i="6"/>
  <c r="DY146" i="6"/>
  <c r="DY175" i="6"/>
  <c r="DY177" i="6"/>
  <c r="DY180" i="6"/>
  <c r="DY182" i="6"/>
  <c r="DY183" i="6"/>
  <c r="DY184" i="6"/>
  <c r="DY185" i="6"/>
  <c r="DY187" i="6"/>
  <c r="DY188" i="6"/>
  <c r="DY22" i="6"/>
  <c r="DY189" i="6"/>
  <c r="DY190" i="6"/>
  <c r="DY191" i="6"/>
  <c r="DY193" i="6"/>
  <c r="DY195" i="6"/>
  <c r="DY198" i="6"/>
  <c r="DT191" i="6"/>
  <c r="DS191" i="6"/>
  <c r="DR191" i="6"/>
  <c r="DT193" i="6"/>
  <c r="DS193" i="6"/>
  <c r="DR193" i="6"/>
  <c r="DT195" i="6"/>
  <c r="DS195" i="6"/>
  <c r="DR195" i="6"/>
  <c r="DT198" i="6"/>
  <c r="DS198" i="6"/>
  <c r="DR198" i="6"/>
  <c r="DT197" i="6"/>
  <c r="DS197" i="6"/>
  <c r="DR197" i="6"/>
  <c r="DT200" i="6"/>
  <c r="DS200" i="6"/>
  <c r="DR200" i="6"/>
  <c r="DT201" i="6"/>
  <c r="DS201" i="6"/>
  <c r="DR201" i="6"/>
  <c r="DT202" i="6"/>
  <c r="DS202" i="6"/>
  <c r="DR202" i="6"/>
  <c r="DT205" i="6"/>
  <c r="DS205" i="6"/>
  <c r="DR205" i="6"/>
  <c r="DT212" i="6"/>
  <c r="DS212" i="6"/>
  <c r="DR212" i="6"/>
  <c r="DT211" i="6"/>
  <c r="DS211" i="6"/>
  <c r="DR211" i="6"/>
  <c r="DT208" i="6"/>
  <c r="DS208" i="6"/>
  <c r="DR208" i="6"/>
  <c r="DT213" i="6"/>
  <c r="DS213" i="6"/>
  <c r="DR213" i="6"/>
  <c r="DT214" i="6"/>
  <c r="DS214" i="6"/>
  <c r="DR214" i="6"/>
  <c r="DT162" i="6"/>
  <c r="DS162" i="6"/>
  <c r="DR162" i="6"/>
  <c r="DT164" i="6"/>
  <c r="DS164" i="6"/>
  <c r="DR164" i="6"/>
  <c r="DT165" i="6"/>
  <c r="DS165" i="6"/>
  <c r="DR165" i="6"/>
  <c r="DT168" i="6"/>
  <c r="DS168" i="6"/>
  <c r="DR168" i="6"/>
  <c r="DT170" i="6"/>
  <c r="DS170" i="6"/>
  <c r="DR170" i="6"/>
  <c r="DT171" i="6"/>
  <c r="DS171" i="6"/>
  <c r="DR171" i="6"/>
  <c r="DT174" i="6"/>
  <c r="DS174" i="6"/>
  <c r="DR174" i="6"/>
  <c r="DT176" i="6"/>
  <c r="DS176" i="6"/>
  <c r="DR176" i="6"/>
  <c r="DT175" i="6"/>
  <c r="DS175" i="6"/>
  <c r="DR175" i="6"/>
  <c r="DT177" i="6"/>
  <c r="DS177" i="6"/>
  <c r="DR177" i="6"/>
  <c r="DT180" i="6"/>
  <c r="DS180" i="6"/>
  <c r="DR180" i="6"/>
  <c r="DT182" i="6"/>
  <c r="DS182" i="6"/>
  <c r="DR182" i="6"/>
  <c r="DT183" i="6"/>
  <c r="DS183" i="6"/>
  <c r="DR183" i="6"/>
  <c r="DT184" i="6"/>
  <c r="DS184" i="6"/>
  <c r="DR184" i="6"/>
  <c r="DT185" i="6"/>
  <c r="DS185" i="6"/>
  <c r="DR185" i="6"/>
  <c r="DT187" i="6"/>
  <c r="DS187" i="6"/>
  <c r="DR187" i="6"/>
  <c r="DT188" i="6"/>
  <c r="DS188" i="6"/>
  <c r="DR188" i="6"/>
  <c r="DT86" i="6"/>
  <c r="DS86" i="6"/>
  <c r="DR86" i="6"/>
  <c r="DT87" i="6"/>
  <c r="DS87" i="6"/>
  <c r="DR87" i="6"/>
  <c r="DT88" i="6"/>
  <c r="DS88" i="6"/>
  <c r="DR88" i="6"/>
  <c r="DT91" i="6"/>
  <c r="DS91" i="6"/>
  <c r="DR91" i="6"/>
  <c r="DT90" i="6"/>
  <c r="DS90" i="6"/>
  <c r="DR90" i="6"/>
  <c r="DT89" i="6"/>
  <c r="DS89" i="6"/>
  <c r="DR89" i="6"/>
  <c r="DT92" i="6"/>
  <c r="DS92" i="6"/>
  <c r="DR92" i="6"/>
  <c r="DT94" i="6"/>
  <c r="DS94" i="6"/>
  <c r="DR94" i="6"/>
  <c r="DT98" i="6"/>
  <c r="DS98" i="6"/>
  <c r="DR98" i="6"/>
  <c r="DT99" i="6"/>
  <c r="DS99" i="6"/>
  <c r="DR99" i="6"/>
  <c r="DT101" i="6"/>
  <c r="DS101" i="6"/>
  <c r="DR101" i="6"/>
  <c r="DT102" i="6"/>
  <c r="DS102" i="6"/>
  <c r="DR102" i="6"/>
  <c r="DT103" i="6"/>
  <c r="DS103" i="6"/>
  <c r="DR103" i="6"/>
  <c r="DT106" i="6"/>
  <c r="DS106" i="6"/>
  <c r="DR106" i="6"/>
  <c r="DT107" i="6"/>
  <c r="DS107" i="6"/>
  <c r="DR107" i="6"/>
  <c r="DT108" i="6"/>
  <c r="DS108" i="6"/>
  <c r="DR108" i="6"/>
  <c r="DT109" i="6"/>
  <c r="DS109" i="6"/>
  <c r="DR109" i="6"/>
  <c r="DT110" i="6"/>
  <c r="DS110" i="6"/>
  <c r="DR110" i="6"/>
  <c r="DT111" i="6"/>
  <c r="DS111" i="6"/>
  <c r="DR111" i="6"/>
  <c r="DT114" i="6"/>
  <c r="DS114" i="6"/>
  <c r="DR114" i="6"/>
  <c r="DT116" i="6"/>
  <c r="DS116" i="6"/>
  <c r="DR116" i="6"/>
  <c r="DT117" i="6"/>
  <c r="DS117" i="6"/>
  <c r="DR117" i="6"/>
  <c r="DT119" i="6"/>
  <c r="DS119" i="6"/>
  <c r="DR119" i="6"/>
  <c r="DT121" i="6"/>
  <c r="DS121" i="6"/>
  <c r="DR121" i="6"/>
  <c r="DT120" i="6"/>
  <c r="DS120" i="6"/>
  <c r="DR120" i="6"/>
  <c r="DT122" i="6"/>
  <c r="DS122" i="6"/>
  <c r="DR122" i="6"/>
  <c r="DT123" i="6"/>
  <c r="DS123" i="6"/>
  <c r="DR123" i="6"/>
  <c r="DT127" i="6"/>
  <c r="DS127" i="6"/>
  <c r="DR127" i="6"/>
  <c r="DT128" i="6"/>
  <c r="DS128" i="6"/>
  <c r="DR128" i="6"/>
  <c r="DT129" i="6"/>
  <c r="DS129" i="6"/>
  <c r="DR129" i="6"/>
  <c r="DP86" i="6"/>
  <c r="DO86" i="6"/>
  <c r="DN86" i="6"/>
  <c r="DP87" i="6"/>
  <c r="DO87" i="6"/>
  <c r="DN87" i="6"/>
  <c r="DP88" i="6"/>
  <c r="DO88" i="6"/>
  <c r="DN88" i="6"/>
  <c r="DP91" i="6"/>
  <c r="DO91" i="6"/>
  <c r="DN91" i="6"/>
  <c r="DP90" i="6"/>
  <c r="DO90" i="6"/>
  <c r="DN90" i="6"/>
  <c r="DP89" i="6"/>
  <c r="DO89" i="6"/>
  <c r="DN89" i="6"/>
  <c r="DP92" i="6"/>
  <c r="DO92" i="6"/>
  <c r="DN92" i="6"/>
  <c r="DP94" i="6"/>
  <c r="DO94" i="6"/>
  <c r="DN94" i="6"/>
  <c r="DP98" i="6"/>
  <c r="DO98" i="6"/>
  <c r="DN98" i="6"/>
  <c r="DP99" i="6"/>
  <c r="DO99" i="6"/>
  <c r="DN99" i="6"/>
  <c r="DP101" i="6"/>
  <c r="DO101" i="6"/>
  <c r="DN101" i="6"/>
  <c r="DP102" i="6"/>
  <c r="DO102" i="6"/>
  <c r="DN102" i="6"/>
  <c r="DP103" i="6"/>
  <c r="DO103" i="6"/>
  <c r="DN103" i="6"/>
  <c r="DP106" i="6"/>
  <c r="DO106" i="6"/>
  <c r="DN106" i="6"/>
  <c r="DP107" i="6"/>
  <c r="DO107" i="6"/>
  <c r="DN107" i="6"/>
  <c r="DP119" i="6"/>
  <c r="DO119" i="6"/>
  <c r="DN119" i="6"/>
  <c r="DP127" i="6"/>
  <c r="DO127" i="6"/>
  <c r="DN127" i="6"/>
  <c r="DP128" i="6"/>
  <c r="DO128" i="6"/>
  <c r="DN128" i="6"/>
  <c r="DP129" i="6"/>
  <c r="DO129" i="6"/>
  <c r="DN129" i="6"/>
  <c r="DP130" i="6"/>
  <c r="DO130" i="6"/>
  <c r="DN130" i="6"/>
  <c r="DP131" i="6"/>
  <c r="DO131" i="6"/>
  <c r="DN131" i="6"/>
  <c r="DP132" i="6"/>
  <c r="DO132" i="6"/>
  <c r="DN132" i="6"/>
  <c r="DP133" i="6"/>
  <c r="DO133" i="6"/>
  <c r="DN133" i="6"/>
  <c r="DP134" i="6"/>
  <c r="DO134" i="6"/>
  <c r="DN134" i="6"/>
  <c r="DP184" i="6"/>
  <c r="DO184" i="6"/>
  <c r="DN184" i="6"/>
  <c r="DP185" i="6"/>
  <c r="DO185" i="6"/>
  <c r="DN185" i="6"/>
  <c r="DP187" i="6"/>
  <c r="DO187" i="6"/>
  <c r="DN187" i="6"/>
  <c r="DP188" i="6"/>
  <c r="DO188" i="6"/>
  <c r="DN188" i="6"/>
  <c r="DP22" i="6"/>
  <c r="DO22" i="6"/>
  <c r="DN22" i="6"/>
  <c r="DP214" i="6"/>
  <c r="DO214" i="6"/>
  <c r="DN214" i="6"/>
  <c r="EW223" i="6"/>
  <c r="EU86" i="6"/>
  <c r="ET86" i="6"/>
  <c r="ES86" i="6"/>
  <c r="EU87" i="6"/>
  <c r="ET87" i="6"/>
  <c r="ES87" i="6"/>
  <c r="EU88" i="6"/>
  <c r="ET88" i="6"/>
  <c r="ES88" i="6"/>
  <c r="EU91" i="6"/>
  <c r="ET91" i="6"/>
  <c r="ES91" i="6"/>
  <c r="EU90" i="6"/>
  <c r="ET90" i="6"/>
  <c r="ES90" i="6"/>
  <c r="EU89" i="6"/>
  <c r="ET89" i="6"/>
  <c r="ES89" i="6"/>
  <c r="EU92" i="6"/>
  <c r="ET92" i="6"/>
  <c r="ES92" i="6"/>
  <c r="EU94" i="6"/>
  <c r="ET94" i="6"/>
  <c r="ES94" i="6"/>
  <c r="EU98" i="6"/>
  <c r="ET98" i="6"/>
  <c r="ES98" i="6"/>
  <c r="EU99" i="6"/>
  <c r="ET99" i="6"/>
  <c r="ES99" i="6"/>
  <c r="EU101" i="6"/>
  <c r="ET101" i="6"/>
  <c r="ES101" i="6"/>
  <c r="EU102" i="6"/>
  <c r="ET102" i="6"/>
  <c r="ES102" i="6"/>
  <c r="EU103" i="6"/>
  <c r="ET103" i="6"/>
  <c r="ES103" i="6"/>
  <c r="EU106" i="6"/>
  <c r="ET106" i="6"/>
  <c r="ES106" i="6"/>
  <c r="EU107" i="6"/>
  <c r="ET107" i="6"/>
  <c r="ES107" i="6"/>
  <c r="EU108" i="6"/>
  <c r="ET108" i="6"/>
  <c r="ES108" i="6"/>
  <c r="EU109" i="6"/>
  <c r="ET109" i="6"/>
  <c r="ES109" i="6"/>
  <c r="EU110" i="6"/>
  <c r="ET110" i="6"/>
  <c r="ES110" i="6"/>
  <c r="EU111" i="6"/>
  <c r="ET111" i="6"/>
  <c r="ES111" i="6"/>
  <c r="EU114" i="6"/>
  <c r="ET114" i="6"/>
  <c r="ES114" i="6"/>
  <c r="EU116" i="6"/>
  <c r="ET116" i="6"/>
  <c r="ES116" i="6"/>
  <c r="EU117" i="6"/>
  <c r="ET117" i="6"/>
  <c r="ES117" i="6"/>
  <c r="EU119" i="6"/>
  <c r="ET119" i="6"/>
  <c r="ES119" i="6"/>
  <c r="EU121" i="6"/>
  <c r="ET121" i="6"/>
  <c r="ES121" i="6"/>
  <c r="EU120" i="6"/>
  <c r="ET120" i="6"/>
  <c r="ES120" i="6"/>
  <c r="EU122" i="6"/>
  <c r="ET122" i="6"/>
  <c r="ES122" i="6"/>
  <c r="EU123" i="6"/>
  <c r="ET123" i="6"/>
  <c r="ES123" i="6"/>
  <c r="EU127" i="6"/>
  <c r="ET127" i="6"/>
  <c r="ES127" i="6"/>
  <c r="EU128" i="6"/>
  <c r="ET128" i="6"/>
  <c r="ES128" i="6"/>
  <c r="EU129" i="6"/>
  <c r="ET129" i="6"/>
  <c r="ES129" i="6"/>
  <c r="EU130" i="6"/>
  <c r="ET130" i="6"/>
  <c r="ES130" i="6"/>
  <c r="EU131" i="6"/>
  <c r="ET131" i="6"/>
  <c r="ES131" i="6"/>
  <c r="EU132" i="6"/>
  <c r="ET132" i="6"/>
  <c r="ES132" i="6"/>
  <c r="EU133" i="6"/>
  <c r="ET133" i="6"/>
  <c r="ES133" i="6"/>
  <c r="EU134" i="6"/>
  <c r="ET134" i="6"/>
  <c r="ES134" i="6"/>
  <c r="EU138" i="6"/>
  <c r="ET138" i="6"/>
  <c r="ES138" i="6"/>
  <c r="EU141" i="6"/>
  <c r="ET141" i="6"/>
  <c r="ES141" i="6"/>
  <c r="EU140" i="6"/>
  <c r="ET140" i="6"/>
  <c r="ES140" i="6"/>
  <c r="EU147" i="6"/>
  <c r="ET147" i="6"/>
  <c r="ES147" i="6"/>
  <c r="EU146" i="6"/>
  <c r="ET146" i="6"/>
  <c r="ES146" i="6"/>
  <c r="EU145" i="6"/>
  <c r="ET145" i="6"/>
  <c r="ES145" i="6"/>
  <c r="EU144" i="6"/>
  <c r="ET144" i="6"/>
  <c r="ES144" i="6"/>
  <c r="EU149" i="6"/>
  <c r="ET149" i="6"/>
  <c r="ES149" i="6"/>
  <c r="EU150" i="6"/>
  <c r="ET150" i="6"/>
  <c r="ES150" i="6"/>
  <c r="EU151" i="6"/>
  <c r="ET151" i="6"/>
  <c r="ES151" i="6"/>
  <c r="EU152" i="6"/>
  <c r="ET152" i="6"/>
  <c r="ES152" i="6"/>
  <c r="EU154" i="6"/>
  <c r="ET154" i="6"/>
  <c r="ES154" i="6"/>
  <c r="EU155" i="6"/>
  <c r="ET155" i="6"/>
  <c r="ES155" i="6"/>
  <c r="EU156" i="6"/>
  <c r="ET156" i="6"/>
  <c r="ES156" i="6"/>
  <c r="EU158" i="6"/>
  <c r="ET158" i="6"/>
  <c r="ES158" i="6"/>
  <c r="EU159" i="6"/>
  <c r="ET159" i="6"/>
  <c r="ES159" i="6"/>
  <c r="EU161" i="6"/>
  <c r="ET161" i="6"/>
  <c r="ES161" i="6"/>
  <c r="EU162" i="6"/>
  <c r="ET162" i="6"/>
  <c r="ES162" i="6"/>
  <c r="EU164" i="6"/>
  <c r="ET164" i="6"/>
  <c r="ES164" i="6"/>
  <c r="EU165" i="6"/>
  <c r="ET165" i="6"/>
  <c r="ES165" i="6"/>
  <c r="EU168" i="6"/>
  <c r="ET168" i="6"/>
  <c r="ES168" i="6"/>
  <c r="EU170" i="6"/>
  <c r="ET170" i="6"/>
  <c r="ES170" i="6"/>
  <c r="EU171" i="6"/>
  <c r="ET171" i="6"/>
  <c r="ES171" i="6"/>
  <c r="EU174" i="6"/>
  <c r="ET174" i="6"/>
  <c r="ES174" i="6"/>
  <c r="EU176" i="6"/>
  <c r="ET176" i="6"/>
  <c r="ES176" i="6"/>
  <c r="EU175" i="6"/>
  <c r="ET175" i="6"/>
  <c r="ES175" i="6"/>
  <c r="EU177" i="6"/>
  <c r="ET177" i="6"/>
  <c r="ES177" i="6"/>
  <c r="EU180" i="6"/>
  <c r="ET180" i="6"/>
  <c r="ES180" i="6"/>
  <c r="EU182" i="6"/>
  <c r="ET182" i="6"/>
  <c r="ES182" i="6"/>
  <c r="EU183" i="6"/>
  <c r="ET183" i="6"/>
  <c r="ES183" i="6"/>
  <c r="EU184" i="6"/>
  <c r="ET184" i="6"/>
  <c r="ES184" i="6"/>
  <c r="EU185" i="6"/>
  <c r="ET185" i="6"/>
  <c r="ES185" i="6"/>
  <c r="EU187" i="6"/>
  <c r="ET187" i="6"/>
  <c r="ES187" i="6"/>
  <c r="EU188" i="6"/>
  <c r="ET188" i="6"/>
  <c r="ES188" i="6"/>
  <c r="EU22" i="6"/>
  <c r="ET22" i="6"/>
  <c r="ES22" i="6"/>
  <c r="EU189" i="6"/>
  <c r="ET189" i="6"/>
  <c r="ES189" i="6"/>
  <c r="EU190" i="6"/>
  <c r="ET190" i="6"/>
  <c r="ES190" i="6"/>
  <c r="EU191" i="6"/>
  <c r="ET191" i="6"/>
  <c r="ES191" i="6"/>
  <c r="EU193" i="6"/>
  <c r="ET193" i="6"/>
  <c r="ES193" i="6"/>
  <c r="EU195" i="6"/>
  <c r="ET195" i="6"/>
  <c r="ES195" i="6"/>
  <c r="EU198" i="6"/>
  <c r="ET198" i="6"/>
  <c r="ES198" i="6"/>
  <c r="EU197" i="6"/>
  <c r="ET197" i="6"/>
  <c r="ES197" i="6"/>
  <c r="EU200" i="6"/>
  <c r="ET200" i="6"/>
  <c r="ES200" i="6"/>
  <c r="EU201" i="6"/>
  <c r="ET201" i="6"/>
  <c r="ES201" i="6"/>
  <c r="EU202" i="6"/>
  <c r="ET202" i="6"/>
  <c r="ES202" i="6"/>
  <c r="EU212" i="6"/>
  <c r="ET212" i="6"/>
  <c r="ES212" i="6"/>
  <c r="EU211" i="6"/>
  <c r="ET211" i="6"/>
  <c r="ES211" i="6"/>
  <c r="EU208" i="6"/>
  <c r="ET208" i="6"/>
  <c r="ES208" i="6"/>
  <c r="EU213" i="6"/>
  <c r="ET213" i="6"/>
  <c r="ES213" i="6"/>
  <c r="EU214" i="6"/>
  <c r="ET214" i="6"/>
  <c r="ES214" i="6"/>
  <c r="EU215" i="6"/>
  <c r="ET215" i="6"/>
  <c r="ES215" i="6"/>
  <c r="EU217" i="6"/>
  <c r="ET217" i="6"/>
  <c r="ES217" i="6"/>
  <c r="EU219" i="6"/>
  <c r="ET219" i="6"/>
  <c r="ES219" i="6"/>
  <c r="EU220" i="6"/>
  <c r="ET220" i="6"/>
  <c r="ES220" i="6"/>
  <c r="EU221" i="6"/>
  <c r="ET221" i="6"/>
  <c r="ES221" i="6"/>
  <c r="EK86" i="6"/>
  <c r="EJ86" i="6"/>
  <c r="EI86" i="6"/>
  <c r="EK87" i="6"/>
  <c r="EJ87" i="6"/>
  <c r="EI87" i="6"/>
  <c r="EK88" i="6"/>
  <c r="EJ88" i="6"/>
  <c r="EI88" i="6"/>
  <c r="EK91" i="6"/>
  <c r="EJ91" i="6"/>
  <c r="EI91" i="6"/>
  <c r="EK90" i="6"/>
  <c r="EJ90" i="6"/>
  <c r="EI90" i="6"/>
  <c r="EK89" i="6"/>
  <c r="EJ89" i="6"/>
  <c r="EI89" i="6"/>
  <c r="EK92" i="6"/>
  <c r="EJ92" i="6"/>
  <c r="EI92" i="6"/>
  <c r="EK94" i="6"/>
  <c r="EJ94" i="6"/>
  <c r="EI94" i="6"/>
  <c r="EK98" i="6"/>
  <c r="EJ98" i="6"/>
  <c r="EI98" i="6"/>
  <c r="EK99" i="6"/>
  <c r="EJ99" i="6"/>
  <c r="EI99" i="6"/>
  <c r="EK101" i="6"/>
  <c r="EJ101" i="6"/>
  <c r="EI101" i="6"/>
  <c r="EK102" i="6"/>
  <c r="EJ102" i="6"/>
  <c r="EI102" i="6"/>
  <c r="EK103" i="6"/>
  <c r="EJ103" i="6"/>
  <c r="EI103" i="6"/>
  <c r="EK106" i="6"/>
  <c r="EJ106" i="6"/>
  <c r="EI106" i="6"/>
  <c r="EK107" i="6"/>
  <c r="EJ107" i="6"/>
  <c r="EI107" i="6"/>
  <c r="EK108" i="6"/>
  <c r="EJ108" i="6"/>
  <c r="EI108" i="6"/>
  <c r="EK109" i="6"/>
  <c r="EJ109" i="6"/>
  <c r="EI109" i="6"/>
  <c r="EK110" i="6"/>
  <c r="EJ110" i="6"/>
  <c r="EI110" i="6"/>
  <c r="EK111" i="6"/>
  <c r="EJ111" i="6"/>
  <c r="EI111" i="6"/>
  <c r="EK114" i="6"/>
  <c r="EJ114" i="6"/>
  <c r="EI114" i="6"/>
  <c r="EK116" i="6"/>
  <c r="EJ116" i="6"/>
  <c r="EI116" i="6"/>
  <c r="EK117" i="6"/>
  <c r="EJ117" i="6"/>
  <c r="EI117" i="6"/>
  <c r="EK119" i="6"/>
  <c r="EJ119" i="6"/>
  <c r="EI119" i="6"/>
  <c r="EK121" i="6"/>
  <c r="EJ121" i="6"/>
  <c r="EI121" i="6"/>
  <c r="EK120" i="6"/>
  <c r="EJ120" i="6"/>
  <c r="EI120" i="6"/>
  <c r="EK122" i="6"/>
  <c r="EJ122" i="6"/>
  <c r="EI122" i="6"/>
  <c r="EK123" i="6"/>
  <c r="EJ123" i="6"/>
  <c r="EI123" i="6"/>
  <c r="EK127" i="6"/>
  <c r="EJ127" i="6"/>
  <c r="EI127" i="6"/>
  <c r="EK128" i="6"/>
  <c r="EJ128" i="6"/>
  <c r="EI128" i="6"/>
  <c r="EK129" i="6"/>
  <c r="EJ129" i="6"/>
  <c r="EI129" i="6"/>
  <c r="EK130" i="6"/>
  <c r="EJ130" i="6"/>
  <c r="EI130" i="6"/>
  <c r="EK131" i="6"/>
  <c r="EJ131" i="6"/>
  <c r="EI131" i="6"/>
  <c r="EK132" i="6"/>
  <c r="EJ132" i="6"/>
  <c r="EI132" i="6"/>
  <c r="EK133" i="6"/>
  <c r="EJ133" i="6"/>
  <c r="EI133" i="6"/>
  <c r="EK134" i="6"/>
  <c r="EJ134" i="6"/>
  <c r="EI134" i="6"/>
  <c r="EK138" i="6"/>
  <c r="EJ138" i="6"/>
  <c r="EI138" i="6"/>
  <c r="EK141" i="6"/>
  <c r="EJ141" i="6"/>
  <c r="EI141" i="6"/>
  <c r="EK140" i="6"/>
  <c r="EJ140" i="6"/>
  <c r="EI140" i="6"/>
  <c r="EK147" i="6"/>
  <c r="EJ147" i="6"/>
  <c r="EI147" i="6"/>
  <c r="EK146" i="6"/>
  <c r="EJ146" i="6"/>
  <c r="EI146" i="6"/>
  <c r="EK145" i="6"/>
  <c r="EJ145" i="6"/>
  <c r="EI145" i="6"/>
  <c r="EK144" i="6"/>
  <c r="EJ144" i="6"/>
  <c r="EI144" i="6"/>
  <c r="EK149" i="6"/>
  <c r="EJ149" i="6"/>
  <c r="EI149" i="6"/>
  <c r="EK150" i="6"/>
  <c r="EJ150" i="6"/>
  <c r="EI150" i="6"/>
  <c r="EK151" i="6"/>
  <c r="EJ151" i="6"/>
  <c r="EI151" i="6"/>
  <c r="EK152" i="6"/>
  <c r="EJ152" i="6"/>
  <c r="EI152" i="6"/>
  <c r="EK154" i="6"/>
  <c r="EJ154" i="6"/>
  <c r="EI154" i="6"/>
  <c r="EK155" i="6"/>
  <c r="EJ155" i="6"/>
  <c r="EI155" i="6"/>
  <c r="EK156" i="6"/>
  <c r="EJ156" i="6"/>
  <c r="EI156" i="6"/>
  <c r="EK158" i="6"/>
  <c r="EJ158" i="6"/>
  <c r="EI158" i="6"/>
  <c r="EK159" i="6"/>
  <c r="EJ159" i="6"/>
  <c r="EI159" i="6"/>
  <c r="EK161" i="6"/>
  <c r="EJ161" i="6"/>
  <c r="EI161" i="6"/>
  <c r="EK162" i="6"/>
  <c r="EJ162" i="6"/>
  <c r="EI162" i="6"/>
  <c r="EK164" i="6"/>
  <c r="EJ164" i="6"/>
  <c r="EI164" i="6"/>
  <c r="EK165" i="6"/>
  <c r="EJ165" i="6"/>
  <c r="EI165" i="6"/>
  <c r="EK168" i="6"/>
  <c r="EJ168" i="6"/>
  <c r="EI168" i="6"/>
  <c r="EK170" i="6"/>
  <c r="EJ170" i="6"/>
  <c r="EI170" i="6"/>
  <c r="EK171" i="6"/>
  <c r="EJ171" i="6"/>
  <c r="EI171" i="6"/>
  <c r="EK174" i="6"/>
  <c r="EJ174" i="6"/>
  <c r="EI174" i="6"/>
  <c r="EK176" i="6"/>
  <c r="EJ176" i="6"/>
  <c r="EI176" i="6"/>
  <c r="EK175" i="6"/>
  <c r="EJ175" i="6"/>
  <c r="EI175" i="6"/>
  <c r="EK177" i="6"/>
  <c r="EJ177" i="6"/>
  <c r="EI177" i="6"/>
  <c r="EK180" i="6"/>
  <c r="EJ180" i="6"/>
  <c r="EI180" i="6"/>
  <c r="EK182" i="6"/>
  <c r="EJ182" i="6"/>
  <c r="EI182" i="6"/>
  <c r="EK183" i="6"/>
  <c r="EJ183" i="6"/>
  <c r="EI183" i="6"/>
  <c r="EK184" i="6"/>
  <c r="EJ184" i="6"/>
  <c r="EI184" i="6"/>
  <c r="EK185" i="6"/>
  <c r="EJ185" i="6"/>
  <c r="EI185" i="6"/>
  <c r="EK187" i="6"/>
  <c r="EJ187" i="6"/>
  <c r="EI187" i="6"/>
  <c r="EK188" i="6"/>
  <c r="EJ188" i="6"/>
  <c r="EI188" i="6"/>
  <c r="EK22" i="6"/>
  <c r="EJ22" i="6"/>
  <c r="EI22" i="6"/>
  <c r="EK189" i="6"/>
  <c r="EJ189" i="6"/>
  <c r="EI189" i="6"/>
  <c r="EK190" i="6"/>
  <c r="EJ190" i="6"/>
  <c r="EI190" i="6"/>
  <c r="EK191" i="6"/>
  <c r="EJ191" i="6"/>
  <c r="EI191" i="6"/>
  <c r="EK193" i="6"/>
  <c r="EJ193" i="6"/>
  <c r="EI193" i="6"/>
  <c r="EK195" i="6"/>
  <c r="EJ195" i="6"/>
  <c r="EI195" i="6"/>
  <c r="EK198" i="6"/>
  <c r="EJ198" i="6"/>
  <c r="EI198" i="6"/>
  <c r="EK197" i="6"/>
  <c r="EJ197" i="6"/>
  <c r="EI197" i="6"/>
  <c r="EK200" i="6"/>
  <c r="EJ200" i="6"/>
  <c r="EI200" i="6"/>
  <c r="EK201" i="6"/>
  <c r="EJ201" i="6"/>
  <c r="EI201" i="6"/>
  <c r="EK202" i="6"/>
  <c r="EJ202" i="6"/>
  <c r="EI202" i="6"/>
  <c r="EK205" i="6"/>
  <c r="EJ205" i="6"/>
  <c r="EI205" i="6"/>
  <c r="EK212" i="6"/>
  <c r="EJ212" i="6"/>
  <c r="EI212" i="6"/>
  <c r="EK211" i="6"/>
  <c r="EJ211" i="6"/>
  <c r="EI211" i="6"/>
  <c r="EK208" i="6"/>
  <c r="EJ208" i="6"/>
  <c r="EI208" i="6"/>
  <c r="EK213" i="6"/>
  <c r="EJ213" i="6"/>
  <c r="EI213" i="6"/>
  <c r="EK215" i="6"/>
  <c r="EJ215" i="6"/>
  <c r="EI215" i="6"/>
  <c r="EK217" i="6"/>
  <c r="EJ217" i="6"/>
  <c r="EI217" i="6"/>
  <c r="EK219" i="6"/>
  <c r="EJ219" i="6"/>
  <c r="EI219" i="6"/>
  <c r="EK220" i="6"/>
  <c r="EJ220" i="6"/>
  <c r="EI220" i="6"/>
  <c r="EK221" i="6"/>
  <c r="EJ221" i="6"/>
  <c r="EI221" i="6"/>
  <c r="EK222" i="6"/>
  <c r="EJ222" i="6"/>
  <c r="EI222" i="6"/>
  <c r="EK223" i="6"/>
  <c r="EJ223" i="6"/>
  <c r="EI223" i="6"/>
  <c r="EH87" i="6"/>
  <c r="EH88" i="6"/>
  <c r="EH91" i="6"/>
  <c r="EH90" i="6"/>
  <c r="EH89" i="6"/>
  <c r="EH92" i="6"/>
  <c r="EH94" i="6"/>
  <c r="EH98" i="6"/>
  <c r="EH99" i="6"/>
  <c r="EH101" i="6"/>
  <c r="EH102" i="6"/>
  <c r="EH103" i="6"/>
  <c r="EH106" i="6"/>
  <c r="EH107" i="6"/>
  <c r="EH108" i="6"/>
  <c r="EH109" i="6"/>
  <c r="EH110" i="6"/>
  <c r="EH111" i="6"/>
  <c r="EH114" i="6"/>
  <c r="EH116" i="6"/>
  <c r="EH117" i="6"/>
  <c r="EH119" i="6"/>
  <c r="EH121" i="6"/>
  <c r="EH120" i="6"/>
  <c r="EH122" i="6"/>
  <c r="EH123" i="6"/>
  <c r="EH127" i="6"/>
  <c r="EH128" i="6"/>
  <c r="EH129" i="6"/>
  <c r="EH130" i="6"/>
  <c r="EH131" i="6"/>
  <c r="EH132" i="6"/>
  <c r="EH133" i="6"/>
  <c r="EH134" i="6"/>
  <c r="EH141" i="6"/>
  <c r="EH140" i="6"/>
  <c r="EH147" i="6"/>
  <c r="EH146" i="6"/>
  <c r="EH145" i="6"/>
  <c r="EH144" i="6"/>
  <c r="EH149" i="6"/>
  <c r="EH150" i="6"/>
  <c r="EH151" i="6"/>
  <c r="EH152" i="6"/>
  <c r="EH154" i="6"/>
  <c r="EH155" i="6"/>
  <c r="EH156" i="6"/>
  <c r="EH158" i="6"/>
  <c r="EH159" i="6"/>
  <c r="EH161" i="6"/>
  <c r="EH162" i="6"/>
  <c r="EH164" i="6"/>
  <c r="EH165" i="6"/>
  <c r="EH168" i="6"/>
  <c r="EH170" i="6"/>
  <c r="EH171" i="6"/>
  <c r="EH174" i="6"/>
  <c r="EH176" i="6"/>
  <c r="EH175" i="6"/>
  <c r="EH177" i="6"/>
  <c r="EH180" i="6"/>
  <c r="EH182" i="6"/>
  <c r="EH183" i="6"/>
  <c r="EH184" i="6"/>
  <c r="EH185" i="6"/>
  <c r="EH187" i="6"/>
  <c r="EH188" i="6"/>
  <c r="EH22" i="6"/>
  <c r="EH189" i="6"/>
  <c r="EH190" i="6"/>
  <c r="EH191" i="6"/>
  <c r="EH193" i="6"/>
  <c r="EH195" i="6"/>
  <c r="EH198" i="6"/>
  <c r="EH197" i="6"/>
  <c r="EH200" i="6"/>
  <c r="EH201" i="6"/>
  <c r="EH202" i="6"/>
  <c r="EH205" i="6"/>
  <c r="EH212" i="6"/>
  <c r="EH211" i="6"/>
  <c r="EH208" i="6"/>
  <c r="EH213" i="6"/>
  <c r="EH214" i="6"/>
  <c r="EH215" i="6"/>
  <c r="EH217" i="6"/>
  <c r="EH219" i="6"/>
  <c r="EH221" i="6"/>
  <c r="EH222" i="6"/>
  <c r="EH223" i="6"/>
  <c r="CF86" i="6"/>
  <c r="CF87" i="6"/>
  <c r="CF88" i="6"/>
  <c r="CF91" i="6"/>
  <c r="CF90" i="6"/>
  <c r="CF89" i="6"/>
  <c r="CF92" i="6"/>
  <c r="CF94" i="6"/>
  <c r="CF98" i="6"/>
  <c r="CF99" i="6"/>
  <c r="CF101" i="6"/>
  <c r="CF102" i="6"/>
  <c r="CF103" i="6"/>
  <c r="CF106" i="6"/>
  <c r="CF107" i="6"/>
  <c r="CF108" i="6"/>
  <c r="CF109" i="6"/>
  <c r="CF110" i="6"/>
  <c r="CF111" i="6"/>
  <c r="CF114" i="6"/>
  <c r="CF116" i="6"/>
  <c r="CF117" i="6"/>
  <c r="CF119" i="6"/>
  <c r="CF121" i="6"/>
  <c r="CF120" i="6"/>
  <c r="CF122" i="6"/>
  <c r="CF123" i="6"/>
  <c r="CF127" i="6"/>
  <c r="CF128" i="6"/>
  <c r="CF129" i="6"/>
  <c r="CF130" i="6"/>
  <c r="CF131" i="6"/>
  <c r="CF132" i="6"/>
  <c r="CF133" i="6"/>
  <c r="CF134" i="6"/>
  <c r="CF138" i="6"/>
  <c r="CF141" i="6"/>
  <c r="CF140" i="6"/>
  <c r="CF147" i="6"/>
  <c r="CF146" i="6"/>
  <c r="CF145" i="6"/>
  <c r="CF144" i="6"/>
  <c r="CF149" i="6"/>
  <c r="CF150" i="6"/>
  <c r="CF151" i="6"/>
  <c r="CF152" i="6"/>
  <c r="CF154" i="6"/>
  <c r="CF155" i="6"/>
  <c r="CF156" i="6"/>
  <c r="CF158" i="6"/>
  <c r="CF159" i="6"/>
  <c r="CF161" i="6"/>
  <c r="CF162" i="6"/>
  <c r="CF164" i="6"/>
  <c r="CF165" i="6"/>
  <c r="CF168" i="6"/>
  <c r="CF170" i="6"/>
  <c r="CF171" i="6"/>
  <c r="CF174" i="6"/>
  <c r="CF176" i="6"/>
  <c r="CF175" i="6"/>
  <c r="CF177" i="6"/>
  <c r="CF180" i="6"/>
  <c r="CF182" i="6"/>
  <c r="CF183" i="6"/>
  <c r="CF184" i="6"/>
  <c r="CF185" i="6"/>
  <c r="CF187" i="6"/>
  <c r="CF188" i="6"/>
  <c r="CF22" i="6"/>
  <c r="CF189" i="6"/>
  <c r="CF190" i="6"/>
  <c r="CF191" i="6"/>
  <c r="CF193" i="6"/>
  <c r="CF195" i="6"/>
  <c r="CF198" i="6"/>
  <c r="CF197" i="6"/>
  <c r="CF200" i="6"/>
  <c r="CF201" i="6"/>
  <c r="CF202" i="6"/>
  <c r="CF205" i="6"/>
  <c r="CF212" i="6"/>
  <c r="CF211" i="6"/>
  <c r="CF208" i="6"/>
  <c r="CF213" i="6"/>
  <c r="CF214" i="6"/>
  <c r="CF215" i="6"/>
  <c r="CF217" i="6"/>
  <c r="CF223" i="6"/>
  <c r="CB86" i="6"/>
  <c r="CB87" i="6"/>
  <c r="CB88" i="6"/>
  <c r="CB91" i="6"/>
  <c r="CB90" i="6"/>
  <c r="CB89" i="6"/>
  <c r="CB92" i="6"/>
  <c r="CB94" i="6"/>
  <c r="CB98" i="6"/>
  <c r="CB99" i="6"/>
  <c r="CB101" i="6"/>
  <c r="CB102" i="6"/>
  <c r="CB103" i="6"/>
  <c r="CB106" i="6"/>
  <c r="CB107" i="6"/>
  <c r="CB108" i="6"/>
  <c r="CB109" i="6"/>
  <c r="CB110" i="6"/>
  <c r="CB111" i="6"/>
  <c r="CB114" i="6"/>
  <c r="CB116" i="6"/>
  <c r="CB117" i="6"/>
  <c r="CB119" i="6"/>
  <c r="CB121" i="6"/>
  <c r="CB120" i="6"/>
  <c r="CB122" i="6"/>
  <c r="CB123" i="6"/>
  <c r="CB127" i="6"/>
  <c r="CB128" i="6"/>
  <c r="CB129" i="6"/>
  <c r="CB130" i="6"/>
  <c r="CB131" i="6"/>
  <c r="CB132" i="6"/>
  <c r="CB133" i="6"/>
  <c r="CB134" i="6"/>
  <c r="CB138" i="6"/>
  <c r="CB141" i="6"/>
  <c r="CB140" i="6"/>
  <c r="CB147" i="6"/>
  <c r="CB146" i="6"/>
  <c r="CB145" i="6"/>
  <c r="CB144" i="6"/>
  <c r="CB149" i="6"/>
  <c r="CB150" i="6"/>
  <c r="CB151" i="6"/>
  <c r="CB152" i="6"/>
  <c r="CB154" i="6"/>
  <c r="CB155" i="6"/>
  <c r="CB156" i="6"/>
  <c r="CB158" i="6"/>
  <c r="CB159" i="6"/>
  <c r="CB161" i="6"/>
  <c r="CB162" i="6"/>
  <c r="CB164" i="6"/>
  <c r="CB165" i="6"/>
  <c r="CB168" i="6"/>
  <c r="CB170" i="6"/>
  <c r="CB171" i="6"/>
  <c r="CB174" i="6"/>
  <c r="CB176" i="6"/>
  <c r="CB175" i="6"/>
  <c r="CB177" i="6"/>
  <c r="CB180" i="6"/>
  <c r="CB182" i="6"/>
  <c r="CB183" i="6"/>
  <c r="CB184" i="6"/>
  <c r="CB185" i="6"/>
  <c r="CB187" i="6"/>
  <c r="CB188" i="6"/>
  <c r="CB22" i="6"/>
  <c r="CB189" i="6"/>
  <c r="CB190" i="6"/>
  <c r="CB191" i="6"/>
  <c r="CB193" i="6"/>
  <c r="CB195" i="6"/>
  <c r="CB198" i="6"/>
  <c r="CB197" i="6"/>
  <c r="CB200" i="6"/>
  <c r="CB201" i="6"/>
  <c r="CB202" i="6"/>
  <c r="CB205" i="6"/>
  <c r="CB212" i="6"/>
  <c r="CB211" i="6"/>
  <c r="CB208" i="6"/>
  <c r="CB213" i="6"/>
  <c r="CB214" i="6"/>
  <c r="CB215" i="6"/>
  <c r="CB217" i="6"/>
  <c r="CB219" i="6"/>
  <c r="CB220" i="6"/>
  <c r="CB222" i="6"/>
  <c r="CB223" i="6"/>
  <c r="AH185" i="6"/>
  <c r="AI185" i="6" s="1"/>
  <c r="AJ185" i="6"/>
  <c r="AK185" i="6"/>
  <c r="AL185" i="6" s="1"/>
  <c r="AH184" i="6"/>
  <c r="AI184" i="6" s="1"/>
  <c r="AJ184" i="6"/>
  <c r="AK184" i="6"/>
  <c r="BE184" i="6" s="1"/>
  <c r="AH87" i="6"/>
  <c r="AI87" i="6" s="1"/>
  <c r="AJ87" i="6"/>
  <c r="AK87" i="6"/>
  <c r="BD87" i="6" s="1"/>
  <c r="AH99" i="6"/>
  <c r="AI99" i="6" s="1"/>
  <c r="AJ99" i="6"/>
  <c r="AK99" i="6"/>
  <c r="BH99" i="6" s="1"/>
  <c r="U170" i="6"/>
  <c r="P184" i="6"/>
  <c r="AL87" i="6" l="1"/>
  <c r="BG185" i="6"/>
  <c r="BH185" i="6"/>
  <c r="BF185" i="6"/>
  <c r="BD185" i="6"/>
  <c r="BD184" i="6"/>
  <c r="AL184" i="6"/>
  <c r="BG184" i="6"/>
  <c r="BH184" i="6"/>
  <c r="BF184" i="6"/>
  <c r="BI184" i="6"/>
  <c r="BF99" i="6"/>
  <c r="BE99" i="6"/>
  <c r="BI99" i="6"/>
  <c r="BD99" i="6"/>
  <c r="BG99" i="6"/>
  <c r="AL99" i="6"/>
  <c r="BF87" i="6"/>
  <c r="BI87" i="6"/>
  <c r="BE87" i="6"/>
  <c r="BH87" i="6"/>
  <c r="BG87" i="6"/>
  <c r="BE185" i="6"/>
  <c r="BI185" i="6"/>
  <c r="FI86" i="6"/>
  <c r="FE86" i="6"/>
  <c r="FA86" i="6"/>
  <c r="EW86" i="6"/>
  <c r="EH86" i="6"/>
  <c r="DH86" i="6"/>
  <c r="DG86" i="6"/>
  <c r="DF86" i="6"/>
  <c r="CK86" i="6"/>
  <c r="AK86" i="6"/>
  <c r="AJ86" i="6"/>
  <c r="AH86" i="6"/>
  <c r="AI86" i="6" s="1"/>
  <c r="CO86" i="6" s="1"/>
  <c r="AG86" i="6"/>
  <c r="AE86" i="6"/>
  <c r="AF86" i="6" s="1"/>
  <c r="CW86" i="6" s="1"/>
  <c r="CU86" i="6" s="1"/>
  <c r="AD86" i="6"/>
  <c r="AC86" i="6"/>
  <c r="AB86" i="6"/>
  <c r="AA86" i="6"/>
  <c r="Z86" i="6"/>
  <c r="V86" i="6"/>
  <c r="U86" i="6"/>
  <c r="DE86" i="6" s="1"/>
  <c r="T86" i="6"/>
  <c r="S86" i="6"/>
  <c r="R86" i="6"/>
  <c r="Q86" i="6"/>
  <c r="P86" i="6"/>
  <c r="DA86" i="6" s="1"/>
  <c r="O86" i="6"/>
  <c r="N86" i="6"/>
  <c r="M86" i="6"/>
  <c r="L86" i="6"/>
  <c r="EQ86" i="6" s="1"/>
  <c r="D86" i="6"/>
  <c r="C86" i="6"/>
  <c r="B86" i="6"/>
  <c r="W86" i="6" s="1"/>
  <c r="FI87" i="6"/>
  <c r="FE87" i="6"/>
  <c r="FA87" i="6"/>
  <c r="EW87" i="6"/>
  <c r="DL87" i="6"/>
  <c r="DK87" i="6"/>
  <c r="DJ87" i="6"/>
  <c r="DH87" i="6"/>
  <c r="DG87" i="6"/>
  <c r="DF87" i="6"/>
  <c r="CO87" i="6"/>
  <c r="CN87" i="6" s="1"/>
  <c r="CK87" i="6"/>
  <c r="AG87" i="6"/>
  <c r="AE87" i="6"/>
  <c r="AF87" i="6" s="1"/>
  <c r="CW87" i="6" s="1"/>
  <c r="CV87" i="6" s="1"/>
  <c r="AD87" i="6"/>
  <c r="AC87" i="6"/>
  <c r="AB87" i="6"/>
  <c r="AA87" i="6"/>
  <c r="Z87" i="6"/>
  <c r="V87" i="6"/>
  <c r="U87" i="6"/>
  <c r="DE87" i="6" s="1"/>
  <c r="DD87" i="6" s="1"/>
  <c r="T87" i="6"/>
  <c r="S87" i="6"/>
  <c r="R87" i="6"/>
  <c r="Q87" i="6"/>
  <c r="DA87" i="6"/>
  <c r="O87" i="6"/>
  <c r="N87" i="6"/>
  <c r="M87" i="6"/>
  <c r="L87" i="6"/>
  <c r="EQ87" i="6" s="1"/>
  <c r="EO87" i="6" s="1"/>
  <c r="D87" i="6"/>
  <c r="C87" i="6"/>
  <c r="B87" i="6"/>
  <c r="W87" i="6" s="1"/>
  <c r="FI88" i="6"/>
  <c r="FE88" i="6"/>
  <c r="FA88" i="6"/>
  <c r="EW88" i="6"/>
  <c r="DL88" i="6"/>
  <c r="DK88" i="6"/>
  <c r="DJ88" i="6"/>
  <c r="DH88" i="6"/>
  <c r="DG88" i="6"/>
  <c r="DF88" i="6"/>
  <c r="CK88" i="6"/>
  <c r="AK88" i="6"/>
  <c r="AJ88" i="6"/>
  <c r="AH88" i="6"/>
  <c r="AI88" i="6" s="1"/>
  <c r="CO88" i="6" s="1"/>
  <c r="AG88" i="6"/>
  <c r="AE88" i="6"/>
  <c r="AF88" i="6" s="1"/>
  <c r="CW88" i="6" s="1"/>
  <c r="CU88" i="6" s="1"/>
  <c r="AD88" i="6"/>
  <c r="AC88" i="6"/>
  <c r="AB88" i="6"/>
  <c r="AA88" i="6"/>
  <c r="Z88" i="6"/>
  <c r="V88" i="6"/>
  <c r="U88" i="6"/>
  <c r="DE88" i="6" s="1"/>
  <c r="T88" i="6"/>
  <c r="S88" i="6"/>
  <c r="R88" i="6"/>
  <c r="Q88" i="6"/>
  <c r="DA88" i="6"/>
  <c r="CY88" i="6" s="1"/>
  <c r="O88" i="6"/>
  <c r="N88" i="6"/>
  <c r="M88" i="6"/>
  <c r="L88" i="6"/>
  <c r="EQ88" i="6" s="1"/>
  <c r="D88" i="6"/>
  <c r="C88" i="6"/>
  <c r="B88" i="6"/>
  <c r="W88" i="6" s="1"/>
  <c r="FI91" i="6"/>
  <c r="FE91" i="6"/>
  <c r="FA91" i="6"/>
  <c r="EW91" i="6"/>
  <c r="DH91" i="6"/>
  <c r="DG91" i="6"/>
  <c r="DF91" i="6"/>
  <c r="CK91" i="6"/>
  <c r="AK91" i="6"/>
  <c r="AJ91" i="6"/>
  <c r="AH91" i="6"/>
  <c r="AI91" i="6" s="1"/>
  <c r="CO91" i="6" s="1"/>
  <c r="CL91" i="6" s="1"/>
  <c r="AG91" i="6"/>
  <c r="AE91" i="6"/>
  <c r="AF91" i="6" s="1"/>
  <c r="CW91" i="6" s="1"/>
  <c r="CU91" i="6" s="1"/>
  <c r="AD91" i="6"/>
  <c r="AC91" i="6"/>
  <c r="AB91" i="6"/>
  <c r="AA91" i="6"/>
  <c r="Z91" i="6"/>
  <c r="V91" i="6"/>
  <c r="U91" i="6"/>
  <c r="DE91" i="6" s="1"/>
  <c r="DB91" i="6" s="1"/>
  <c r="T91" i="6"/>
  <c r="S91" i="6"/>
  <c r="R91" i="6"/>
  <c r="Q91" i="6"/>
  <c r="P91" i="6"/>
  <c r="DA91" i="6" s="1"/>
  <c r="O91" i="6"/>
  <c r="N91" i="6"/>
  <c r="M91" i="6"/>
  <c r="L91" i="6"/>
  <c r="EQ91" i="6" s="1"/>
  <c r="D91" i="6"/>
  <c r="C91" i="6"/>
  <c r="B91" i="6"/>
  <c r="W91" i="6" s="1"/>
  <c r="FI90" i="6"/>
  <c r="FE90" i="6"/>
  <c r="FA90" i="6"/>
  <c r="EW90" i="6"/>
  <c r="DL90" i="6"/>
  <c r="DK90" i="6"/>
  <c r="DJ90" i="6"/>
  <c r="DH90" i="6"/>
  <c r="DG90" i="6"/>
  <c r="DF90" i="6"/>
  <c r="CK90" i="6"/>
  <c r="AK90" i="6"/>
  <c r="AJ90" i="6"/>
  <c r="AH90" i="6"/>
  <c r="AI90" i="6" s="1"/>
  <c r="CO90" i="6" s="1"/>
  <c r="CN90" i="6" s="1"/>
  <c r="AG90" i="6"/>
  <c r="AE90" i="6"/>
  <c r="AF90" i="6" s="1"/>
  <c r="CW90" i="6" s="1"/>
  <c r="AD90" i="6"/>
  <c r="AC90" i="6"/>
  <c r="AB90" i="6"/>
  <c r="AA90" i="6"/>
  <c r="Z90" i="6"/>
  <c r="V90" i="6"/>
  <c r="U90" i="6"/>
  <c r="DE90" i="6" s="1"/>
  <c r="DD90" i="6" s="1"/>
  <c r="T90" i="6"/>
  <c r="S90" i="6"/>
  <c r="R90" i="6"/>
  <c r="Q90" i="6"/>
  <c r="P90" i="6"/>
  <c r="DA90" i="6" s="1"/>
  <c r="CX90" i="6" s="1"/>
  <c r="O90" i="6"/>
  <c r="N90" i="6"/>
  <c r="M90" i="6"/>
  <c r="L90" i="6"/>
  <c r="EQ90" i="6" s="1"/>
  <c r="D90" i="6"/>
  <c r="C90" i="6"/>
  <c r="B90" i="6"/>
  <c r="W90" i="6" s="1"/>
  <c r="Y90" i="6" s="1"/>
  <c r="FI89" i="6"/>
  <c r="FE89" i="6"/>
  <c r="FA89" i="6"/>
  <c r="EW89" i="6"/>
  <c r="DL89" i="6"/>
  <c r="DK89" i="6"/>
  <c r="DJ89" i="6"/>
  <c r="DH89" i="6"/>
  <c r="DG89" i="6"/>
  <c r="DF89" i="6"/>
  <c r="CK89" i="6"/>
  <c r="AK89" i="6"/>
  <c r="AJ89" i="6"/>
  <c r="AH89" i="6"/>
  <c r="AI89" i="6" s="1"/>
  <c r="CO89" i="6" s="1"/>
  <c r="AG89" i="6"/>
  <c r="AE89" i="6"/>
  <c r="AF89" i="6" s="1"/>
  <c r="CW89" i="6" s="1"/>
  <c r="CU89" i="6" s="1"/>
  <c r="AD89" i="6"/>
  <c r="AC89" i="6"/>
  <c r="AB89" i="6"/>
  <c r="AA89" i="6"/>
  <c r="Z89" i="6"/>
  <c r="V89" i="6"/>
  <c r="U89" i="6"/>
  <c r="DE89" i="6" s="1"/>
  <c r="T89" i="6"/>
  <c r="S89" i="6"/>
  <c r="R89" i="6"/>
  <c r="Q89" i="6"/>
  <c r="P89" i="6"/>
  <c r="DA89" i="6" s="1"/>
  <c r="O89" i="6"/>
  <c r="N89" i="6"/>
  <c r="M89" i="6"/>
  <c r="L89" i="6"/>
  <c r="EQ89" i="6" s="1"/>
  <c r="EO89" i="6" s="1"/>
  <c r="D89" i="6"/>
  <c r="C89" i="6"/>
  <c r="B89" i="6"/>
  <c r="W89" i="6" s="1"/>
  <c r="FI92" i="6"/>
  <c r="FE92" i="6"/>
  <c r="FA92" i="6"/>
  <c r="EW92" i="6"/>
  <c r="DL92" i="6"/>
  <c r="DK92" i="6"/>
  <c r="DJ92" i="6"/>
  <c r="DH92" i="6"/>
  <c r="DG92" i="6"/>
  <c r="DF92" i="6"/>
  <c r="CS92" i="6"/>
  <c r="CN92" i="6"/>
  <c r="CM92" i="6"/>
  <c r="CL92" i="6"/>
  <c r="CK92" i="6"/>
  <c r="AK92" i="6"/>
  <c r="AJ92" i="6"/>
  <c r="AH92" i="6"/>
  <c r="AI92" i="6" s="1"/>
  <c r="AG92" i="6"/>
  <c r="AE92" i="6"/>
  <c r="AF92" i="6" s="1"/>
  <c r="CW92" i="6" s="1"/>
  <c r="AD92" i="6"/>
  <c r="AC92" i="6"/>
  <c r="AB92" i="6"/>
  <c r="AA92" i="6"/>
  <c r="Z92" i="6"/>
  <c r="V92" i="6"/>
  <c r="U92" i="6"/>
  <c r="DE92" i="6" s="1"/>
  <c r="DB92" i="6" s="1"/>
  <c r="T92" i="6"/>
  <c r="S92" i="6"/>
  <c r="R92" i="6"/>
  <c r="Q92" i="6"/>
  <c r="P92" i="6"/>
  <c r="DA92" i="6" s="1"/>
  <c r="O92" i="6"/>
  <c r="N92" i="6"/>
  <c r="M92" i="6"/>
  <c r="L92" i="6"/>
  <c r="EQ92" i="6" s="1"/>
  <c r="D92" i="6"/>
  <c r="C92" i="6"/>
  <c r="B92" i="6"/>
  <c r="W92" i="6" s="1"/>
  <c r="Y92" i="6" s="1"/>
  <c r="FI94" i="6"/>
  <c r="FE94" i="6"/>
  <c r="EW94" i="6"/>
  <c r="DL94" i="6"/>
  <c r="DK94" i="6"/>
  <c r="DJ94" i="6"/>
  <c r="DH94" i="6"/>
  <c r="DG94" i="6"/>
  <c r="DF94" i="6"/>
  <c r="CK94" i="6"/>
  <c r="AK94" i="6"/>
  <c r="AJ94" i="6"/>
  <c r="AH94" i="6"/>
  <c r="AI94" i="6" s="1"/>
  <c r="CO94" i="6" s="1"/>
  <c r="AG94" i="6"/>
  <c r="AE94" i="6"/>
  <c r="AF94" i="6" s="1"/>
  <c r="CW94" i="6" s="1"/>
  <c r="CT94" i="6" s="1"/>
  <c r="AD94" i="6"/>
  <c r="AC94" i="6"/>
  <c r="AB94" i="6"/>
  <c r="AA94" i="6"/>
  <c r="Z94" i="6"/>
  <c r="V94" i="6"/>
  <c r="U94" i="6"/>
  <c r="DE94" i="6" s="1"/>
  <c r="DC94" i="6" s="1"/>
  <c r="T94" i="6"/>
  <c r="S94" i="6"/>
  <c r="R94" i="6"/>
  <c r="Q94" i="6"/>
  <c r="P94" i="6"/>
  <c r="DA94" i="6" s="1"/>
  <c r="O94" i="6"/>
  <c r="N94" i="6"/>
  <c r="M94" i="6"/>
  <c r="L94" i="6"/>
  <c r="EQ94" i="6" s="1"/>
  <c r="D94" i="6"/>
  <c r="C94" i="6"/>
  <c r="B94" i="6"/>
  <c r="W94" i="6" s="1"/>
  <c r="FI98" i="6"/>
  <c r="FE98" i="6"/>
  <c r="FA98" i="6"/>
  <c r="EW98" i="6"/>
  <c r="DL98" i="6"/>
  <c r="DK98" i="6"/>
  <c r="DJ98" i="6"/>
  <c r="DH98" i="6"/>
  <c r="DG98" i="6"/>
  <c r="DF98" i="6"/>
  <c r="CK98" i="6"/>
  <c r="AK98" i="6"/>
  <c r="AJ98" i="6"/>
  <c r="AH98" i="6"/>
  <c r="AI98" i="6" s="1"/>
  <c r="CO98" i="6" s="1"/>
  <c r="CL98" i="6" s="1"/>
  <c r="AG98" i="6"/>
  <c r="AE98" i="6"/>
  <c r="AF98" i="6" s="1"/>
  <c r="CW98" i="6" s="1"/>
  <c r="AD98" i="6"/>
  <c r="AC98" i="6"/>
  <c r="AB98" i="6"/>
  <c r="AA98" i="6"/>
  <c r="Z98" i="6"/>
  <c r="V98" i="6"/>
  <c r="U98" i="6"/>
  <c r="DE98" i="6" s="1"/>
  <c r="T98" i="6"/>
  <c r="S98" i="6"/>
  <c r="R98" i="6"/>
  <c r="Q98" i="6"/>
  <c r="P98" i="6"/>
  <c r="DA98" i="6" s="1"/>
  <c r="O98" i="6"/>
  <c r="N98" i="6"/>
  <c r="M98" i="6"/>
  <c r="L98" i="6"/>
  <c r="EQ98" i="6" s="1"/>
  <c r="D98" i="6"/>
  <c r="C98" i="6"/>
  <c r="B98" i="6"/>
  <c r="W98" i="6" s="1"/>
  <c r="FI99" i="6"/>
  <c r="FE99" i="6"/>
  <c r="FA99" i="6"/>
  <c r="EW99" i="6"/>
  <c r="DH99" i="6"/>
  <c r="DG99" i="6"/>
  <c r="DF99" i="6"/>
  <c r="CO99" i="6"/>
  <c r="CK99" i="6"/>
  <c r="AG99" i="6"/>
  <c r="AE99" i="6"/>
  <c r="AF99" i="6" s="1"/>
  <c r="CW99" i="6" s="1"/>
  <c r="AD99" i="6"/>
  <c r="AC99" i="6"/>
  <c r="AB99" i="6"/>
  <c r="AA99" i="6"/>
  <c r="Z99" i="6"/>
  <c r="V99" i="6"/>
  <c r="U99" i="6"/>
  <c r="DE99" i="6" s="1"/>
  <c r="T99" i="6"/>
  <c r="S99" i="6"/>
  <c r="R99" i="6"/>
  <c r="Q99" i="6"/>
  <c r="P99" i="6"/>
  <c r="DA99" i="6" s="1"/>
  <c r="O99" i="6"/>
  <c r="N99" i="6"/>
  <c r="M99" i="6"/>
  <c r="L99" i="6"/>
  <c r="EQ99" i="6" s="1"/>
  <c r="D99" i="6"/>
  <c r="C99" i="6"/>
  <c r="B99" i="6"/>
  <c r="W99" i="6" s="1"/>
  <c r="FI101" i="6"/>
  <c r="FE101" i="6"/>
  <c r="FA101" i="6"/>
  <c r="EW101" i="6"/>
  <c r="DL101" i="6"/>
  <c r="DK101" i="6"/>
  <c r="DJ101" i="6"/>
  <c r="DH101" i="6"/>
  <c r="DG101" i="6"/>
  <c r="DF101" i="6"/>
  <c r="CK101" i="6"/>
  <c r="AK101" i="6"/>
  <c r="AJ101" i="6"/>
  <c r="AH101" i="6"/>
  <c r="AI101" i="6" s="1"/>
  <c r="CO101" i="6" s="1"/>
  <c r="AG101" i="6"/>
  <c r="AE101" i="6"/>
  <c r="AF101" i="6" s="1"/>
  <c r="CW101" i="6" s="1"/>
  <c r="AD101" i="6"/>
  <c r="AC101" i="6"/>
  <c r="AB101" i="6"/>
  <c r="AA101" i="6"/>
  <c r="Z101" i="6"/>
  <c r="V101" i="6"/>
  <c r="U101" i="6"/>
  <c r="DE101" i="6" s="1"/>
  <c r="DB101" i="6" s="1"/>
  <c r="T101" i="6"/>
  <c r="S101" i="6"/>
  <c r="R101" i="6"/>
  <c r="Q101" i="6"/>
  <c r="P101" i="6"/>
  <c r="DA101" i="6" s="1"/>
  <c r="O101" i="6"/>
  <c r="N101" i="6"/>
  <c r="M101" i="6"/>
  <c r="L101" i="6"/>
  <c r="EQ101" i="6" s="1"/>
  <c r="EO101" i="6" s="1"/>
  <c r="D101" i="6"/>
  <c r="C101" i="6"/>
  <c r="B101" i="6"/>
  <c r="W101" i="6" s="1"/>
  <c r="FI102" i="6"/>
  <c r="FE102" i="6"/>
  <c r="FA102" i="6"/>
  <c r="EW102" i="6"/>
  <c r="DL102" i="6"/>
  <c r="DK102" i="6"/>
  <c r="DJ102" i="6"/>
  <c r="DH102" i="6"/>
  <c r="DG102" i="6"/>
  <c r="DF102" i="6"/>
  <c r="CK102" i="6"/>
  <c r="AK102" i="6"/>
  <c r="AJ102" i="6"/>
  <c r="AH102" i="6"/>
  <c r="AI102" i="6" s="1"/>
  <c r="CO102" i="6" s="1"/>
  <c r="AG102" i="6"/>
  <c r="AE102" i="6"/>
  <c r="AF102" i="6" s="1"/>
  <c r="CW102" i="6" s="1"/>
  <c r="AD102" i="6"/>
  <c r="AC102" i="6"/>
  <c r="AB102" i="6"/>
  <c r="AA102" i="6"/>
  <c r="Z102" i="6"/>
  <c r="V102" i="6"/>
  <c r="U102" i="6"/>
  <c r="DE102" i="6" s="1"/>
  <c r="T102" i="6"/>
  <c r="S102" i="6"/>
  <c r="R102" i="6"/>
  <c r="Q102" i="6"/>
  <c r="P102" i="6"/>
  <c r="DA102" i="6" s="1"/>
  <c r="CZ102" i="6" s="1"/>
  <c r="O102" i="6"/>
  <c r="N102" i="6"/>
  <c r="M102" i="6"/>
  <c r="L102" i="6"/>
  <c r="EQ102" i="6" s="1"/>
  <c r="D102" i="6"/>
  <c r="C102" i="6"/>
  <c r="B102" i="6"/>
  <c r="W102" i="6" s="1"/>
  <c r="X102" i="6" s="1"/>
  <c r="FI103" i="6"/>
  <c r="FE103" i="6"/>
  <c r="FA103" i="6"/>
  <c r="EW103" i="6"/>
  <c r="DH103" i="6"/>
  <c r="DG103" i="6"/>
  <c r="DF103" i="6"/>
  <c r="CK103" i="6"/>
  <c r="AK103" i="6"/>
  <c r="AJ103" i="6"/>
  <c r="AH103" i="6"/>
  <c r="AI103" i="6" s="1"/>
  <c r="CO103" i="6" s="1"/>
  <c r="CS103" i="6" s="1"/>
  <c r="CQ103" i="6" s="1"/>
  <c r="AG103" i="6"/>
  <c r="AE103" i="6"/>
  <c r="AF103" i="6" s="1"/>
  <c r="CW103" i="6" s="1"/>
  <c r="AD103" i="6"/>
  <c r="AC103" i="6"/>
  <c r="AB103" i="6"/>
  <c r="AA103" i="6"/>
  <c r="Z103" i="6"/>
  <c r="V103" i="6"/>
  <c r="U103" i="6"/>
  <c r="DE103" i="6" s="1"/>
  <c r="T103" i="6"/>
  <c r="S103" i="6"/>
  <c r="R103" i="6"/>
  <c r="Q103" i="6"/>
  <c r="P103" i="6"/>
  <c r="DA103" i="6" s="1"/>
  <c r="O103" i="6"/>
  <c r="N103" i="6"/>
  <c r="M103" i="6"/>
  <c r="L103" i="6"/>
  <c r="D103" i="6"/>
  <c r="C103" i="6"/>
  <c r="B103" i="6"/>
  <c r="W103" i="6" s="1"/>
  <c r="FI106" i="6"/>
  <c r="FE106" i="6"/>
  <c r="FA106" i="6"/>
  <c r="EW106" i="6"/>
  <c r="DL106" i="6"/>
  <c r="DK106" i="6"/>
  <c r="DJ106" i="6"/>
  <c r="DH106" i="6"/>
  <c r="DG106" i="6"/>
  <c r="DF106" i="6"/>
  <c r="CK106" i="6"/>
  <c r="AK106" i="6"/>
  <c r="AJ106" i="6"/>
  <c r="AH106" i="6"/>
  <c r="AI106" i="6" s="1"/>
  <c r="CO106" i="6" s="1"/>
  <c r="AG106" i="6"/>
  <c r="AE106" i="6"/>
  <c r="AF106" i="6" s="1"/>
  <c r="CW106" i="6" s="1"/>
  <c r="AD106" i="6"/>
  <c r="AC106" i="6"/>
  <c r="AB106" i="6"/>
  <c r="AA106" i="6"/>
  <c r="Z106" i="6"/>
  <c r="V106" i="6"/>
  <c r="U106" i="6"/>
  <c r="DE106" i="6" s="1"/>
  <c r="T106" i="6"/>
  <c r="S106" i="6"/>
  <c r="R106" i="6"/>
  <c r="Q106" i="6"/>
  <c r="P106" i="6"/>
  <c r="DA106" i="6" s="1"/>
  <c r="CZ106" i="6" s="1"/>
  <c r="O106" i="6"/>
  <c r="N106" i="6"/>
  <c r="M106" i="6"/>
  <c r="L106" i="6"/>
  <c r="EQ106" i="6" s="1"/>
  <c r="D106" i="6"/>
  <c r="C106" i="6"/>
  <c r="B106" i="6"/>
  <c r="W106" i="6" s="1"/>
  <c r="FI107" i="6"/>
  <c r="FA107" i="6"/>
  <c r="EW107" i="6"/>
  <c r="DL107" i="6"/>
  <c r="DK107" i="6"/>
  <c r="DJ107" i="6"/>
  <c r="DH107" i="6"/>
  <c r="DG107" i="6"/>
  <c r="DF107" i="6"/>
  <c r="CK107" i="6"/>
  <c r="AK107" i="6"/>
  <c r="AJ107" i="6"/>
  <c r="AH107" i="6"/>
  <c r="AI107" i="6" s="1"/>
  <c r="CO107" i="6" s="1"/>
  <c r="AG107" i="6"/>
  <c r="AE107" i="6"/>
  <c r="AF107" i="6" s="1"/>
  <c r="CW107" i="6" s="1"/>
  <c r="AD107" i="6"/>
  <c r="AC107" i="6"/>
  <c r="AB107" i="6"/>
  <c r="AA107" i="6"/>
  <c r="Z107" i="6"/>
  <c r="V107" i="6"/>
  <c r="U107" i="6"/>
  <c r="DE107" i="6" s="1"/>
  <c r="DD107" i="6" s="1"/>
  <c r="T107" i="6"/>
  <c r="S107" i="6"/>
  <c r="R107" i="6"/>
  <c r="Q107" i="6"/>
  <c r="P107" i="6"/>
  <c r="DA107" i="6" s="1"/>
  <c r="CX107" i="6" s="1"/>
  <c r="O107" i="6"/>
  <c r="N107" i="6"/>
  <c r="M107" i="6"/>
  <c r="L107" i="6"/>
  <c r="EQ107" i="6" s="1"/>
  <c r="EO107" i="6" s="1"/>
  <c r="D107" i="6"/>
  <c r="C107" i="6"/>
  <c r="B107" i="6"/>
  <c r="W107" i="6" s="1"/>
  <c r="Y107" i="6" s="1"/>
  <c r="FI108" i="6"/>
  <c r="FE108" i="6"/>
  <c r="FA108" i="6"/>
  <c r="EW108" i="6"/>
  <c r="DY108" i="6"/>
  <c r="DP108" i="6"/>
  <c r="DO108" i="6"/>
  <c r="DN108" i="6"/>
  <c r="DL108" i="6"/>
  <c r="DK108" i="6"/>
  <c r="DJ108" i="6"/>
  <c r="DH108" i="6"/>
  <c r="DG108" i="6"/>
  <c r="DF108" i="6"/>
  <c r="CK108" i="6"/>
  <c r="AK108" i="6"/>
  <c r="AJ108" i="6"/>
  <c r="AH108" i="6"/>
  <c r="AI108" i="6" s="1"/>
  <c r="CO108" i="6" s="1"/>
  <c r="CL108" i="6" s="1"/>
  <c r="AG108" i="6"/>
  <c r="AE108" i="6"/>
  <c r="AF108" i="6" s="1"/>
  <c r="CW108" i="6" s="1"/>
  <c r="AD108" i="6"/>
  <c r="AC108" i="6"/>
  <c r="AB108" i="6"/>
  <c r="AA108" i="6"/>
  <c r="Z108" i="6"/>
  <c r="V108" i="6"/>
  <c r="U108" i="6"/>
  <c r="DE108" i="6" s="1"/>
  <c r="T108" i="6"/>
  <c r="S108" i="6"/>
  <c r="R108" i="6"/>
  <c r="Q108" i="6"/>
  <c r="P108" i="6"/>
  <c r="DA108" i="6" s="1"/>
  <c r="O108" i="6"/>
  <c r="N108" i="6"/>
  <c r="M108" i="6"/>
  <c r="L108" i="6"/>
  <c r="EQ108" i="6" s="1"/>
  <c r="EO108" i="6" s="1"/>
  <c r="D108" i="6"/>
  <c r="C108" i="6"/>
  <c r="B108" i="6"/>
  <c r="W108" i="6" s="1"/>
  <c r="FI109" i="6"/>
  <c r="FE109" i="6"/>
  <c r="FA109" i="6"/>
  <c r="EW109" i="6"/>
  <c r="DY109" i="6"/>
  <c r="DP109" i="6"/>
  <c r="DO109" i="6"/>
  <c r="DN109" i="6"/>
  <c r="DL109" i="6"/>
  <c r="DK109" i="6"/>
  <c r="DJ109" i="6"/>
  <c r="DH109" i="6"/>
  <c r="DG109" i="6"/>
  <c r="DF109" i="6"/>
  <c r="CK109" i="6"/>
  <c r="AK109" i="6"/>
  <c r="AJ109" i="6"/>
  <c r="AH109" i="6"/>
  <c r="AI109" i="6" s="1"/>
  <c r="CO109" i="6" s="1"/>
  <c r="AG109" i="6"/>
  <c r="AE109" i="6"/>
  <c r="AF109" i="6" s="1"/>
  <c r="CW109" i="6" s="1"/>
  <c r="AD109" i="6"/>
  <c r="AC109" i="6"/>
  <c r="AB109" i="6"/>
  <c r="AA109" i="6"/>
  <c r="Z109" i="6"/>
  <c r="V109" i="6"/>
  <c r="U109" i="6"/>
  <c r="DE109" i="6" s="1"/>
  <c r="DB109" i="6" s="1"/>
  <c r="T109" i="6"/>
  <c r="S109" i="6"/>
  <c r="R109" i="6"/>
  <c r="Q109" i="6"/>
  <c r="P109" i="6"/>
  <c r="DA109" i="6" s="1"/>
  <c r="CX109" i="6" s="1"/>
  <c r="O109" i="6"/>
  <c r="N109" i="6"/>
  <c r="M109" i="6"/>
  <c r="L109" i="6"/>
  <c r="EQ109" i="6" s="1"/>
  <c r="D109" i="6"/>
  <c r="C109" i="6"/>
  <c r="B109" i="6"/>
  <c r="W109" i="6" s="1"/>
  <c r="Y109" i="6" s="1"/>
  <c r="FI110" i="6"/>
  <c r="FE110" i="6"/>
  <c r="FA110" i="6"/>
  <c r="EW110" i="6"/>
  <c r="DY110" i="6"/>
  <c r="DP110" i="6"/>
  <c r="DO110" i="6"/>
  <c r="DN110" i="6"/>
  <c r="DL110" i="6"/>
  <c r="DK110" i="6"/>
  <c r="DJ110" i="6"/>
  <c r="DH110" i="6"/>
  <c r="DG110" i="6"/>
  <c r="DF110" i="6"/>
  <c r="CK110" i="6"/>
  <c r="AK110" i="6"/>
  <c r="AJ110" i="6"/>
  <c r="AH110" i="6"/>
  <c r="AI110" i="6" s="1"/>
  <c r="CO110" i="6" s="1"/>
  <c r="CM110" i="6" s="1"/>
  <c r="AG110" i="6"/>
  <c r="AE110" i="6"/>
  <c r="AF110" i="6" s="1"/>
  <c r="CW110" i="6" s="1"/>
  <c r="CT110" i="6" s="1"/>
  <c r="AD110" i="6"/>
  <c r="AC110" i="6"/>
  <c r="AB110" i="6"/>
  <c r="AA110" i="6"/>
  <c r="Z110" i="6"/>
  <c r="V110" i="6"/>
  <c r="U110" i="6"/>
  <c r="DE110" i="6" s="1"/>
  <c r="DD110" i="6" s="1"/>
  <c r="T110" i="6"/>
  <c r="S110" i="6"/>
  <c r="R110" i="6"/>
  <c r="Q110" i="6"/>
  <c r="P110" i="6"/>
  <c r="DA110" i="6" s="1"/>
  <c r="CZ110" i="6" s="1"/>
  <c r="O110" i="6"/>
  <c r="N110" i="6"/>
  <c r="M110" i="6"/>
  <c r="L110" i="6"/>
  <c r="EQ110" i="6" s="1"/>
  <c r="EO110" i="6" s="1"/>
  <c r="D110" i="6"/>
  <c r="C110" i="6"/>
  <c r="E110" i="6" s="1"/>
  <c r="B110" i="6"/>
  <c r="W110" i="6" s="1"/>
  <c r="FI111" i="6"/>
  <c r="FE111" i="6"/>
  <c r="FA111" i="6"/>
  <c r="EW111" i="6"/>
  <c r="DY111" i="6"/>
  <c r="DP111" i="6"/>
  <c r="DO111" i="6"/>
  <c r="DN111" i="6"/>
  <c r="DL111" i="6"/>
  <c r="DK111" i="6"/>
  <c r="DJ111" i="6"/>
  <c r="DH111" i="6"/>
  <c r="DG111" i="6"/>
  <c r="DF111" i="6"/>
  <c r="CK111" i="6"/>
  <c r="AK111" i="6"/>
  <c r="AJ111" i="6"/>
  <c r="AH111" i="6"/>
  <c r="AI111" i="6" s="1"/>
  <c r="CO111" i="6" s="1"/>
  <c r="AG111" i="6"/>
  <c r="AE111" i="6"/>
  <c r="AF111" i="6" s="1"/>
  <c r="CW111" i="6" s="1"/>
  <c r="CU111" i="6" s="1"/>
  <c r="AD111" i="6"/>
  <c r="AC111" i="6"/>
  <c r="AB111" i="6"/>
  <c r="AA111" i="6"/>
  <c r="Z111" i="6"/>
  <c r="V111" i="6"/>
  <c r="U111" i="6"/>
  <c r="DE111" i="6" s="1"/>
  <c r="T111" i="6"/>
  <c r="S111" i="6"/>
  <c r="R111" i="6"/>
  <c r="Q111" i="6"/>
  <c r="P111" i="6"/>
  <c r="DA111" i="6" s="1"/>
  <c r="CZ111" i="6" s="1"/>
  <c r="O111" i="6"/>
  <c r="N111" i="6"/>
  <c r="M111" i="6"/>
  <c r="L111" i="6"/>
  <c r="EQ111" i="6" s="1"/>
  <c r="EO111" i="6" s="1"/>
  <c r="D111" i="6"/>
  <c r="C111" i="6"/>
  <c r="B111" i="6"/>
  <c r="W111" i="6" s="1"/>
  <c r="FI114" i="6"/>
  <c r="FE114" i="6"/>
  <c r="FA114" i="6"/>
  <c r="EW114" i="6"/>
  <c r="EC114" i="6"/>
  <c r="DY114" i="6"/>
  <c r="DP114" i="6"/>
  <c r="DO114" i="6"/>
  <c r="DN114" i="6"/>
  <c r="DL114" i="6"/>
  <c r="DK114" i="6"/>
  <c r="DJ114" i="6"/>
  <c r="DH114" i="6"/>
  <c r="DG114" i="6"/>
  <c r="DF114" i="6"/>
  <c r="CK114" i="6"/>
  <c r="AK114" i="6"/>
  <c r="AJ114" i="6"/>
  <c r="AH114" i="6"/>
  <c r="AI114" i="6" s="1"/>
  <c r="CO114" i="6" s="1"/>
  <c r="AG114" i="6"/>
  <c r="AE114" i="6"/>
  <c r="AF114" i="6" s="1"/>
  <c r="CW114" i="6" s="1"/>
  <c r="AD114" i="6"/>
  <c r="AC114" i="6"/>
  <c r="AB114" i="6"/>
  <c r="AA114" i="6"/>
  <c r="Z114" i="6"/>
  <c r="V114" i="6"/>
  <c r="U114" i="6"/>
  <c r="DE114" i="6" s="1"/>
  <c r="DD114" i="6" s="1"/>
  <c r="T114" i="6"/>
  <c r="S114" i="6"/>
  <c r="R114" i="6"/>
  <c r="Q114" i="6"/>
  <c r="P114" i="6"/>
  <c r="DA114" i="6" s="1"/>
  <c r="O114" i="6"/>
  <c r="N114" i="6"/>
  <c r="M114" i="6"/>
  <c r="L114" i="6"/>
  <c r="EQ114" i="6" s="1"/>
  <c r="EO114" i="6" s="1"/>
  <c r="D114" i="6"/>
  <c r="C114" i="6"/>
  <c r="B114" i="6"/>
  <c r="W114" i="6" s="1"/>
  <c r="Y114" i="6" s="1"/>
  <c r="FI116" i="6"/>
  <c r="FE116" i="6"/>
  <c r="FA116" i="6"/>
  <c r="EW116" i="6"/>
  <c r="EC116" i="6"/>
  <c r="DY116" i="6"/>
  <c r="DP116" i="6"/>
  <c r="DO116" i="6"/>
  <c r="DN116" i="6"/>
  <c r="DL116" i="6"/>
  <c r="DK116" i="6"/>
  <c r="DJ116" i="6"/>
  <c r="DH116" i="6"/>
  <c r="DG116" i="6"/>
  <c r="DF116" i="6"/>
  <c r="CK116" i="6"/>
  <c r="AK116" i="6"/>
  <c r="AJ116" i="6"/>
  <c r="AH116" i="6"/>
  <c r="AI116" i="6" s="1"/>
  <c r="CO116" i="6" s="1"/>
  <c r="AG116" i="6"/>
  <c r="AE116" i="6"/>
  <c r="AF116" i="6" s="1"/>
  <c r="CW116" i="6" s="1"/>
  <c r="AD116" i="6"/>
  <c r="AC116" i="6"/>
  <c r="AB116" i="6"/>
  <c r="AA116" i="6"/>
  <c r="Z116" i="6"/>
  <c r="V116" i="6"/>
  <c r="U116" i="6"/>
  <c r="DE116" i="6" s="1"/>
  <c r="T116" i="6"/>
  <c r="S116" i="6"/>
  <c r="R116" i="6"/>
  <c r="Q116" i="6"/>
  <c r="P116" i="6"/>
  <c r="DA116" i="6" s="1"/>
  <c r="O116" i="6"/>
  <c r="N116" i="6"/>
  <c r="M116" i="6"/>
  <c r="L116" i="6"/>
  <c r="EQ116" i="6" s="1"/>
  <c r="D116" i="6"/>
  <c r="C116" i="6"/>
  <c r="B116" i="6"/>
  <c r="W116" i="6" s="1"/>
  <c r="FI117" i="6"/>
  <c r="FE117" i="6"/>
  <c r="FA117" i="6"/>
  <c r="EW117" i="6"/>
  <c r="EC117" i="6"/>
  <c r="DY117" i="6"/>
  <c r="DP117" i="6"/>
  <c r="DO117" i="6"/>
  <c r="DN117" i="6"/>
  <c r="DL117" i="6"/>
  <c r="DK117" i="6"/>
  <c r="DJ117" i="6"/>
  <c r="DH117" i="6"/>
  <c r="DG117" i="6"/>
  <c r="DF117" i="6"/>
  <c r="CK117" i="6"/>
  <c r="AK117" i="6"/>
  <c r="AJ117" i="6"/>
  <c r="AH117" i="6"/>
  <c r="AI117" i="6" s="1"/>
  <c r="CO117" i="6" s="1"/>
  <c r="CM117" i="6" s="1"/>
  <c r="AG117" i="6"/>
  <c r="AE117" i="6"/>
  <c r="AF117" i="6" s="1"/>
  <c r="CW117" i="6" s="1"/>
  <c r="CV117" i="6" s="1"/>
  <c r="AD117" i="6"/>
  <c r="AC117" i="6"/>
  <c r="AB117" i="6"/>
  <c r="AA117" i="6"/>
  <c r="Z117" i="6"/>
  <c r="V117" i="6"/>
  <c r="U117" i="6"/>
  <c r="DE117" i="6" s="1"/>
  <c r="DD117" i="6" s="1"/>
  <c r="T117" i="6"/>
  <c r="S117" i="6"/>
  <c r="R117" i="6"/>
  <c r="Q117" i="6"/>
  <c r="P117" i="6"/>
  <c r="DA117" i="6" s="1"/>
  <c r="CZ117" i="6" s="1"/>
  <c r="O117" i="6"/>
  <c r="N117" i="6"/>
  <c r="M117" i="6"/>
  <c r="L117" i="6"/>
  <c r="EQ117" i="6" s="1"/>
  <c r="D117" i="6"/>
  <c r="C117" i="6"/>
  <c r="B117" i="6"/>
  <c r="W117" i="6" s="1"/>
  <c r="FI119" i="6"/>
  <c r="FE119" i="6"/>
  <c r="FA119" i="6"/>
  <c r="EW119" i="6"/>
  <c r="EC119" i="6"/>
  <c r="DY119" i="6"/>
  <c r="DH119" i="6"/>
  <c r="DG119" i="6"/>
  <c r="DF119" i="6"/>
  <c r="CK119" i="6"/>
  <c r="AK119" i="6"/>
  <c r="AJ119" i="6"/>
  <c r="AH119" i="6"/>
  <c r="AI119" i="6" s="1"/>
  <c r="CO119" i="6" s="1"/>
  <c r="CM119" i="6" s="1"/>
  <c r="AG119" i="6"/>
  <c r="AE119" i="6"/>
  <c r="AF119" i="6" s="1"/>
  <c r="CW119" i="6" s="1"/>
  <c r="CT119" i="6" s="1"/>
  <c r="AD119" i="6"/>
  <c r="AC119" i="6"/>
  <c r="AB119" i="6"/>
  <c r="AA119" i="6"/>
  <c r="Z119" i="6"/>
  <c r="V119" i="6"/>
  <c r="U119" i="6"/>
  <c r="DE119" i="6" s="1"/>
  <c r="DB119" i="6" s="1"/>
  <c r="T119" i="6"/>
  <c r="S119" i="6"/>
  <c r="R119" i="6"/>
  <c r="Q119" i="6"/>
  <c r="P119" i="6"/>
  <c r="DA119" i="6" s="1"/>
  <c r="O119" i="6"/>
  <c r="N119" i="6"/>
  <c r="M119" i="6"/>
  <c r="L119" i="6"/>
  <c r="EQ119" i="6" s="1"/>
  <c r="EO119" i="6" s="1"/>
  <c r="D119" i="6"/>
  <c r="C119" i="6"/>
  <c r="B119" i="6"/>
  <c r="W119" i="6" s="1"/>
  <c r="FI121" i="6"/>
  <c r="FE121" i="6"/>
  <c r="FA121" i="6"/>
  <c r="EW121" i="6"/>
  <c r="EC121" i="6"/>
  <c r="DY121" i="6"/>
  <c r="DP121" i="6"/>
  <c r="DO121" i="6"/>
  <c r="DN121" i="6"/>
  <c r="DL121" i="6"/>
  <c r="DK121" i="6"/>
  <c r="DJ121" i="6"/>
  <c r="DH121" i="6"/>
  <c r="DG121" i="6"/>
  <c r="DF121" i="6"/>
  <c r="CK121" i="6"/>
  <c r="AK121" i="6"/>
  <c r="AJ121" i="6"/>
  <c r="AH121" i="6"/>
  <c r="AI121" i="6" s="1"/>
  <c r="CO121" i="6" s="1"/>
  <c r="AG121" i="6"/>
  <c r="AE121" i="6"/>
  <c r="AF121" i="6" s="1"/>
  <c r="CW121" i="6" s="1"/>
  <c r="AD121" i="6"/>
  <c r="AC121" i="6"/>
  <c r="AB121" i="6"/>
  <c r="AA121" i="6"/>
  <c r="Z121" i="6"/>
  <c r="V121" i="6"/>
  <c r="U121" i="6"/>
  <c r="DE121" i="6" s="1"/>
  <c r="DB121" i="6" s="1"/>
  <c r="T121" i="6"/>
  <c r="S121" i="6"/>
  <c r="R121" i="6"/>
  <c r="Q121" i="6"/>
  <c r="P121" i="6"/>
  <c r="DA121" i="6" s="1"/>
  <c r="O121" i="6"/>
  <c r="N121" i="6"/>
  <c r="M121" i="6"/>
  <c r="L121" i="6"/>
  <c r="EQ121" i="6" s="1"/>
  <c r="D121" i="6"/>
  <c r="C121" i="6"/>
  <c r="B121" i="6"/>
  <c r="W121" i="6" s="1"/>
  <c r="FI120" i="6"/>
  <c r="FE120" i="6"/>
  <c r="FA120" i="6"/>
  <c r="EW120" i="6"/>
  <c r="EC120" i="6"/>
  <c r="DY120" i="6"/>
  <c r="DP120" i="6"/>
  <c r="DO120" i="6"/>
  <c r="DN120" i="6"/>
  <c r="DL120" i="6"/>
  <c r="DK120" i="6"/>
  <c r="DJ120" i="6"/>
  <c r="DH120" i="6"/>
  <c r="DG120" i="6"/>
  <c r="DF120" i="6"/>
  <c r="CK120" i="6"/>
  <c r="AK120" i="6"/>
  <c r="AJ120" i="6"/>
  <c r="AH120" i="6"/>
  <c r="AI120" i="6" s="1"/>
  <c r="CO120" i="6" s="1"/>
  <c r="AG120" i="6"/>
  <c r="AE120" i="6"/>
  <c r="AF120" i="6" s="1"/>
  <c r="CW120" i="6" s="1"/>
  <c r="AD120" i="6"/>
  <c r="AC120" i="6"/>
  <c r="AB120" i="6"/>
  <c r="AA120" i="6"/>
  <c r="Z120" i="6"/>
  <c r="V120" i="6"/>
  <c r="U120" i="6"/>
  <c r="DE120" i="6" s="1"/>
  <c r="T120" i="6"/>
  <c r="S120" i="6"/>
  <c r="R120" i="6"/>
  <c r="Q120" i="6"/>
  <c r="P120" i="6"/>
  <c r="DA120" i="6" s="1"/>
  <c r="CY120" i="6" s="1"/>
  <c r="O120" i="6"/>
  <c r="N120" i="6"/>
  <c r="M120" i="6"/>
  <c r="L120" i="6"/>
  <c r="EQ120" i="6" s="1"/>
  <c r="D120" i="6"/>
  <c r="C120" i="6"/>
  <c r="B120" i="6"/>
  <c r="W120" i="6" s="1"/>
  <c r="FI122" i="6"/>
  <c r="FE122" i="6"/>
  <c r="FA122" i="6"/>
  <c r="EW122" i="6"/>
  <c r="EC122" i="6"/>
  <c r="DY122" i="6"/>
  <c r="DP122" i="6"/>
  <c r="DO122" i="6"/>
  <c r="DN122" i="6"/>
  <c r="DL122" i="6"/>
  <c r="DK122" i="6"/>
  <c r="DJ122" i="6"/>
  <c r="DH122" i="6"/>
  <c r="DG122" i="6"/>
  <c r="DF122" i="6"/>
  <c r="CK122" i="6"/>
  <c r="AK122" i="6"/>
  <c r="AJ122" i="6"/>
  <c r="AH122" i="6"/>
  <c r="AI122" i="6" s="1"/>
  <c r="CO122" i="6" s="1"/>
  <c r="CS122" i="6" s="1"/>
  <c r="AG122" i="6"/>
  <c r="AE122" i="6"/>
  <c r="AF122" i="6" s="1"/>
  <c r="CW122" i="6" s="1"/>
  <c r="CT122" i="6" s="1"/>
  <c r="AD122" i="6"/>
  <c r="AC122" i="6"/>
  <c r="AB122" i="6"/>
  <c r="AA122" i="6"/>
  <c r="Z122" i="6"/>
  <c r="V122" i="6"/>
  <c r="U122" i="6"/>
  <c r="DE122" i="6" s="1"/>
  <c r="DC122" i="6" s="1"/>
  <c r="T122" i="6"/>
  <c r="S122" i="6"/>
  <c r="R122" i="6"/>
  <c r="Q122" i="6"/>
  <c r="P122" i="6"/>
  <c r="DA122" i="6" s="1"/>
  <c r="CY122" i="6" s="1"/>
  <c r="O122" i="6"/>
  <c r="N122" i="6"/>
  <c r="M122" i="6"/>
  <c r="L122" i="6"/>
  <c r="EQ122" i="6" s="1"/>
  <c r="EO122" i="6" s="1"/>
  <c r="D122" i="6"/>
  <c r="C122" i="6"/>
  <c r="B122" i="6"/>
  <c r="W122" i="6" s="1"/>
  <c r="FI123" i="6"/>
  <c r="FE123" i="6"/>
  <c r="FA123" i="6"/>
  <c r="EW123" i="6"/>
  <c r="EC123" i="6"/>
  <c r="DY123" i="6"/>
  <c r="DP123" i="6"/>
  <c r="DO123" i="6"/>
  <c r="DN123" i="6"/>
  <c r="DH123" i="6"/>
  <c r="DG123" i="6"/>
  <c r="DF123" i="6"/>
  <c r="CK123" i="6"/>
  <c r="AK123" i="6"/>
  <c r="AJ123" i="6"/>
  <c r="AH123" i="6"/>
  <c r="AI123" i="6" s="1"/>
  <c r="CO123" i="6" s="1"/>
  <c r="AG123" i="6"/>
  <c r="AE123" i="6"/>
  <c r="AF123" i="6" s="1"/>
  <c r="CW123" i="6" s="1"/>
  <c r="AD123" i="6"/>
  <c r="AC123" i="6"/>
  <c r="AB123" i="6"/>
  <c r="AA123" i="6"/>
  <c r="Z123" i="6"/>
  <c r="V123" i="6"/>
  <c r="U123" i="6"/>
  <c r="DE123" i="6" s="1"/>
  <c r="DD123" i="6" s="1"/>
  <c r="T123" i="6"/>
  <c r="S123" i="6"/>
  <c r="R123" i="6"/>
  <c r="Q123" i="6"/>
  <c r="P123" i="6"/>
  <c r="DA123" i="6" s="1"/>
  <c r="CZ123" i="6" s="1"/>
  <c r="O123" i="6"/>
  <c r="N123" i="6"/>
  <c r="M123" i="6"/>
  <c r="L123" i="6"/>
  <c r="EQ123" i="6" s="1"/>
  <c r="EO123" i="6" s="1"/>
  <c r="D123" i="6"/>
  <c r="C123" i="6"/>
  <c r="B123" i="6"/>
  <c r="W123" i="6" s="1"/>
  <c r="X123" i="6" s="1"/>
  <c r="FI127" i="6"/>
  <c r="FE127" i="6"/>
  <c r="FA127" i="6"/>
  <c r="EW127" i="6"/>
  <c r="EC127" i="6"/>
  <c r="DL127" i="6"/>
  <c r="DK127" i="6"/>
  <c r="DJ127" i="6"/>
  <c r="DH127" i="6"/>
  <c r="DG127" i="6"/>
  <c r="DF127" i="6"/>
  <c r="CK127" i="6"/>
  <c r="AK127" i="6"/>
  <c r="AJ127" i="6"/>
  <c r="AH127" i="6"/>
  <c r="AI127" i="6" s="1"/>
  <c r="CO127" i="6" s="1"/>
  <c r="AG127" i="6"/>
  <c r="AE127" i="6"/>
  <c r="AF127" i="6" s="1"/>
  <c r="CW127" i="6" s="1"/>
  <c r="AD127" i="6"/>
  <c r="AC127" i="6"/>
  <c r="AB127" i="6"/>
  <c r="AA127" i="6"/>
  <c r="Z127" i="6"/>
  <c r="V127" i="6"/>
  <c r="U127" i="6"/>
  <c r="DE127" i="6" s="1"/>
  <c r="DD127" i="6" s="1"/>
  <c r="T127" i="6"/>
  <c r="S127" i="6"/>
  <c r="R127" i="6"/>
  <c r="Q127" i="6"/>
  <c r="P127" i="6"/>
  <c r="DA127" i="6" s="1"/>
  <c r="O127" i="6"/>
  <c r="N127" i="6"/>
  <c r="M127" i="6"/>
  <c r="L127" i="6"/>
  <c r="EQ127" i="6" s="1"/>
  <c r="EO127" i="6" s="1"/>
  <c r="D127" i="6"/>
  <c r="C127" i="6"/>
  <c r="B127" i="6"/>
  <c r="W127" i="6" s="1"/>
  <c r="FI128" i="6"/>
  <c r="FE128" i="6"/>
  <c r="FA128" i="6"/>
  <c r="EW128" i="6"/>
  <c r="EC128" i="6"/>
  <c r="DH128" i="6"/>
  <c r="DG128" i="6"/>
  <c r="DF128" i="6"/>
  <c r="CK128" i="6"/>
  <c r="AK128" i="6"/>
  <c r="AJ128" i="6"/>
  <c r="AH128" i="6"/>
  <c r="AI128" i="6" s="1"/>
  <c r="CO128" i="6" s="1"/>
  <c r="AG128" i="6"/>
  <c r="AE128" i="6"/>
  <c r="AF128" i="6" s="1"/>
  <c r="CW128" i="6" s="1"/>
  <c r="AD128" i="6"/>
  <c r="AC128" i="6"/>
  <c r="AB128" i="6"/>
  <c r="AA128" i="6"/>
  <c r="Z128" i="6"/>
  <c r="V128" i="6"/>
  <c r="U128" i="6"/>
  <c r="DE128" i="6" s="1"/>
  <c r="DD128" i="6" s="1"/>
  <c r="T128" i="6"/>
  <c r="S128" i="6"/>
  <c r="R128" i="6"/>
  <c r="Q128" i="6"/>
  <c r="P128" i="6"/>
  <c r="DA128" i="6" s="1"/>
  <c r="CZ128" i="6" s="1"/>
  <c r="O128" i="6"/>
  <c r="N128" i="6"/>
  <c r="M128" i="6"/>
  <c r="L128" i="6"/>
  <c r="EQ128" i="6" s="1"/>
  <c r="D128" i="6"/>
  <c r="C128" i="6"/>
  <c r="B128" i="6"/>
  <c r="W128" i="6" s="1"/>
  <c r="FI129" i="6"/>
  <c r="FE129" i="6"/>
  <c r="FA129" i="6"/>
  <c r="EW129" i="6"/>
  <c r="EC129" i="6"/>
  <c r="DL129" i="6"/>
  <c r="DK129" i="6"/>
  <c r="DJ129" i="6"/>
  <c r="DH129" i="6"/>
  <c r="DG129" i="6"/>
  <c r="DF129" i="6"/>
  <c r="CK129" i="6"/>
  <c r="AK129" i="6"/>
  <c r="AJ129" i="6"/>
  <c r="AH129" i="6"/>
  <c r="AI129" i="6" s="1"/>
  <c r="CO129" i="6" s="1"/>
  <c r="AG129" i="6"/>
  <c r="AE129" i="6"/>
  <c r="AF129" i="6" s="1"/>
  <c r="CW129" i="6" s="1"/>
  <c r="AD129" i="6"/>
  <c r="AC129" i="6"/>
  <c r="AB129" i="6"/>
  <c r="AA129" i="6"/>
  <c r="Z129" i="6"/>
  <c r="V129" i="6"/>
  <c r="U129" i="6"/>
  <c r="DE129" i="6" s="1"/>
  <c r="DB129" i="6" s="1"/>
  <c r="T129" i="6"/>
  <c r="S129" i="6"/>
  <c r="R129" i="6"/>
  <c r="Q129" i="6"/>
  <c r="P129" i="6"/>
  <c r="DA129" i="6" s="1"/>
  <c r="CZ129" i="6" s="1"/>
  <c r="O129" i="6"/>
  <c r="N129" i="6"/>
  <c r="M129" i="6"/>
  <c r="L129" i="6"/>
  <c r="EQ129" i="6" s="1"/>
  <c r="D129" i="6"/>
  <c r="C129" i="6"/>
  <c r="B129" i="6"/>
  <c r="W129" i="6" s="1"/>
  <c r="Y129" i="6" s="1"/>
  <c r="FI130" i="6"/>
  <c r="FE130" i="6"/>
  <c r="FA130" i="6"/>
  <c r="EW130" i="6"/>
  <c r="EC130" i="6"/>
  <c r="DT130" i="6"/>
  <c r="DS130" i="6"/>
  <c r="DR130" i="6"/>
  <c r="DL130" i="6"/>
  <c r="DK130" i="6"/>
  <c r="DJ130" i="6"/>
  <c r="DH130" i="6"/>
  <c r="DG130" i="6"/>
  <c r="DF130" i="6"/>
  <c r="CK130" i="6"/>
  <c r="AK130" i="6"/>
  <c r="AJ130" i="6"/>
  <c r="AH130" i="6"/>
  <c r="AI130" i="6" s="1"/>
  <c r="CO130" i="6" s="1"/>
  <c r="AG130" i="6"/>
  <c r="AE130" i="6"/>
  <c r="AF130" i="6" s="1"/>
  <c r="CW130" i="6" s="1"/>
  <c r="AD130" i="6"/>
  <c r="AC130" i="6"/>
  <c r="AB130" i="6"/>
  <c r="AA130" i="6"/>
  <c r="Z130" i="6"/>
  <c r="V130" i="6"/>
  <c r="U130" i="6"/>
  <c r="DE130" i="6" s="1"/>
  <c r="T130" i="6"/>
  <c r="S130" i="6"/>
  <c r="R130" i="6"/>
  <c r="Q130" i="6"/>
  <c r="P130" i="6"/>
  <c r="DA130" i="6" s="1"/>
  <c r="O130" i="6"/>
  <c r="N130" i="6"/>
  <c r="M130" i="6"/>
  <c r="L130" i="6"/>
  <c r="EQ130" i="6" s="1"/>
  <c r="EO130" i="6" s="1"/>
  <c r="D130" i="6"/>
  <c r="C130" i="6"/>
  <c r="B130" i="6"/>
  <c r="W130" i="6" s="1"/>
  <c r="FI131" i="6"/>
  <c r="FE131" i="6"/>
  <c r="FA131" i="6"/>
  <c r="EW131" i="6"/>
  <c r="EC131" i="6"/>
  <c r="DT131" i="6"/>
  <c r="DS131" i="6"/>
  <c r="DR131" i="6"/>
  <c r="DL131" i="6"/>
  <c r="DK131" i="6"/>
  <c r="DJ131" i="6"/>
  <c r="DH131" i="6"/>
  <c r="DG131" i="6"/>
  <c r="DF131" i="6"/>
  <c r="CK131" i="6"/>
  <c r="AK131" i="6"/>
  <c r="AJ131" i="6"/>
  <c r="AH131" i="6"/>
  <c r="AI131" i="6" s="1"/>
  <c r="CO131" i="6" s="1"/>
  <c r="CN131" i="6" s="1"/>
  <c r="AG131" i="6"/>
  <c r="AE131" i="6"/>
  <c r="AF131" i="6" s="1"/>
  <c r="CW131" i="6" s="1"/>
  <c r="AD131" i="6"/>
  <c r="AC131" i="6"/>
  <c r="AB131" i="6"/>
  <c r="AA131" i="6"/>
  <c r="Z131" i="6"/>
  <c r="V131" i="6"/>
  <c r="U131" i="6"/>
  <c r="DE131" i="6" s="1"/>
  <c r="DD131" i="6" s="1"/>
  <c r="T131" i="6"/>
  <c r="S131" i="6"/>
  <c r="R131" i="6"/>
  <c r="Q131" i="6"/>
  <c r="P131" i="6"/>
  <c r="DA131" i="6" s="1"/>
  <c r="CZ131" i="6" s="1"/>
  <c r="O131" i="6"/>
  <c r="N131" i="6"/>
  <c r="M131" i="6"/>
  <c r="L131" i="6"/>
  <c r="EQ131" i="6" s="1"/>
  <c r="EO131" i="6" s="1"/>
  <c r="D131" i="6"/>
  <c r="C131" i="6"/>
  <c r="B131" i="6"/>
  <c r="W131" i="6" s="1"/>
  <c r="FI132" i="6"/>
  <c r="FE132" i="6"/>
  <c r="FA132" i="6"/>
  <c r="EW132" i="6"/>
  <c r="EC132" i="6"/>
  <c r="DT132" i="6"/>
  <c r="DS132" i="6"/>
  <c r="DR132" i="6"/>
  <c r="DL132" i="6"/>
  <c r="DK132" i="6"/>
  <c r="DJ132" i="6"/>
  <c r="DH132" i="6"/>
  <c r="DG132" i="6"/>
  <c r="DF132" i="6"/>
  <c r="CK132" i="6"/>
  <c r="AK132" i="6"/>
  <c r="AJ132" i="6"/>
  <c r="AH132" i="6"/>
  <c r="AI132" i="6" s="1"/>
  <c r="CO132" i="6" s="1"/>
  <c r="CM132" i="6" s="1"/>
  <c r="AG132" i="6"/>
  <c r="AE132" i="6"/>
  <c r="AF132" i="6" s="1"/>
  <c r="CW132" i="6" s="1"/>
  <c r="AD132" i="6"/>
  <c r="AC132" i="6"/>
  <c r="AB132" i="6"/>
  <c r="AA132" i="6"/>
  <c r="Z132" i="6"/>
  <c r="V132" i="6"/>
  <c r="U132" i="6"/>
  <c r="DE132" i="6" s="1"/>
  <c r="T132" i="6"/>
  <c r="S132" i="6"/>
  <c r="R132" i="6"/>
  <c r="Q132" i="6"/>
  <c r="P132" i="6"/>
  <c r="DA132" i="6" s="1"/>
  <c r="O132" i="6"/>
  <c r="N132" i="6"/>
  <c r="M132" i="6"/>
  <c r="L132" i="6"/>
  <c r="EQ132" i="6" s="1"/>
  <c r="D132" i="6"/>
  <c r="C132" i="6"/>
  <c r="B132" i="6"/>
  <c r="FE133" i="6"/>
  <c r="FA133" i="6"/>
  <c r="EW133" i="6"/>
  <c r="EC133" i="6"/>
  <c r="DT133" i="6"/>
  <c r="DS133" i="6"/>
  <c r="DR133" i="6"/>
  <c r="DL133" i="6"/>
  <c r="DK133" i="6"/>
  <c r="DJ133" i="6"/>
  <c r="CK133" i="6"/>
  <c r="AK133" i="6"/>
  <c r="AJ133" i="6"/>
  <c r="AH133" i="6"/>
  <c r="AI133" i="6" s="1"/>
  <c r="CO133" i="6" s="1"/>
  <c r="AG133" i="6"/>
  <c r="AE133" i="6"/>
  <c r="AF133" i="6" s="1"/>
  <c r="CW133" i="6" s="1"/>
  <c r="CV133" i="6" s="1"/>
  <c r="AD133" i="6"/>
  <c r="AC133" i="6"/>
  <c r="AB133" i="6"/>
  <c r="AA133" i="6"/>
  <c r="Z133" i="6"/>
  <c r="V133" i="6"/>
  <c r="U133" i="6"/>
  <c r="DE133" i="6" s="1"/>
  <c r="T133" i="6"/>
  <c r="S133" i="6"/>
  <c r="R133" i="6"/>
  <c r="Q133" i="6"/>
  <c r="P133" i="6"/>
  <c r="DA133" i="6" s="1"/>
  <c r="CZ133" i="6" s="1"/>
  <c r="O133" i="6"/>
  <c r="N133" i="6"/>
  <c r="M133" i="6"/>
  <c r="L133" i="6"/>
  <c r="EQ133" i="6" s="1"/>
  <c r="EO133" i="6" s="1"/>
  <c r="D133" i="6"/>
  <c r="C133" i="6"/>
  <c r="B133" i="6"/>
  <c r="W133" i="6" s="1"/>
  <c r="X133" i="6" s="1"/>
  <c r="FI134" i="6"/>
  <c r="FE134" i="6"/>
  <c r="FA134" i="6"/>
  <c r="EW134" i="6"/>
  <c r="EC134" i="6"/>
  <c r="DT134" i="6"/>
  <c r="DS134" i="6"/>
  <c r="DR134" i="6"/>
  <c r="DL134" i="6"/>
  <c r="DK134" i="6"/>
  <c r="DJ134" i="6"/>
  <c r="DH134" i="6"/>
  <c r="DG134" i="6"/>
  <c r="DF134" i="6"/>
  <c r="CK134" i="6"/>
  <c r="AK134" i="6"/>
  <c r="AJ134" i="6"/>
  <c r="AH134" i="6"/>
  <c r="AI134" i="6" s="1"/>
  <c r="CO134" i="6" s="1"/>
  <c r="AG134" i="6"/>
  <c r="AE134" i="6"/>
  <c r="AF134" i="6" s="1"/>
  <c r="CW134" i="6" s="1"/>
  <c r="AD134" i="6"/>
  <c r="AC134" i="6"/>
  <c r="AB134" i="6"/>
  <c r="AA134" i="6"/>
  <c r="Z134" i="6"/>
  <c r="V134" i="6"/>
  <c r="U134" i="6"/>
  <c r="DE134" i="6" s="1"/>
  <c r="T134" i="6"/>
  <c r="S134" i="6"/>
  <c r="R134" i="6"/>
  <c r="Q134" i="6"/>
  <c r="P134" i="6"/>
  <c r="DA134" i="6" s="1"/>
  <c r="O134" i="6"/>
  <c r="N134" i="6"/>
  <c r="M134" i="6"/>
  <c r="L134" i="6"/>
  <c r="EQ134" i="6" s="1"/>
  <c r="EO134" i="6" s="1"/>
  <c r="D134" i="6"/>
  <c r="C134" i="6"/>
  <c r="B134" i="6"/>
  <c r="W134" i="6" s="1"/>
  <c r="X134" i="6" s="1"/>
  <c r="FI138" i="6"/>
  <c r="FE138" i="6"/>
  <c r="FA138" i="6"/>
  <c r="EW138" i="6"/>
  <c r="EC138" i="6"/>
  <c r="DT138" i="6"/>
  <c r="DS138" i="6"/>
  <c r="DR138" i="6"/>
  <c r="DP138" i="6"/>
  <c r="DO138" i="6"/>
  <c r="DN138" i="6"/>
  <c r="DL138" i="6"/>
  <c r="DK138" i="6"/>
  <c r="DJ138" i="6"/>
  <c r="DH138" i="6"/>
  <c r="DG138" i="6"/>
  <c r="DF138" i="6"/>
  <c r="CK138" i="6"/>
  <c r="AK138" i="6"/>
  <c r="AJ138" i="6"/>
  <c r="AH138" i="6"/>
  <c r="AI138" i="6" s="1"/>
  <c r="CO138" i="6" s="1"/>
  <c r="CL138" i="6" s="1"/>
  <c r="AG138" i="6"/>
  <c r="AE138" i="6"/>
  <c r="AF138" i="6" s="1"/>
  <c r="CW138" i="6" s="1"/>
  <c r="AD138" i="6"/>
  <c r="AC138" i="6"/>
  <c r="AB138" i="6"/>
  <c r="AA138" i="6"/>
  <c r="Z138" i="6"/>
  <c r="V138" i="6"/>
  <c r="U138" i="6"/>
  <c r="DE138" i="6" s="1"/>
  <c r="T138" i="6"/>
  <c r="S138" i="6"/>
  <c r="R138" i="6"/>
  <c r="Q138" i="6"/>
  <c r="P138" i="6"/>
  <c r="DA138" i="6" s="1"/>
  <c r="CZ138" i="6" s="1"/>
  <c r="O138" i="6"/>
  <c r="N138" i="6"/>
  <c r="M138" i="6"/>
  <c r="L138" i="6"/>
  <c r="EQ138" i="6" s="1"/>
  <c r="D138" i="6"/>
  <c r="C138" i="6"/>
  <c r="B138" i="6"/>
  <c r="W138" i="6" s="1"/>
  <c r="FI141" i="6"/>
  <c r="FE141" i="6"/>
  <c r="FA141" i="6"/>
  <c r="EW141" i="6"/>
  <c r="EC141" i="6"/>
  <c r="DT141" i="6"/>
  <c r="DS141" i="6"/>
  <c r="DR141" i="6"/>
  <c r="DP141" i="6"/>
  <c r="DO141" i="6"/>
  <c r="DN141" i="6"/>
  <c r="DL141" i="6"/>
  <c r="DK141" i="6"/>
  <c r="DJ141" i="6"/>
  <c r="DH141" i="6"/>
  <c r="DG141" i="6"/>
  <c r="DF141" i="6"/>
  <c r="CK141" i="6"/>
  <c r="AK141" i="6"/>
  <c r="AJ141" i="6"/>
  <c r="AH141" i="6"/>
  <c r="AI141" i="6" s="1"/>
  <c r="CO141" i="6" s="1"/>
  <c r="AG141" i="6"/>
  <c r="AE141" i="6"/>
  <c r="AF141" i="6" s="1"/>
  <c r="CW141" i="6" s="1"/>
  <c r="AD141" i="6"/>
  <c r="AC141" i="6"/>
  <c r="AB141" i="6"/>
  <c r="AA141" i="6"/>
  <c r="Z141" i="6"/>
  <c r="V141" i="6"/>
  <c r="U141" i="6"/>
  <c r="DE141" i="6" s="1"/>
  <c r="T141" i="6"/>
  <c r="S141" i="6"/>
  <c r="R141" i="6"/>
  <c r="Q141" i="6"/>
  <c r="P141" i="6"/>
  <c r="DA141" i="6" s="1"/>
  <c r="O141" i="6"/>
  <c r="N141" i="6"/>
  <c r="M141" i="6"/>
  <c r="L141" i="6"/>
  <c r="EQ141" i="6" s="1"/>
  <c r="D141" i="6"/>
  <c r="C141" i="6"/>
  <c r="B141" i="6"/>
  <c r="W141" i="6" s="1"/>
  <c r="FI140" i="6"/>
  <c r="FE140" i="6"/>
  <c r="FA140" i="6"/>
  <c r="EW140" i="6"/>
  <c r="EC140" i="6"/>
  <c r="DT140" i="6"/>
  <c r="DS140" i="6"/>
  <c r="DR140" i="6"/>
  <c r="DP140" i="6"/>
  <c r="DO140" i="6"/>
  <c r="DN140" i="6"/>
  <c r="DL140" i="6"/>
  <c r="DK140" i="6"/>
  <c r="DJ140" i="6"/>
  <c r="DH140" i="6"/>
  <c r="DG140" i="6"/>
  <c r="DF140" i="6"/>
  <c r="CK140" i="6"/>
  <c r="AK140" i="6"/>
  <c r="AJ140" i="6"/>
  <c r="AH140" i="6"/>
  <c r="AI140" i="6" s="1"/>
  <c r="CO140" i="6" s="1"/>
  <c r="AG140" i="6"/>
  <c r="AE140" i="6"/>
  <c r="AF140" i="6" s="1"/>
  <c r="CW140" i="6" s="1"/>
  <c r="AD140" i="6"/>
  <c r="AC140" i="6"/>
  <c r="AB140" i="6"/>
  <c r="AA140" i="6"/>
  <c r="Z140" i="6"/>
  <c r="V140" i="6"/>
  <c r="U140" i="6"/>
  <c r="DE140" i="6" s="1"/>
  <c r="T140" i="6"/>
  <c r="S140" i="6"/>
  <c r="R140" i="6"/>
  <c r="Q140" i="6"/>
  <c r="P140" i="6"/>
  <c r="DA140" i="6" s="1"/>
  <c r="O140" i="6"/>
  <c r="N140" i="6"/>
  <c r="M140" i="6"/>
  <c r="L140" i="6"/>
  <c r="EQ140" i="6" s="1"/>
  <c r="D140" i="6"/>
  <c r="C140" i="6"/>
  <c r="B140" i="6"/>
  <c r="W140" i="6" s="1"/>
  <c r="FI147" i="6"/>
  <c r="FE147" i="6"/>
  <c r="FA147" i="6"/>
  <c r="EW147" i="6"/>
  <c r="EC147" i="6"/>
  <c r="DT147" i="6"/>
  <c r="DS147" i="6"/>
  <c r="DR147" i="6"/>
  <c r="DP147" i="6"/>
  <c r="DO147" i="6"/>
  <c r="DN147" i="6"/>
  <c r="DL147" i="6"/>
  <c r="DK147" i="6"/>
  <c r="DJ147" i="6"/>
  <c r="DH147" i="6"/>
  <c r="DG147" i="6"/>
  <c r="DF147" i="6"/>
  <c r="CK147" i="6"/>
  <c r="AK147" i="6"/>
  <c r="AJ147" i="6"/>
  <c r="AH147" i="6"/>
  <c r="AI147" i="6" s="1"/>
  <c r="CO147" i="6" s="1"/>
  <c r="CL147" i="6" s="1"/>
  <c r="AG147" i="6"/>
  <c r="AE147" i="6"/>
  <c r="AF147" i="6" s="1"/>
  <c r="CW147" i="6" s="1"/>
  <c r="CV147" i="6" s="1"/>
  <c r="AD147" i="6"/>
  <c r="AC147" i="6"/>
  <c r="AB147" i="6"/>
  <c r="AA147" i="6"/>
  <c r="Z147" i="6"/>
  <c r="V147" i="6"/>
  <c r="U147" i="6"/>
  <c r="DE147" i="6" s="1"/>
  <c r="T147" i="6"/>
  <c r="S147" i="6"/>
  <c r="R147" i="6"/>
  <c r="Q147" i="6"/>
  <c r="P147" i="6"/>
  <c r="DA147" i="6" s="1"/>
  <c r="CZ147" i="6" s="1"/>
  <c r="O147" i="6"/>
  <c r="N147" i="6"/>
  <c r="M147" i="6"/>
  <c r="L147" i="6"/>
  <c r="EQ147" i="6" s="1"/>
  <c r="EO147" i="6" s="1"/>
  <c r="D147" i="6"/>
  <c r="C147" i="6"/>
  <c r="B147" i="6"/>
  <c r="W147" i="6" s="1"/>
  <c r="Y147" i="6" s="1"/>
  <c r="FI146" i="6"/>
  <c r="FE146" i="6"/>
  <c r="FA146" i="6"/>
  <c r="EW146" i="6"/>
  <c r="EC146" i="6"/>
  <c r="DT146" i="6"/>
  <c r="DS146" i="6"/>
  <c r="DR146" i="6"/>
  <c r="DP146" i="6"/>
  <c r="DO146" i="6"/>
  <c r="DN146" i="6"/>
  <c r="DL146" i="6"/>
  <c r="DK146" i="6"/>
  <c r="DJ146" i="6"/>
  <c r="DH146" i="6"/>
  <c r="DG146" i="6"/>
  <c r="DF146" i="6"/>
  <c r="CK146" i="6"/>
  <c r="AK146" i="6"/>
  <c r="AJ146" i="6"/>
  <c r="AH146" i="6"/>
  <c r="AI146" i="6" s="1"/>
  <c r="CO146" i="6" s="1"/>
  <c r="AG146" i="6"/>
  <c r="AE146" i="6"/>
  <c r="AF146" i="6" s="1"/>
  <c r="CW146" i="6" s="1"/>
  <c r="AD146" i="6"/>
  <c r="AC146" i="6"/>
  <c r="AB146" i="6"/>
  <c r="AA146" i="6"/>
  <c r="Z146" i="6"/>
  <c r="V146" i="6"/>
  <c r="U146" i="6"/>
  <c r="DE146" i="6" s="1"/>
  <c r="DD146" i="6" s="1"/>
  <c r="T146" i="6"/>
  <c r="S146" i="6"/>
  <c r="R146" i="6"/>
  <c r="Q146" i="6"/>
  <c r="P146" i="6"/>
  <c r="DA146" i="6" s="1"/>
  <c r="CZ146" i="6" s="1"/>
  <c r="O146" i="6"/>
  <c r="N146" i="6"/>
  <c r="M146" i="6"/>
  <c r="L146" i="6"/>
  <c r="EQ146" i="6" s="1"/>
  <c r="EO146" i="6" s="1"/>
  <c r="D146" i="6"/>
  <c r="C146" i="6"/>
  <c r="B146" i="6"/>
  <c r="W146" i="6" s="1"/>
  <c r="FI145" i="6"/>
  <c r="FE145" i="6"/>
  <c r="FA145" i="6"/>
  <c r="EW145" i="6"/>
  <c r="EC145" i="6"/>
  <c r="DY145" i="6"/>
  <c r="DT145" i="6"/>
  <c r="DS145" i="6"/>
  <c r="DR145" i="6"/>
  <c r="DP145" i="6"/>
  <c r="DO145" i="6"/>
  <c r="DN145" i="6"/>
  <c r="DL145" i="6"/>
  <c r="DK145" i="6"/>
  <c r="DJ145" i="6"/>
  <c r="DH145" i="6"/>
  <c r="DG145" i="6"/>
  <c r="DF145" i="6"/>
  <c r="CK145" i="6"/>
  <c r="AK145" i="6"/>
  <c r="AJ145" i="6"/>
  <c r="AH145" i="6"/>
  <c r="AI145" i="6" s="1"/>
  <c r="CO145" i="6" s="1"/>
  <c r="AG145" i="6"/>
  <c r="AE145" i="6"/>
  <c r="AF145" i="6" s="1"/>
  <c r="CW145" i="6" s="1"/>
  <c r="AD145" i="6"/>
  <c r="AC145" i="6"/>
  <c r="AB145" i="6"/>
  <c r="AA145" i="6"/>
  <c r="Z145" i="6"/>
  <c r="V145" i="6"/>
  <c r="U145" i="6"/>
  <c r="DE145" i="6" s="1"/>
  <c r="T145" i="6"/>
  <c r="S145" i="6"/>
  <c r="R145" i="6"/>
  <c r="Q145" i="6"/>
  <c r="P145" i="6"/>
  <c r="DA145" i="6" s="1"/>
  <c r="CZ145" i="6" s="1"/>
  <c r="O145" i="6"/>
  <c r="N145" i="6"/>
  <c r="M145" i="6"/>
  <c r="L145" i="6"/>
  <c r="EQ145" i="6" s="1"/>
  <c r="D145" i="6"/>
  <c r="C145" i="6"/>
  <c r="B145" i="6"/>
  <c r="W145" i="6" s="1"/>
  <c r="X145" i="6" s="1"/>
  <c r="FI144" i="6"/>
  <c r="FE144" i="6"/>
  <c r="FA144" i="6"/>
  <c r="EW144" i="6"/>
  <c r="EC144" i="6"/>
  <c r="DY144" i="6"/>
  <c r="DT144" i="6"/>
  <c r="DS144" i="6"/>
  <c r="DR144" i="6"/>
  <c r="DP144" i="6"/>
  <c r="DO144" i="6"/>
  <c r="DN144" i="6"/>
  <c r="DH144" i="6"/>
  <c r="DG144" i="6"/>
  <c r="DF144" i="6"/>
  <c r="CK144" i="6"/>
  <c r="AK144" i="6"/>
  <c r="AJ144" i="6"/>
  <c r="AH144" i="6"/>
  <c r="AI144" i="6" s="1"/>
  <c r="CO144" i="6" s="1"/>
  <c r="AG144" i="6"/>
  <c r="AE144" i="6"/>
  <c r="AF144" i="6" s="1"/>
  <c r="CW144" i="6" s="1"/>
  <c r="AD144" i="6"/>
  <c r="AC144" i="6"/>
  <c r="AB144" i="6"/>
  <c r="AA144" i="6"/>
  <c r="Z144" i="6"/>
  <c r="V144" i="6"/>
  <c r="U144" i="6"/>
  <c r="DE144" i="6" s="1"/>
  <c r="T144" i="6"/>
  <c r="S144" i="6"/>
  <c r="R144" i="6"/>
  <c r="Q144" i="6"/>
  <c r="P144" i="6"/>
  <c r="DA144" i="6" s="1"/>
  <c r="O144" i="6"/>
  <c r="N144" i="6"/>
  <c r="M144" i="6"/>
  <c r="L144" i="6"/>
  <c r="EQ144" i="6" s="1"/>
  <c r="D144" i="6"/>
  <c r="C144" i="6"/>
  <c r="B144" i="6"/>
  <c r="W144" i="6" s="1"/>
  <c r="X144" i="6" s="1"/>
  <c r="FI149" i="6"/>
  <c r="FE149" i="6"/>
  <c r="FA149" i="6"/>
  <c r="EW149" i="6"/>
  <c r="EC149" i="6"/>
  <c r="DY149" i="6"/>
  <c r="DT149" i="6"/>
  <c r="DS149" i="6"/>
  <c r="DR149" i="6"/>
  <c r="DP149" i="6"/>
  <c r="DO149" i="6"/>
  <c r="DN149" i="6"/>
  <c r="DL149" i="6"/>
  <c r="DK149" i="6"/>
  <c r="DJ149" i="6"/>
  <c r="DH149" i="6"/>
  <c r="DG149" i="6"/>
  <c r="DF149" i="6"/>
  <c r="CK149" i="6"/>
  <c r="AK149" i="6"/>
  <c r="AJ149" i="6"/>
  <c r="AH149" i="6"/>
  <c r="AI149" i="6" s="1"/>
  <c r="CO149" i="6" s="1"/>
  <c r="CM149" i="6" s="1"/>
  <c r="AG149" i="6"/>
  <c r="AE149" i="6"/>
  <c r="AF149" i="6" s="1"/>
  <c r="CW149" i="6" s="1"/>
  <c r="CV149" i="6" s="1"/>
  <c r="AD149" i="6"/>
  <c r="AC149" i="6"/>
  <c r="AB149" i="6"/>
  <c r="AA149" i="6"/>
  <c r="Z149" i="6"/>
  <c r="V149" i="6"/>
  <c r="U149" i="6"/>
  <c r="DE149" i="6" s="1"/>
  <c r="DD149" i="6" s="1"/>
  <c r="T149" i="6"/>
  <c r="S149" i="6"/>
  <c r="R149" i="6"/>
  <c r="Q149" i="6"/>
  <c r="P149" i="6"/>
  <c r="DA149" i="6" s="1"/>
  <c r="CZ149" i="6" s="1"/>
  <c r="O149" i="6"/>
  <c r="N149" i="6"/>
  <c r="M149" i="6"/>
  <c r="L149" i="6"/>
  <c r="EQ149" i="6" s="1"/>
  <c r="D149" i="6"/>
  <c r="C149" i="6"/>
  <c r="B149" i="6"/>
  <c r="W149" i="6" s="1"/>
  <c r="Y149" i="6" s="1"/>
  <c r="FI150" i="6"/>
  <c r="FE150" i="6"/>
  <c r="FA150" i="6"/>
  <c r="EW150" i="6"/>
  <c r="EC150" i="6"/>
  <c r="DY150" i="6"/>
  <c r="DT150" i="6"/>
  <c r="DS150" i="6"/>
  <c r="DR150" i="6"/>
  <c r="DP150" i="6"/>
  <c r="DO150" i="6"/>
  <c r="DN150" i="6"/>
  <c r="DL150" i="6"/>
  <c r="DK150" i="6"/>
  <c r="DJ150" i="6"/>
  <c r="DH150" i="6"/>
  <c r="DG150" i="6"/>
  <c r="DF150" i="6"/>
  <c r="CK150" i="6"/>
  <c r="AK150" i="6"/>
  <c r="AJ150" i="6"/>
  <c r="AH150" i="6"/>
  <c r="AI150" i="6" s="1"/>
  <c r="CO150" i="6" s="1"/>
  <c r="CL150" i="6" s="1"/>
  <c r="AG150" i="6"/>
  <c r="AE150" i="6"/>
  <c r="AF150" i="6" s="1"/>
  <c r="CW150" i="6" s="1"/>
  <c r="CT150" i="6" s="1"/>
  <c r="AD150" i="6"/>
  <c r="AC150" i="6"/>
  <c r="AB150" i="6"/>
  <c r="AA150" i="6"/>
  <c r="Z150" i="6"/>
  <c r="V150" i="6"/>
  <c r="U150" i="6"/>
  <c r="DE150" i="6" s="1"/>
  <c r="DB150" i="6" s="1"/>
  <c r="T150" i="6"/>
  <c r="S150" i="6"/>
  <c r="R150" i="6"/>
  <c r="Q150" i="6"/>
  <c r="DA150" i="6"/>
  <c r="O150" i="6"/>
  <c r="N150" i="6"/>
  <c r="M150" i="6"/>
  <c r="L150" i="6"/>
  <c r="EQ150" i="6" s="1"/>
  <c r="EO150" i="6" s="1"/>
  <c r="D150" i="6"/>
  <c r="C150" i="6"/>
  <c r="B150" i="6"/>
  <c r="W150" i="6" s="1"/>
  <c r="X150" i="6" s="1"/>
  <c r="FI151" i="6"/>
  <c r="FE151" i="6"/>
  <c r="FA151" i="6"/>
  <c r="EW151" i="6"/>
  <c r="EC151" i="6"/>
  <c r="DY151" i="6"/>
  <c r="DT151" i="6"/>
  <c r="DS151" i="6"/>
  <c r="DR151" i="6"/>
  <c r="DP151" i="6"/>
  <c r="DO151" i="6"/>
  <c r="DN151" i="6"/>
  <c r="DL151" i="6"/>
  <c r="DK151" i="6"/>
  <c r="DJ151" i="6"/>
  <c r="DH151" i="6"/>
  <c r="DG151" i="6"/>
  <c r="DF151" i="6"/>
  <c r="CK151" i="6"/>
  <c r="AK151" i="6"/>
  <c r="AJ151" i="6"/>
  <c r="AH151" i="6"/>
  <c r="AI151" i="6" s="1"/>
  <c r="CO151" i="6" s="1"/>
  <c r="CL151" i="6" s="1"/>
  <c r="AG151" i="6"/>
  <c r="AE151" i="6"/>
  <c r="AF151" i="6" s="1"/>
  <c r="CW151" i="6" s="1"/>
  <c r="CV151" i="6" s="1"/>
  <c r="AD151" i="6"/>
  <c r="AC151" i="6"/>
  <c r="AB151" i="6"/>
  <c r="AA151" i="6"/>
  <c r="Z151" i="6"/>
  <c r="V151" i="6"/>
  <c r="U151" i="6"/>
  <c r="DE151" i="6" s="1"/>
  <c r="DD151" i="6" s="1"/>
  <c r="T151" i="6"/>
  <c r="S151" i="6"/>
  <c r="R151" i="6"/>
  <c r="Q151" i="6"/>
  <c r="P151" i="6"/>
  <c r="DA151" i="6" s="1"/>
  <c r="CZ151" i="6" s="1"/>
  <c r="O151" i="6"/>
  <c r="N151" i="6"/>
  <c r="M151" i="6"/>
  <c r="L151" i="6"/>
  <c r="EQ151" i="6" s="1"/>
  <c r="D151" i="6"/>
  <c r="C151" i="6"/>
  <c r="E151" i="6" s="1"/>
  <c r="B151" i="6"/>
  <c r="W151" i="6" s="1"/>
  <c r="Y151" i="6" s="1"/>
  <c r="FI152" i="6"/>
  <c r="FE152" i="6"/>
  <c r="FA152" i="6"/>
  <c r="EW152" i="6"/>
  <c r="EC152" i="6"/>
  <c r="DY152" i="6"/>
  <c r="DT152" i="6"/>
  <c r="DS152" i="6"/>
  <c r="DR152" i="6"/>
  <c r="DP152" i="6"/>
  <c r="DO152" i="6"/>
  <c r="DN152" i="6"/>
  <c r="DL152" i="6"/>
  <c r="DK152" i="6"/>
  <c r="DJ152" i="6"/>
  <c r="DH152" i="6"/>
  <c r="DG152" i="6"/>
  <c r="DF152" i="6"/>
  <c r="CK152" i="6"/>
  <c r="AK152" i="6"/>
  <c r="AJ152" i="6"/>
  <c r="AH152" i="6"/>
  <c r="AI152" i="6" s="1"/>
  <c r="CO152" i="6" s="1"/>
  <c r="AG152" i="6"/>
  <c r="AE152" i="6"/>
  <c r="AF152" i="6" s="1"/>
  <c r="CW152" i="6" s="1"/>
  <c r="CT152" i="6" s="1"/>
  <c r="AD152" i="6"/>
  <c r="AC152" i="6"/>
  <c r="AB152" i="6"/>
  <c r="AA152" i="6"/>
  <c r="Z152" i="6"/>
  <c r="V152" i="6"/>
  <c r="U152" i="6"/>
  <c r="DE152" i="6" s="1"/>
  <c r="DB152" i="6" s="1"/>
  <c r="T152" i="6"/>
  <c r="S152" i="6"/>
  <c r="R152" i="6"/>
  <c r="Q152" i="6"/>
  <c r="DA152" i="6"/>
  <c r="CX152" i="6" s="1"/>
  <c r="O152" i="6"/>
  <c r="N152" i="6"/>
  <c r="M152" i="6"/>
  <c r="L152" i="6"/>
  <c r="EQ152" i="6" s="1"/>
  <c r="EO152" i="6" s="1"/>
  <c r="D152" i="6"/>
  <c r="C152" i="6"/>
  <c r="B152" i="6"/>
  <c r="W152" i="6" s="1"/>
  <c r="FI154" i="6"/>
  <c r="FE154" i="6"/>
  <c r="FA154" i="6"/>
  <c r="EW154" i="6"/>
  <c r="EC154" i="6"/>
  <c r="DY154" i="6"/>
  <c r="DT154" i="6"/>
  <c r="DS154" i="6"/>
  <c r="DR154" i="6"/>
  <c r="DP154" i="6"/>
  <c r="DO154" i="6"/>
  <c r="DN154" i="6"/>
  <c r="DL154" i="6"/>
  <c r="DK154" i="6"/>
  <c r="DJ154" i="6"/>
  <c r="DH154" i="6"/>
  <c r="DG154" i="6"/>
  <c r="DF154" i="6"/>
  <c r="CK154" i="6"/>
  <c r="AK154" i="6"/>
  <c r="AJ154" i="6"/>
  <c r="AH154" i="6"/>
  <c r="AI154" i="6" s="1"/>
  <c r="CO154" i="6" s="1"/>
  <c r="AG154" i="6"/>
  <c r="AE154" i="6"/>
  <c r="AF154" i="6" s="1"/>
  <c r="CW154" i="6" s="1"/>
  <c r="CV154" i="6" s="1"/>
  <c r="AD154" i="6"/>
  <c r="AC154" i="6"/>
  <c r="AB154" i="6"/>
  <c r="AA154" i="6"/>
  <c r="Z154" i="6"/>
  <c r="V154" i="6"/>
  <c r="U154" i="6"/>
  <c r="DE154" i="6" s="1"/>
  <c r="T154" i="6"/>
  <c r="S154" i="6"/>
  <c r="R154" i="6"/>
  <c r="Q154" i="6"/>
  <c r="P154" i="6"/>
  <c r="DA154" i="6" s="1"/>
  <c r="O154" i="6"/>
  <c r="N154" i="6"/>
  <c r="M154" i="6"/>
  <c r="L154" i="6"/>
  <c r="EQ154" i="6" s="1"/>
  <c r="D154" i="6"/>
  <c r="C154" i="6"/>
  <c r="B154" i="6"/>
  <c r="W154" i="6" s="1"/>
  <c r="Y154" i="6" s="1"/>
  <c r="FI155" i="6"/>
  <c r="FE155" i="6"/>
  <c r="FA155" i="6"/>
  <c r="EW155" i="6"/>
  <c r="EC155" i="6"/>
  <c r="DY155" i="6"/>
  <c r="DT155" i="6"/>
  <c r="DS155" i="6"/>
  <c r="DR155" i="6"/>
  <c r="DP155" i="6"/>
  <c r="DO155" i="6"/>
  <c r="DN155" i="6"/>
  <c r="DL155" i="6"/>
  <c r="DK155" i="6"/>
  <c r="DJ155" i="6"/>
  <c r="DH155" i="6"/>
  <c r="DG155" i="6"/>
  <c r="DF155" i="6"/>
  <c r="CK155" i="6"/>
  <c r="AK155" i="6"/>
  <c r="AJ155" i="6"/>
  <c r="AH155" i="6"/>
  <c r="AI155" i="6" s="1"/>
  <c r="CO155" i="6" s="1"/>
  <c r="CM155" i="6" s="1"/>
  <c r="AG155" i="6"/>
  <c r="AE155" i="6"/>
  <c r="AF155" i="6" s="1"/>
  <c r="CW155" i="6" s="1"/>
  <c r="CV155" i="6" s="1"/>
  <c r="AD155" i="6"/>
  <c r="AC155" i="6"/>
  <c r="AB155" i="6"/>
  <c r="AA155" i="6"/>
  <c r="Z155" i="6"/>
  <c r="V155" i="6"/>
  <c r="U155" i="6"/>
  <c r="DE155" i="6" s="1"/>
  <c r="T155" i="6"/>
  <c r="S155" i="6"/>
  <c r="R155" i="6"/>
  <c r="Q155" i="6"/>
  <c r="P155" i="6"/>
  <c r="DA155" i="6" s="1"/>
  <c r="CZ155" i="6" s="1"/>
  <c r="O155" i="6"/>
  <c r="N155" i="6"/>
  <c r="M155" i="6"/>
  <c r="L155" i="6"/>
  <c r="EQ155" i="6" s="1"/>
  <c r="D155" i="6"/>
  <c r="C155" i="6"/>
  <c r="B155" i="6"/>
  <c r="W155" i="6" s="1"/>
  <c r="FI156" i="6"/>
  <c r="FE156" i="6"/>
  <c r="FA156" i="6"/>
  <c r="EW156" i="6"/>
  <c r="EC156" i="6"/>
  <c r="DY156" i="6"/>
  <c r="DT156" i="6"/>
  <c r="DS156" i="6"/>
  <c r="DR156" i="6"/>
  <c r="DP156" i="6"/>
  <c r="DO156" i="6"/>
  <c r="DN156" i="6"/>
  <c r="DL156" i="6"/>
  <c r="DK156" i="6"/>
  <c r="DJ156" i="6"/>
  <c r="DH156" i="6"/>
  <c r="DG156" i="6"/>
  <c r="DF156" i="6"/>
  <c r="CK156" i="6"/>
  <c r="AK156" i="6"/>
  <c r="AJ156" i="6"/>
  <c r="AH156" i="6"/>
  <c r="AI156" i="6" s="1"/>
  <c r="CO156" i="6" s="1"/>
  <c r="AG156" i="6"/>
  <c r="AE156" i="6"/>
  <c r="AF156" i="6" s="1"/>
  <c r="CW156" i="6" s="1"/>
  <c r="AD156" i="6"/>
  <c r="AC156" i="6"/>
  <c r="AB156" i="6"/>
  <c r="AA156" i="6"/>
  <c r="Z156" i="6"/>
  <c r="V156" i="6"/>
  <c r="U156" i="6"/>
  <c r="DE156" i="6" s="1"/>
  <c r="DD156" i="6" s="1"/>
  <c r="T156" i="6"/>
  <c r="S156" i="6"/>
  <c r="R156" i="6"/>
  <c r="Q156" i="6"/>
  <c r="P156" i="6"/>
  <c r="DA156" i="6" s="1"/>
  <c r="O156" i="6"/>
  <c r="N156" i="6"/>
  <c r="M156" i="6"/>
  <c r="L156" i="6"/>
  <c r="EQ156" i="6" s="1"/>
  <c r="D156" i="6"/>
  <c r="C156" i="6"/>
  <c r="B156" i="6"/>
  <c r="W156" i="6" s="1"/>
  <c r="FI158" i="6"/>
  <c r="FE158" i="6"/>
  <c r="EW158" i="6"/>
  <c r="EC158" i="6"/>
  <c r="DY158" i="6"/>
  <c r="DT158" i="6"/>
  <c r="DS158" i="6"/>
  <c r="DR158" i="6"/>
  <c r="DP158" i="6"/>
  <c r="DO158" i="6"/>
  <c r="DN158" i="6"/>
  <c r="DL158" i="6"/>
  <c r="DK158" i="6"/>
  <c r="DJ158" i="6"/>
  <c r="DH158" i="6"/>
  <c r="DG158" i="6"/>
  <c r="DF158" i="6"/>
  <c r="CK158" i="6"/>
  <c r="AK158" i="6"/>
  <c r="AJ158" i="6"/>
  <c r="AH158" i="6"/>
  <c r="AI158" i="6" s="1"/>
  <c r="CO158" i="6" s="1"/>
  <c r="CS158" i="6" s="1"/>
  <c r="CR158" i="6" s="1"/>
  <c r="AG158" i="6"/>
  <c r="AE158" i="6"/>
  <c r="AF158" i="6" s="1"/>
  <c r="CW158" i="6" s="1"/>
  <c r="AD158" i="6"/>
  <c r="AC158" i="6"/>
  <c r="AB158" i="6"/>
  <c r="AA158" i="6"/>
  <c r="Z158" i="6"/>
  <c r="V158" i="6"/>
  <c r="U158" i="6"/>
  <c r="DE158" i="6" s="1"/>
  <c r="DD158" i="6" s="1"/>
  <c r="T158" i="6"/>
  <c r="S158" i="6"/>
  <c r="R158" i="6"/>
  <c r="Q158" i="6"/>
  <c r="P158" i="6"/>
  <c r="DA158" i="6" s="1"/>
  <c r="O158" i="6"/>
  <c r="N158" i="6"/>
  <c r="M158" i="6"/>
  <c r="L158" i="6"/>
  <c r="EQ158" i="6" s="1"/>
  <c r="D158" i="6"/>
  <c r="C158" i="6"/>
  <c r="B158" i="6"/>
  <c r="W158" i="6" s="1"/>
  <c r="Y158" i="6" s="1"/>
  <c r="FI159" i="6"/>
  <c r="FE159" i="6"/>
  <c r="FA159" i="6"/>
  <c r="EW159" i="6"/>
  <c r="EC159" i="6"/>
  <c r="DY159" i="6"/>
  <c r="DT159" i="6"/>
  <c r="DS159" i="6"/>
  <c r="DR159" i="6"/>
  <c r="DP159" i="6"/>
  <c r="DO159" i="6"/>
  <c r="DN159" i="6"/>
  <c r="DL159" i="6"/>
  <c r="DK159" i="6"/>
  <c r="DJ159" i="6"/>
  <c r="DH159" i="6"/>
  <c r="DG159" i="6"/>
  <c r="DF159" i="6"/>
  <c r="CK159" i="6"/>
  <c r="AK159" i="6"/>
  <c r="AJ159" i="6"/>
  <c r="AH159" i="6"/>
  <c r="AI159" i="6" s="1"/>
  <c r="CO159" i="6" s="1"/>
  <c r="AG159" i="6"/>
  <c r="AE159" i="6"/>
  <c r="AF159" i="6" s="1"/>
  <c r="CW159" i="6" s="1"/>
  <c r="AD159" i="6"/>
  <c r="AC159" i="6"/>
  <c r="AB159" i="6"/>
  <c r="AA159" i="6"/>
  <c r="Z159" i="6"/>
  <c r="V159" i="6"/>
  <c r="U159" i="6"/>
  <c r="DE159" i="6" s="1"/>
  <c r="DC159" i="6" s="1"/>
  <c r="T159" i="6"/>
  <c r="S159" i="6"/>
  <c r="R159" i="6"/>
  <c r="Q159" i="6"/>
  <c r="P159" i="6"/>
  <c r="DA159" i="6" s="1"/>
  <c r="CY159" i="6" s="1"/>
  <c r="O159" i="6"/>
  <c r="N159" i="6"/>
  <c r="M159" i="6"/>
  <c r="L159" i="6"/>
  <c r="EQ159" i="6" s="1"/>
  <c r="D159" i="6"/>
  <c r="C159" i="6"/>
  <c r="B159" i="6"/>
  <c r="W159" i="6" s="1"/>
  <c r="Y159" i="6" s="1"/>
  <c r="FI161" i="6"/>
  <c r="FE161" i="6"/>
  <c r="FA161" i="6"/>
  <c r="EW161" i="6"/>
  <c r="EC161" i="6"/>
  <c r="DY161" i="6"/>
  <c r="DT161" i="6"/>
  <c r="DS161" i="6"/>
  <c r="DR161" i="6"/>
  <c r="DP161" i="6"/>
  <c r="DO161" i="6"/>
  <c r="DN161" i="6"/>
  <c r="DL161" i="6"/>
  <c r="DK161" i="6"/>
  <c r="DJ161" i="6"/>
  <c r="DH161" i="6"/>
  <c r="DG161" i="6"/>
  <c r="DF161" i="6"/>
  <c r="CK161" i="6"/>
  <c r="AK161" i="6"/>
  <c r="AJ161" i="6"/>
  <c r="AH161" i="6"/>
  <c r="AI161" i="6" s="1"/>
  <c r="CO161" i="6" s="1"/>
  <c r="AG161" i="6"/>
  <c r="AE161" i="6"/>
  <c r="AF161" i="6" s="1"/>
  <c r="CW161" i="6" s="1"/>
  <c r="AD161" i="6"/>
  <c r="AC161" i="6"/>
  <c r="AB161" i="6"/>
  <c r="AA161" i="6"/>
  <c r="Z161" i="6"/>
  <c r="V161" i="6"/>
  <c r="U161" i="6"/>
  <c r="DE161" i="6" s="1"/>
  <c r="T161" i="6"/>
  <c r="S161" i="6"/>
  <c r="R161" i="6"/>
  <c r="Q161" i="6"/>
  <c r="P161" i="6"/>
  <c r="DA161" i="6" s="1"/>
  <c r="CY161" i="6" s="1"/>
  <c r="O161" i="6"/>
  <c r="N161" i="6"/>
  <c r="M161" i="6"/>
  <c r="L161" i="6"/>
  <c r="EQ161" i="6" s="1"/>
  <c r="EO161" i="6" s="1"/>
  <c r="D161" i="6"/>
  <c r="C161" i="6"/>
  <c r="B161" i="6"/>
  <c r="W161" i="6" s="1"/>
  <c r="X161" i="6" s="1"/>
  <c r="FI162" i="6"/>
  <c r="FE162" i="6"/>
  <c r="FA162" i="6"/>
  <c r="EW162" i="6"/>
  <c r="EC162" i="6"/>
  <c r="DY162" i="6"/>
  <c r="DP162" i="6"/>
  <c r="DO162" i="6"/>
  <c r="DN162" i="6"/>
  <c r="DL162" i="6"/>
  <c r="DK162" i="6"/>
  <c r="DJ162" i="6"/>
  <c r="DH162" i="6"/>
  <c r="DG162" i="6"/>
  <c r="DF162" i="6"/>
  <c r="CK162" i="6"/>
  <c r="AK162" i="6"/>
  <c r="AJ162" i="6"/>
  <c r="AH162" i="6"/>
  <c r="AI162" i="6" s="1"/>
  <c r="CO162" i="6" s="1"/>
  <c r="CS162" i="6" s="1"/>
  <c r="AG162" i="6"/>
  <c r="AE162" i="6"/>
  <c r="AF162" i="6" s="1"/>
  <c r="CW162" i="6" s="1"/>
  <c r="CV162" i="6" s="1"/>
  <c r="AD162" i="6"/>
  <c r="AC162" i="6"/>
  <c r="AB162" i="6"/>
  <c r="AA162" i="6"/>
  <c r="Z162" i="6"/>
  <c r="V162" i="6"/>
  <c r="U162" i="6"/>
  <c r="DE162" i="6" s="1"/>
  <c r="T162" i="6"/>
  <c r="S162" i="6"/>
  <c r="R162" i="6"/>
  <c r="Q162" i="6"/>
  <c r="P162" i="6"/>
  <c r="DA162" i="6" s="1"/>
  <c r="CZ162" i="6" s="1"/>
  <c r="O162" i="6"/>
  <c r="N162" i="6"/>
  <c r="M162" i="6"/>
  <c r="L162" i="6"/>
  <c r="EQ162" i="6" s="1"/>
  <c r="D162" i="6"/>
  <c r="C162" i="6"/>
  <c r="B162" i="6"/>
  <c r="W162" i="6" s="1"/>
  <c r="FI164" i="6"/>
  <c r="FE164" i="6"/>
  <c r="FA164" i="6"/>
  <c r="EW164" i="6"/>
  <c r="DY164" i="6"/>
  <c r="DP164" i="6"/>
  <c r="DO164" i="6"/>
  <c r="DN164" i="6"/>
  <c r="DH164" i="6"/>
  <c r="DG164" i="6"/>
  <c r="DF164" i="6"/>
  <c r="CK164" i="6"/>
  <c r="AK164" i="6"/>
  <c r="AJ164" i="6"/>
  <c r="AH164" i="6"/>
  <c r="AI164" i="6" s="1"/>
  <c r="CO164" i="6" s="1"/>
  <c r="AG164" i="6"/>
  <c r="AE164" i="6"/>
  <c r="AF164" i="6" s="1"/>
  <c r="CW164" i="6" s="1"/>
  <c r="AD164" i="6"/>
  <c r="AC164" i="6"/>
  <c r="AB164" i="6"/>
  <c r="AA164" i="6"/>
  <c r="Z164" i="6"/>
  <c r="V164" i="6"/>
  <c r="U164" i="6"/>
  <c r="DE164" i="6" s="1"/>
  <c r="T164" i="6"/>
  <c r="S164" i="6"/>
  <c r="R164" i="6"/>
  <c r="Q164" i="6"/>
  <c r="P164" i="6"/>
  <c r="DA164" i="6" s="1"/>
  <c r="O164" i="6"/>
  <c r="N164" i="6"/>
  <c r="M164" i="6"/>
  <c r="L164" i="6"/>
  <c r="EQ164" i="6" s="1"/>
  <c r="EO164" i="6" s="1"/>
  <c r="D164" i="6"/>
  <c r="C164" i="6"/>
  <c r="B164" i="6"/>
  <c r="W164" i="6" s="1"/>
  <c r="X164" i="6" s="1"/>
  <c r="FI165" i="6"/>
  <c r="FE165" i="6"/>
  <c r="FA165" i="6"/>
  <c r="EW165" i="6"/>
  <c r="DY165" i="6"/>
  <c r="DP165" i="6"/>
  <c r="DO165" i="6"/>
  <c r="DN165" i="6"/>
  <c r="DH165" i="6"/>
  <c r="DG165" i="6"/>
  <c r="DF165" i="6"/>
  <c r="CK165" i="6"/>
  <c r="AK165" i="6"/>
  <c r="AJ165" i="6"/>
  <c r="AH165" i="6"/>
  <c r="AI165" i="6" s="1"/>
  <c r="CO165" i="6" s="1"/>
  <c r="AG165" i="6"/>
  <c r="AE165" i="6"/>
  <c r="AF165" i="6" s="1"/>
  <c r="CW165" i="6" s="1"/>
  <c r="AD165" i="6"/>
  <c r="AC165" i="6"/>
  <c r="AB165" i="6"/>
  <c r="AA165" i="6"/>
  <c r="Z165" i="6"/>
  <c r="V165" i="6"/>
  <c r="U165" i="6"/>
  <c r="DE165" i="6" s="1"/>
  <c r="T165" i="6"/>
  <c r="S165" i="6"/>
  <c r="R165" i="6"/>
  <c r="Q165" i="6"/>
  <c r="P165" i="6"/>
  <c r="DA165" i="6" s="1"/>
  <c r="O165" i="6"/>
  <c r="N165" i="6"/>
  <c r="M165" i="6"/>
  <c r="L165" i="6"/>
  <c r="EQ165" i="6" s="1"/>
  <c r="EO165" i="6" s="1"/>
  <c r="D165" i="6"/>
  <c r="C165" i="6"/>
  <c r="B165" i="6"/>
  <c r="W165" i="6" s="1"/>
  <c r="FI168" i="6"/>
  <c r="FE168" i="6"/>
  <c r="FA168" i="6"/>
  <c r="EW168" i="6"/>
  <c r="EC168" i="6"/>
  <c r="DY168" i="6"/>
  <c r="DP168" i="6"/>
  <c r="DO168" i="6"/>
  <c r="DN168" i="6"/>
  <c r="DL168" i="6"/>
  <c r="DK168" i="6"/>
  <c r="DJ168" i="6"/>
  <c r="DH168" i="6"/>
  <c r="DG168" i="6"/>
  <c r="DF168" i="6"/>
  <c r="CK168" i="6"/>
  <c r="AK168" i="6"/>
  <c r="AJ168" i="6"/>
  <c r="AH168" i="6"/>
  <c r="AI168" i="6" s="1"/>
  <c r="CO168" i="6" s="1"/>
  <c r="AG168" i="6"/>
  <c r="AE168" i="6"/>
  <c r="AF168" i="6" s="1"/>
  <c r="CW168" i="6" s="1"/>
  <c r="AD168" i="6"/>
  <c r="AC168" i="6"/>
  <c r="AB168" i="6"/>
  <c r="AA168" i="6"/>
  <c r="Z168" i="6"/>
  <c r="V168" i="6"/>
  <c r="U168" i="6"/>
  <c r="DE168" i="6" s="1"/>
  <c r="DB168" i="6" s="1"/>
  <c r="T168" i="6"/>
  <c r="S168" i="6"/>
  <c r="R168" i="6"/>
  <c r="Q168" i="6"/>
  <c r="P168" i="6"/>
  <c r="DA168" i="6" s="1"/>
  <c r="CX168" i="6" s="1"/>
  <c r="O168" i="6"/>
  <c r="N168" i="6"/>
  <c r="M168" i="6"/>
  <c r="L168" i="6"/>
  <c r="EQ168" i="6" s="1"/>
  <c r="EO168" i="6" s="1"/>
  <c r="D168" i="6"/>
  <c r="C168" i="6"/>
  <c r="B168" i="6"/>
  <c r="W168" i="6" s="1"/>
  <c r="FI170" i="6"/>
  <c r="FE170" i="6"/>
  <c r="FA170" i="6"/>
  <c r="EW170" i="6"/>
  <c r="EC170" i="6"/>
  <c r="DY170" i="6"/>
  <c r="DP170" i="6"/>
  <c r="DO170" i="6"/>
  <c r="DN170" i="6"/>
  <c r="DL170" i="6"/>
  <c r="DK170" i="6"/>
  <c r="DJ170" i="6"/>
  <c r="DH170" i="6"/>
  <c r="DG170" i="6"/>
  <c r="DF170" i="6"/>
  <c r="DE170" i="6"/>
  <c r="DB170" i="6" s="1"/>
  <c r="CV170" i="6"/>
  <c r="CU170" i="6"/>
  <c r="CT170" i="6"/>
  <c r="CK170" i="6"/>
  <c r="AK170" i="6"/>
  <c r="AJ170" i="6"/>
  <c r="AH170" i="6"/>
  <c r="AI170" i="6" s="1"/>
  <c r="CO170" i="6" s="1"/>
  <c r="AG170" i="6"/>
  <c r="AE170" i="6"/>
  <c r="AF170" i="6" s="1"/>
  <c r="AD170" i="6"/>
  <c r="AC170" i="6"/>
  <c r="AB170" i="6"/>
  <c r="AA170" i="6"/>
  <c r="Z170" i="6"/>
  <c r="V170" i="6"/>
  <c r="T170" i="6"/>
  <c r="S170" i="6"/>
  <c r="R170" i="6"/>
  <c r="Q170" i="6"/>
  <c r="P170" i="6"/>
  <c r="DA170" i="6" s="1"/>
  <c r="O170" i="6"/>
  <c r="N170" i="6"/>
  <c r="M170" i="6"/>
  <c r="L170" i="6"/>
  <c r="EQ170" i="6" s="1"/>
  <c r="D170" i="6"/>
  <c r="C170" i="6"/>
  <c r="B170" i="6"/>
  <c r="W170" i="6" s="1"/>
  <c r="FI171" i="6"/>
  <c r="FE171" i="6"/>
  <c r="FA171" i="6"/>
  <c r="EW171" i="6"/>
  <c r="EC171" i="6"/>
  <c r="DY171" i="6"/>
  <c r="DP171" i="6"/>
  <c r="DO171" i="6"/>
  <c r="DN171" i="6"/>
  <c r="DL171" i="6"/>
  <c r="DK171" i="6"/>
  <c r="DJ171" i="6"/>
  <c r="DH171" i="6"/>
  <c r="DG171" i="6"/>
  <c r="DF171" i="6"/>
  <c r="CK171" i="6"/>
  <c r="AK171" i="6"/>
  <c r="AJ171" i="6"/>
  <c r="AH171" i="6"/>
  <c r="AI171" i="6" s="1"/>
  <c r="CO171" i="6" s="1"/>
  <c r="AG171" i="6"/>
  <c r="AE171" i="6"/>
  <c r="AF171" i="6" s="1"/>
  <c r="CW171" i="6" s="1"/>
  <c r="AD171" i="6"/>
  <c r="AC171" i="6"/>
  <c r="AB171" i="6"/>
  <c r="AA171" i="6"/>
  <c r="Z171" i="6"/>
  <c r="V171" i="6"/>
  <c r="U171" i="6"/>
  <c r="DE171" i="6" s="1"/>
  <c r="DB171" i="6" s="1"/>
  <c r="T171" i="6"/>
  <c r="S171" i="6"/>
  <c r="R171" i="6"/>
  <c r="Q171" i="6"/>
  <c r="P171" i="6"/>
  <c r="DA171" i="6" s="1"/>
  <c r="CX171" i="6" s="1"/>
  <c r="O171" i="6"/>
  <c r="N171" i="6"/>
  <c r="M171" i="6"/>
  <c r="L171" i="6"/>
  <c r="EQ171" i="6" s="1"/>
  <c r="EO171" i="6" s="1"/>
  <c r="D171" i="6"/>
  <c r="C171" i="6"/>
  <c r="B171" i="6"/>
  <c r="W171" i="6" s="1"/>
  <c r="FI174" i="6"/>
  <c r="FE174" i="6"/>
  <c r="FA174" i="6"/>
  <c r="EW174" i="6"/>
  <c r="EC174" i="6"/>
  <c r="DY174" i="6"/>
  <c r="DP174" i="6"/>
  <c r="DO174" i="6"/>
  <c r="DN174" i="6"/>
  <c r="DL174" i="6"/>
  <c r="DK174" i="6"/>
  <c r="DJ174" i="6"/>
  <c r="DH174" i="6"/>
  <c r="DG174" i="6"/>
  <c r="DF174" i="6"/>
  <c r="CK174" i="6"/>
  <c r="AK174" i="6"/>
  <c r="AJ174" i="6"/>
  <c r="AH174" i="6"/>
  <c r="AI174" i="6" s="1"/>
  <c r="CO174" i="6" s="1"/>
  <c r="AG174" i="6"/>
  <c r="AE174" i="6"/>
  <c r="AF174" i="6" s="1"/>
  <c r="CW174" i="6" s="1"/>
  <c r="AD174" i="6"/>
  <c r="AC174" i="6"/>
  <c r="AB174" i="6"/>
  <c r="AA174" i="6"/>
  <c r="Z174" i="6"/>
  <c r="V174" i="6"/>
  <c r="U174" i="6"/>
  <c r="DE174" i="6" s="1"/>
  <c r="T174" i="6"/>
  <c r="S174" i="6"/>
  <c r="R174" i="6"/>
  <c r="Q174" i="6"/>
  <c r="P174" i="6"/>
  <c r="DA174" i="6" s="1"/>
  <c r="O174" i="6"/>
  <c r="N174" i="6"/>
  <c r="M174" i="6"/>
  <c r="L174" i="6"/>
  <c r="EQ174" i="6" s="1"/>
  <c r="EP174" i="6" s="1"/>
  <c r="D174" i="6"/>
  <c r="C174" i="6"/>
  <c r="B174" i="6"/>
  <c r="W174" i="6" s="1"/>
  <c r="FI176" i="6"/>
  <c r="FE176" i="6"/>
  <c r="FA176" i="6"/>
  <c r="EW176" i="6"/>
  <c r="DY176" i="6"/>
  <c r="DP176" i="6"/>
  <c r="DO176" i="6"/>
  <c r="DN176" i="6"/>
  <c r="DH176" i="6"/>
  <c r="DG176" i="6"/>
  <c r="DF176" i="6"/>
  <c r="CK176" i="6"/>
  <c r="AK176" i="6"/>
  <c r="AJ176" i="6"/>
  <c r="AH176" i="6"/>
  <c r="AI176" i="6" s="1"/>
  <c r="CO176" i="6" s="1"/>
  <c r="AG176" i="6"/>
  <c r="AE176" i="6"/>
  <c r="AF176" i="6" s="1"/>
  <c r="CW176" i="6" s="1"/>
  <c r="AD176" i="6"/>
  <c r="AC176" i="6"/>
  <c r="AB176" i="6"/>
  <c r="AA176" i="6"/>
  <c r="Z176" i="6"/>
  <c r="V176" i="6"/>
  <c r="U176" i="6"/>
  <c r="DE176" i="6" s="1"/>
  <c r="T176" i="6"/>
  <c r="S176" i="6"/>
  <c r="R176" i="6"/>
  <c r="Q176" i="6"/>
  <c r="DA176" i="6"/>
  <c r="O176" i="6"/>
  <c r="N176" i="6"/>
  <c r="M176" i="6"/>
  <c r="L176" i="6"/>
  <c r="EQ176" i="6" s="1"/>
  <c r="EP176" i="6" s="1"/>
  <c r="D176" i="6"/>
  <c r="C176" i="6"/>
  <c r="B176" i="6"/>
  <c r="W176" i="6" s="1"/>
  <c r="FI175" i="6"/>
  <c r="FE175" i="6"/>
  <c r="FA175" i="6"/>
  <c r="EW175" i="6"/>
  <c r="EC175" i="6"/>
  <c r="DP175" i="6"/>
  <c r="DO175" i="6"/>
  <c r="DN175" i="6"/>
  <c r="DL175" i="6"/>
  <c r="DK175" i="6"/>
  <c r="DJ175" i="6"/>
  <c r="DH175" i="6"/>
  <c r="DG175" i="6"/>
  <c r="DF175" i="6"/>
  <c r="CK175" i="6"/>
  <c r="AK175" i="6"/>
  <c r="AJ175" i="6"/>
  <c r="AH175" i="6"/>
  <c r="AI175" i="6" s="1"/>
  <c r="CO175" i="6" s="1"/>
  <c r="AG175" i="6"/>
  <c r="AE175" i="6"/>
  <c r="AF175" i="6" s="1"/>
  <c r="CW175" i="6" s="1"/>
  <c r="AD175" i="6"/>
  <c r="AC175" i="6"/>
  <c r="AB175" i="6"/>
  <c r="AA175" i="6"/>
  <c r="Z175" i="6"/>
  <c r="V175" i="6"/>
  <c r="U175" i="6"/>
  <c r="DE175" i="6" s="1"/>
  <c r="T175" i="6"/>
  <c r="S175" i="6"/>
  <c r="R175" i="6"/>
  <c r="Q175" i="6"/>
  <c r="P175" i="6"/>
  <c r="DA175" i="6" s="1"/>
  <c r="O175" i="6"/>
  <c r="N175" i="6"/>
  <c r="M175" i="6"/>
  <c r="L175" i="6"/>
  <c r="EQ175" i="6" s="1"/>
  <c r="D175" i="6"/>
  <c r="C175" i="6"/>
  <c r="B175" i="6"/>
  <c r="W175" i="6" s="1"/>
  <c r="FI177" i="6"/>
  <c r="FE177" i="6"/>
  <c r="FA177" i="6"/>
  <c r="EW177" i="6"/>
  <c r="EC177" i="6"/>
  <c r="DP177" i="6"/>
  <c r="DO177" i="6"/>
  <c r="DN177" i="6"/>
  <c r="DL177" i="6"/>
  <c r="DK177" i="6"/>
  <c r="DJ177" i="6"/>
  <c r="DH177" i="6"/>
  <c r="DG177" i="6"/>
  <c r="DF177" i="6"/>
  <c r="CK177" i="6"/>
  <c r="AK177" i="6"/>
  <c r="AJ177" i="6"/>
  <c r="AH177" i="6"/>
  <c r="AI177" i="6" s="1"/>
  <c r="CO177" i="6" s="1"/>
  <c r="AG177" i="6"/>
  <c r="AE177" i="6"/>
  <c r="AF177" i="6" s="1"/>
  <c r="CW177" i="6" s="1"/>
  <c r="AD177" i="6"/>
  <c r="AC177" i="6"/>
  <c r="AB177" i="6"/>
  <c r="AA177" i="6"/>
  <c r="Z177" i="6"/>
  <c r="V177" i="6"/>
  <c r="U177" i="6"/>
  <c r="DE177" i="6" s="1"/>
  <c r="T177" i="6"/>
  <c r="S177" i="6"/>
  <c r="R177" i="6"/>
  <c r="Q177" i="6"/>
  <c r="P177" i="6"/>
  <c r="DA177" i="6" s="1"/>
  <c r="O177" i="6"/>
  <c r="N177" i="6"/>
  <c r="M177" i="6"/>
  <c r="L177" i="6"/>
  <c r="EQ177" i="6" s="1"/>
  <c r="EO177" i="6" s="1"/>
  <c r="D177" i="6"/>
  <c r="C177" i="6"/>
  <c r="B177" i="6"/>
  <c r="W177" i="6" s="1"/>
  <c r="FI180" i="6"/>
  <c r="FE180" i="6"/>
  <c r="EW180" i="6"/>
  <c r="DP180" i="6"/>
  <c r="DO180" i="6"/>
  <c r="DN180" i="6"/>
  <c r="DL180" i="6"/>
  <c r="DK180" i="6"/>
  <c r="DJ180" i="6"/>
  <c r="DH180" i="6"/>
  <c r="DG180" i="6"/>
  <c r="DF180" i="6"/>
  <c r="CK180" i="6"/>
  <c r="AK180" i="6"/>
  <c r="AJ180" i="6"/>
  <c r="AH180" i="6"/>
  <c r="AI180" i="6" s="1"/>
  <c r="CO180" i="6" s="1"/>
  <c r="CL180" i="6" s="1"/>
  <c r="AG180" i="6"/>
  <c r="AE180" i="6"/>
  <c r="AF180" i="6" s="1"/>
  <c r="CW180" i="6" s="1"/>
  <c r="CT180" i="6" s="1"/>
  <c r="AD180" i="6"/>
  <c r="AC180" i="6"/>
  <c r="AB180" i="6"/>
  <c r="AA180" i="6"/>
  <c r="Z180" i="6"/>
  <c r="V180" i="6"/>
  <c r="U180" i="6"/>
  <c r="DE180" i="6" s="1"/>
  <c r="T180" i="6"/>
  <c r="S180" i="6"/>
  <c r="R180" i="6"/>
  <c r="Q180" i="6"/>
  <c r="P180" i="6"/>
  <c r="DA180" i="6" s="1"/>
  <c r="CY180" i="6" s="1"/>
  <c r="O180" i="6"/>
  <c r="N180" i="6"/>
  <c r="M180" i="6"/>
  <c r="L180" i="6"/>
  <c r="EQ180" i="6" s="1"/>
  <c r="D180" i="6"/>
  <c r="C180" i="6"/>
  <c r="B180" i="6"/>
  <c r="W180" i="6" s="1"/>
  <c r="FI182" i="6"/>
  <c r="FE182" i="6"/>
  <c r="FA182" i="6"/>
  <c r="EW182" i="6"/>
  <c r="DP182" i="6"/>
  <c r="DO182" i="6"/>
  <c r="DN182" i="6"/>
  <c r="DL182" i="6"/>
  <c r="DK182" i="6"/>
  <c r="DJ182" i="6"/>
  <c r="DH182" i="6"/>
  <c r="DG182" i="6"/>
  <c r="DF182" i="6"/>
  <c r="CK182" i="6"/>
  <c r="AK182" i="6"/>
  <c r="AJ182" i="6"/>
  <c r="AH182" i="6"/>
  <c r="AI182" i="6" s="1"/>
  <c r="CO182" i="6" s="1"/>
  <c r="CM182" i="6" s="1"/>
  <c r="AG182" i="6"/>
  <c r="AE182" i="6"/>
  <c r="AF182" i="6" s="1"/>
  <c r="CW182" i="6" s="1"/>
  <c r="AD182" i="6"/>
  <c r="AC182" i="6"/>
  <c r="AB182" i="6"/>
  <c r="AA182" i="6"/>
  <c r="Z182" i="6"/>
  <c r="V182" i="6"/>
  <c r="U182" i="6"/>
  <c r="DE182" i="6" s="1"/>
  <c r="DC182" i="6" s="1"/>
  <c r="T182" i="6"/>
  <c r="S182" i="6"/>
  <c r="R182" i="6"/>
  <c r="Q182" i="6"/>
  <c r="P182" i="6"/>
  <c r="DA182" i="6" s="1"/>
  <c r="CY182" i="6" s="1"/>
  <c r="O182" i="6"/>
  <c r="N182" i="6"/>
  <c r="M182" i="6"/>
  <c r="L182" i="6"/>
  <c r="EQ182" i="6" s="1"/>
  <c r="EP182" i="6" s="1"/>
  <c r="D182" i="6"/>
  <c r="C182" i="6"/>
  <c r="B182" i="6"/>
  <c r="FI183" i="6"/>
  <c r="FE183" i="6"/>
  <c r="FA183" i="6"/>
  <c r="EW183" i="6"/>
  <c r="DP183" i="6"/>
  <c r="DO183" i="6"/>
  <c r="DN183" i="6"/>
  <c r="DH183" i="6"/>
  <c r="DG183" i="6"/>
  <c r="DF183" i="6"/>
  <c r="CK183" i="6"/>
  <c r="AK183" i="6"/>
  <c r="AJ183" i="6"/>
  <c r="AH183" i="6"/>
  <c r="AI183" i="6" s="1"/>
  <c r="CO183" i="6" s="1"/>
  <c r="AG183" i="6"/>
  <c r="AE183" i="6"/>
  <c r="AF183" i="6" s="1"/>
  <c r="CW183" i="6" s="1"/>
  <c r="AD183" i="6"/>
  <c r="AC183" i="6"/>
  <c r="AB183" i="6"/>
  <c r="AA183" i="6"/>
  <c r="Z183" i="6"/>
  <c r="V183" i="6"/>
  <c r="U183" i="6"/>
  <c r="DE183" i="6" s="1"/>
  <c r="DC183" i="6" s="1"/>
  <c r="T183" i="6"/>
  <c r="S183" i="6"/>
  <c r="R183" i="6"/>
  <c r="Q183" i="6"/>
  <c r="P183" i="6"/>
  <c r="DA183" i="6" s="1"/>
  <c r="CY183" i="6" s="1"/>
  <c r="O183" i="6"/>
  <c r="N183" i="6"/>
  <c r="M183" i="6"/>
  <c r="L183" i="6"/>
  <c r="EQ183" i="6" s="1"/>
  <c r="EP183" i="6" s="1"/>
  <c r="D183" i="6"/>
  <c r="C183" i="6"/>
  <c r="B183" i="6"/>
  <c r="W183" i="6" s="1"/>
  <c r="X183" i="6" s="1"/>
  <c r="FI184" i="6"/>
  <c r="FE184" i="6"/>
  <c r="FA184" i="6"/>
  <c r="EW184" i="6"/>
  <c r="CZ184" i="6"/>
  <c r="CY184" i="6"/>
  <c r="CX184" i="6"/>
  <c r="CO184" i="6"/>
  <c r="CM184" i="6" s="1"/>
  <c r="CK184" i="6"/>
  <c r="AG184" i="6"/>
  <c r="AE184" i="6"/>
  <c r="AF184" i="6" s="1"/>
  <c r="CW184" i="6" s="1"/>
  <c r="CT184" i="6" s="1"/>
  <c r="AD184" i="6"/>
  <c r="AC184" i="6"/>
  <c r="AB184" i="6"/>
  <c r="AA184" i="6"/>
  <c r="Z184" i="6"/>
  <c r="V184" i="6"/>
  <c r="U184" i="6"/>
  <c r="DE184" i="6" s="1"/>
  <c r="DC184" i="6" s="1"/>
  <c r="T184" i="6"/>
  <c r="S184" i="6"/>
  <c r="R184" i="6"/>
  <c r="Q184" i="6"/>
  <c r="O184" i="6"/>
  <c r="N184" i="6"/>
  <c r="M184" i="6"/>
  <c r="L184" i="6"/>
  <c r="EQ184" i="6" s="1"/>
  <c r="EO184" i="6" s="1"/>
  <c r="D184" i="6"/>
  <c r="C184" i="6"/>
  <c r="B184" i="6"/>
  <c r="W184" i="6" s="1"/>
  <c r="Y184" i="6" s="1"/>
  <c r="FI185" i="6"/>
  <c r="FE185" i="6"/>
  <c r="FA185" i="6"/>
  <c r="EW185" i="6"/>
  <c r="DL185" i="6"/>
  <c r="DK185" i="6"/>
  <c r="DJ185" i="6"/>
  <c r="DH185" i="6"/>
  <c r="DG185" i="6"/>
  <c r="DF185" i="6"/>
  <c r="CK185" i="6"/>
  <c r="CO185" i="6"/>
  <c r="CN185" i="6" s="1"/>
  <c r="AG185" i="6"/>
  <c r="AE185" i="6"/>
  <c r="AF185" i="6" s="1"/>
  <c r="CW185" i="6" s="1"/>
  <c r="AD185" i="6"/>
  <c r="AC185" i="6"/>
  <c r="AB185" i="6"/>
  <c r="AA185" i="6"/>
  <c r="Z185" i="6"/>
  <c r="V185" i="6"/>
  <c r="U185" i="6"/>
  <c r="DE185" i="6" s="1"/>
  <c r="S185" i="6"/>
  <c r="R185" i="6"/>
  <c r="Q185" i="6"/>
  <c r="P185" i="6"/>
  <c r="DA185" i="6" s="1"/>
  <c r="O185" i="6"/>
  <c r="N185" i="6"/>
  <c r="M185" i="6"/>
  <c r="L185" i="6"/>
  <c r="EQ185" i="6" s="1"/>
  <c r="EP185" i="6" s="1"/>
  <c r="D185" i="6"/>
  <c r="C185" i="6"/>
  <c r="B185" i="6"/>
  <c r="W185" i="6" s="1"/>
  <c r="X185" i="6" s="1"/>
  <c r="FI187" i="6"/>
  <c r="FE187" i="6"/>
  <c r="FA187" i="6"/>
  <c r="EW187" i="6"/>
  <c r="DL187" i="6"/>
  <c r="DK187" i="6"/>
  <c r="DJ187" i="6"/>
  <c r="DH187" i="6"/>
  <c r="DG187" i="6"/>
  <c r="DF187" i="6"/>
  <c r="CK187" i="6"/>
  <c r="AK187" i="6"/>
  <c r="AJ187" i="6"/>
  <c r="AH187" i="6"/>
  <c r="AI187" i="6" s="1"/>
  <c r="CO187" i="6" s="1"/>
  <c r="CM187" i="6" s="1"/>
  <c r="AG187" i="6"/>
  <c r="AE187" i="6"/>
  <c r="AF187" i="6" s="1"/>
  <c r="CW187" i="6" s="1"/>
  <c r="AD187" i="6"/>
  <c r="AC187" i="6"/>
  <c r="AB187" i="6"/>
  <c r="AA187" i="6"/>
  <c r="Z187" i="6"/>
  <c r="V187" i="6"/>
  <c r="U187" i="6"/>
  <c r="DE187" i="6" s="1"/>
  <c r="DC187" i="6" s="1"/>
  <c r="T187" i="6"/>
  <c r="S187" i="6"/>
  <c r="R187" i="6"/>
  <c r="Q187" i="6"/>
  <c r="P187" i="6"/>
  <c r="DA187" i="6" s="1"/>
  <c r="CY187" i="6" s="1"/>
  <c r="O187" i="6"/>
  <c r="N187" i="6"/>
  <c r="M187" i="6"/>
  <c r="L187" i="6"/>
  <c r="EQ187" i="6" s="1"/>
  <c r="D187" i="6"/>
  <c r="C187" i="6"/>
  <c r="B187" i="6"/>
  <c r="FI188" i="6"/>
  <c r="FE188" i="6"/>
  <c r="FA188" i="6"/>
  <c r="EW188" i="6"/>
  <c r="DL188" i="6"/>
  <c r="DK188" i="6"/>
  <c r="DJ188" i="6"/>
  <c r="DH188" i="6"/>
  <c r="DG188" i="6"/>
  <c r="DF188" i="6"/>
  <c r="CK188" i="6"/>
  <c r="AK188" i="6"/>
  <c r="AJ188" i="6"/>
  <c r="AH188" i="6"/>
  <c r="AI188" i="6" s="1"/>
  <c r="CO188" i="6" s="1"/>
  <c r="AG188" i="6"/>
  <c r="AE188" i="6"/>
  <c r="AF188" i="6" s="1"/>
  <c r="CW188" i="6" s="1"/>
  <c r="CT188" i="6" s="1"/>
  <c r="AD188" i="6"/>
  <c r="AC188" i="6"/>
  <c r="AB188" i="6"/>
  <c r="AA188" i="6"/>
  <c r="Z188" i="6"/>
  <c r="V188" i="6"/>
  <c r="U188" i="6"/>
  <c r="DE188" i="6" s="1"/>
  <c r="DC188" i="6" s="1"/>
  <c r="T188" i="6"/>
  <c r="S188" i="6"/>
  <c r="R188" i="6"/>
  <c r="Q188" i="6"/>
  <c r="P188" i="6"/>
  <c r="DA188" i="6" s="1"/>
  <c r="O188" i="6"/>
  <c r="N188" i="6"/>
  <c r="M188" i="6"/>
  <c r="L188" i="6"/>
  <c r="EQ188" i="6" s="1"/>
  <c r="EP188" i="6" s="1"/>
  <c r="D188" i="6"/>
  <c r="C188" i="6"/>
  <c r="B188" i="6"/>
  <c r="FI22" i="6"/>
  <c r="FE22" i="6"/>
  <c r="FA22" i="6"/>
  <c r="EW22" i="6"/>
  <c r="DT22" i="6"/>
  <c r="DS22" i="6"/>
  <c r="DR22" i="6"/>
  <c r="DL22" i="6"/>
  <c r="DK22" i="6"/>
  <c r="DJ22" i="6"/>
  <c r="DH22" i="6"/>
  <c r="DG22" i="6"/>
  <c r="DF22" i="6"/>
  <c r="CK22" i="6"/>
  <c r="AK22" i="6"/>
  <c r="AJ22" i="6"/>
  <c r="AI22" i="6"/>
  <c r="CO22" i="6" s="1"/>
  <c r="AG22" i="6"/>
  <c r="AE22" i="6"/>
  <c r="AF22" i="6" s="1"/>
  <c r="CW22" i="6" s="1"/>
  <c r="AD22" i="6"/>
  <c r="AC22" i="6"/>
  <c r="AB22" i="6"/>
  <c r="AA22" i="6"/>
  <c r="Z22" i="6"/>
  <c r="V22" i="6"/>
  <c r="U22" i="6"/>
  <c r="DE22" i="6" s="1"/>
  <c r="T22" i="6"/>
  <c r="S22" i="6"/>
  <c r="R22" i="6"/>
  <c r="Q22" i="6"/>
  <c r="P22" i="6"/>
  <c r="DA22" i="6" s="1"/>
  <c r="O22" i="6"/>
  <c r="N22" i="6"/>
  <c r="M22" i="6"/>
  <c r="L22" i="6"/>
  <c r="EQ22" i="6" s="1"/>
  <c r="EO22" i="6" s="1"/>
  <c r="D22" i="6"/>
  <c r="C22" i="6"/>
  <c r="B22" i="6"/>
  <c r="W22" i="6" s="1"/>
  <c r="X22" i="6" s="1"/>
  <c r="FI189" i="6"/>
  <c r="FE189" i="6"/>
  <c r="FA189" i="6"/>
  <c r="EW189" i="6"/>
  <c r="DT189" i="6"/>
  <c r="DS189" i="6"/>
  <c r="DR189" i="6"/>
  <c r="DP189" i="6"/>
  <c r="DO189" i="6"/>
  <c r="DN189" i="6"/>
  <c r="DL189" i="6"/>
  <c r="DK189" i="6"/>
  <c r="DJ189" i="6"/>
  <c r="DH189" i="6"/>
  <c r="DG189" i="6"/>
  <c r="DF189" i="6"/>
  <c r="CK189" i="6"/>
  <c r="AK189" i="6"/>
  <c r="AJ189" i="6"/>
  <c r="AH189" i="6"/>
  <c r="AI189" i="6" s="1"/>
  <c r="CO189" i="6" s="1"/>
  <c r="CN189" i="6" s="1"/>
  <c r="AG189" i="6"/>
  <c r="AE189" i="6"/>
  <c r="AF189" i="6" s="1"/>
  <c r="CW189" i="6" s="1"/>
  <c r="CV189" i="6" s="1"/>
  <c r="AD189" i="6"/>
  <c r="AC189" i="6"/>
  <c r="AB189" i="6"/>
  <c r="AA189" i="6"/>
  <c r="Z189" i="6"/>
  <c r="V189" i="6"/>
  <c r="U189" i="6"/>
  <c r="DE189" i="6" s="1"/>
  <c r="T189" i="6"/>
  <c r="S189" i="6"/>
  <c r="R189" i="6"/>
  <c r="Q189" i="6"/>
  <c r="P189" i="6"/>
  <c r="DA189" i="6" s="1"/>
  <c r="O189" i="6"/>
  <c r="N189" i="6"/>
  <c r="M189" i="6"/>
  <c r="L189" i="6"/>
  <c r="EQ189" i="6" s="1"/>
  <c r="EP189" i="6" s="1"/>
  <c r="D189" i="6"/>
  <c r="C189" i="6"/>
  <c r="B189" i="6"/>
  <c r="W189" i="6" s="1"/>
  <c r="X189" i="6" s="1"/>
  <c r="FI190" i="6"/>
  <c r="FE190" i="6"/>
  <c r="EW190" i="6"/>
  <c r="DT190" i="6"/>
  <c r="DS190" i="6"/>
  <c r="DR190" i="6"/>
  <c r="DP190" i="6"/>
  <c r="DO190" i="6"/>
  <c r="DN190" i="6"/>
  <c r="DL190" i="6"/>
  <c r="DK190" i="6"/>
  <c r="DJ190" i="6"/>
  <c r="DH190" i="6"/>
  <c r="DG190" i="6"/>
  <c r="DF190" i="6"/>
  <c r="CK190" i="6"/>
  <c r="AK190" i="6"/>
  <c r="AJ190" i="6"/>
  <c r="AH190" i="6"/>
  <c r="AI190" i="6" s="1"/>
  <c r="CO190" i="6" s="1"/>
  <c r="AG190" i="6"/>
  <c r="AE190" i="6"/>
  <c r="AF190" i="6" s="1"/>
  <c r="CW190" i="6" s="1"/>
  <c r="AD190" i="6"/>
  <c r="AC190" i="6"/>
  <c r="AB190" i="6"/>
  <c r="AA190" i="6"/>
  <c r="Z190" i="6"/>
  <c r="V190" i="6"/>
  <c r="U190" i="6"/>
  <c r="DE190" i="6" s="1"/>
  <c r="T190" i="6"/>
  <c r="S190" i="6"/>
  <c r="R190" i="6"/>
  <c r="Q190" i="6"/>
  <c r="P190" i="6"/>
  <c r="DA190" i="6" s="1"/>
  <c r="O190" i="6"/>
  <c r="N190" i="6"/>
  <c r="M190" i="6"/>
  <c r="L190" i="6"/>
  <c r="EQ190" i="6" s="1"/>
  <c r="EP190" i="6" s="1"/>
  <c r="D190" i="6"/>
  <c r="C190" i="6"/>
  <c r="B190" i="6"/>
  <c r="W190" i="6" s="1"/>
  <c r="X190" i="6" s="1"/>
  <c r="FI191" i="6"/>
  <c r="FE191" i="6"/>
  <c r="FA191" i="6"/>
  <c r="EW191" i="6"/>
  <c r="DP191" i="6"/>
  <c r="DO191" i="6"/>
  <c r="DN191" i="6"/>
  <c r="DH191" i="6"/>
  <c r="DG191" i="6"/>
  <c r="DF191" i="6"/>
  <c r="CS191" i="6"/>
  <c r="CK191" i="6"/>
  <c r="AK191" i="6"/>
  <c r="AJ191" i="6"/>
  <c r="AH191" i="6"/>
  <c r="AI191" i="6" s="1"/>
  <c r="AG191" i="6"/>
  <c r="AE191" i="6"/>
  <c r="AF191" i="6" s="1"/>
  <c r="CW191" i="6" s="1"/>
  <c r="CU191" i="6" s="1"/>
  <c r="AD191" i="6"/>
  <c r="AC191" i="6"/>
  <c r="AB191" i="6"/>
  <c r="AA191" i="6"/>
  <c r="Z191" i="6"/>
  <c r="V191" i="6"/>
  <c r="U191" i="6"/>
  <c r="DE191" i="6" s="1"/>
  <c r="T191" i="6"/>
  <c r="S191" i="6"/>
  <c r="R191" i="6"/>
  <c r="Q191" i="6"/>
  <c r="P191" i="6"/>
  <c r="DA191" i="6" s="1"/>
  <c r="CY191" i="6" s="1"/>
  <c r="O191" i="6"/>
  <c r="N191" i="6"/>
  <c r="M191" i="6"/>
  <c r="L191" i="6"/>
  <c r="EQ191" i="6" s="1"/>
  <c r="D191" i="6"/>
  <c r="C191" i="6"/>
  <c r="B191" i="6"/>
  <c r="W191" i="6" s="1"/>
  <c r="FI193" i="6"/>
  <c r="FE193" i="6"/>
  <c r="EW193" i="6"/>
  <c r="DP193" i="6"/>
  <c r="DO193" i="6"/>
  <c r="DN193" i="6"/>
  <c r="DL193" i="6"/>
  <c r="DK193" i="6"/>
  <c r="DJ193" i="6"/>
  <c r="DH193" i="6"/>
  <c r="DG193" i="6"/>
  <c r="DF193" i="6"/>
  <c r="CK193" i="6"/>
  <c r="AK193" i="6"/>
  <c r="AJ193" i="6"/>
  <c r="AH193" i="6"/>
  <c r="AI193" i="6" s="1"/>
  <c r="CO193" i="6" s="1"/>
  <c r="AG193" i="6"/>
  <c r="AE193" i="6"/>
  <c r="AF193" i="6" s="1"/>
  <c r="CW193" i="6" s="1"/>
  <c r="CV193" i="6" s="1"/>
  <c r="AD193" i="6"/>
  <c r="AC193" i="6"/>
  <c r="AB193" i="6"/>
  <c r="AA193" i="6"/>
  <c r="Z193" i="6"/>
  <c r="V193" i="6"/>
  <c r="U193" i="6"/>
  <c r="DE193" i="6" s="1"/>
  <c r="DD193" i="6" s="1"/>
  <c r="T193" i="6"/>
  <c r="S193" i="6"/>
  <c r="R193" i="6"/>
  <c r="Q193" i="6"/>
  <c r="P193" i="6"/>
  <c r="DA193" i="6" s="1"/>
  <c r="O193" i="6"/>
  <c r="N193" i="6"/>
  <c r="M193" i="6"/>
  <c r="L193" i="6"/>
  <c r="EQ193" i="6" s="1"/>
  <c r="D193" i="6"/>
  <c r="C193" i="6"/>
  <c r="B193" i="6"/>
  <c r="W193" i="6" s="1"/>
  <c r="X193" i="6" s="1"/>
  <c r="FI195" i="6"/>
  <c r="FE195" i="6"/>
  <c r="FA195" i="6"/>
  <c r="EW195" i="6"/>
  <c r="DP195" i="6"/>
  <c r="DO195" i="6"/>
  <c r="DN195" i="6"/>
  <c r="DL195" i="6"/>
  <c r="DK195" i="6"/>
  <c r="DJ195" i="6"/>
  <c r="DH195" i="6"/>
  <c r="DG195" i="6"/>
  <c r="DF195" i="6"/>
  <c r="CK195" i="6"/>
  <c r="AK195" i="6"/>
  <c r="AJ195" i="6"/>
  <c r="AH195" i="6"/>
  <c r="AI195" i="6" s="1"/>
  <c r="CO195" i="6" s="1"/>
  <c r="CN195" i="6" s="1"/>
  <c r="AG195" i="6"/>
  <c r="AE195" i="6"/>
  <c r="AF195" i="6" s="1"/>
  <c r="CW195" i="6" s="1"/>
  <c r="CT195" i="6" s="1"/>
  <c r="AD195" i="6"/>
  <c r="AC195" i="6"/>
  <c r="AB195" i="6"/>
  <c r="AA195" i="6"/>
  <c r="Z195" i="6"/>
  <c r="V195" i="6"/>
  <c r="U195" i="6"/>
  <c r="DE195" i="6" s="1"/>
  <c r="DB195" i="6" s="1"/>
  <c r="T195" i="6"/>
  <c r="S195" i="6"/>
  <c r="R195" i="6"/>
  <c r="Q195" i="6"/>
  <c r="P195" i="6"/>
  <c r="DA195" i="6" s="1"/>
  <c r="CX195" i="6" s="1"/>
  <c r="O195" i="6"/>
  <c r="N195" i="6"/>
  <c r="M195" i="6"/>
  <c r="L195" i="6"/>
  <c r="EQ195" i="6" s="1"/>
  <c r="EP195" i="6" s="1"/>
  <c r="D195" i="6"/>
  <c r="C195" i="6"/>
  <c r="B195" i="6"/>
  <c r="W195" i="6" s="1"/>
  <c r="X195" i="6" s="1"/>
  <c r="FI198" i="6"/>
  <c r="FE198" i="6"/>
  <c r="EW198" i="6"/>
  <c r="DP198" i="6"/>
  <c r="DO198" i="6"/>
  <c r="DN198" i="6"/>
  <c r="DL198" i="6"/>
  <c r="DK198" i="6"/>
  <c r="DJ198" i="6"/>
  <c r="DH198" i="6"/>
  <c r="DG198" i="6"/>
  <c r="DF198" i="6"/>
  <c r="CK198" i="6"/>
  <c r="AK198" i="6"/>
  <c r="AJ198" i="6"/>
  <c r="AH198" i="6"/>
  <c r="AI198" i="6" s="1"/>
  <c r="CO198" i="6" s="1"/>
  <c r="AG198" i="6"/>
  <c r="AE198" i="6"/>
  <c r="AF198" i="6" s="1"/>
  <c r="CW198" i="6" s="1"/>
  <c r="AD198" i="6"/>
  <c r="AC198" i="6"/>
  <c r="AB198" i="6"/>
  <c r="AA198" i="6"/>
  <c r="Z198" i="6"/>
  <c r="V198" i="6"/>
  <c r="U198" i="6"/>
  <c r="DE198" i="6" s="1"/>
  <c r="T198" i="6"/>
  <c r="S198" i="6"/>
  <c r="R198" i="6"/>
  <c r="Q198" i="6"/>
  <c r="P198" i="6"/>
  <c r="DA198" i="6" s="1"/>
  <c r="CZ198" i="6" s="1"/>
  <c r="O198" i="6"/>
  <c r="N198" i="6"/>
  <c r="M198" i="6"/>
  <c r="L198" i="6"/>
  <c r="EQ198" i="6" s="1"/>
  <c r="EP198" i="6" s="1"/>
  <c r="D198" i="6"/>
  <c r="C198" i="6"/>
  <c r="B198" i="6"/>
  <c r="W198" i="6" s="1"/>
  <c r="X198" i="6" s="1"/>
  <c r="FI197" i="6"/>
  <c r="FE197" i="6"/>
  <c r="FA197" i="6"/>
  <c r="EW197" i="6"/>
  <c r="DY197" i="6"/>
  <c r="DP197" i="6"/>
  <c r="DO197" i="6"/>
  <c r="DN197" i="6"/>
  <c r="DL197" i="6"/>
  <c r="DK197" i="6"/>
  <c r="DJ197" i="6"/>
  <c r="DH197" i="6"/>
  <c r="DG197" i="6"/>
  <c r="DF197" i="6"/>
  <c r="CK197" i="6"/>
  <c r="AK197" i="6"/>
  <c r="AJ197" i="6"/>
  <c r="AH197" i="6"/>
  <c r="AI197" i="6" s="1"/>
  <c r="CO197" i="6" s="1"/>
  <c r="AG197" i="6"/>
  <c r="AE197" i="6"/>
  <c r="AF197" i="6" s="1"/>
  <c r="CW197" i="6" s="1"/>
  <c r="AD197" i="6"/>
  <c r="AC197" i="6"/>
  <c r="AB197" i="6"/>
  <c r="AA197" i="6"/>
  <c r="Z197" i="6"/>
  <c r="V197" i="6"/>
  <c r="U197" i="6"/>
  <c r="DE197" i="6" s="1"/>
  <c r="T197" i="6"/>
  <c r="S197" i="6"/>
  <c r="R197" i="6"/>
  <c r="Q197" i="6"/>
  <c r="P197" i="6"/>
  <c r="DA197" i="6" s="1"/>
  <c r="O197" i="6"/>
  <c r="N197" i="6"/>
  <c r="M197" i="6"/>
  <c r="L197" i="6"/>
  <c r="EQ197" i="6" s="1"/>
  <c r="D197" i="6"/>
  <c r="C197" i="6"/>
  <c r="B197" i="6"/>
  <c r="W197" i="6" s="1"/>
  <c r="FI200" i="6"/>
  <c r="FE200" i="6"/>
  <c r="FA200" i="6"/>
  <c r="EW200" i="6"/>
  <c r="DY200" i="6"/>
  <c r="DP200" i="6"/>
  <c r="DO200" i="6"/>
  <c r="DN200" i="6"/>
  <c r="DL200" i="6"/>
  <c r="DK200" i="6"/>
  <c r="DJ200" i="6"/>
  <c r="DH200" i="6"/>
  <c r="DG200" i="6"/>
  <c r="DF200" i="6"/>
  <c r="CZ200" i="6"/>
  <c r="CY200" i="6"/>
  <c r="CX200" i="6"/>
  <c r="CK200" i="6"/>
  <c r="AK200" i="6"/>
  <c r="AJ200" i="6"/>
  <c r="AH200" i="6"/>
  <c r="AI200" i="6" s="1"/>
  <c r="CO200" i="6" s="1"/>
  <c r="AG200" i="6"/>
  <c r="AE200" i="6"/>
  <c r="AF200" i="6" s="1"/>
  <c r="CW200" i="6" s="1"/>
  <c r="AD200" i="6"/>
  <c r="AC200" i="6"/>
  <c r="AB200" i="6"/>
  <c r="AA200" i="6"/>
  <c r="Z200" i="6"/>
  <c r="V200" i="6"/>
  <c r="U200" i="6"/>
  <c r="DE200" i="6" s="1"/>
  <c r="DC200" i="6" s="1"/>
  <c r="T200" i="6"/>
  <c r="S200" i="6"/>
  <c r="R200" i="6"/>
  <c r="Q200" i="6"/>
  <c r="P200" i="6"/>
  <c r="O200" i="6"/>
  <c r="N200" i="6"/>
  <c r="M200" i="6"/>
  <c r="L200" i="6"/>
  <c r="EQ200" i="6" s="1"/>
  <c r="EO200" i="6" s="1"/>
  <c r="D200" i="6"/>
  <c r="C200" i="6"/>
  <c r="B200" i="6"/>
  <c r="W200" i="6" s="1"/>
  <c r="X200" i="6" s="1"/>
  <c r="FI201" i="6"/>
  <c r="FE201" i="6"/>
  <c r="FA201" i="6"/>
  <c r="EW201" i="6"/>
  <c r="DY201" i="6"/>
  <c r="DP201" i="6"/>
  <c r="DO201" i="6"/>
  <c r="DN201" i="6"/>
  <c r="DL201" i="6"/>
  <c r="DK201" i="6"/>
  <c r="DJ201" i="6"/>
  <c r="DH201" i="6"/>
  <c r="DG201" i="6"/>
  <c r="DF201" i="6"/>
  <c r="CK201" i="6"/>
  <c r="AK201" i="6"/>
  <c r="AJ201" i="6"/>
  <c r="AH201" i="6"/>
  <c r="AI201" i="6" s="1"/>
  <c r="CO201" i="6" s="1"/>
  <c r="AG201" i="6"/>
  <c r="AE201" i="6"/>
  <c r="AF201" i="6" s="1"/>
  <c r="CW201" i="6" s="1"/>
  <c r="AD201" i="6"/>
  <c r="AC201" i="6"/>
  <c r="AB201" i="6"/>
  <c r="AA201" i="6"/>
  <c r="Z201" i="6"/>
  <c r="V201" i="6"/>
  <c r="U201" i="6"/>
  <c r="DE201" i="6" s="1"/>
  <c r="DB201" i="6" s="1"/>
  <c r="T201" i="6"/>
  <c r="S201" i="6"/>
  <c r="R201" i="6"/>
  <c r="Q201" i="6"/>
  <c r="P201" i="6"/>
  <c r="DA201" i="6" s="1"/>
  <c r="CX201" i="6" s="1"/>
  <c r="O201" i="6"/>
  <c r="N201" i="6"/>
  <c r="M201" i="6"/>
  <c r="L201" i="6"/>
  <c r="EQ201" i="6" s="1"/>
  <c r="EO201" i="6" s="1"/>
  <c r="D201" i="6"/>
  <c r="C201" i="6"/>
  <c r="B201" i="6"/>
  <c r="W201" i="6" s="1"/>
  <c r="FI202" i="6"/>
  <c r="FE202" i="6"/>
  <c r="FA202" i="6"/>
  <c r="EW202" i="6"/>
  <c r="EC202" i="6"/>
  <c r="DY202" i="6"/>
  <c r="DP202" i="6"/>
  <c r="DO202" i="6"/>
  <c r="DN202" i="6"/>
  <c r="DL202" i="6"/>
  <c r="DK202" i="6"/>
  <c r="DJ202" i="6"/>
  <c r="DH202" i="6"/>
  <c r="DG202" i="6"/>
  <c r="DF202" i="6"/>
  <c r="CK202" i="6"/>
  <c r="AK202" i="6"/>
  <c r="AJ202" i="6"/>
  <c r="AH202" i="6"/>
  <c r="AI202" i="6" s="1"/>
  <c r="CO202" i="6" s="1"/>
  <c r="AG202" i="6"/>
  <c r="AE202" i="6"/>
  <c r="AF202" i="6" s="1"/>
  <c r="CW202" i="6" s="1"/>
  <c r="CU202" i="6" s="1"/>
  <c r="AD202" i="6"/>
  <c r="AC202" i="6"/>
  <c r="AB202" i="6"/>
  <c r="AA202" i="6"/>
  <c r="Z202" i="6"/>
  <c r="V202" i="6"/>
  <c r="U202" i="6"/>
  <c r="DE202" i="6" s="1"/>
  <c r="T202" i="6"/>
  <c r="S202" i="6"/>
  <c r="R202" i="6"/>
  <c r="Q202" i="6"/>
  <c r="P202" i="6"/>
  <c r="DA202" i="6" s="1"/>
  <c r="O202" i="6"/>
  <c r="N202" i="6"/>
  <c r="M202" i="6"/>
  <c r="L202" i="6"/>
  <c r="EQ202" i="6" s="1"/>
  <c r="EP202" i="6" s="1"/>
  <c r="D202" i="6"/>
  <c r="C202" i="6"/>
  <c r="B202" i="6"/>
  <c r="W202" i="6" s="1"/>
  <c r="X202" i="6" s="1"/>
  <c r="FI205" i="6"/>
  <c r="FE205" i="6"/>
  <c r="FA205" i="6"/>
  <c r="EW205" i="6"/>
  <c r="EU205" i="6"/>
  <c r="ET205" i="6"/>
  <c r="ES205" i="6"/>
  <c r="EC205" i="6"/>
  <c r="DY205" i="6"/>
  <c r="DP205" i="6"/>
  <c r="DO205" i="6"/>
  <c r="DN205" i="6"/>
  <c r="DL205" i="6"/>
  <c r="DK205" i="6"/>
  <c r="DJ205" i="6"/>
  <c r="DH205" i="6"/>
  <c r="DG205" i="6"/>
  <c r="DF205" i="6"/>
  <c r="CK205" i="6"/>
  <c r="AK205" i="6"/>
  <c r="AJ205" i="6"/>
  <c r="AH205" i="6"/>
  <c r="AI205" i="6" s="1"/>
  <c r="CO205" i="6" s="1"/>
  <c r="AG205" i="6"/>
  <c r="AE205" i="6"/>
  <c r="AF205" i="6" s="1"/>
  <c r="CW205" i="6" s="1"/>
  <c r="AD205" i="6"/>
  <c r="AC205" i="6"/>
  <c r="AB205" i="6"/>
  <c r="AA205" i="6"/>
  <c r="Z205" i="6"/>
  <c r="V205" i="6"/>
  <c r="U205" i="6"/>
  <c r="DE205" i="6" s="1"/>
  <c r="DD205" i="6" s="1"/>
  <c r="T205" i="6"/>
  <c r="S205" i="6"/>
  <c r="R205" i="6"/>
  <c r="Q205" i="6"/>
  <c r="P205" i="6"/>
  <c r="DA205" i="6" s="1"/>
  <c r="O205" i="6"/>
  <c r="N205" i="6"/>
  <c r="M205" i="6"/>
  <c r="L205" i="6"/>
  <c r="EQ205" i="6" s="1"/>
  <c r="D205" i="6"/>
  <c r="C205" i="6"/>
  <c r="B205" i="6"/>
  <c r="W205" i="6" s="1"/>
  <c r="X205" i="6" s="1"/>
  <c r="FI212" i="6"/>
  <c r="FE212" i="6"/>
  <c r="FA212" i="6"/>
  <c r="EW212" i="6"/>
  <c r="EC212" i="6"/>
  <c r="DY212" i="6"/>
  <c r="DP212" i="6"/>
  <c r="DO212" i="6"/>
  <c r="DN212" i="6"/>
  <c r="DL212" i="6"/>
  <c r="DK212" i="6"/>
  <c r="DJ212" i="6"/>
  <c r="DH212" i="6"/>
  <c r="DG212" i="6"/>
  <c r="DF212" i="6"/>
  <c r="CK212" i="6"/>
  <c r="AK212" i="6"/>
  <c r="AJ212" i="6"/>
  <c r="AH212" i="6"/>
  <c r="AI212" i="6" s="1"/>
  <c r="CO212" i="6" s="1"/>
  <c r="AG212" i="6"/>
  <c r="AE212" i="6"/>
  <c r="AF212" i="6" s="1"/>
  <c r="CW212" i="6" s="1"/>
  <c r="CT212" i="6" s="1"/>
  <c r="AD212" i="6"/>
  <c r="AC212" i="6"/>
  <c r="AB212" i="6"/>
  <c r="AA212" i="6"/>
  <c r="Z212" i="6"/>
  <c r="V212" i="6"/>
  <c r="U212" i="6"/>
  <c r="DE212" i="6" s="1"/>
  <c r="T212" i="6"/>
  <c r="S212" i="6"/>
  <c r="R212" i="6"/>
  <c r="Q212" i="6"/>
  <c r="P212" i="6"/>
  <c r="DA212" i="6" s="1"/>
  <c r="CX212" i="6" s="1"/>
  <c r="O212" i="6"/>
  <c r="N212" i="6"/>
  <c r="M212" i="6"/>
  <c r="L212" i="6"/>
  <c r="EQ212" i="6" s="1"/>
  <c r="EO212" i="6" s="1"/>
  <c r="D212" i="6"/>
  <c r="C212" i="6"/>
  <c r="B212" i="6"/>
  <c r="W212" i="6" s="1"/>
  <c r="X212" i="6" s="1"/>
  <c r="FI211" i="6"/>
  <c r="FE211" i="6"/>
  <c r="EW211" i="6"/>
  <c r="EC211" i="6"/>
  <c r="DY211" i="6"/>
  <c r="DP211" i="6"/>
  <c r="DO211" i="6"/>
  <c r="DN211" i="6"/>
  <c r="DL211" i="6"/>
  <c r="DK211" i="6"/>
  <c r="DJ211" i="6"/>
  <c r="DH211" i="6"/>
  <c r="DG211" i="6"/>
  <c r="DF211" i="6"/>
  <c r="CK211" i="6"/>
  <c r="AK211" i="6"/>
  <c r="AJ211" i="6"/>
  <c r="AH211" i="6"/>
  <c r="AI211" i="6" s="1"/>
  <c r="CO211" i="6" s="1"/>
  <c r="AG211" i="6"/>
  <c r="AE211" i="6"/>
  <c r="AF211" i="6" s="1"/>
  <c r="CW211" i="6" s="1"/>
  <c r="AD211" i="6"/>
  <c r="AC211" i="6"/>
  <c r="AB211" i="6"/>
  <c r="AA211" i="6"/>
  <c r="Z211" i="6"/>
  <c r="V211" i="6"/>
  <c r="U211" i="6"/>
  <c r="DE211" i="6" s="1"/>
  <c r="DD211" i="6" s="1"/>
  <c r="T211" i="6"/>
  <c r="S211" i="6"/>
  <c r="R211" i="6"/>
  <c r="Q211" i="6"/>
  <c r="P211" i="6"/>
  <c r="DA211" i="6" s="1"/>
  <c r="O211" i="6"/>
  <c r="N211" i="6"/>
  <c r="M211" i="6"/>
  <c r="L211" i="6"/>
  <c r="EQ211" i="6" s="1"/>
  <c r="EO211" i="6" s="1"/>
  <c r="D211" i="6"/>
  <c r="C211" i="6"/>
  <c r="B211" i="6"/>
  <c r="W211" i="6" s="1"/>
  <c r="X211" i="6" s="1"/>
  <c r="FI208" i="6"/>
  <c r="FE208" i="6"/>
  <c r="FA208" i="6"/>
  <c r="EW208" i="6"/>
  <c r="EC208" i="6"/>
  <c r="DY208" i="6"/>
  <c r="DP208" i="6"/>
  <c r="DO208" i="6"/>
  <c r="DN208" i="6"/>
  <c r="DL208" i="6"/>
  <c r="DK208" i="6"/>
  <c r="DJ208" i="6"/>
  <c r="DH208" i="6"/>
  <c r="DG208" i="6"/>
  <c r="DF208" i="6"/>
  <c r="CK208" i="6"/>
  <c r="AK208" i="6"/>
  <c r="AJ208" i="6"/>
  <c r="AH208" i="6"/>
  <c r="AI208" i="6" s="1"/>
  <c r="CO208" i="6" s="1"/>
  <c r="AG208" i="6"/>
  <c r="AE208" i="6"/>
  <c r="AF208" i="6" s="1"/>
  <c r="CW208" i="6" s="1"/>
  <c r="AD208" i="6"/>
  <c r="AC208" i="6"/>
  <c r="AB208" i="6"/>
  <c r="AA208" i="6"/>
  <c r="Z208" i="6"/>
  <c r="V208" i="6"/>
  <c r="U208" i="6"/>
  <c r="DE208" i="6" s="1"/>
  <c r="DB208" i="6" s="1"/>
  <c r="T208" i="6"/>
  <c r="S208" i="6"/>
  <c r="R208" i="6"/>
  <c r="Q208" i="6"/>
  <c r="P208" i="6"/>
  <c r="DA208" i="6" s="1"/>
  <c r="CX208" i="6" s="1"/>
  <c r="O208" i="6"/>
  <c r="N208" i="6"/>
  <c r="M208" i="6"/>
  <c r="L208" i="6"/>
  <c r="EQ208" i="6" s="1"/>
  <c r="EP208" i="6" s="1"/>
  <c r="D208" i="6"/>
  <c r="C208" i="6"/>
  <c r="B208" i="6"/>
  <c r="W208" i="6" s="1"/>
  <c r="FI213" i="6"/>
  <c r="FE213" i="6"/>
  <c r="FA213" i="6"/>
  <c r="EW213" i="6"/>
  <c r="EC213" i="6"/>
  <c r="DY213" i="6"/>
  <c r="DP213" i="6"/>
  <c r="DO213" i="6"/>
  <c r="DN213" i="6"/>
  <c r="DL213" i="6"/>
  <c r="DK213" i="6"/>
  <c r="DJ213" i="6"/>
  <c r="DH213" i="6"/>
  <c r="DG213" i="6"/>
  <c r="DF213" i="6"/>
  <c r="CK213" i="6"/>
  <c r="AK213" i="6"/>
  <c r="AJ213" i="6"/>
  <c r="AH213" i="6"/>
  <c r="AI213" i="6" s="1"/>
  <c r="CO213" i="6" s="1"/>
  <c r="AG213" i="6"/>
  <c r="AE213" i="6"/>
  <c r="AF213" i="6" s="1"/>
  <c r="CW213" i="6" s="1"/>
  <c r="AD213" i="6"/>
  <c r="AC213" i="6"/>
  <c r="AB213" i="6"/>
  <c r="AA213" i="6"/>
  <c r="Z213" i="6"/>
  <c r="V213" i="6"/>
  <c r="U213" i="6"/>
  <c r="DE213" i="6" s="1"/>
  <c r="T213" i="6"/>
  <c r="S213" i="6"/>
  <c r="R213" i="6"/>
  <c r="Q213" i="6"/>
  <c r="P213" i="6"/>
  <c r="DA213" i="6" s="1"/>
  <c r="O213" i="6"/>
  <c r="N213" i="6"/>
  <c r="M213" i="6"/>
  <c r="L213" i="6"/>
  <c r="EQ213" i="6" s="1"/>
  <c r="D213" i="6"/>
  <c r="C213" i="6"/>
  <c r="B213" i="6"/>
  <c r="W213" i="6" s="1"/>
  <c r="FI214" i="6"/>
  <c r="FE214" i="6"/>
  <c r="FA214" i="6"/>
  <c r="EW214" i="6"/>
  <c r="EK214" i="6"/>
  <c r="EJ214" i="6"/>
  <c r="EI214" i="6"/>
  <c r="EC214" i="6"/>
  <c r="DY214" i="6"/>
  <c r="DL214" i="6"/>
  <c r="DK214" i="6"/>
  <c r="DJ214" i="6"/>
  <c r="DH214" i="6"/>
  <c r="DG214" i="6"/>
  <c r="DF214" i="6"/>
  <c r="CK214" i="6"/>
  <c r="AK214" i="6"/>
  <c r="AJ214" i="6"/>
  <c r="AH214" i="6"/>
  <c r="AI214" i="6" s="1"/>
  <c r="CO214" i="6" s="1"/>
  <c r="AG214" i="6"/>
  <c r="AE214" i="6"/>
  <c r="AF214" i="6" s="1"/>
  <c r="CW214" i="6" s="1"/>
  <c r="CU214" i="6" s="1"/>
  <c r="AD214" i="6"/>
  <c r="AC214" i="6"/>
  <c r="AB214" i="6"/>
  <c r="AA214" i="6"/>
  <c r="Z214" i="6"/>
  <c r="V214" i="6"/>
  <c r="U214" i="6"/>
  <c r="DE214" i="6" s="1"/>
  <c r="T214" i="6"/>
  <c r="S214" i="6"/>
  <c r="R214" i="6"/>
  <c r="Q214" i="6"/>
  <c r="P214" i="6"/>
  <c r="DA214" i="6" s="1"/>
  <c r="O214" i="6"/>
  <c r="N214" i="6"/>
  <c r="M214" i="6"/>
  <c r="L214" i="6"/>
  <c r="EQ214" i="6" s="1"/>
  <c r="EN214" i="6" s="1"/>
  <c r="D214" i="6"/>
  <c r="C214" i="6"/>
  <c r="B214" i="6"/>
  <c r="W214" i="6" s="1"/>
  <c r="X214" i="6" s="1"/>
  <c r="FI215" i="6"/>
  <c r="FE215" i="6"/>
  <c r="FA215" i="6"/>
  <c r="EW215" i="6"/>
  <c r="EC215" i="6"/>
  <c r="DY215" i="6"/>
  <c r="DT215" i="6"/>
  <c r="DS215" i="6"/>
  <c r="DR215" i="6"/>
  <c r="DP215" i="6"/>
  <c r="DO215" i="6"/>
  <c r="DN215" i="6"/>
  <c r="DL215" i="6"/>
  <c r="DK215" i="6"/>
  <c r="DJ215" i="6"/>
  <c r="DH215" i="6"/>
  <c r="DG215" i="6"/>
  <c r="DF215" i="6"/>
  <c r="CK215" i="6"/>
  <c r="AK215" i="6"/>
  <c r="AJ215" i="6"/>
  <c r="AH215" i="6"/>
  <c r="AI215" i="6" s="1"/>
  <c r="CO215" i="6" s="1"/>
  <c r="AG215" i="6"/>
  <c r="AE215" i="6"/>
  <c r="AF215" i="6" s="1"/>
  <c r="CW215" i="6" s="1"/>
  <c r="AD215" i="6"/>
  <c r="AC215" i="6"/>
  <c r="AB215" i="6"/>
  <c r="AA215" i="6"/>
  <c r="Z215" i="6"/>
  <c r="V215" i="6"/>
  <c r="U215" i="6"/>
  <c r="DE215" i="6" s="1"/>
  <c r="DD215" i="6" s="1"/>
  <c r="T215" i="6"/>
  <c r="S215" i="6"/>
  <c r="R215" i="6"/>
  <c r="Q215" i="6"/>
  <c r="DA215" i="6"/>
  <c r="O215" i="6"/>
  <c r="N215" i="6"/>
  <c r="M215" i="6"/>
  <c r="L215" i="6"/>
  <c r="EQ215" i="6" s="1"/>
  <c r="D215" i="6"/>
  <c r="C215" i="6"/>
  <c r="B215" i="6"/>
  <c r="W215" i="6" s="1"/>
  <c r="X215" i="6" s="1"/>
  <c r="FI217" i="6"/>
  <c r="FE217" i="6"/>
  <c r="FA217" i="6"/>
  <c r="EW217" i="6"/>
  <c r="EC217" i="6"/>
  <c r="DY217" i="6"/>
  <c r="DT217" i="6"/>
  <c r="DS217" i="6"/>
  <c r="DR217" i="6"/>
  <c r="DP217" i="6"/>
  <c r="DO217" i="6"/>
  <c r="DN217" i="6"/>
  <c r="DL217" i="6"/>
  <c r="DK217" i="6"/>
  <c r="DJ217" i="6"/>
  <c r="DH217" i="6"/>
  <c r="DG217" i="6"/>
  <c r="DF217" i="6"/>
  <c r="CK217" i="6"/>
  <c r="AK217" i="6"/>
  <c r="AJ217" i="6"/>
  <c r="AH217" i="6"/>
  <c r="AI217" i="6" s="1"/>
  <c r="CO217" i="6" s="1"/>
  <c r="AG217" i="6"/>
  <c r="AE217" i="6"/>
  <c r="AF217" i="6" s="1"/>
  <c r="CW217" i="6" s="1"/>
  <c r="AD217" i="6"/>
  <c r="AC217" i="6"/>
  <c r="AB217" i="6"/>
  <c r="AA217" i="6"/>
  <c r="Z217" i="6"/>
  <c r="V217" i="6"/>
  <c r="U217" i="6"/>
  <c r="DE217" i="6" s="1"/>
  <c r="DB217" i="6" s="1"/>
  <c r="T217" i="6"/>
  <c r="S217" i="6"/>
  <c r="R217" i="6"/>
  <c r="Q217" i="6"/>
  <c r="P217" i="6"/>
  <c r="DA217" i="6" s="1"/>
  <c r="CX217" i="6" s="1"/>
  <c r="O217" i="6"/>
  <c r="N217" i="6"/>
  <c r="M217" i="6"/>
  <c r="L217" i="6"/>
  <c r="EQ217" i="6" s="1"/>
  <c r="D217" i="6"/>
  <c r="C217" i="6"/>
  <c r="B217" i="6"/>
  <c r="W217" i="6" s="1"/>
  <c r="X217" i="6" s="1"/>
  <c r="FI219" i="6"/>
  <c r="FE219" i="6"/>
  <c r="FA219" i="6"/>
  <c r="EW219" i="6"/>
  <c r="EC219" i="6"/>
  <c r="DY219" i="6"/>
  <c r="DT219" i="6"/>
  <c r="DS219" i="6"/>
  <c r="DR219" i="6"/>
  <c r="DP219" i="6"/>
  <c r="DO219" i="6"/>
  <c r="DN219" i="6"/>
  <c r="DL219" i="6"/>
  <c r="DK219" i="6"/>
  <c r="DJ219" i="6"/>
  <c r="DH219" i="6"/>
  <c r="DG219" i="6"/>
  <c r="DF219" i="6"/>
  <c r="CK219" i="6"/>
  <c r="CF219" i="6"/>
  <c r="AK219" i="6"/>
  <c r="AJ219" i="6"/>
  <c r="AH219" i="6"/>
  <c r="AI219" i="6" s="1"/>
  <c r="CO219" i="6" s="1"/>
  <c r="AG219" i="6"/>
  <c r="AE219" i="6"/>
  <c r="AF219" i="6" s="1"/>
  <c r="CW219" i="6" s="1"/>
  <c r="AD219" i="6"/>
  <c r="AC219" i="6"/>
  <c r="AB219" i="6"/>
  <c r="AA219" i="6"/>
  <c r="Z219" i="6"/>
  <c r="V219" i="6"/>
  <c r="U219" i="6"/>
  <c r="DE219" i="6" s="1"/>
  <c r="DB219" i="6" s="1"/>
  <c r="T219" i="6"/>
  <c r="S219" i="6"/>
  <c r="R219" i="6"/>
  <c r="Q219" i="6"/>
  <c r="P219" i="6"/>
  <c r="DA219" i="6" s="1"/>
  <c r="CX219" i="6" s="1"/>
  <c r="O219" i="6"/>
  <c r="N219" i="6"/>
  <c r="M219" i="6"/>
  <c r="L219" i="6"/>
  <c r="EQ219" i="6" s="1"/>
  <c r="EN219" i="6" s="1"/>
  <c r="D219" i="6"/>
  <c r="C219" i="6"/>
  <c r="B219" i="6"/>
  <c r="W219" i="6" s="1"/>
  <c r="X219" i="6" s="1"/>
  <c r="FI220" i="6"/>
  <c r="FE220" i="6"/>
  <c r="FA220" i="6"/>
  <c r="EW220" i="6"/>
  <c r="EH220" i="6"/>
  <c r="EC220" i="6"/>
  <c r="DY220" i="6"/>
  <c r="DT220" i="6"/>
  <c r="DS220" i="6"/>
  <c r="DR220" i="6"/>
  <c r="DP220" i="6"/>
  <c r="DO220" i="6"/>
  <c r="DN220" i="6"/>
  <c r="DL220" i="6"/>
  <c r="DK220" i="6"/>
  <c r="DJ220" i="6"/>
  <c r="DH220" i="6"/>
  <c r="DG220" i="6"/>
  <c r="DF220" i="6"/>
  <c r="CK220" i="6"/>
  <c r="CF220" i="6"/>
  <c r="AK220" i="6"/>
  <c r="AJ220" i="6"/>
  <c r="AH220" i="6"/>
  <c r="AI220" i="6" s="1"/>
  <c r="CO220" i="6" s="1"/>
  <c r="AG220" i="6"/>
  <c r="AE220" i="6"/>
  <c r="AF220" i="6" s="1"/>
  <c r="CW220" i="6" s="1"/>
  <c r="AD220" i="6"/>
  <c r="AC220" i="6"/>
  <c r="AB220" i="6"/>
  <c r="AA220" i="6"/>
  <c r="Z220" i="6"/>
  <c r="V220" i="6"/>
  <c r="U220" i="6"/>
  <c r="DE220" i="6" s="1"/>
  <c r="DB220" i="6" s="1"/>
  <c r="T220" i="6"/>
  <c r="S220" i="6"/>
  <c r="R220" i="6"/>
  <c r="Q220" i="6"/>
  <c r="P220" i="6"/>
  <c r="DA220" i="6" s="1"/>
  <c r="CX220" i="6" s="1"/>
  <c r="O220" i="6"/>
  <c r="N220" i="6"/>
  <c r="M220" i="6"/>
  <c r="L220" i="6"/>
  <c r="EQ220" i="6" s="1"/>
  <c r="ER220" i="6" s="1"/>
  <c r="D220" i="6"/>
  <c r="C220" i="6"/>
  <c r="B220" i="6"/>
  <c r="W220" i="6" s="1"/>
  <c r="X220" i="6" s="1"/>
  <c r="FI221" i="6"/>
  <c r="FE221" i="6"/>
  <c r="FA221" i="6"/>
  <c r="EW221" i="6"/>
  <c r="EC221" i="6"/>
  <c r="DY221" i="6"/>
  <c r="DT221" i="6"/>
  <c r="DS221" i="6"/>
  <c r="DR221" i="6"/>
  <c r="DP221" i="6"/>
  <c r="DO221" i="6"/>
  <c r="DN221" i="6"/>
  <c r="DL221" i="6"/>
  <c r="DK221" i="6"/>
  <c r="DJ221" i="6"/>
  <c r="DH221" i="6"/>
  <c r="DG221" i="6"/>
  <c r="DF221" i="6"/>
  <c r="CK221" i="6"/>
  <c r="CF221" i="6"/>
  <c r="CB221" i="6"/>
  <c r="AK221" i="6"/>
  <c r="AJ221" i="6"/>
  <c r="AH221" i="6"/>
  <c r="AI221" i="6" s="1"/>
  <c r="CO221" i="6" s="1"/>
  <c r="AG221" i="6"/>
  <c r="AE221" i="6"/>
  <c r="AF221" i="6" s="1"/>
  <c r="CW221" i="6" s="1"/>
  <c r="AD221" i="6"/>
  <c r="AC221" i="6"/>
  <c r="AB221" i="6"/>
  <c r="AA221" i="6"/>
  <c r="Z221" i="6"/>
  <c r="V221" i="6"/>
  <c r="U221" i="6"/>
  <c r="DE221" i="6" s="1"/>
  <c r="T221" i="6"/>
  <c r="S221" i="6"/>
  <c r="R221" i="6"/>
  <c r="Q221" i="6"/>
  <c r="P221" i="6"/>
  <c r="DA221" i="6" s="1"/>
  <c r="O221" i="6"/>
  <c r="N221" i="6"/>
  <c r="M221" i="6"/>
  <c r="L221" i="6"/>
  <c r="EQ221" i="6" s="1"/>
  <c r="EN221" i="6" s="1"/>
  <c r="D221" i="6"/>
  <c r="C221" i="6"/>
  <c r="B221" i="6"/>
  <c r="W221" i="6" s="1"/>
  <c r="X221" i="6" s="1"/>
  <c r="FI222" i="6"/>
  <c r="FE222" i="6"/>
  <c r="FA222" i="6"/>
  <c r="EW222" i="6"/>
  <c r="EU222" i="6"/>
  <c r="ET222" i="6"/>
  <c r="ES222" i="6"/>
  <c r="EC222" i="6"/>
  <c r="DY222" i="6"/>
  <c r="DT222" i="6"/>
  <c r="DS222" i="6"/>
  <c r="DR222" i="6"/>
  <c r="DP222" i="6"/>
  <c r="DO222" i="6"/>
  <c r="DN222" i="6"/>
  <c r="DL222" i="6"/>
  <c r="DK222" i="6"/>
  <c r="DJ222" i="6"/>
  <c r="DH222" i="6"/>
  <c r="DG222" i="6"/>
  <c r="DF222" i="6"/>
  <c r="CK222" i="6"/>
  <c r="CF222" i="6"/>
  <c r="AK222" i="6"/>
  <c r="AJ222" i="6"/>
  <c r="AH222" i="6"/>
  <c r="AI222" i="6" s="1"/>
  <c r="CO222" i="6" s="1"/>
  <c r="AG222" i="6"/>
  <c r="AE222" i="6"/>
  <c r="AF222" i="6" s="1"/>
  <c r="CW222" i="6" s="1"/>
  <c r="AD222" i="6"/>
  <c r="AC222" i="6"/>
  <c r="AB222" i="6"/>
  <c r="AA222" i="6"/>
  <c r="Z222" i="6"/>
  <c r="V222" i="6"/>
  <c r="U222" i="6"/>
  <c r="DE222" i="6" s="1"/>
  <c r="T222" i="6"/>
  <c r="S222" i="6"/>
  <c r="R222" i="6"/>
  <c r="Q222" i="6"/>
  <c r="DA222" i="6"/>
  <c r="O222" i="6"/>
  <c r="N222" i="6"/>
  <c r="M222" i="6"/>
  <c r="L222" i="6"/>
  <c r="EQ222" i="6" s="1"/>
  <c r="EN222" i="6" s="1"/>
  <c r="D222" i="6"/>
  <c r="C222" i="6"/>
  <c r="B222" i="6"/>
  <c r="W222" i="6" s="1"/>
  <c r="X222" i="6" s="1"/>
  <c r="FI223" i="6"/>
  <c r="FE223" i="6"/>
  <c r="FA223" i="6"/>
  <c r="EU223" i="6"/>
  <c r="ET223" i="6"/>
  <c r="ES223" i="6"/>
  <c r="DY223" i="6"/>
  <c r="DT223" i="6"/>
  <c r="DS223" i="6"/>
  <c r="DR223" i="6"/>
  <c r="DP223" i="6"/>
  <c r="DO223" i="6"/>
  <c r="DN223" i="6"/>
  <c r="DH223" i="6"/>
  <c r="DG223" i="6"/>
  <c r="DF223" i="6"/>
  <c r="CK223" i="6"/>
  <c r="AK223" i="6"/>
  <c r="BG223" i="6" s="1"/>
  <c r="AJ223" i="6"/>
  <c r="AH223" i="6"/>
  <c r="AI223" i="6" s="1"/>
  <c r="CO223" i="6" s="1"/>
  <c r="AG223" i="6"/>
  <c r="AE223" i="6"/>
  <c r="AF223" i="6" s="1"/>
  <c r="CW223" i="6" s="1"/>
  <c r="AD223" i="6"/>
  <c r="AC223" i="6"/>
  <c r="AB223" i="6"/>
  <c r="AA223" i="6"/>
  <c r="Z223" i="6"/>
  <c r="V223" i="6"/>
  <c r="U223" i="6"/>
  <c r="DE223" i="6" s="1"/>
  <c r="T223" i="6"/>
  <c r="S223" i="6"/>
  <c r="R223" i="6"/>
  <c r="Q223" i="6"/>
  <c r="P223" i="6"/>
  <c r="DA223" i="6" s="1"/>
  <c r="O223" i="6"/>
  <c r="N223" i="6"/>
  <c r="M223" i="6"/>
  <c r="L223" i="6"/>
  <c r="EQ223" i="6" s="1"/>
  <c r="D223" i="6"/>
  <c r="C223" i="6"/>
  <c r="B223" i="6"/>
  <c r="W223" i="6" s="1"/>
  <c r="E9" i="5"/>
  <c r="E200" i="6" l="1"/>
  <c r="E193" i="6"/>
  <c r="E180" i="6"/>
  <c r="E220" i="6"/>
  <c r="E222" i="6"/>
  <c r="E215" i="6"/>
  <c r="E123" i="6"/>
  <c r="E212" i="6"/>
  <c r="E205" i="6"/>
  <c r="E197" i="6"/>
  <c r="E195" i="6"/>
  <c r="E22" i="6"/>
  <c r="E185" i="6"/>
  <c r="E184" i="6"/>
  <c r="E182" i="6"/>
  <c r="E168" i="6"/>
  <c r="E165" i="6"/>
  <c r="E164" i="6"/>
  <c r="E162" i="6"/>
  <c r="E161" i="6"/>
  <c r="E156" i="6"/>
  <c r="E146" i="6"/>
  <c r="E140" i="6"/>
  <c r="E138" i="6"/>
  <c r="E132" i="6"/>
  <c r="E99" i="6"/>
  <c r="E91" i="6"/>
  <c r="E88" i="6"/>
  <c r="E86" i="6"/>
  <c r="E188" i="6"/>
  <c r="E175" i="6"/>
  <c r="E158" i="6"/>
  <c r="E154" i="6"/>
  <c r="E149" i="6"/>
  <c r="E147" i="6"/>
  <c r="E141" i="6"/>
  <c r="E134" i="6"/>
  <c r="E130" i="6"/>
  <c r="E127" i="6"/>
  <c r="E223" i="6"/>
  <c r="E221" i="6"/>
  <c r="E214" i="6"/>
  <c r="E213" i="6"/>
  <c r="E208" i="6"/>
  <c r="E211" i="6"/>
  <c r="E187" i="6"/>
  <c r="E183" i="6"/>
  <c r="E176" i="6"/>
  <c r="E174" i="6"/>
  <c r="E171" i="6"/>
  <c r="E170" i="6"/>
  <c r="E152" i="6"/>
  <c r="E144" i="6"/>
  <c r="E145" i="6"/>
  <c r="E133" i="6"/>
  <c r="E129" i="6"/>
  <c r="E128" i="6"/>
  <c r="E117" i="6"/>
  <c r="E116" i="6"/>
  <c r="E114" i="6"/>
  <c r="E111" i="6"/>
  <c r="E107" i="6"/>
  <c r="E101" i="6"/>
  <c r="E94" i="6"/>
  <c r="E90" i="6"/>
  <c r="E108" i="6"/>
  <c r="E103" i="6"/>
  <c r="E102" i="6"/>
  <c r="E98" i="6"/>
  <c r="E89" i="6"/>
  <c r="E219" i="6"/>
  <c r="E217" i="6"/>
  <c r="E202" i="6"/>
  <c r="E201" i="6"/>
  <c r="E198" i="6"/>
  <c r="E191" i="6"/>
  <c r="E190" i="6"/>
  <c r="E189" i="6"/>
  <c r="E177" i="6"/>
  <c r="E159" i="6"/>
  <c r="E155" i="6"/>
  <c r="E150" i="6"/>
  <c r="E131" i="6"/>
  <c r="E122" i="6"/>
  <c r="E120" i="6"/>
  <c r="E121" i="6"/>
  <c r="E119" i="6"/>
  <c r="E109" i="6"/>
  <c r="E106" i="6"/>
  <c r="E92" i="6"/>
  <c r="E87" i="6"/>
  <c r="CV111" i="6"/>
  <c r="CT111" i="6"/>
  <c r="BJ87" i="6"/>
  <c r="BJ99" i="6"/>
  <c r="BJ184" i="6"/>
  <c r="Y201" i="6"/>
  <c r="X201" i="6"/>
  <c r="Y213" i="6"/>
  <c r="X213" i="6"/>
  <c r="Y208" i="6"/>
  <c r="X208" i="6"/>
  <c r="Y191" i="6"/>
  <c r="X191" i="6"/>
  <c r="Y197" i="6"/>
  <c r="X197" i="6"/>
  <c r="EO223" i="6"/>
  <c r="EP223" i="6"/>
  <c r="ER223" i="6"/>
  <c r="FJ223" i="6" s="1"/>
  <c r="BG214" i="6"/>
  <c r="BE214" i="6"/>
  <c r="BH214" i="6"/>
  <c r="BF214" i="6"/>
  <c r="BD214" i="6"/>
  <c r="AL214" i="6"/>
  <c r="BI214" i="6"/>
  <c r="EN213" i="6"/>
  <c r="ER213" i="6"/>
  <c r="FJ213" i="6" s="1"/>
  <c r="BG171" i="6"/>
  <c r="BH171" i="6"/>
  <c r="AL171" i="6"/>
  <c r="BF171" i="6"/>
  <c r="BE171" i="6"/>
  <c r="BD171" i="6"/>
  <c r="BI171" i="6"/>
  <c r="EP159" i="6"/>
  <c r="EN159" i="6"/>
  <c r="ER159" i="6"/>
  <c r="FJ159" i="6" s="1"/>
  <c r="EP155" i="6"/>
  <c r="EN155" i="6"/>
  <c r="ER155" i="6"/>
  <c r="FJ155" i="6" s="1"/>
  <c r="BG155" i="6"/>
  <c r="BF155" i="6"/>
  <c r="BD155" i="6"/>
  <c r="BI155" i="6"/>
  <c r="BH155" i="6"/>
  <c r="BE155" i="6"/>
  <c r="AL155" i="6"/>
  <c r="EP151" i="6"/>
  <c r="ER151" i="6"/>
  <c r="FJ151" i="6" s="1"/>
  <c r="EN151" i="6"/>
  <c r="EP149" i="6"/>
  <c r="EN149" i="6"/>
  <c r="ER149" i="6"/>
  <c r="BI149" i="6"/>
  <c r="BE149" i="6"/>
  <c r="BH149" i="6"/>
  <c r="BD149" i="6"/>
  <c r="BF149" i="6"/>
  <c r="BG149" i="6"/>
  <c r="AL149" i="6"/>
  <c r="BG140" i="6"/>
  <c r="BF140" i="6"/>
  <c r="BH140" i="6"/>
  <c r="AL140" i="6"/>
  <c r="BE140" i="6"/>
  <c r="BI140" i="6"/>
  <c r="BD140" i="6"/>
  <c r="EP138" i="6"/>
  <c r="ER138" i="6"/>
  <c r="FJ138" i="6" s="1"/>
  <c r="EN138" i="6"/>
  <c r="BG133" i="6"/>
  <c r="BF133" i="6"/>
  <c r="BH133" i="6"/>
  <c r="AL133" i="6"/>
  <c r="BE133" i="6"/>
  <c r="BD133" i="6"/>
  <c r="BI133" i="6"/>
  <c r="BI130" i="6"/>
  <c r="BE130" i="6"/>
  <c r="BH130" i="6"/>
  <c r="BD130" i="6"/>
  <c r="BF130" i="6"/>
  <c r="AL130" i="6"/>
  <c r="BG130" i="6"/>
  <c r="EP120" i="6"/>
  <c r="ER120" i="6"/>
  <c r="FJ120" i="6" s="1"/>
  <c r="EN120" i="6"/>
  <c r="BI120" i="6"/>
  <c r="BE120" i="6"/>
  <c r="BH120" i="6"/>
  <c r="BD120" i="6"/>
  <c r="BG120" i="6"/>
  <c r="BF120" i="6"/>
  <c r="AL120" i="6"/>
  <c r="EP109" i="6"/>
  <c r="ER109" i="6"/>
  <c r="FJ109" i="6" s="1"/>
  <c r="EN109" i="6"/>
  <c r="BI109" i="6"/>
  <c r="BE109" i="6"/>
  <c r="BH109" i="6"/>
  <c r="BD109" i="6"/>
  <c r="BG109" i="6"/>
  <c r="AL109" i="6"/>
  <c r="BF109" i="6"/>
  <c r="EP106" i="6"/>
  <c r="ER106" i="6"/>
  <c r="FJ106" i="6" s="1"/>
  <c r="EN106" i="6"/>
  <c r="BF106" i="6"/>
  <c r="BH106" i="6"/>
  <c r="BG106" i="6"/>
  <c r="BI106" i="6"/>
  <c r="AL106" i="6"/>
  <c r="BE106" i="6"/>
  <c r="BD106" i="6"/>
  <c r="EP92" i="6"/>
  <c r="EN92" i="6"/>
  <c r="ER92" i="6"/>
  <c r="BH92" i="6"/>
  <c r="BD92" i="6"/>
  <c r="BG92" i="6"/>
  <c r="BF92" i="6"/>
  <c r="BE92" i="6"/>
  <c r="AL92" i="6"/>
  <c r="BI92" i="6"/>
  <c r="EP90" i="6"/>
  <c r="ER90" i="6"/>
  <c r="FJ90" i="6" s="1"/>
  <c r="EN90" i="6"/>
  <c r="BH90" i="6"/>
  <c r="BD90" i="6"/>
  <c r="BG90" i="6"/>
  <c r="BI90" i="6"/>
  <c r="BE90" i="6"/>
  <c r="BF90" i="6"/>
  <c r="AL90" i="6"/>
  <c r="BG220" i="6"/>
  <c r="BH220" i="6"/>
  <c r="BD220" i="6"/>
  <c r="BI220" i="6"/>
  <c r="AL220" i="6"/>
  <c r="BF220" i="6"/>
  <c r="BE220" i="6"/>
  <c r="EN205" i="6"/>
  <c r="ER205" i="6"/>
  <c r="FJ205" i="6" s="1"/>
  <c r="BI205" i="6"/>
  <c r="BE205" i="6"/>
  <c r="BG205" i="6"/>
  <c r="BF205" i="6"/>
  <c r="BD205" i="6"/>
  <c r="AL205" i="6"/>
  <c r="BH205" i="6"/>
  <c r="EN197" i="6"/>
  <c r="ER197" i="6"/>
  <c r="FJ197" i="6" s="1"/>
  <c r="BI197" i="6"/>
  <c r="BE197" i="6"/>
  <c r="BD197" i="6"/>
  <c r="BH197" i="6"/>
  <c r="BG197" i="6"/>
  <c r="BF197" i="6"/>
  <c r="AL197" i="6"/>
  <c r="ER193" i="6"/>
  <c r="FJ193" i="6" s="1"/>
  <c r="EN193" i="6"/>
  <c r="BG193" i="6"/>
  <c r="BH193" i="6"/>
  <c r="BF193" i="6"/>
  <c r="BI193" i="6"/>
  <c r="AL193" i="6"/>
  <c r="BD193" i="6"/>
  <c r="BE193" i="6"/>
  <c r="EN191" i="6"/>
  <c r="ER191" i="6"/>
  <c r="FJ191" i="6" s="1"/>
  <c r="BI191" i="6"/>
  <c r="BE191" i="6"/>
  <c r="BG191" i="6"/>
  <c r="BF191" i="6"/>
  <c r="BD191" i="6"/>
  <c r="AL191" i="6"/>
  <c r="BH191" i="6"/>
  <c r="EN187" i="6"/>
  <c r="ER187" i="6"/>
  <c r="FJ187" i="6" s="1"/>
  <c r="BG187" i="6"/>
  <c r="BI187" i="6"/>
  <c r="BD187" i="6"/>
  <c r="AL187" i="6"/>
  <c r="BH187" i="6"/>
  <c r="BF187" i="6"/>
  <c r="BE187" i="6"/>
  <c r="EN180" i="6"/>
  <c r="ER180" i="6"/>
  <c r="FJ180" i="6" s="1"/>
  <c r="BI180" i="6"/>
  <c r="BE180" i="6"/>
  <c r="BF180" i="6"/>
  <c r="BD180" i="6"/>
  <c r="BG180" i="6"/>
  <c r="BH180" i="6"/>
  <c r="AL180" i="6"/>
  <c r="EN175" i="6"/>
  <c r="ER175" i="6"/>
  <c r="BI175" i="6"/>
  <c r="BE175" i="6"/>
  <c r="BD175" i="6"/>
  <c r="BH175" i="6"/>
  <c r="AL175" i="6"/>
  <c r="BG175" i="6"/>
  <c r="BF175" i="6"/>
  <c r="EP170" i="6"/>
  <c r="ER170" i="6"/>
  <c r="FJ170" i="6" s="1"/>
  <c r="EN170" i="6"/>
  <c r="EP162" i="6"/>
  <c r="ER162" i="6"/>
  <c r="FJ162" i="6" s="1"/>
  <c r="EN162" i="6"/>
  <c r="BI162" i="6"/>
  <c r="BE162" i="6"/>
  <c r="BD162" i="6"/>
  <c r="BH162" i="6"/>
  <c r="BG162" i="6"/>
  <c r="BF162" i="6"/>
  <c r="AL162" i="6"/>
  <c r="EP158" i="6"/>
  <c r="ER158" i="6"/>
  <c r="FJ158" i="6" s="1"/>
  <c r="EN158" i="6"/>
  <c r="BG158" i="6"/>
  <c r="BF158" i="6"/>
  <c r="BH158" i="6"/>
  <c r="AL158" i="6"/>
  <c r="BE158" i="6"/>
  <c r="BD158" i="6"/>
  <c r="BI158" i="6"/>
  <c r="EP154" i="6"/>
  <c r="EN154" i="6"/>
  <c r="ER154" i="6"/>
  <c r="FJ154" i="6" s="1"/>
  <c r="EP144" i="6"/>
  <c r="ER144" i="6"/>
  <c r="FJ144" i="6" s="1"/>
  <c r="EN144" i="6"/>
  <c r="BG144" i="6"/>
  <c r="BF144" i="6"/>
  <c r="BH144" i="6"/>
  <c r="AL144" i="6"/>
  <c r="BE144" i="6"/>
  <c r="BD144" i="6"/>
  <c r="BI144" i="6"/>
  <c r="EP140" i="6"/>
  <c r="ER140" i="6"/>
  <c r="FJ140" i="6" s="1"/>
  <c r="EN140" i="6"/>
  <c r="EP129" i="6"/>
  <c r="ER129" i="6"/>
  <c r="FJ129" i="6" s="1"/>
  <c r="EN129" i="6"/>
  <c r="BG129" i="6"/>
  <c r="BF129" i="6"/>
  <c r="BH129" i="6"/>
  <c r="AL129" i="6"/>
  <c r="BE129" i="6"/>
  <c r="BI129" i="6"/>
  <c r="BD129" i="6"/>
  <c r="EP121" i="6"/>
  <c r="ER121" i="6"/>
  <c r="FJ121" i="6" s="1"/>
  <c r="EN121" i="6"/>
  <c r="BG121" i="6"/>
  <c r="BF121" i="6"/>
  <c r="BD121" i="6"/>
  <c r="BI121" i="6"/>
  <c r="BH121" i="6"/>
  <c r="BE121" i="6"/>
  <c r="AL121" i="6"/>
  <c r="EP117" i="6"/>
  <c r="ER117" i="6"/>
  <c r="FJ117" i="6" s="1"/>
  <c r="EN117" i="6"/>
  <c r="BG117" i="6"/>
  <c r="BF117" i="6"/>
  <c r="BH117" i="6"/>
  <c r="AL117" i="6"/>
  <c r="BE117" i="6"/>
  <c r="BI117" i="6"/>
  <c r="BD117" i="6"/>
  <c r="EP116" i="6"/>
  <c r="ER116" i="6"/>
  <c r="FJ116" i="6" s="1"/>
  <c r="EN116" i="6"/>
  <c r="BI116" i="6"/>
  <c r="BE116" i="6"/>
  <c r="BH116" i="6"/>
  <c r="BD116" i="6"/>
  <c r="BG116" i="6"/>
  <c r="BF116" i="6"/>
  <c r="AL116" i="6"/>
  <c r="BG108" i="6"/>
  <c r="BF108" i="6"/>
  <c r="BD108" i="6"/>
  <c r="BI108" i="6"/>
  <c r="BH108" i="6"/>
  <c r="BE108" i="6"/>
  <c r="AL108" i="6"/>
  <c r="EP103" i="6"/>
  <c r="ER103" i="6"/>
  <c r="FJ103" i="6" s="1"/>
  <c r="EN103" i="6"/>
  <c r="BH103" i="6"/>
  <c r="BD103" i="6"/>
  <c r="BG103" i="6"/>
  <c r="BF103" i="6"/>
  <c r="BI103" i="6"/>
  <c r="BE103" i="6"/>
  <c r="AL103" i="6"/>
  <c r="EP102" i="6"/>
  <c r="EN102" i="6"/>
  <c r="ER102" i="6"/>
  <c r="FJ102" i="6" s="1"/>
  <c r="BF102" i="6"/>
  <c r="BG102" i="6"/>
  <c r="BE102" i="6"/>
  <c r="BH102" i="6"/>
  <c r="BD102" i="6"/>
  <c r="AL102" i="6"/>
  <c r="BI102" i="6"/>
  <c r="EP99" i="6"/>
  <c r="ER99" i="6"/>
  <c r="FJ99" i="6" s="1"/>
  <c r="EN99" i="6"/>
  <c r="EP94" i="6"/>
  <c r="ER94" i="6"/>
  <c r="FJ94" i="6" s="1"/>
  <c r="EN94" i="6"/>
  <c r="BF94" i="6"/>
  <c r="BI94" i="6"/>
  <c r="BE94" i="6"/>
  <c r="BD94" i="6"/>
  <c r="BG94" i="6"/>
  <c r="AL94" i="6"/>
  <c r="BH94" i="6"/>
  <c r="EP91" i="6"/>
  <c r="ER91" i="6"/>
  <c r="FJ91" i="6" s="1"/>
  <c r="EN91" i="6"/>
  <c r="BE91" i="6"/>
  <c r="BD91" i="6"/>
  <c r="AL91" i="6"/>
  <c r="EP88" i="6"/>
  <c r="EN88" i="6"/>
  <c r="ER88" i="6"/>
  <c r="FJ88" i="6" s="1"/>
  <c r="BH88" i="6"/>
  <c r="BD88" i="6"/>
  <c r="BG88" i="6"/>
  <c r="BF88" i="6"/>
  <c r="BE88" i="6"/>
  <c r="BI88" i="6"/>
  <c r="AL88" i="6"/>
  <c r="EO99" i="6"/>
  <c r="EO106" i="6"/>
  <c r="EO117" i="6"/>
  <c r="EO129" i="6"/>
  <c r="EO140" i="6"/>
  <c r="EO144" i="6"/>
  <c r="EO158" i="6"/>
  <c r="EP175" i="6"/>
  <c r="EP191" i="6"/>
  <c r="EP197" i="6"/>
  <c r="EP205" i="6"/>
  <c r="EP213" i="6"/>
  <c r="EO176" i="6"/>
  <c r="EO182" i="6"/>
  <c r="EO187" i="6"/>
  <c r="EO190" i="6"/>
  <c r="EO198" i="6"/>
  <c r="EO202" i="6"/>
  <c r="EO208" i="6"/>
  <c r="EO88" i="6"/>
  <c r="EO92" i="6"/>
  <c r="EO149" i="6"/>
  <c r="EO154" i="6"/>
  <c r="EO159" i="6"/>
  <c r="EO174" i="6"/>
  <c r="EO180" i="6"/>
  <c r="EO185" i="6"/>
  <c r="EO189" i="6"/>
  <c r="EO195" i="6"/>
  <c r="EP187" i="6"/>
  <c r="BI219" i="6"/>
  <c r="BE219" i="6"/>
  <c r="BG219" i="6"/>
  <c r="BD219" i="6"/>
  <c r="AL219" i="6"/>
  <c r="BF219" i="6"/>
  <c r="BH219" i="6"/>
  <c r="BI213" i="6"/>
  <c r="BE213" i="6"/>
  <c r="BD213" i="6"/>
  <c r="BH213" i="6"/>
  <c r="BG213" i="6"/>
  <c r="AL213" i="6"/>
  <c r="BF213" i="6"/>
  <c r="EN201" i="6"/>
  <c r="ER201" i="6"/>
  <c r="FJ201" i="6" s="1"/>
  <c r="EN188" i="6"/>
  <c r="ER188" i="6"/>
  <c r="FJ188" i="6" s="1"/>
  <c r="BI188" i="6"/>
  <c r="BE188" i="6"/>
  <c r="BD188" i="6"/>
  <c r="BH188" i="6"/>
  <c r="AL188" i="6"/>
  <c r="BF188" i="6"/>
  <c r="BG188" i="6"/>
  <c r="EP164" i="6"/>
  <c r="ER164" i="6"/>
  <c r="FJ164" i="6" s="1"/>
  <c r="EN164" i="6"/>
  <c r="BI159" i="6"/>
  <c r="BE159" i="6"/>
  <c r="BH159" i="6"/>
  <c r="BD159" i="6"/>
  <c r="BF159" i="6"/>
  <c r="BG159" i="6"/>
  <c r="AL159" i="6"/>
  <c r="BI154" i="6"/>
  <c r="BE154" i="6"/>
  <c r="BH154" i="6"/>
  <c r="BD154" i="6"/>
  <c r="BF154" i="6"/>
  <c r="AL154" i="6"/>
  <c r="BG154" i="6"/>
  <c r="BG146" i="6"/>
  <c r="BF146" i="6"/>
  <c r="BD146" i="6"/>
  <c r="BI146" i="6"/>
  <c r="BH146" i="6"/>
  <c r="BE146" i="6"/>
  <c r="AL146" i="6"/>
  <c r="BG138" i="6"/>
  <c r="BF138" i="6"/>
  <c r="BD138" i="6"/>
  <c r="BI138" i="6"/>
  <c r="BH138" i="6"/>
  <c r="AL138" i="6"/>
  <c r="BE138" i="6"/>
  <c r="BF222" i="6"/>
  <c r="AL222" i="6"/>
  <c r="BI221" i="6"/>
  <c r="BE221" i="6"/>
  <c r="BH221" i="6"/>
  <c r="BG221" i="6"/>
  <c r="BD221" i="6"/>
  <c r="BF221" i="6"/>
  <c r="AL221" i="6"/>
  <c r="EO215" i="6"/>
  <c r="ER215" i="6"/>
  <c r="FJ215" i="6" s="1"/>
  <c r="EP215" i="6"/>
  <c r="EN208" i="6"/>
  <c r="ER208" i="6"/>
  <c r="FJ208" i="6" s="1"/>
  <c r="EN211" i="6"/>
  <c r="ER211" i="6"/>
  <c r="FJ211" i="6" s="1"/>
  <c r="EN202" i="6"/>
  <c r="ER202" i="6"/>
  <c r="FJ202" i="6" s="1"/>
  <c r="EP165" i="6"/>
  <c r="EN165" i="6"/>
  <c r="ER165" i="6"/>
  <c r="FJ165" i="6" s="1"/>
  <c r="BG131" i="6"/>
  <c r="BF131" i="6"/>
  <c r="BD131" i="6"/>
  <c r="BI131" i="6"/>
  <c r="BH131" i="6"/>
  <c r="BE131" i="6"/>
  <c r="AL131" i="6"/>
  <c r="EP123" i="6"/>
  <c r="EN123" i="6"/>
  <c r="ER123" i="6"/>
  <c r="FJ123" i="6" s="1"/>
  <c r="EO91" i="6"/>
  <c r="EO94" i="6"/>
  <c r="EO102" i="6"/>
  <c r="EO121" i="6"/>
  <c r="EO138" i="6"/>
  <c r="EO155" i="6"/>
  <c r="EP180" i="6"/>
  <c r="EP201" i="6"/>
  <c r="EP211" i="6"/>
  <c r="EN215" i="6"/>
  <c r="EO193" i="6"/>
  <c r="EO219" i="6"/>
  <c r="ER219" i="6"/>
  <c r="FJ219" i="6" s="1"/>
  <c r="EP219" i="6"/>
  <c r="EO214" i="6"/>
  <c r="ER214" i="6"/>
  <c r="FJ214" i="6" s="1"/>
  <c r="EP214" i="6"/>
  <c r="ER212" i="6"/>
  <c r="FJ212" i="6" s="1"/>
  <c r="EN212" i="6"/>
  <c r="BG212" i="6"/>
  <c r="BH212" i="6"/>
  <c r="BE212" i="6"/>
  <c r="BD212" i="6"/>
  <c r="BF212" i="6"/>
  <c r="BI212" i="6"/>
  <c r="AL212" i="6"/>
  <c r="BI201" i="6"/>
  <c r="BE201" i="6"/>
  <c r="BF201" i="6"/>
  <c r="BH201" i="6"/>
  <c r="BG201" i="6"/>
  <c r="AL201" i="6"/>
  <c r="BD201" i="6"/>
  <c r="EP171" i="6"/>
  <c r="ER171" i="6"/>
  <c r="FJ171" i="6" s="1"/>
  <c r="EN171" i="6"/>
  <c r="BG164" i="6"/>
  <c r="BE164" i="6"/>
  <c r="AL164" i="6"/>
  <c r="BI164" i="6"/>
  <c r="BD164" i="6"/>
  <c r="BF164" i="6"/>
  <c r="BH164" i="6"/>
  <c r="BI151" i="6"/>
  <c r="BE151" i="6"/>
  <c r="BH151" i="6"/>
  <c r="BD151" i="6"/>
  <c r="BG151" i="6"/>
  <c r="BF151" i="6"/>
  <c r="AL151" i="6"/>
  <c r="EP146" i="6"/>
  <c r="ER146" i="6"/>
  <c r="FJ146" i="6" s="1"/>
  <c r="EN146" i="6"/>
  <c r="EP133" i="6"/>
  <c r="ER133" i="6"/>
  <c r="FJ133" i="6" s="1"/>
  <c r="EN133" i="6"/>
  <c r="EP131" i="6"/>
  <c r="EN131" i="6"/>
  <c r="ER131" i="6"/>
  <c r="FJ131" i="6" s="1"/>
  <c r="EP130" i="6"/>
  <c r="EN130" i="6"/>
  <c r="ER130" i="6"/>
  <c r="FJ130" i="6" s="1"/>
  <c r="EO222" i="6"/>
  <c r="EP222" i="6"/>
  <c r="EO221" i="6"/>
  <c r="EP221" i="6"/>
  <c r="ER221" i="6"/>
  <c r="FJ221" i="6" s="1"/>
  <c r="EO217" i="6"/>
  <c r="EP217" i="6"/>
  <c r="ER217" i="6"/>
  <c r="FJ217" i="6" s="1"/>
  <c r="BG217" i="6"/>
  <c r="BF217" i="6"/>
  <c r="AL217" i="6"/>
  <c r="BE217" i="6"/>
  <c r="BD217" i="6"/>
  <c r="BH217" i="6"/>
  <c r="BI217" i="6"/>
  <c r="BI215" i="6"/>
  <c r="BE215" i="6"/>
  <c r="BF215" i="6"/>
  <c r="BG215" i="6"/>
  <c r="BD215" i="6"/>
  <c r="AL215" i="6"/>
  <c r="BH215" i="6"/>
  <c r="BG208" i="6"/>
  <c r="BI208" i="6"/>
  <c r="BD208" i="6"/>
  <c r="AL208" i="6"/>
  <c r="BH208" i="6"/>
  <c r="BE208" i="6"/>
  <c r="BF208" i="6"/>
  <c r="BI211" i="6"/>
  <c r="BE211" i="6"/>
  <c r="BH211" i="6"/>
  <c r="BD211" i="6"/>
  <c r="AL211" i="6"/>
  <c r="BG211" i="6"/>
  <c r="BF211" i="6"/>
  <c r="BG202" i="6"/>
  <c r="BF202" i="6"/>
  <c r="AL202" i="6"/>
  <c r="BH202" i="6"/>
  <c r="BE202" i="6"/>
  <c r="BI202" i="6"/>
  <c r="BD202" i="6"/>
  <c r="EN198" i="6"/>
  <c r="ER198" i="6"/>
  <c r="FJ198" i="6" s="1"/>
  <c r="BG198" i="6"/>
  <c r="BI198" i="6"/>
  <c r="BD198" i="6"/>
  <c r="AL198" i="6"/>
  <c r="BH198" i="6"/>
  <c r="BE198" i="6"/>
  <c r="BF198" i="6"/>
  <c r="EN195" i="6"/>
  <c r="ER195" i="6"/>
  <c r="FJ195" i="6" s="1"/>
  <c r="BI195" i="6"/>
  <c r="BE195" i="6"/>
  <c r="BH195" i="6"/>
  <c r="BG195" i="6"/>
  <c r="BF195" i="6"/>
  <c r="BD195" i="6"/>
  <c r="AL195" i="6"/>
  <c r="EN189" i="6"/>
  <c r="ER189" i="6"/>
  <c r="FJ189" i="6" s="1"/>
  <c r="BI189" i="6"/>
  <c r="BE189" i="6"/>
  <c r="BF189" i="6"/>
  <c r="BD189" i="6"/>
  <c r="AL189" i="6"/>
  <c r="BH189" i="6"/>
  <c r="BG189" i="6"/>
  <c r="ER22" i="6"/>
  <c r="FJ22" i="6" s="1"/>
  <c r="EN22" i="6"/>
  <c r="BG22" i="6"/>
  <c r="BE22" i="6"/>
  <c r="BI22" i="6"/>
  <c r="BD22" i="6"/>
  <c r="BH22" i="6"/>
  <c r="BF22" i="6"/>
  <c r="AL22" i="6"/>
  <c r="EN185" i="6"/>
  <c r="ER185" i="6"/>
  <c r="FJ185" i="6" s="1"/>
  <c r="ER184" i="6"/>
  <c r="FJ184" i="6" s="1"/>
  <c r="EN184" i="6"/>
  <c r="EN182" i="6"/>
  <c r="ER182" i="6"/>
  <c r="FJ182" i="6" s="1"/>
  <c r="ER177" i="6"/>
  <c r="FJ177" i="6" s="1"/>
  <c r="EN177" i="6"/>
  <c r="BG177" i="6"/>
  <c r="BE177" i="6"/>
  <c r="AL177" i="6"/>
  <c r="BI177" i="6"/>
  <c r="BD177" i="6"/>
  <c r="BH177" i="6"/>
  <c r="BF177" i="6"/>
  <c r="EN176" i="6"/>
  <c r="ER176" i="6"/>
  <c r="FJ176" i="6" s="1"/>
  <c r="BG176" i="6"/>
  <c r="BI176" i="6"/>
  <c r="BD176" i="6"/>
  <c r="BH176" i="6"/>
  <c r="BF176" i="6"/>
  <c r="AL176" i="6"/>
  <c r="BE176" i="6"/>
  <c r="EN174" i="6"/>
  <c r="ER174" i="6"/>
  <c r="FJ174" i="6" s="1"/>
  <c r="BI174" i="6"/>
  <c r="BE174" i="6"/>
  <c r="BH174" i="6"/>
  <c r="BG174" i="6"/>
  <c r="BD174" i="6"/>
  <c r="AL174" i="6"/>
  <c r="BF174" i="6"/>
  <c r="BI165" i="6"/>
  <c r="BE165" i="6"/>
  <c r="BF165" i="6"/>
  <c r="BD165" i="6"/>
  <c r="BH165" i="6"/>
  <c r="AL165" i="6"/>
  <c r="BG165" i="6"/>
  <c r="EP156" i="6"/>
  <c r="ER156" i="6"/>
  <c r="FJ156" i="6" s="1"/>
  <c r="EN156" i="6"/>
  <c r="BI156" i="6"/>
  <c r="BE156" i="6"/>
  <c r="BH156" i="6"/>
  <c r="BD156" i="6"/>
  <c r="BG156" i="6"/>
  <c r="AL156" i="6"/>
  <c r="BF156" i="6"/>
  <c r="EP141" i="6"/>
  <c r="ER141" i="6"/>
  <c r="EN141" i="6"/>
  <c r="EP134" i="6"/>
  <c r="EN134" i="6"/>
  <c r="ER134" i="6"/>
  <c r="FJ134" i="6" s="1"/>
  <c r="BI134" i="6"/>
  <c r="BE134" i="6"/>
  <c r="BH134" i="6"/>
  <c r="BD134" i="6"/>
  <c r="BF134" i="6"/>
  <c r="BG134" i="6"/>
  <c r="AL134" i="6"/>
  <c r="BI123" i="6"/>
  <c r="BE123" i="6"/>
  <c r="BH123" i="6"/>
  <c r="BD123" i="6"/>
  <c r="BF123" i="6"/>
  <c r="BG123" i="6"/>
  <c r="AL123" i="6"/>
  <c r="EP122" i="6"/>
  <c r="ER122" i="6"/>
  <c r="FJ122" i="6" s="1"/>
  <c r="EN122" i="6"/>
  <c r="BG122" i="6"/>
  <c r="BF122" i="6"/>
  <c r="BH122" i="6"/>
  <c r="AL122" i="6"/>
  <c r="BE122" i="6"/>
  <c r="BD122" i="6"/>
  <c r="BI122" i="6"/>
  <c r="EP111" i="6"/>
  <c r="EN111" i="6"/>
  <c r="ER111" i="6"/>
  <c r="FJ111" i="6" s="1"/>
  <c r="BI111" i="6"/>
  <c r="BE111" i="6"/>
  <c r="BH111" i="6"/>
  <c r="BD111" i="6"/>
  <c r="BF111" i="6"/>
  <c r="BG111" i="6"/>
  <c r="AL111" i="6"/>
  <c r="EP101" i="6"/>
  <c r="EN101" i="6"/>
  <c r="ER101" i="6"/>
  <c r="FJ101" i="6" s="1"/>
  <c r="BH101" i="6"/>
  <c r="BD101" i="6"/>
  <c r="BF101" i="6"/>
  <c r="BE101" i="6"/>
  <c r="BI101" i="6"/>
  <c r="BG101" i="6"/>
  <c r="AL101" i="6"/>
  <c r="EP98" i="6"/>
  <c r="ER98" i="6"/>
  <c r="FJ98" i="6" s="1"/>
  <c r="EN98" i="6"/>
  <c r="BH98" i="6"/>
  <c r="BD98" i="6"/>
  <c r="BE98" i="6"/>
  <c r="BI98" i="6"/>
  <c r="BG98" i="6"/>
  <c r="BF98" i="6"/>
  <c r="AL98" i="6"/>
  <c r="EP87" i="6"/>
  <c r="ER87" i="6"/>
  <c r="FJ87" i="6" s="1"/>
  <c r="EN87" i="6"/>
  <c r="ER222" i="6"/>
  <c r="FJ222" i="6" s="1"/>
  <c r="ER200" i="6"/>
  <c r="FJ200" i="6" s="1"/>
  <c r="EN200" i="6"/>
  <c r="BG200" i="6"/>
  <c r="BE200" i="6"/>
  <c r="BI200" i="6"/>
  <c r="BD200" i="6"/>
  <c r="AL200" i="6"/>
  <c r="BF200" i="6"/>
  <c r="BH200" i="6"/>
  <c r="EN190" i="6"/>
  <c r="ER190" i="6"/>
  <c r="FJ190" i="6" s="1"/>
  <c r="BG190" i="6"/>
  <c r="BF190" i="6"/>
  <c r="AL190" i="6"/>
  <c r="BE190" i="6"/>
  <c r="BI190" i="6"/>
  <c r="BH190" i="6"/>
  <c r="BD190" i="6"/>
  <c r="EN183" i="6"/>
  <c r="ER183" i="6"/>
  <c r="FJ183" i="6" s="1"/>
  <c r="BI183" i="6"/>
  <c r="BE183" i="6"/>
  <c r="BG183" i="6"/>
  <c r="BF183" i="6"/>
  <c r="BD183" i="6"/>
  <c r="AL183" i="6"/>
  <c r="BH183" i="6"/>
  <c r="BG182" i="6"/>
  <c r="BF182" i="6"/>
  <c r="BE182" i="6"/>
  <c r="BI182" i="6"/>
  <c r="BH182" i="6"/>
  <c r="BD182" i="6"/>
  <c r="AL182" i="6"/>
  <c r="BI170" i="6"/>
  <c r="BE170" i="6"/>
  <c r="BG170" i="6"/>
  <c r="BF170" i="6"/>
  <c r="BH170" i="6"/>
  <c r="BD170" i="6"/>
  <c r="AL170" i="6"/>
  <c r="EP168" i="6"/>
  <c r="ER168" i="6"/>
  <c r="FJ168" i="6" s="1"/>
  <c r="EN168" i="6"/>
  <c r="BG168" i="6"/>
  <c r="BF168" i="6"/>
  <c r="BE168" i="6"/>
  <c r="BD168" i="6"/>
  <c r="AL168" i="6"/>
  <c r="BI168" i="6"/>
  <c r="BH168" i="6"/>
  <c r="EP161" i="6"/>
  <c r="ER161" i="6"/>
  <c r="FJ161" i="6" s="1"/>
  <c r="EN161" i="6"/>
  <c r="BG161" i="6"/>
  <c r="BF161" i="6"/>
  <c r="BD161" i="6"/>
  <c r="BI161" i="6"/>
  <c r="BH161" i="6"/>
  <c r="AL161" i="6"/>
  <c r="BE161" i="6"/>
  <c r="EP152" i="6"/>
  <c r="ER152" i="6"/>
  <c r="FJ152" i="6" s="1"/>
  <c r="EN152" i="6"/>
  <c r="BG152" i="6"/>
  <c r="BF152" i="6"/>
  <c r="BH152" i="6"/>
  <c r="AL152" i="6"/>
  <c r="BE152" i="6"/>
  <c r="BI152" i="6"/>
  <c r="BD152" i="6"/>
  <c r="EP150" i="6"/>
  <c r="EN150" i="6"/>
  <c r="ER150" i="6"/>
  <c r="FJ150" i="6" s="1"/>
  <c r="BG150" i="6"/>
  <c r="BF150" i="6"/>
  <c r="BD150" i="6"/>
  <c r="BI150" i="6"/>
  <c r="AL150" i="6"/>
  <c r="BE150" i="6"/>
  <c r="BH150" i="6"/>
  <c r="EP145" i="6"/>
  <c r="ER145" i="6"/>
  <c r="FJ145" i="6" s="1"/>
  <c r="EN145" i="6"/>
  <c r="BI145" i="6"/>
  <c r="BE145" i="6"/>
  <c r="BH145" i="6"/>
  <c r="BD145" i="6"/>
  <c r="BG145" i="6"/>
  <c r="BF145" i="6"/>
  <c r="AL145" i="6"/>
  <c r="EP147" i="6"/>
  <c r="EN147" i="6"/>
  <c r="ER147" i="6"/>
  <c r="FJ147" i="6" s="1"/>
  <c r="BI147" i="6"/>
  <c r="BE147" i="6"/>
  <c r="BH147" i="6"/>
  <c r="BD147" i="6"/>
  <c r="BF147" i="6"/>
  <c r="AL147" i="6"/>
  <c r="BG147" i="6"/>
  <c r="BI141" i="6"/>
  <c r="BE141" i="6"/>
  <c r="BH141" i="6"/>
  <c r="BD141" i="6"/>
  <c r="BG141" i="6"/>
  <c r="BF141" i="6"/>
  <c r="AL141" i="6"/>
  <c r="EP132" i="6"/>
  <c r="ER132" i="6"/>
  <c r="FJ132" i="6" s="1"/>
  <c r="EN132" i="6"/>
  <c r="BI132" i="6"/>
  <c r="BE132" i="6"/>
  <c r="BH132" i="6"/>
  <c r="BD132" i="6"/>
  <c r="BG132" i="6"/>
  <c r="AL132" i="6"/>
  <c r="BF132" i="6"/>
  <c r="EP128" i="6"/>
  <c r="ER128" i="6"/>
  <c r="FJ128" i="6" s="1"/>
  <c r="EN128" i="6"/>
  <c r="BI128" i="6"/>
  <c r="BE128" i="6"/>
  <c r="BH128" i="6"/>
  <c r="BD128" i="6"/>
  <c r="BG128" i="6"/>
  <c r="BF128" i="6"/>
  <c r="AL128" i="6"/>
  <c r="EP127" i="6"/>
  <c r="EN127" i="6"/>
  <c r="ER127" i="6"/>
  <c r="FJ127" i="6" s="1"/>
  <c r="BG127" i="6"/>
  <c r="BF127" i="6"/>
  <c r="BD127" i="6"/>
  <c r="BI127" i="6"/>
  <c r="AL127" i="6"/>
  <c r="BH127" i="6"/>
  <c r="BE127" i="6"/>
  <c r="EP119" i="6"/>
  <c r="EN119" i="6"/>
  <c r="ER119" i="6"/>
  <c r="FJ119" i="6" s="1"/>
  <c r="BI119" i="6"/>
  <c r="BE119" i="6"/>
  <c r="BH119" i="6"/>
  <c r="BD119" i="6"/>
  <c r="BF119" i="6"/>
  <c r="AL119" i="6"/>
  <c r="BG119" i="6"/>
  <c r="EP114" i="6"/>
  <c r="ER114" i="6"/>
  <c r="FJ114" i="6" s="1"/>
  <c r="EN114" i="6"/>
  <c r="BG114" i="6"/>
  <c r="BF114" i="6"/>
  <c r="BD114" i="6"/>
  <c r="BI114" i="6"/>
  <c r="BE114" i="6"/>
  <c r="BH114" i="6"/>
  <c r="AL114" i="6"/>
  <c r="EP110" i="6"/>
  <c r="ER110" i="6"/>
  <c r="FJ110" i="6" s="1"/>
  <c r="EN110" i="6"/>
  <c r="BG110" i="6"/>
  <c r="BF110" i="6"/>
  <c r="BH110" i="6"/>
  <c r="AL110" i="6"/>
  <c r="BE110" i="6"/>
  <c r="BD110" i="6"/>
  <c r="BI110" i="6"/>
  <c r="EP108" i="6"/>
  <c r="EN108" i="6"/>
  <c r="ER108" i="6"/>
  <c r="FJ108" i="6" s="1"/>
  <c r="EP107" i="6"/>
  <c r="EN107" i="6"/>
  <c r="ER107" i="6"/>
  <c r="FJ107" i="6" s="1"/>
  <c r="BI107" i="6"/>
  <c r="BE107" i="6"/>
  <c r="BH107" i="6"/>
  <c r="BD107" i="6"/>
  <c r="BF107" i="6"/>
  <c r="AL107" i="6"/>
  <c r="BG107" i="6"/>
  <c r="EP89" i="6"/>
  <c r="ER89" i="6"/>
  <c r="FJ89" i="6" s="1"/>
  <c r="EN89" i="6"/>
  <c r="BF89" i="6"/>
  <c r="BI89" i="6"/>
  <c r="BE89" i="6"/>
  <c r="BH89" i="6"/>
  <c r="BG89" i="6"/>
  <c r="AL89" i="6"/>
  <c r="BD89" i="6"/>
  <c r="EP86" i="6"/>
  <c r="ER86" i="6"/>
  <c r="FJ86" i="6" s="1"/>
  <c r="EN86" i="6"/>
  <c r="EO86" i="6"/>
  <c r="EO90" i="6"/>
  <c r="EO98" i="6"/>
  <c r="EO103" i="6"/>
  <c r="EO109" i="6"/>
  <c r="EO116" i="6"/>
  <c r="EO120" i="6"/>
  <c r="EO128" i="6"/>
  <c r="EO132" i="6"/>
  <c r="EO141" i="6"/>
  <c r="EO145" i="6"/>
  <c r="EO151" i="6"/>
  <c r="EO156" i="6"/>
  <c r="EO162" i="6"/>
  <c r="EO170" i="6"/>
  <c r="EO175" i="6"/>
  <c r="EO183" i="6"/>
  <c r="EO188" i="6"/>
  <c r="EO191" i="6"/>
  <c r="EO197" i="6"/>
  <c r="EO205" i="6"/>
  <c r="EO213" i="6"/>
  <c r="EN217" i="6"/>
  <c r="EN223" i="6"/>
  <c r="EP177" i="6"/>
  <c r="EP184" i="6"/>
  <c r="EP22" i="6"/>
  <c r="EP193" i="6"/>
  <c r="EP200" i="6"/>
  <c r="EP212" i="6"/>
  <c r="DD129" i="6"/>
  <c r="BI222" i="6"/>
  <c r="DB149" i="6"/>
  <c r="CG205" i="6"/>
  <c r="DD195" i="6"/>
  <c r="CX123" i="6"/>
  <c r="CG223" i="6"/>
  <c r="CZ158" i="6"/>
  <c r="CY158" i="6"/>
  <c r="CT117" i="6"/>
  <c r="CY147" i="6"/>
  <c r="Y119" i="6"/>
  <c r="X119" i="6"/>
  <c r="Y116" i="6"/>
  <c r="X116" i="6"/>
  <c r="CR92" i="6"/>
  <c r="CP92" i="6"/>
  <c r="CX180" i="6"/>
  <c r="DC158" i="6"/>
  <c r="CX129" i="6"/>
  <c r="CN107" i="6"/>
  <c r="CM107" i="6"/>
  <c r="CN94" i="6"/>
  <c r="CM94" i="6"/>
  <c r="CS87" i="6"/>
  <c r="CP87" i="6" s="1"/>
  <c r="CM87" i="6"/>
  <c r="CG215" i="6"/>
  <c r="DB151" i="6"/>
  <c r="BD222" i="6"/>
  <c r="CG193" i="6"/>
  <c r="DC170" i="6"/>
  <c r="DD170" i="6"/>
  <c r="Y128" i="6"/>
  <c r="X128" i="6"/>
  <c r="CZ92" i="6"/>
  <c r="CY92" i="6"/>
  <c r="CX92" i="6"/>
  <c r="BE222" i="6"/>
  <c r="CL184" i="6"/>
  <c r="CG168" i="6"/>
  <c r="CY164" i="6"/>
  <c r="CX164" i="6"/>
  <c r="CV110" i="6"/>
  <c r="CU110" i="6"/>
  <c r="CZ103" i="6"/>
  <c r="CX103" i="6"/>
  <c r="BH222" i="6"/>
  <c r="CR191" i="6"/>
  <c r="CP191" i="6"/>
  <c r="CG189" i="6"/>
  <c r="CG182" i="6"/>
  <c r="DD132" i="6"/>
  <c r="DC132" i="6"/>
  <c r="CM99" i="6"/>
  <c r="CL99" i="6"/>
  <c r="CS99" i="6"/>
  <c r="CR99" i="6" s="1"/>
  <c r="CZ94" i="6"/>
  <c r="CY94" i="6"/>
  <c r="CX94" i="6"/>
  <c r="CG132" i="6"/>
  <c r="CG111" i="6"/>
  <c r="CG110" i="6"/>
  <c r="CG103" i="6"/>
  <c r="CG151" i="6"/>
  <c r="CX147" i="6"/>
  <c r="CG134" i="6"/>
  <c r="CG128" i="6"/>
  <c r="DC119" i="6"/>
  <c r="DC114" i="6"/>
  <c r="FJ92" i="6"/>
  <c r="CX158" i="6"/>
  <c r="X149" i="6"/>
  <c r="Y134" i="6"/>
  <c r="DD122" i="6"/>
  <c r="CM103" i="6"/>
  <c r="Y102" i="6"/>
  <c r="CG102" i="6"/>
  <c r="CG92" i="6"/>
  <c r="DC222" i="6"/>
  <c r="DB222" i="6"/>
  <c r="CY213" i="6"/>
  <c r="CZ213" i="6"/>
  <c r="DC180" i="6"/>
  <c r="DB180" i="6"/>
  <c r="CT109" i="6"/>
  <c r="CV109" i="6"/>
  <c r="CU109" i="6"/>
  <c r="CY202" i="6"/>
  <c r="CZ202" i="6"/>
  <c r="CY177" i="6"/>
  <c r="CX177" i="6"/>
  <c r="X171" i="6"/>
  <c r="Y171" i="6"/>
  <c r="Y170" i="6"/>
  <c r="X170" i="6"/>
  <c r="DC164" i="6"/>
  <c r="DB164" i="6"/>
  <c r="CQ162" i="6"/>
  <c r="CP162" i="6"/>
  <c r="CN154" i="6"/>
  <c r="CS154" i="6"/>
  <c r="CR154" i="6" s="1"/>
  <c r="CT144" i="6"/>
  <c r="CU144" i="6"/>
  <c r="Y220" i="6"/>
  <c r="X177" i="6"/>
  <c r="Y177" i="6"/>
  <c r="X168" i="6"/>
  <c r="Y168" i="6"/>
  <c r="CG213" i="6"/>
  <c r="CG211" i="6"/>
  <c r="CG212" i="6"/>
  <c r="DC205" i="6"/>
  <c r="CV202" i="6"/>
  <c r="CG201" i="6"/>
  <c r="CG197" i="6"/>
  <c r="Y190" i="6"/>
  <c r="DB162" i="6"/>
  <c r="DD162" i="6"/>
  <c r="CG161" i="6"/>
  <c r="CG158" i="6"/>
  <c r="DC156" i="6"/>
  <c r="CG144" i="6"/>
  <c r="DD138" i="6"/>
  <c r="DB138" i="6"/>
  <c r="CX138" i="6"/>
  <c r="CR122" i="6"/>
  <c r="CP122" i="6"/>
  <c r="X117" i="6"/>
  <c r="Y117" i="6"/>
  <c r="X110" i="6"/>
  <c r="Y110" i="6"/>
  <c r="X108" i="6"/>
  <c r="Y108" i="6"/>
  <c r="DC108" i="6"/>
  <c r="DD108" i="6"/>
  <c r="DB108" i="6"/>
  <c r="X89" i="6"/>
  <c r="Y89" i="6"/>
  <c r="X87" i="6"/>
  <c r="Y87" i="6"/>
  <c r="CX87" i="6"/>
  <c r="CY87" i="6"/>
  <c r="CZ87" i="6"/>
  <c r="CG221" i="6"/>
  <c r="DD155" i="6"/>
  <c r="DC155" i="6"/>
  <c r="DB155" i="6"/>
  <c r="CX144" i="6"/>
  <c r="CZ144" i="6"/>
  <c r="X120" i="6"/>
  <c r="Y120" i="6"/>
  <c r="CX119" i="6"/>
  <c r="CZ119" i="6"/>
  <c r="CY119" i="6"/>
  <c r="CU106" i="6"/>
  <c r="CV106" i="6"/>
  <c r="FJ220" i="6"/>
  <c r="BG222" i="6"/>
  <c r="DB215" i="6"/>
  <c r="CG214" i="6"/>
  <c r="DB211" i="6"/>
  <c r="CG198" i="6"/>
  <c r="Y195" i="6"/>
  <c r="CG195" i="6"/>
  <c r="CZ193" i="6"/>
  <c r="CX193" i="6"/>
  <c r="CY193" i="6"/>
  <c r="CQ191" i="6"/>
  <c r="CG190" i="6"/>
  <c r="Y189" i="6"/>
  <c r="DB188" i="6"/>
  <c r="Y185" i="6"/>
  <c r="X184" i="6"/>
  <c r="CG180" i="6"/>
  <c r="CG162" i="6"/>
  <c r="DB144" i="6"/>
  <c r="DC144" i="6"/>
  <c r="CG147" i="6"/>
  <c r="DD147" i="6"/>
  <c r="DC147" i="6"/>
  <c r="DB147" i="6"/>
  <c r="CY129" i="6"/>
  <c r="CY123" i="6"/>
  <c r="DC99" i="6"/>
  <c r="DB99" i="6"/>
  <c r="DD99" i="6"/>
  <c r="Y88" i="6"/>
  <c r="X88" i="6"/>
  <c r="CG222" i="6"/>
  <c r="CG220" i="6"/>
  <c r="CG219" i="6"/>
  <c r="CG217" i="6"/>
  <c r="DC215" i="6"/>
  <c r="CV214" i="6"/>
  <c r="CG208" i="6"/>
  <c r="DC211" i="6"/>
  <c r="DB205" i="6"/>
  <c r="CG202" i="6"/>
  <c r="CY195" i="6"/>
  <c r="CG187" i="6"/>
  <c r="CG171" i="6"/>
  <c r="CG170" i="6"/>
  <c r="CG165" i="6"/>
  <c r="CG164" i="6"/>
  <c r="CG159" i="6"/>
  <c r="DB156" i="6"/>
  <c r="CY151" i="6"/>
  <c r="DB132" i="6"/>
  <c r="X131" i="6"/>
  <c r="Y131" i="6"/>
  <c r="CG116" i="6"/>
  <c r="CZ114" i="6"/>
  <c r="CX114" i="6"/>
  <c r="Y103" i="6"/>
  <c r="X103" i="6"/>
  <c r="DD103" i="6"/>
  <c r="DC103" i="6"/>
  <c r="DB103" i="6"/>
  <c r="CT102" i="6"/>
  <c r="CU102" i="6"/>
  <c r="CV102" i="6"/>
  <c r="BF86" i="6"/>
  <c r="BE86" i="6"/>
  <c r="CG191" i="6"/>
  <c r="CG188" i="6"/>
  <c r="CG185" i="6"/>
  <c r="CG183" i="6"/>
  <c r="CG177" i="6"/>
  <c r="CG175" i="6"/>
  <c r="CG176" i="6"/>
  <c r="CG174" i="6"/>
  <c r="CG154" i="6"/>
  <c r="DC151" i="6"/>
  <c r="CG149" i="6"/>
  <c r="DC149" i="6"/>
  <c r="CG145" i="6"/>
  <c r="CG146" i="6"/>
  <c r="CG138" i="6"/>
  <c r="CG130" i="6"/>
  <c r="DC129" i="6"/>
  <c r="CG122" i="6"/>
  <c r="CG120" i="6"/>
  <c r="CG121" i="6"/>
  <c r="DD111" i="6"/>
  <c r="DC111" i="6"/>
  <c r="DB107" i="6"/>
  <c r="CG106" i="6"/>
  <c r="CP103" i="6"/>
  <c r="CR103" i="6"/>
  <c r="CL103" i="6"/>
  <c r="CN99" i="6"/>
  <c r="DB94" i="6"/>
  <c r="DD94" i="6"/>
  <c r="CQ92" i="6"/>
  <c r="BI86" i="6"/>
  <c r="CG133" i="6"/>
  <c r="CG131" i="6"/>
  <c r="CG129" i="6"/>
  <c r="CG127" i="6"/>
  <c r="CG119" i="6"/>
  <c r="CG94" i="6"/>
  <c r="CG89" i="6"/>
  <c r="CL117" i="6"/>
  <c r="CG109" i="6"/>
  <c r="CG108" i="6"/>
  <c r="CG99" i="6"/>
  <c r="CG88" i="6"/>
  <c r="CG87" i="6"/>
  <c r="CG86" i="6"/>
  <c r="CL220" i="6"/>
  <c r="CS220" i="6"/>
  <c r="ED220" i="6" s="1"/>
  <c r="CN220" i="6"/>
  <c r="CM220" i="6"/>
  <c r="CV223" i="6"/>
  <c r="CU223" i="6"/>
  <c r="CT223" i="6"/>
  <c r="CT219" i="6"/>
  <c r="CV219" i="6"/>
  <c r="CU219" i="6"/>
  <c r="CT217" i="6"/>
  <c r="CV217" i="6"/>
  <c r="CU217" i="6"/>
  <c r="CU215" i="6"/>
  <c r="CT215" i="6"/>
  <c r="CV215" i="6"/>
  <c r="CZ214" i="6"/>
  <c r="CY214" i="6"/>
  <c r="CX214" i="6"/>
  <c r="CS213" i="6"/>
  <c r="ED213" i="6" s="1"/>
  <c r="CN213" i="6"/>
  <c r="CM213" i="6"/>
  <c r="CL213" i="6"/>
  <c r="CL208" i="6"/>
  <c r="CS208" i="6"/>
  <c r="ED208" i="6" s="1"/>
  <c r="CN208" i="6"/>
  <c r="CM208" i="6"/>
  <c r="CU211" i="6"/>
  <c r="CT211" i="6"/>
  <c r="CV211" i="6"/>
  <c r="Y212" i="6"/>
  <c r="DB212" i="6"/>
  <c r="DD212" i="6"/>
  <c r="DC212" i="6"/>
  <c r="CY205" i="6"/>
  <c r="CX205" i="6"/>
  <c r="CZ205" i="6"/>
  <c r="CM205" i="6"/>
  <c r="CL205" i="6"/>
  <c r="CS205" i="6"/>
  <c r="ED205" i="6" s="1"/>
  <c r="CN205" i="6"/>
  <c r="CS202" i="6"/>
  <c r="ED202" i="6" s="1"/>
  <c r="CN202" i="6"/>
  <c r="CM202" i="6"/>
  <c r="CL202" i="6"/>
  <c r="DB197" i="6"/>
  <c r="DD197" i="6"/>
  <c r="DC197" i="6"/>
  <c r="CT197" i="6"/>
  <c r="CV197" i="6"/>
  <c r="CU197" i="6"/>
  <c r="CL198" i="6"/>
  <c r="CM198" i="6"/>
  <c r="CN198" i="6"/>
  <c r="CS198" i="6"/>
  <c r="ED198" i="6" s="1"/>
  <c r="CN193" i="6"/>
  <c r="CS193" i="6"/>
  <c r="CM193" i="6"/>
  <c r="CL193" i="6"/>
  <c r="CL22" i="6"/>
  <c r="CN22" i="6"/>
  <c r="CM22" i="6"/>
  <c r="CS22" i="6"/>
  <c r="ED22" i="6" s="1"/>
  <c r="CY222" i="6"/>
  <c r="CX222" i="6"/>
  <c r="CZ222" i="6"/>
  <c r="Y223" i="6"/>
  <c r="X223" i="6"/>
  <c r="DC223" i="6"/>
  <c r="DB223" i="6"/>
  <c r="DD223" i="6"/>
  <c r="CU222" i="6"/>
  <c r="CT222" i="6"/>
  <c r="CV222" i="6"/>
  <c r="CT220" i="6"/>
  <c r="CV220" i="6"/>
  <c r="CU220" i="6"/>
  <c r="CS223" i="6"/>
  <c r="ED223" i="6" s="1"/>
  <c r="CM223" i="6"/>
  <c r="CN223" i="6"/>
  <c r="CL223" i="6"/>
  <c r="CN221" i="6"/>
  <c r="CM221" i="6"/>
  <c r="CL221" i="6"/>
  <c r="CS221" i="6"/>
  <c r="Y214" i="6"/>
  <c r="DD214" i="6"/>
  <c r="DC214" i="6"/>
  <c r="DB214" i="6"/>
  <c r="CU205" i="6"/>
  <c r="CT205" i="6"/>
  <c r="CV205" i="6"/>
  <c r="CL201" i="6"/>
  <c r="CS201" i="6"/>
  <c r="ED201" i="6" s="1"/>
  <c r="CN201" i="6"/>
  <c r="CM201" i="6"/>
  <c r="CL190" i="6"/>
  <c r="CN190" i="6"/>
  <c r="CM190" i="6"/>
  <c r="CS190" i="6"/>
  <c r="ED190" i="6" s="1"/>
  <c r="CT22" i="6"/>
  <c r="CV22" i="6"/>
  <c r="CU22" i="6"/>
  <c r="CZ221" i="6"/>
  <c r="CY221" i="6"/>
  <c r="CX221" i="6"/>
  <c r="DD213" i="6"/>
  <c r="DC213" i="6"/>
  <c r="DB213" i="6"/>
  <c r="CV213" i="6"/>
  <c r="CU213" i="6"/>
  <c r="CT213" i="6"/>
  <c r="CT208" i="6"/>
  <c r="CV208" i="6"/>
  <c r="CU208" i="6"/>
  <c r="CL212" i="6"/>
  <c r="CS212" i="6"/>
  <c r="ED212" i="6" s="1"/>
  <c r="CN212" i="6"/>
  <c r="CM212" i="6"/>
  <c r="Y202" i="6"/>
  <c r="DD202" i="6"/>
  <c r="DC202" i="6"/>
  <c r="DB202" i="6"/>
  <c r="CN200" i="6"/>
  <c r="CS200" i="6"/>
  <c r="CM200" i="6"/>
  <c r="CL200" i="6"/>
  <c r="CL197" i="6"/>
  <c r="CS197" i="6"/>
  <c r="ED197" i="6" s="1"/>
  <c r="CN197" i="6"/>
  <c r="CM197" i="6"/>
  <c r="DB198" i="6"/>
  <c r="DC198" i="6"/>
  <c r="DD198" i="6"/>
  <c r="CT198" i="6"/>
  <c r="CU198" i="6"/>
  <c r="CV198" i="6"/>
  <c r="CZ223" i="6"/>
  <c r="CY223" i="6"/>
  <c r="CX223" i="6"/>
  <c r="CM222" i="6"/>
  <c r="CS222" i="6"/>
  <c r="ED222" i="6" s="1"/>
  <c r="CN222" i="6"/>
  <c r="CL222" i="6"/>
  <c r="Y221" i="6"/>
  <c r="DD221" i="6"/>
  <c r="DB221" i="6"/>
  <c r="DC221" i="6"/>
  <c r="CV221" i="6"/>
  <c r="CT221" i="6"/>
  <c r="CU221" i="6"/>
  <c r="CL219" i="6"/>
  <c r="CS219" i="6"/>
  <c r="CN219" i="6"/>
  <c r="CM219" i="6"/>
  <c r="CL217" i="6"/>
  <c r="CS217" i="6"/>
  <c r="CN217" i="6"/>
  <c r="CM217" i="6"/>
  <c r="CY215" i="6"/>
  <c r="CX215" i="6"/>
  <c r="CZ215" i="6"/>
  <c r="CM215" i="6"/>
  <c r="CL215" i="6"/>
  <c r="CS215" i="6"/>
  <c r="CN215" i="6"/>
  <c r="CS214" i="6"/>
  <c r="ED214" i="6" s="1"/>
  <c r="CN214" i="6"/>
  <c r="CM214" i="6"/>
  <c r="CL214" i="6"/>
  <c r="CY211" i="6"/>
  <c r="CX211" i="6"/>
  <c r="CZ211" i="6"/>
  <c r="CM211" i="6"/>
  <c r="CL211" i="6"/>
  <c r="CS211" i="6"/>
  <c r="ED211" i="6" s="1"/>
  <c r="CN211" i="6"/>
  <c r="CT201" i="6"/>
  <c r="CV201" i="6"/>
  <c r="CU201" i="6"/>
  <c r="Y200" i="6"/>
  <c r="CV200" i="6"/>
  <c r="CU200" i="6"/>
  <c r="CT200" i="6"/>
  <c r="CX197" i="6"/>
  <c r="CZ197" i="6"/>
  <c r="CY197" i="6"/>
  <c r="BD223" i="6"/>
  <c r="BH223" i="6"/>
  <c r="Y222" i="6"/>
  <c r="DD222" i="6"/>
  <c r="CY220" i="6"/>
  <c r="DC220" i="6"/>
  <c r="EO220" i="6"/>
  <c r="Y219" i="6"/>
  <c r="CY219" i="6"/>
  <c r="DC219" i="6"/>
  <c r="Y217" i="6"/>
  <c r="CY217" i="6"/>
  <c r="DC217" i="6"/>
  <c r="Y215" i="6"/>
  <c r="CT214" i="6"/>
  <c r="CX213" i="6"/>
  <c r="CY208" i="6"/>
  <c r="DC208" i="6"/>
  <c r="Y211" i="6"/>
  <c r="CU212" i="6"/>
  <c r="CY212" i="6"/>
  <c r="Y205" i="6"/>
  <c r="CT202" i="6"/>
  <c r="CX202" i="6"/>
  <c r="CY201" i="6"/>
  <c r="DC201" i="6"/>
  <c r="DD200" i="6"/>
  <c r="Y198" i="6"/>
  <c r="CZ195" i="6"/>
  <c r="CT193" i="6"/>
  <c r="DB193" i="6"/>
  <c r="CZ191" i="6"/>
  <c r="CX191" i="6"/>
  <c r="ED191" i="6"/>
  <c r="CT190" i="6"/>
  <c r="CV190" i="6"/>
  <c r="CU190" i="6"/>
  <c r="CY189" i="6"/>
  <c r="CX189" i="6"/>
  <c r="CS189" i="6"/>
  <c r="ED189" i="6" s="1"/>
  <c r="CM189" i="6"/>
  <c r="CL189" i="6"/>
  <c r="CZ189" i="6"/>
  <c r="CG22" i="6"/>
  <c r="CX22" i="6"/>
  <c r="CZ22" i="6"/>
  <c r="CY22" i="6"/>
  <c r="CY188" i="6"/>
  <c r="CZ188" i="6"/>
  <c r="CX188" i="6"/>
  <c r="W187" i="6"/>
  <c r="DD187" i="6"/>
  <c r="DB187" i="6"/>
  <c r="CN187" i="6"/>
  <c r="CL187" i="6"/>
  <c r="CS187" i="6"/>
  <c r="ED187" i="6" s="1"/>
  <c r="DC185" i="6"/>
  <c r="DB185" i="6"/>
  <c r="DD185" i="6"/>
  <c r="CG184" i="6"/>
  <c r="Y183" i="6"/>
  <c r="W182" i="6"/>
  <c r="DD182" i="6"/>
  <c r="DB182" i="6"/>
  <c r="CN182" i="6"/>
  <c r="CL182" i="6"/>
  <c r="CS182" i="6"/>
  <c r="ED182" i="6" s="1"/>
  <c r="CU177" i="6"/>
  <c r="CT177" i="6"/>
  <c r="CV177" i="6"/>
  <c r="Y175" i="6"/>
  <c r="X175" i="6"/>
  <c r="DD175" i="6"/>
  <c r="DC175" i="6"/>
  <c r="DB175" i="6"/>
  <c r="CV175" i="6"/>
  <c r="CU175" i="6"/>
  <c r="CT175" i="6"/>
  <c r="Y176" i="6"/>
  <c r="X176" i="6"/>
  <c r="DD176" i="6"/>
  <c r="DC176" i="6"/>
  <c r="DB176" i="6"/>
  <c r="CZ174" i="6"/>
  <c r="CY174" i="6"/>
  <c r="CX174" i="6"/>
  <c r="CT171" i="6"/>
  <c r="CV171" i="6"/>
  <c r="CU171" i="6"/>
  <c r="CM170" i="6"/>
  <c r="CL170" i="6"/>
  <c r="CS170" i="6"/>
  <c r="ED170" i="6" s="1"/>
  <c r="CN170" i="6"/>
  <c r="CL168" i="6"/>
  <c r="CS168" i="6"/>
  <c r="ED168" i="6" s="1"/>
  <c r="CN168" i="6"/>
  <c r="CM168" i="6"/>
  <c r="Y165" i="6"/>
  <c r="X165" i="6"/>
  <c r="DD165" i="6"/>
  <c r="DC165" i="6"/>
  <c r="DB165" i="6"/>
  <c r="CV165" i="6"/>
  <c r="CU165" i="6"/>
  <c r="CT165" i="6"/>
  <c r="BF223" i="6"/>
  <c r="BE223" i="6"/>
  <c r="BI223" i="6"/>
  <c r="CZ220" i="6"/>
  <c r="DD220" i="6"/>
  <c r="EP220" i="6"/>
  <c r="CZ219" i="6"/>
  <c r="DD219" i="6"/>
  <c r="CZ217" i="6"/>
  <c r="DD217" i="6"/>
  <c r="CZ208" i="6"/>
  <c r="DD208" i="6"/>
  <c r="CV212" i="6"/>
  <c r="CZ212" i="6"/>
  <c r="CZ201" i="6"/>
  <c r="DD201" i="6"/>
  <c r="CG200" i="6"/>
  <c r="CS195" i="6"/>
  <c r="ED195" i="6" s="1"/>
  <c r="CL195" i="6"/>
  <c r="CM195" i="6"/>
  <c r="CU195" i="6"/>
  <c r="DC195" i="6"/>
  <c r="CU193" i="6"/>
  <c r="DC193" i="6"/>
  <c r="DD191" i="6"/>
  <c r="DB191" i="6"/>
  <c r="CX190" i="6"/>
  <c r="CZ190" i="6"/>
  <c r="CY190" i="6"/>
  <c r="DC189" i="6"/>
  <c r="DB189" i="6"/>
  <c r="DD189" i="6"/>
  <c r="Y22" i="6"/>
  <c r="DB22" i="6"/>
  <c r="DD22" i="6"/>
  <c r="DC22" i="6"/>
  <c r="W188" i="6"/>
  <c r="CM188" i="6"/>
  <c r="CS188" i="6"/>
  <c r="CN188" i="6"/>
  <c r="CL188" i="6"/>
  <c r="CV187" i="6"/>
  <c r="CT187" i="6"/>
  <c r="CU187" i="6"/>
  <c r="CU185" i="6"/>
  <c r="CT185" i="6"/>
  <c r="DD184" i="6"/>
  <c r="DB184" i="6"/>
  <c r="CZ183" i="6"/>
  <c r="CX183" i="6"/>
  <c r="CN183" i="6"/>
  <c r="CL183" i="6"/>
  <c r="CS183" i="6"/>
  <c r="CM183" i="6"/>
  <c r="CV182" i="6"/>
  <c r="CT182" i="6"/>
  <c r="CU182" i="6"/>
  <c r="X180" i="6"/>
  <c r="Y180" i="6"/>
  <c r="CN176" i="6"/>
  <c r="CM176" i="6"/>
  <c r="CL176" i="6"/>
  <c r="CS176" i="6"/>
  <c r="Y174" i="6"/>
  <c r="X174" i="6"/>
  <c r="DD174" i="6"/>
  <c r="DC174" i="6"/>
  <c r="DB174" i="6"/>
  <c r="CV174" i="6"/>
  <c r="CU174" i="6"/>
  <c r="CT174" i="6"/>
  <c r="CM159" i="6"/>
  <c r="CL159" i="6"/>
  <c r="CS159" i="6"/>
  <c r="ED159" i="6" s="1"/>
  <c r="CN159" i="6"/>
  <c r="CT158" i="6"/>
  <c r="CV158" i="6"/>
  <c r="CU158" i="6"/>
  <c r="CZ156" i="6"/>
  <c r="CX156" i="6"/>
  <c r="CY156" i="6"/>
  <c r="CV156" i="6"/>
  <c r="CU156" i="6"/>
  <c r="CT156" i="6"/>
  <c r="DC145" i="6"/>
  <c r="DB145" i="6"/>
  <c r="DD145" i="6"/>
  <c r="DB200" i="6"/>
  <c r="CX198" i="6"/>
  <c r="CY198" i="6"/>
  <c r="CV195" i="6"/>
  <c r="DB190" i="6"/>
  <c r="DD190" i="6"/>
  <c r="DC190" i="6"/>
  <c r="CU189" i="6"/>
  <c r="CT189" i="6"/>
  <c r="CU188" i="6"/>
  <c r="CV188" i="6"/>
  <c r="CV185" i="6"/>
  <c r="DD183" i="6"/>
  <c r="DB183" i="6"/>
  <c r="CM180" i="6"/>
  <c r="CS180" i="6"/>
  <c r="CN180" i="6"/>
  <c r="CM177" i="6"/>
  <c r="CL177" i="6"/>
  <c r="CS177" i="6"/>
  <c r="ED177" i="6" s="1"/>
  <c r="CN177" i="6"/>
  <c r="CL171" i="6"/>
  <c r="CS171" i="6"/>
  <c r="ED171" i="6" s="1"/>
  <c r="CN171" i="6"/>
  <c r="CM171" i="6"/>
  <c r="CT168" i="6"/>
  <c r="CV168" i="6"/>
  <c r="CU168" i="6"/>
  <c r="CS165" i="6"/>
  <c r="ED165" i="6" s="1"/>
  <c r="CN165" i="6"/>
  <c r="CM165" i="6"/>
  <c r="CL165" i="6"/>
  <c r="CM164" i="6"/>
  <c r="CL164" i="6"/>
  <c r="CS164" i="6"/>
  <c r="CN164" i="6"/>
  <c r="CM161" i="6"/>
  <c r="CL161" i="6"/>
  <c r="CS161" i="6"/>
  <c r="ED161" i="6" s="1"/>
  <c r="CN161" i="6"/>
  <c r="CU159" i="6"/>
  <c r="CV159" i="6"/>
  <c r="CT159" i="6"/>
  <c r="Y156" i="6"/>
  <c r="X156" i="6"/>
  <c r="CY154" i="6"/>
  <c r="CX154" i="6"/>
  <c r="CZ154" i="6"/>
  <c r="CV141" i="6"/>
  <c r="CU141" i="6"/>
  <c r="CT141" i="6"/>
  <c r="AL223" i="6"/>
  <c r="EN220" i="6"/>
  <c r="Y193" i="6"/>
  <c r="CV191" i="6"/>
  <c r="CT191" i="6"/>
  <c r="DC191" i="6"/>
  <c r="CZ187" i="6"/>
  <c r="CX187" i="6"/>
  <c r="CY185" i="6"/>
  <c r="CX185" i="6"/>
  <c r="CS185" i="6"/>
  <c r="ED185" i="6" s="1"/>
  <c r="CM185" i="6"/>
  <c r="CL185" i="6"/>
  <c r="CZ185" i="6"/>
  <c r="CU184" i="6"/>
  <c r="CV184" i="6"/>
  <c r="CV183" i="6"/>
  <c r="CT183" i="6"/>
  <c r="CU183" i="6"/>
  <c r="CZ182" i="6"/>
  <c r="CX182" i="6"/>
  <c r="CU180" i="6"/>
  <c r="CV180" i="6"/>
  <c r="DC177" i="6"/>
  <c r="DB177" i="6"/>
  <c r="DD177" i="6"/>
  <c r="FJ175" i="6"/>
  <c r="CZ175" i="6"/>
  <c r="CY175" i="6"/>
  <c r="CX175" i="6"/>
  <c r="CN175" i="6"/>
  <c r="CM175" i="6"/>
  <c r="CL175" i="6"/>
  <c r="CS175" i="6"/>
  <c r="CZ176" i="6"/>
  <c r="CY176" i="6"/>
  <c r="CX176" i="6"/>
  <c r="CV176" i="6"/>
  <c r="CU176" i="6"/>
  <c r="CT176" i="6"/>
  <c r="CS174" i="6"/>
  <c r="ED174" i="6" s="1"/>
  <c r="CN174" i="6"/>
  <c r="CM174" i="6"/>
  <c r="CL174" i="6"/>
  <c r="CZ170" i="6"/>
  <c r="CY170" i="6"/>
  <c r="CX170" i="6"/>
  <c r="CZ165" i="6"/>
  <c r="CY165" i="6"/>
  <c r="CX165" i="6"/>
  <c r="CU164" i="6"/>
  <c r="CT164" i="6"/>
  <c r="CV164" i="6"/>
  <c r="Y162" i="6"/>
  <c r="X162" i="6"/>
  <c r="DC161" i="6"/>
  <c r="DB161" i="6"/>
  <c r="DD161" i="6"/>
  <c r="CU161" i="6"/>
  <c r="CV161" i="6"/>
  <c r="CT161" i="6"/>
  <c r="CN156" i="6"/>
  <c r="CS156" i="6"/>
  <c r="ED156" i="6" s="1"/>
  <c r="CM156" i="6"/>
  <c r="CL156" i="6"/>
  <c r="Y155" i="6"/>
  <c r="X155" i="6"/>
  <c r="DC154" i="6"/>
  <c r="DB154" i="6"/>
  <c r="DD154" i="6"/>
  <c r="CN152" i="6"/>
  <c r="CM152" i="6"/>
  <c r="CL152" i="6"/>
  <c r="CS152" i="6"/>
  <c r="ED152" i="6" s="1"/>
  <c r="CM145" i="6"/>
  <c r="CL145" i="6"/>
  <c r="CN145" i="6"/>
  <c r="CS145" i="6"/>
  <c r="ED145" i="6" s="1"/>
  <c r="CU146" i="6"/>
  <c r="CT146" i="6"/>
  <c r="CV146" i="6"/>
  <c r="CN140" i="6"/>
  <c r="CM140" i="6"/>
  <c r="CL140" i="6"/>
  <c r="CS140" i="6"/>
  <c r="ED140" i="6" s="1"/>
  <c r="DD188" i="6"/>
  <c r="CN184" i="6"/>
  <c r="CZ180" i="6"/>
  <c r="DD180" i="6"/>
  <c r="CZ177" i="6"/>
  <c r="CY171" i="6"/>
  <c r="DC171" i="6"/>
  <c r="CY168" i="6"/>
  <c r="DC168" i="6"/>
  <c r="Y164" i="6"/>
  <c r="CZ164" i="6"/>
  <c r="DD164" i="6"/>
  <c r="CM162" i="6"/>
  <c r="CR162" i="6"/>
  <c r="CX162" i="6"/>
  <c r="DC162" i="6"/>
  <c r="ED162" i="6"/>
  <c r="Y161" i="6"/>
  <c r="CX161" i="6"/>
  <c r="X159" i="6"/>
  <c r="CX159" i="6"/>
  <c r="DD159" i="6"/>
  <c r="X158" i="6"/>
  <c r="CP158" i="6"/>
  <c r="CY155" i="6"/>
  <c r="X154" i="6"/>
  <c r="CX151" i="6"/>
  <c r="CG150" i="6"/>
  <c r="CS150" i="6"/>
  <c r="ED150" i="6" s="1"/>
  <c r="CZ150" i="6"/>
  <c r="CY150" i="6"/>
  <c r="CS149" i="6"/>
  <c r="ED149" i="6" s="1"/>
  <c r="CN149" i="6"/>
  <c r="CL149" i="6"/>
  <c r="CT149" i="6"/>
  <c r="Y144" i="6"/>
  <c r="CY144" i="6"/>
  <c r="CU145" i="6"/>
  <c r="CT145" i="6"/>
  <c r="CN146" i="6"/>
  <c r="Y140" i="6"/>
  <c r="X140" i="6"/>
  <c r="CV140" i="6"/>
  <c r="CU140" i="6"/>
  <c r="CT140" i="6"/>
  <c r="CV138" i="6"/>
  <c r="CU138" i="6"/>
  <c r="CT138" i="6"/>
  <c r="DB134" i="6"/>
  <c r="DD134" i="6"/>
  <c r="CL134" i="6"/>
  <c r="CS134" i="6"/>
  <c r="ED134" i="6" s="1"/>
  <c r="CN134" i="6"/>
  <c r="CM134" i="6"/>
  <c r="DC134" i="6"/>
  <c r="CY133" i="6"/>
  <c r="CX133" i="6"/>
  <c r="CT132" i="6"/>
  <c r="CV132" i="6"/>
  <c r="CU131" i="6"/>
  <c r="CT131" i="6"/>
  <c r="CV129" i="6"/>
  <c r="CU129" i="6"/>
  <c r="CT129" i="6"/>
  <c r="CN128" i="6"/>
  <c r="CS128" i="6"/>
  <c r="CM128" i="6"/>
  <c r="CL128" i="6"/>
  <c r="Y127" i="6"/>
  <c r="X127" i="6"/>
  <c r="CV127" i="6"/>
  <c r="CU127" i="6"/>
  <c r="CT127" i="6"/>
  <c r="CN123" i="6"/>
  <c r="CS123" i="6"/>
  <c r="ED123" i="6" s="1"/>
  <c r="CM123" i="6"/>
  <c r="CL123" i="6"/>
  <c r="CV121" i="6"/>
  <c r="CU121" i="6"/>
  <c r="CT121" i="6"/>
  <c r="CL102" i="6"/>
  <c r="CS102" i="6"/>
  <c r="CN102" i="6"/>
  <c r="CM102" i="6"/>
  <c r="CS184" i="6"/>
  <c r="CZ171" i="6"/>
  <c r="DD171" i="6"/>
  <c r="CZ168" i="6"/>
  <c r="DD168" i="6"/>
  <c r="CN162" i="6"/>
  <c r="CT162" i="6"/>
  <c r="CY162" i="6"/>
  <c r="CZ161" i="6"/>
  <c r="CZ159" i="6"/>
  <c r="CL158" i="6"/>
  <c r="CQ158" i="6"/>
  <c r="DB158" i="6"/>
  <c r="CG156" i="6"/>
  <c r="CS155" i="6"/>
  <c r="ED155" i="6" s="1"/>
  <c r="CN155" i="6"/>
  <c r="CL155" i="6"/>
  <c r="CT155" i="6"/>
  <c r="CG152" i="6"/>
  <c r="CZ152" i="6"/>
  <c r="CY152" i="6"/>
  <c r="CS151" i="6"/>
  <c r="CN151" i="6"/>
  <c r="CU149" i="6"/>
  <c r="CM146" i="6"/>
  <c r="CL146" i="6"/>
  <c r="DC146" i="6"/>
  <c r="DB146" i="6"/>
  <c r="CS147" i="6"/>
  <c r="ED147" i="6" s="1"/>
  <c r="CN147" i="6"/>
  <c r="CG140" i="6"/>
  <c r="CZ140" i="6"/>
  <c r="CY140" i="6"/>
  <c r="CX140" i="6"/>
  <c r="CG141" i="6"/>
  <c r="CZ141" i="6"/>
  <c r="CY141" i="6"/>
  <c r="CX141" i="6"/>
  <c r="CT134" i="6"/>
  <c r="CV134" i="6"/>
  <c r="DC133" i="6"/>
  <c r="DB133" i="6"/>
  <c r="CM133" i="6"/>
  <c r="CL133" i="6"/>
  <c r="CS133" i="6"/>
  <c r="CM130" i="6"/>
  <c r="CL130" i="6"/>
  <c r="CS130" i="6"/>
  <c r="ED130" i="6" s="1"/>
  <c r="CN130" i="6"/>
  <c r="CV128" i="6"/>
  <c r="CT128" i="6"/>
  <c r="CU128" i="6"/>
  <c r="Y122" i="6"/>
  <c r="X122" i="6"/>
  <c r="DC120" i="6"/>
  <c r="DD120" i="6"/>
  <c r="DB120" i="6"/>
  <c r="CM120" i="6"/>
  <c r="CS120" i="6"/>
  <c r="ED120" i="6" s="1"/>
  <c r="CN120" i="6"/>
  <c r="CL120" i="6"/>
  <c r="CY116" i="6"/>
  <c r="CX116" i="6"/>
  <c r="CZ116" i="6"/>
  <c r="CU99" i="6"/>
  <c r="CT99" i="6"/>
  <c r="CV99" i="6"/>
  <c r="CU98" i="6"/>
  <c r="CT98" i="6"/>
  <c r="CV98" i="6"/>
  <c r="CU162" i="6"/>
  <c r="CM158" i="6"/>
  <c r="ED158" i="6"/>
  <c r="CU155" i="6"/>
  <c r="Y152" i="6"/>
  <c r="X152" i="6"/>
  <c r="CT151" i="6"/>
  <c r="CN150" i="6"/>
  <c r="CM150" i="6"/>
  <c r="CV150" i="6"/>
  <c r="CU150" i="6"/>
  <c r="DD150" i="6"/>
  <c r="DC150" i="6"/>
  <c r="CX149" i="6"/>
  <c r="CL144" i="6"/>
  <c r="CS144" i="6"/>
  <c r="CM144" i="6"/>
  <c r="CY145" i="6"/>
  <c r="CX145" i="6"/>
  <c r="CT147" i="6"/>
  <c r="DD140" i="6"/>
  <c r="DC140" i="6"/>
  <c r="DB140" i="6"/>
  <c r="Y141" i="6"/>
  <c r="X141" i="6"/>
  <c r="CN141" i="6"/>
  <c r="CM141" i="6"/>
  <c r="CL141" i="6"/>
  <c r="DD141" i="6"/>
  <c r="DC141" i="6"/>
  <c r="DB141" i="6"/>
  <c r="FJ141" i="6"/>
  <c r="Y138" i="6"/>
  <c r="X138" i="6"/>
  <c r="CU134" i="6"/>
  <c r="CU133" i="6"/>
  <c r="CT133" i="6"/>
  <c r="CX132" i="6"/>
  <c r="CZ132" i="6"/>
  <c r="CU132" i="6"/>
  <c r="CY131" i="6"/>
  <c r="CX131" i="6"/>
  <c r="CY130" i="6"/>
  <c r="CX130" i="6"/>
  <c r="CZ130" i="6"/>
  <c r="CN127" i="6"/>
  <c r="CS127" i="6"/>
  <c r="ED127" i="6" s="1"/>
  <c r="CM127" i="6"/>
  <c r="CL127" i="6"/>
  <c r="CV123" i="6"/>
  <c r="CU123" i="6"/>
  <c r="CT123" i="6"/>
  <c r="CU120" i="6"/>
  <c r="CT120" i="6"/>
  <c r="CV120" i="6"/>
  <c r="CV114" i="6"/>
  <c r="CT114" i="6"/>
  <c r="CU114" i="6"/>
  <c r="CV107" i="6"/>
  <c r="CU107" i="6"/>
  <c r="CT107" i="6"/>
  <c r="CV90" i="6"/>
  <c r="CU90" i="6"/>
  <c r="CT90" i="6"/>
  <c r="CL162" i="6"/>
  <c r="DB159" i="6"/>
  <c r="CN158" i="6"/>
  <c r="CG155" i="6"/>
  <c r="CX155" i="6"/>
  <c r="CM154" i="6"/>
  <c r="CL154" i="6"/>
  <c r="CU154" i="6"/>
  <c r="CT154" i="6"/>
  <c r="CV152" i="6"/>
  <c r="CU152" i="6"/>
  <c r="DD152" i="6"/>
  <c r="DC152" i="6"/>
  <c r="X151" i="6"/>
  <c r="CM151" i="6"/>
  <c r="CU151" i="6"/>
  <c r="Y150" i="6"/>
  <c r="CX150" i="6"/>
  <c r="CY149" i="6"/>
  <c r="FJ149" i="6"/>
  <c r="CN144" i="6"/>
  <c r="CV144" i="6"/>
  <c r="DD144" i="6"/>
  <c r="Y145" i="6"/>
  <c r="CV145" i="6"/>
  <c r="Y146" i="6"/>
  <c r="X146" i="6"/>
  <c r="CS146" i="6"/>
  <c r="ED146" i="6" s="1"/>
  <c r="CY146" i="6"/>
  <c r="CX146" i="6"/>
  <c r="X147" i="6"/>
  <c r="CM147" i="6"/>
  <c r="CU147" i="6"/>
  <c r="CS141" i="6"/>
  <c r="CS138" i="6"/>
  <c r="CN138" i="6"/>
  <c r="CM138" i="6"/>
  <c r="CX134" i="6"/>
  <c r="CZ134" i="6"/>
  <c r="CY134" i="6"/>
  <c r="Y133" i="6"/>
  <c r="CN133" i="6"/>
  <c r="DD133" i="6"/>
  <c r="W132" i="6"/>
  <c r="CL132" i="6"/>
  <c r="CS132" i="6"/>
  <c r="CN132" i="6"/>
  <c r="CY132" i="6"/>
  <c r="DC131" i="6"/>
  <c r="DB131" i="6"/>
  <c r="CM131" i="6"/>
  <c r="CL131" i="6"/>
  <c r="CS131" i="6"/>
  <c r="CV131" i="6"/>
  <c r="Y130" i="6"/>
  <c r="X130" i="6"/>
  <c r="DC130" i="6"/>
  <c r="DB130" i="6"/>
  <c r="DD130" i="6"/>
  <c r="CU130" i="6"/>
  <c r="CT130" i="6"/>
  <c r="CV130" i="6"/>
  <c r="CS129" i="6"/>
  <c r="CN129" i="6"/>
  <c r="CM129" i="6"/>
  <c r="CL129" i="6"/>
  <c r="CZ127" i="6"/>
  <c r="CX127" i="6"/>
  <c r="CY127" i="6"/>
  <c r="CN121" i="6"/>
  <c r="CM121" i="6"/>
  <c r="CL121" i="6"/>
  <c r="CS121" i="6"/>
  <c r="ED121" i="6" s="1"/>
  <c r="CN111" i="6"/>
  <c r="CM111" i="6"/>
  <c r="CL111" i="6"/>
  <c r="CS111" i="6"/>
  <c r="CM106" i="6"/>
  <c r="CS106" i="6"/>
  <c r="CN106" i="6"/>
  <c r="CL106" i="6"/>
  <c r="CU101" i="6"/>
  <c r="CT101" i="6"/>
  <c r="CV101" i="6"/>
  <c r="CU122" i="6"/>
  <c r="CZ122" i="6"/>
  <c r="CZ121" i="6"/>
  <c r="CY121" i="6"/>
  <c r="DB117" i="6"/>
  <c r="CM116" i="6"/>
  <c r="CL116" i="6"/>
  <c r="CU116" i="6"/>
  <c r="CT116" i="6"/>
  <c r="DC116" i="6"/>
  <c r="DB116" i="6"/>
  <c r="CS114" i="6"/>
  <c r="ED114" i="6" s="1"/>
  <c r="CN114" i="6"/>
  <c r="CM114" i="6"/>
  <c r="CX111" i="6"/>
  <c r="DC110" i="6"/>
  <c r="CL109" i="6"/>
  <c r="CS109" i="6"/>
  <c r="ED109" i="6" s="1"/>
  <c r="CM109" i="6"/>
  <c r="DC109" i="6"/>
  <c r="CY108" i="6"/>
  <c r="CZ108" i="6"/>
  <c r="CS108" i="6"/>
  <c r="ED108" i="6" s="1"/>
  <c r="CU103" i="6"/>
  <c r="CT103" i="6"/>
  <c r="DB102" i="6"/>
  <c r="DD102" i="6"/>
  <c r="DC102" i="6"/>
  <c r="DC98" i="6"/>
  <c r="DD98" i="6"/>
  <c r="CY98" i="6"/>
  <c r="CZ98" i="6"/>
  <c r="CX98" i="6"/>
  <c r="CV92" i="6"/>
  <c r="CU92" i="6"/>
  <c r="DD89" i="6"/>
  <c r="DC89" i="6"/>
  <c r="CN89" i="6"/>
  <c r="CS89" i="6"/>
  <c r="CM89" i="6"/>
  <c r="DB89" i="6"/>
  <c r="CL90" i="6"/>
  <c r="CZ86" i="6"/>
  <c r="CX86" i="6"/>
  <c r="CN86" i="6"/>
  <c r="CL86" i="6"/>
  <c r="CS86" i="6"/>
  <c r="CM86" i="6"/>
  <c r="CY138" i="6"/>
  <c r="DC138" i="6"/>
  <c r="X129" i="6"/>
  <c r="DB128" i="6"/>
  <c r="Y123" i="6"/>
  <c r="CG123" i="6"/>
  <c r="CL122" i="6"/>
  <c r="CQ122" i="6"/>
  <c r="CV122" i="6"/>
  <c r="DB122" i="6"/>
  <c r="CU119" i="6"/>
  <c r="CU117" i="6"/>
  <c r="DC117" i="6"/>
  <c r="CG114" i="6"/>
  <c r="CY111" i="6"/>
  <c r="CX110" i="6"/>
  <c r="CN109" i="6"/>
  <c r="DD109" i="6"/>
  <c r="CM108" i="6"/>
  <c r="CU108" i="6"/>
  <c r="CV108" i="6"/>
  <c r="CT108" i="6"/>
  <c r="CZ107" i="6"/>
  <c r="CY107" i="6"/>
  <c r="X107" i="6"/>
  <c r="CY106" i="6"/>
  <c r="CX106" i="6"/>
  <c r="X101" i="6"/>
  <c r="Y101" i="6"/>
  <c r="CM101" i="6"/>
  <c r="CS101" i="6"/>
  <c r="CN101" i="6"/>
  <c r="CG101" i="6"/>
  <c r="CY99" i="6"/>
  <c r="CZ99" i="6"/>
  <c r="CX99" i="6"/>
  <c r="DB98" i="6"/>
  <c r="Y94" i="6"/>
  <c r="X94" i="6"/>
  <c r="CM90" i="6"/>
  <c r="Y91" i="6"/>
  <c r="X91" i="6"/>
  <c r="DD91" i="6"/>
  <c r="DC91" i="6"/>
  <c r="Y86" i="6"/>
  <c r="X86" i="6"/>
  <c r="DD86" i="6"/>
  <c r="DB86" i="6"/>
  <c r="DC86" i="6"/>
  <c r="CX128" i="6"/>
  <c r="DC128" i="6"/>
  <c r="DB127" i="6"/>
  <c r="DB123" i="6"/>
  <c r="CM122" i="6"/>
  <c r="CX122" i="6"/>
  <c r="ED122" i="6"/>
  <c r="CX120" i="6"/>
  <c r="DD121" i="6"/>
  <c r="DC121" i="6"/>
  <c r="CL119" i="6"/>
  <c r="CS119" i="6"/>
  <c r="CN119" i="6"/>
  <c r="CV119" i="6"/>
  <c r="DD119" i="6"/>
  <c r="CG117" i="6"/>
  <c r="CX117" i="6"/>
  <c r="CS116" i="6"/>
  <c r="ED116" i="6" s="1"/>
  <c r="X114" i="6"/>
  <c r="CY114" i="6"/>
  <c r="DB111" i="6"/>
  <c r="CY110" i="6"/>
  <c r="X109" i="6"/>
  <c r="CY109" i="6"/>
  <c r="CN108" i="6"/>
  <c r="CX108" i="6"/>
  <c r="CS107" i="6"/>
  <c r="ED107" i="6" s="1"/>
  <c r="DC107" i="6"/>
  <c r="CT106" i="6"/>
  <c r="DC106" i="6"/>
  <c r="DD106" i="6"/>
  <c r="DB106" i="6"/>
  <c r="CV103" i="6"/>
  <c r="CL101" i="6"/>
  <c r="X98" i="6"/>
  <c r="Y98" i="6"/>
  <c r="CM98" i="6"/>
  <c r="CS98" i="6"/>
  <c r="CN98" i="6"/>
  <c r="CG98" i="6"/>
  <c r="CS94" i="6"/>
  <c r="CL94" i="6"/>
  <c r="CT92" i="6"/>
  <c r="DC92" i="6"/>
  <c r="CL89" i="6"/>
  <c r="CV89" i="6"/>
  <c r="CT89" i="6"/>
  <c r="CZ90" i="6"/>
  <c r="CY90" i="6"/>
  <c r="X90" i="6"/>
  <c r="DB90" i="6"/>
  <c r="CV91" i="6"/>
  <c r="CT91" i="6"/>
  <c r="DD88" i="6"/>
  <c r="DB88" i="6"/>
  <c r="DC88" i="6"/>
  <c r="CN88" i="6"/>
  <c r="CL88" i="6"/>
  <c r="CS88" i="6"/>
  <c r="CM88" i="6"/>
  <c r="CY86" i="6"/>
  <c r="CY128" i="6"/>
  <c r="DC127" i="6"/>
  <c r="DC123" i="6"/>
  <c r="CN122" i="6"/>
  <c r="CZ120" i="6"/>
  <c r="Y121" i="6"/>
  <c r="X121" i="6"/>
  <c r="CX121" i="6"/>
  <c r="CS117" i="6"/>
  <c r="ED117" i="6" s="1"/>
  <c r="CN117" i="6"/>
  <c r="CY117" i="6"/>
  <c r="CN116" i="6"/>
  <c r="CV116" i="6"/>
  <c r="DD116" i="6"/>
  <c r="CL114" i="6"/>
  <c r="DB114" i="6"/>
  <c r="Y111" i="6"/>
  <c r="X111" i="6"/>
  <c r="CS110" i="6"/>
  <c r="ED110" i="6" s="1"/>
  <c r="CN110" i="6"/>
  <c r="CL110" i="6"/>
  <c r="DB110" i="6"/>
  <c r="CZ109" i="6"/>
  <c r="CL107" i="6"/>
  <c r="Y106" i="6"/>
  <c r="X106" i="6"/>
  <c r="CX102" i="6"/>
  <c r="CY102" i="6"/>
  <c r="DC101" i="6"/>
  <c r="DD101" i="6"/>
  <c r="CY101" i="6"/>
  <c r="CZ101" i="6"/>
  <c r="CX101" i="6"/>
  <c r="Y99" i="6"/>
  <c r="X99" i="6"/>
  <c r="CV94" i="6"/>
  <c r="CU94" i="6"/>
  <c r="DD92" i="6"/>
  <c r="CZ89" i="6"/>
  <c r="CY89" i="6"/>
  <c r="CX89" i="6"/>
  <c r="CS90" i="6"/>
  <c r="DC90" i="6"/>
  <c r="CN91" i="6"/>
  <c r="CS91" i="6"/>
  <c r="CM91" i="6"/>
  <c r="CZ91" i="6"/>
  <c r="CY91" i="6"/>
  <c r="CX91" i="6"/>
  <c r="CV88" i="6"/>
  <c r="CT88" i="6"/>
  <c r="CU87" i="6"/>
  <c r="CT87" i="6"/>
  <c r="CG107" i="6"/>
  <c r="CN103" i="6"/>
  <c r="CY103" i="6"/>
  <c r="CG90" i="6"/>
  <c r="CV86" i="6"/>
  <c r="CT86" i="6"/>
  <c r="X92" i="6"/>
  <c r="CG91" i="6"/>
  <c r="CZ88" i="6"/>
  <c r="CX88" i="6"/>
  <c r="DC87" i="6"/>
  <c r="DB87" i="6"/>
  <c r="CR87" i="6"/>
  <c r="CL87" i="6"/>
  <c r="AL86" i="6"/>
  <c r="BG86" i="6"/>
  <c r="BD86" i="6"/>
  <c r="BH86" i="6"/>
  <c r="CQ87" i="6" l="1"/>
  <c r="CQ154" i="6"/>
  <c r="BJ111" i="6"/>
  <c r="BJ121" i="6"/>
  <c r="BJ193" i="6"/>
  <c r="BJ171" i="6"/>
  <c r="BJ141" i="6"/>
  <c r="BJ183" i="6"/>
  <c r="BJ127" i="6"/>
  <c r="BJ156" i="6"/>
  <c r="BJ159" i="6"/>
  <c r="BJ205" i="6"/>
  <c r="BJ117" i="6"/>
  <c r="BJ130" i="6"/>
  <c r="BJ149" i="6"/>
  <c r="CP99" i="6"/>
  <c r="CQ99" i="6"/>
  <c r="FK185" i="6"/>
  <c r="FM185" i="6" s="1"/>
  <c r="FL185" i="6" s="1"/>
  <c r="FK212" i="6"/>
  <c r="FM212" i="6" s="1"/>
  <c r="FL212" i="6" s="1"/>
  <c r="BJ219" i="6"/>
  <c r="BJ217" i="6"/>
  <c r="BJ213" i="6"/>
  <c r="BJ103" i="6"/>
  <c r="BJ155" i="6"/>
  <c r="BJ107" i="6"/>
  <c r="BJ134" i="6"/>
  <c r="BJ176" i="6"/>
  <c r="BJ22" i="6"/>
  <c r="BJ195" i="6"/>
  <c r="BJ146" i="6"/>
  <c r="BJ188" i="6"/>
  <c r="BJ91" i="6"/>
  <c r="BJ108" i="6"/>
  <c r="BJ158" i="6"/>
  <c r="BJ106" i="6"/>
  <c r="BJ90" i="6"/>
  <c r="BJ170" i="6"/>
  <c r="BJ221" i="6"/>
  <c r="FK122" i="6"/>
  <c r="FM122" i="6" s="1"/>
  <c r="FL122" i="6" s="1"/>
  <c r="FK170" i="6"/>
  <c r="FM170" i="6" s="1"/>
  <c r="FL170" i="6" s="1"/>
  <c r="FK162" i="6"/>
  <c r="FM162" i="6" s="1"/>
  <c r="FL162" i="6" s="1"/>
  <c r="FK220" i="6"/>
  <c r="FM220" i="6" s="1"/>
  <c r="FL220" i="6" s="1"/>
  <c r="FK191" i="6"/>
  <c r="FM191" i="6" s="1"/>
  <c r="FL191" i="6" s="1"/>
  <c r="FK182" i="6"/>
  <c r="FM182" i="6" s="1"/>
  <c r="FL182" i="6" s="1"/>
  <c r="FK208" i="6"/>
  <c r="FM208" i="6" s="1"/>
  <c r="FL208" i="6" s="1"/>
  <c r="FK149" i="6"/>
  <c r="FM149" i="6" s="1"/>
  <c r="FL149" i="6" s="1"/>
  <c r="FK147" i="6"/>
  <c r="FM147" i="6" s="1"/>
  <c r="FL147" i="6" s="1"/>
  <c r="FK187" i="6"/>
  <c r="FM187" i="6" s="1"/>
  <c r="FL187" i="6" s="1"/>
  <c r="FK190" i="6"/>
  <c r="FM190" i="6" s="1"/>
  <c r="FL190" i="6" s="1"/>
  <c r="FK205" i="6"/>
  <c r="FM205" i="6" s="1"/>
  <c r="FL205" i="6" s="1"/>
  <c r="FK127" i="6"/>
  <c r="FM127" i="6" s="1"/>
  <c r="FL127" i="6" s="1"/>
  <c r="FK189" i="6"/>
  <c r="FM189" i="6" s="1"/>
  <c r="FL189" i="6" s="1"/>
  <c r="FK198" i="6"/>
  <c r="FM198" i="6" s="1"/>
  <c r="FL198" i="6" s="1"/>
  <c r="FK110" i="6"/>
  <c r="FM110" i="6" s="1"/>
  <c r="FL110" i="6" s="1"/>
  <c r="FK134" i="6"/>
  <c r="FM134" i="6" s="1"/>
  <c r="FL134" i="6" s="1"/>
  <c r="FK195" i="6"/>
  <c r="FM195" i="6" s="1"/>
  <c r="FL195" i="6" s="1"/>
  <c r="FK202" i="6"/>
  <c r="FM202" i="6" s="1"/>
  <c r="FL202" i="6" s="1"/>
  <c r="FK130" i="6"/>
  <c r="FM130" i="6" s="1"/>
  <c r="FL130" i="6" s="1"/>
  <c r="FK222" i="6"/>
  <c r="FM222" i="6" s="1"/>
  <c r="FL222" i="6" s="1"/>
  <c r="FK108" i="6"/>
  <c r="FM108" i="6" s="1"/>
  <c r="FL108" i="6" s="1"/>
  <c r="FK171" i="6"/>
  <c r="FM171" i="6" s="1"/>
  <c r="FL171" i="6" s="1"/>
  <c r="FK213" i="6"/>
  <c r="FM213" i="6" s="1"/>
  <c r="FL213" i="6" s="1"/>
  <c r="FK121" i="6"/>
  <c r="FM121" i="6" s="1"/>
  <c r="FL121" i="6" s="1"/>
  <c r="FK168" i="6"/>
  <c r="FM168" i="6" s="1"/>
  <c r="FL168" i="6" s="1"/>
  <c r="BJ191" i="6"/>
  <c r="BJ88" i="6"/>
  <c r="BJ114" i="6"/>
  <c r="FK116" i="6"/>
  <c r="FM116" i="6" s="1"/>
  <c r="FL116" i="6" s="1"/>
  <c r="FK109" i="6"/>
  <c r="FM109" i="6" s="1"/>
  <c r="FL109" i="6" s="1"/>
  <c r="BJ187" i="6"/>
  <c r="FK145" i="6"/>
  <c r="FM145" i="6" s="1"/>
  <c r="FL145" i="6" s="1"/>
  <c r="ED154" i="6"/>
  <c r="FK154" i="6" s="1"/>
  <c r="FM154" i="6" s="1"/>
  <c r="FL154" i="6" s="1"/>
  <c r="FK165" i="6"/>
  <c r="FM165" i="6" s="1"/>
  <c r="FL165" i="6" s="1"/>
  <c r="FK201" i="6"/>
  <c r="FM201" i="6" s="1"/>
  <c r="FL201" i="6" s="1"/>
  <c r="FK223" i="6"/>
  <c r="FM223" i="6" s="1"/>
  <c r="FL223" i="6" s="1"/>
  <c r="CP154" i="6"/>
  <c r="BJ175" i="6"/>
  <c r="FK159" i="6"/>
  <c r="FM159" i="6" s="1"/>
  <c r="FL159" i="6" s="1"/>
  <c r="FK174" i="6"/>
  <c r="FM174" i="6" s="1"/>
  <c r="FL174" i="6" s="1"/>
  <c r="FK161" i="6"/>
  <c r="FM161" i="6" s="1"/>
  <c r="FL161" i="6" s="1"/>
  <c r="FK214" i="6"/>
  <c r="FM214" i="6" s="1"/>
  <c r="FL214" i="6" s="1"/>
  <c r="BJ132" i="6"/>
  <c r="BJ147" i="6"/>
  <c r="BJ151" i="6"/>
  <c r="FK123" i="6"/>
  <c r="FM123" i="6" s="1"/>
  <c r="FL123" i="6" s="1"/>
  <c r="FK150" i="6"/>
  <c r="FM150" i="6" s="1"/>
  <c r="FL150" i="6" s="1"/>
  <c r="FK211" i="6"/>
  <c r="FM211" i="6" s="1"/>
  <c r="FL211" i="6" s="1"/>
  <c r="FK156" i="6"/>
  <c r="FM156" i="6" s="1"/>
  <c r="FL156" i="6" s="1"/>
  <c r="BJ89" i="6"/>
  <c r="BJ129" i="6"/>
  <c r="BJ138" i="6"/>
  <c r="FK146" i="6"/>
  <c r="FM146" i="6" s="1"/>
  <c r="FL146" i="6" s="1"/>
  <c r="BJ168" i="6"/>
  <c r="BJ177" i="6"/>
  <c r="FK158" i="6"/>
  <c r="FM158" i="6" s="1"/>
  <c r="FL158" i="6" s="1"/>
  <c r="FK120" i="6"/>
  <c r="FM120" i="6" s="1"/>
  <c r="FL120" i="6" s="1"/>
  <c r="BJ182" i="6"/>
  <c r="BJ220" i="6"/>
  <c r="FK177" i="6"/>
  <c r="FM177" i="6" s="1"/>
  <c r="FL177" i="6" s="1"/>
  <c r="BJ201" i="6"/>
  <c r="BJ164" i="6"/>
  <c r="BJ222" i="6"/>
  <c r="FK107" i="6"/>
  <c r="FM107" i="6" s="1"/>
  <c r="FL107" i="6" s="1"/>
  <c r="FK197" i="6"/>
  <c r="FM197" i="6" s="1"/>
  <c r="FL197" i="6" s="1"/>
  <c r="BJ180" i="6"/>
  <c r="BJ211" i="6"/>
  <c r="BJ215" i="6"/>
  <c r="BJ101" i="6"/>
  <c r="BJ152" i="6"/>
  <c r="BJ150" i="6"/>
  <c r="FK152" i="6"/>
  <c r="FM152" i="6" s="1"/>
  <c r="FL152" i="6" s="1"/>
  <c r="BJ94" i="6"/>
  <c r="BJ120" i="6"/>
  <c r="BJ133" i="6"/>
  <c r="BJ161" i="6"/>
  <c r="BJ198" i="6"/>
  <c r="FK22" i="6"/>
  <c r="FM22" i="6" s="1"/>
  <c r="FL22" i="6" s="1"/>
  <c r="E6" i="5"/>
  <c r="L31" i="5" s="1"/>
  <c r="BJ208" i="6"/>
  <c r="BJ128" i="6"/>
  <c r="BJ92" i="6"/>
  <c r="CR90" i="6"/>
  <c r="CP90" i="6"/>
  <c r="CQ90" i="6"/>
  <c r="CQ94" i="6"/>
  <c r="CP94" i="6"/>
  <c r="CR94" i="6"/>
  <c r="CR107" i="6"/>
  <c r="CP107" i="6"/>
  <c r="CQ107" i="6"/>
  <c r="BJ123" i="6"/>
  <c r="CQ101" i="6"/>
  <c r="CP101" i="6"/>
  <c r="CR101" i="6"/>
  <c r="BJ140" i="6"/>
  <c r="CR89" i="6"/>
  <c r="CP89" i="6"/>
  <c r="CQ89" i="6"/>
  <c r="CQ131" i="6"/>
  <c r="CP131" i="6"/>
  <c r="CR131" i="6"/>
  <c r="ED131" i="6"/>
  <c r="FK131" i="6" s="1"/>
  <c r="FM131" i="6" s="1"/>
  <c r="FL131" i="6" s="1"/>
  <c r="Y132" i="6"/>
  <c r="X132" i="6"/>
  <c r="CQ184" i="6"/>
  <c r="CR184" i="6"/>
  <c r="CP184" i="6"/>
  <c r="CP134" i="6"/>
  <c r="CR134" i="6"/>
  <c r="CQ134" i="6"/>
  <c r="CR140" i="6"/>
  <c r="CQ140" i="6"/>
  <c r="CP140" i="6"/>
  <c r="CR152" i="6"/>
  <c r="CQ152" i="6"/>
  <c r="CP152" i="6"/>
  <c r="CQ185" i="6"/>
  <c r="CP185" i="6"/>
  <c r="CR185" i="6"/>
  <c r="CQ180" i="6"/>
  <c r="CR180" i="6"/>
  <c r="CP180" i="6"/>
  <c r="BJ189" i="6"/>
  <c r="CR176" i="6"/>
  <c r="CQ176" i="6"/>
  <c r="CP176" i="6"/>
  <c r="CR183" i="6"/>
  <c r="CP183" i="6"/>
  <c r="CQ183" i="6"/>
  <c r="CP168" i="6"/>
  <c r="CR168" i="6"/>
  <c r="CQ168" i="6"/>
  <c r="Y182" i="6"/>
  <c r="X182" i="6"/>
  <c r="Y187" i="6"/>
  <c r="X187" i="6"/>
  <c r="CQ189" i="6"/>
  <c r="CP189" i="6"/>
  <c r="CR189" i="6"/>
  <c r="BJ202" i="6"/>
  <c r="BJ214" i="6"/>
  <c r="CP197" i="6"/>
  <c r="CQ197" i="6"/>
  <c r="CR197" i="6"/>
  <c r="CR200" i="6"/>
  <c r="CQ200" i="6"/>
  <c r="CP200" i="6"/>
  <c r="CR193" i="6"/>
  <c r="CQ193" i="6"/>
  <c r="CP193" i="6"/>
  <c r="CP208" i="6"/>
  <c r="CR208" i="6"/>
  <c r="CQ208" i="6"/>
  <c r="CR86" i="6"/>
  <c r="CP86" i="6"/>
  <c r="CQ86" i="6"/>
  <c r="CQ108" i="6"/>
  <c r="CP108" i="6"/>
  <c r="CR108" i="6"/>
  <c r="CR111" i="6"/>
  <c r="CQ111" i="6"/>
  <c r="CP111" i="6"/>
  <c r="CP132" i="6"/>
  <c r="CR132" i="6"/>
  <c r="CQ132" i="6"/>
  <c r="CR151" i="6"/>
  <c r="CQ151" i="6"/>
  <c r="CP151" i="6"/>
  <c r="CR128" i="6"/>
  <c r="CQ128" i="6"/>
  <c r="CP128" i="6"/>
  <c r="BJ144" i="6"/>
  <c r="BJ162" i="6"/>
  <c r="CR175" i="6"/>
  <c r="CQ175" i="6"/>
  <c r="CP175" i="6"/>
  <c r="ED175" i="6"/>
  <c r="FK175" i="6" s="1"/>
  <c r="FM175" i="6" s="1"/>
  <c r="FL175" i="6" s="1"/>
  <c r="CQ164" i="6"/>
  <c r="CP164" i="6"/>
  <c r="CR164" i="6"/>
  <c r="BJ185" i="6"/>
  <c r="Y188" i="6"/>
  <c r="X188" i="6"/>
  <c r="BJ197" i="6"/>
  <c r="CR182" i="6"/>
  <c r="CP182" i="6"/>
  <c r="CQ182" i="6"/>
  <c r="ED183" i="6"/>
  <c r="FK183" i="6" s="1"/>
  <c r="FM183" i="6" s="1"/>
  <c r="FL183" i="6" s="1"/>
  <c r="CR187" i="6"/>
  <c r="CP187" i="6"/>
  <c r="CQ187" i="6"/>
  <c r="CQ215" i="6"/>
  <c r="CP215" i="6"/>
  <c r="CR215" i="6"/>
  <c r="CP217" i="6"/>
  <c r="CR217" i="6"/>
  <c r="CQ217" i="6"/>
  <c r="CP219" i="6"/>
  <c r="CR219" i="6"/>
  <c r="CQ219" i="6"/>
  <c r="ED200" i="6"/>
  <c r="FK200" i="6" s="1"/>
  <c r="FM200" i="6" s="1"/>
  <c r="FL200" i="6" s="1"/>
  <c r="ED217" i="6"/>
  <c r="FK217" i="6" s="1"/>
  <c r="FM217" i="6" s="1"/>
  <c r="FL217" i="6" s="1"/>
  <c r="CQ223" i="6"/>
  <c r="CP223" i="6"/>
  <c r="CR223" i="6"/>
  <c r="CP22" i="6"/>
  <c r="CR22" i="6"/>
  <c r="CQ22" i="6"/>
  <c r="CR117" i="6"/>
  <c r="CQ117" i="6"/>
  <c r="CP117" i="6"/>
  <c r="CR88" i="6"/>
  <c r="CP88" i="6"/>
  <c r="CQ88" i="6"/>
  <c r="CQ98" i="6"/>
  <c r="CR98" i="6"/>
  <c r="CP98" i="6"/>
  <c r="CP119" i="6"/>
  <c r="CQ119" i="6"/>
  <c r="CR119" i="6"/>
  <c r="CR91" i="6"/>
  <c r="CP91" i="6"/>
  <c r="CQ91" i="6"/>
  <c r="CR110" i="6"/>
  <c r="CQ110" i="6"/>
  <c r="CP110" i="6"/>
  <c r="BJ116" i="6"/>
  <c r="BJ122" i="6"/>
  <c r="BJ110" i="6"/>
  <c r="BJ119" i="6"/>
  <c r="CQ106" i="6"/>
  <c r="CR106" i="6"/>
  <c r="CP106" i="6"/>
  <c r="CR129" i="6"/>
  <c r="CQ129" i="6"/>
  <c r="CP129" i="6"/>
  <c r="ED132" i="6"/>
  <c r="FK132" i="6" s="1"/>
  <c r="FM132" i="6" s="1"/>
  <c r="FL132" i="6" s="1"/>
  <c r="CR138" i="6"/>
  <c r="CQ138" i="6"/>
  <c r="CP138" i="6"/>
  <c r="CQ146" i="6"/>
  <c r="CP146" i="6"/>
  <c r="CR146" i="6"/>
  <c r="FK155" i="6"/>
  <c r="FM155" i="6" s="1"/>
  <c r="FL155" i="6" s="1"/>
  <c r="BJ145" i="6"/>
  <c r="ED129" i="6"/>
  <c r="FK129" i="6" s="1"/>
  <c r="FM129" i="6" s="1"/>
  <c r="FL129" i="6" s="1"/>
  <c r="CQ130" i="6"/>
  <c r="CP130" i="6"/>
  <c r="CR130" i="6"/>
  <c r="ED138" i="6"/>
  <c r="FK138" i="6" s="1"/>
  <c r="FM138" i="6" s="1"/>
  <c r="FL138" i="6" s="1"/>
  <c r="FK140" i="6"/>
  <c r="FM140" i="6" s="1"/>
  <c r="FL140" i="6" s="1"/>
  <c r="CR147" i="6"/>
  <c r="CQ147" i="6"/>
  <c r="CP147" i="6"/>
  <c r="ED151" i="6"/>
  <c r="FK151" i="6" s="1"/>
  <c r="FM151" i="6" s="1"/>
  <c r="FL151" i="6" s="1"/>
  <c r="BJ154" i="6"/>
  <c r="ED128" i="6"/>
  <c r="FK128" i="6" s="1"/>
  <c r="FM128" i="6" s="1"/>
  <c r="FL128" i="6" s="1"/>
  <c r="CR150" i="6"/>
  <c r="CQ150" i="6"/>
  <c r="CP150" i="6"/>
  <c r="BJ174" i="6"/>
  <c r="CR174" i="6"/>
  <c r="CQ174" i="6"/>
  <c r="CP174" i="6"/>
  <c r="CQ161" i="6"/>
  <c r="CR161" i="6"/>
  <c r="CP161" i="6"/>
  <c r="ED180" i="6"/>
  <c r="FK180" i="6" s="1"/>
  <c r="FM180" i="6" s="1"/>
  <c r="FL180" i="6" s="1"/>
  <c r="CQ159" i="6"/>
  <c r="CR159" i="6"/>
  <c r="CP159" i="6"/>
  <c r="CQ188" i="6"/>
  <c r="CR188" i="6"/>
  <c r="CP188" i="6"/>
  <c r="BJ190" i="6"/>
  <c r="ED188" i="6"/>
  <c r="FK188" i="6" s="1"/>
  <c r="FM188" i="6" s="1"/>
  <c r="FL188" i="6" s="1"/>
  <c r="BJ212" i="6"/>
  <c r="BJ223" i="6"/>
  <c r="CR214" i="6"/>
  <c r="CQ214" i="6"/>
  <c r="CP214" i="6"/>
  <c r="CP212" i="6"/>
  <c r="CR212" i="6"/>
  <c r="CQ212" i="6"/>
  <c r="CP201" i="6"/>
  <c r="CR201" i="6"/>
  <c r="CQ201" i="6"/>
  <c r="ED193" i="6"/>
  <c r="FK193" i="6" s="1"/>
  <c r="FM193" i="6" s="1"/>
  <c r="FL193" i="6" s="1"/>
  <c r="CR213" i="6"/>
  <c r="CQ213" i="6"/>
  <c r="CP213" i="6"/>
  <c r="CP220" i="6"/>
  <c r="CR220" i="6"/>
  <c r="CQ220" i="6"/>
  <c r="BJ86" i="6"/>
  <c r="BJ102" i="6"/>
  <c r="BJ109" i="6"/>
  <c r="CQ116" i="6"/>
  <c r="CP116" i="6"/>
  <c r="CR116" i="6"/>
  <c r="FK117" i="6"/>
  <c r="FM117" i="6" s="1"/>
  <c r="FL117" i="6" s="1"/>
  <c r="FK114" i="6"/>
  <c r="FM114" i="6" s="1"/>
  <c r="FL114" i="6" s="1"/>
  <c r="BJ98" i="6"/>
  <c r="CP109" i="6"/>
  <c r="CR109" i="6"/>
  <c r="CQ109" i="6"/>
  <c r="ED111" i="6"/>
  <c r="FK111" i="6" s="1"/>
  <c r="FM111" i="6" s="1"/>
  <c r="FL111" i="6" s="1"/>
  <c r="CR114" i="6"/>
  <c r="CQ114" i="6"/>
  <c r="CP114" i="6"/>
  <c r="ED119" i="6"/>
  <c r="FK119" i="6" s="1"/>
  <c r="FM119" i="6" s="1"/>
  <c r="FL119" i="6" s="1"/>
  <c r="CR121" i="6"/>
  <c r="CQ121" i="6"/>
  <c r="CP121" i="6"/>
  <c r="CR141" i="6"/>
  <c r="CQ141" i="6"/>
  <c r="CP141" i="6"/>
  <c r="CR127" i="6"/>
  <c r="CQ127" i="6"/>
  <c r="CP127" i="6"/>
  <c r="CP144" i="6"/>
  <c r="CR144" i="6"/>
  <c r="CQ144" i="6"/>
  <c r="CQ120" i="6"/>
  <c r="CR120" i="6"/>
  <c r="CP120" i="6"/>
  <c r="BJ131" i="6"/>
  <c r="CQ133" i="6"/>
  <c r="CP133" i="6"/>
  <c r="ED133" i="6"/>
  <c r="FK133" i="6" s="1"/>
  <c r="FM133" i="6" s="1"/>
  <c r="FL133" i="6" s="1"/>
  <c r="CR133" i="6"/>
  <c r="ED141" i="6"/>
  <c r="ED144" i="6"/>
  <c r="FK144" i="6" s="1"/>
  <c r="FM144" i="6" s="1"/>
  <c r="FL144" i="6" s="1"/>
  <c r="CR155" i="6"/>
  <c r="CP155" i="6"/>
  <c r="CQ155" i="6"/>
  <c r="CP102" i="6"/>
  <c r="CR102" i="6"/>
  <c r="CQ102" i="6"/>
  <c r="CR123" i="6"/>
  <c r="CQ123" i="6"/>
  <c r="CP123" i="6"/>
  <c r="CR149" i="6"/>
  <c r="CQ149" i="6"/>
  <c r="CP149" i="6"/>
  <c r="BJ165" i="6"/>
  <c r="CQ145" i="6"/>
  <c r="CP145" i="6"/>
  <c r="CR145" i="6"/>
  <c r="CR156" i="6"/>
  <c r="CQ156" i="6"/>
  <c r="CP156" i="6"/>
  <c r="ED164" i="6"/>
  <c r="FK164" i="6" s="1"/>
  <c r="FM164" i="6" s="1"/>
  <c r="FL164" i="6" s="1"/>
  <c r="CR165" i="6"/>
  <c r="CQ165" i="6"/>
  <c r="CP165" i="6"/>
  <c r="CP171" i="6"/>
  <c r="CR171" i="6"/>
  <c r="CQ171" i="6"/>
  <c r="CQ177" i="6"/>
  <c r="CP177" i="6"/>
  <c r="CR177" i="6"/>
  <c r="ED176" i="6"/>
  <c r="FK176" i="6" s="1"/>
  <c r="FM176" i="6" s="1"/>
  <c r="FL176" i="6" s="1"/>
  <c r="CP195" i="6"/>
  <c r="CQ195" i="6"/>
  <c r="CR195" i="6"/>
  <c r="BJ200" i="6"/>
  <c r="CQ170" i="6"/>
  <c r="CP170" i="6"/>
  <c r="CR170" i="6"/>
  <c r="ED184" i="6"/>
  <c r="FK184" i="6" s="1"/>
  <c r="FM184" i="6" s="1"/>
  <c r="FL184" i="6" s="1"/>
  <c r="CQ211" i="6"/>
  <c r="CP211" i="6"/>
  <c r="CR211" i="6"/>
  <c r="ED215" i="6"/>
  <c r="FK215" i="6" s="1"/>
  <c r="FM215" i="6" s="1"/>
  <c r="FL215" i="6" s="1"/>
  <c r="CQ222" i="6"/>
  <c r="CP222" i="6"/>
  <c r="CR222" i="6"/>
  <c r="CP190" i="6"/>
  <c r="CR190" i="6"/>
  <c r="CQ190" i="6"/>
  <c r="ED219" i="6"/>
  <c r="FK219" i="6" s="1"/>
  <c r="FM219" i="6" s="1"/>
  <c r="FL219" i="6" s="1"/>
  <c r="CR221" i="6"/>
  <c r="CQ221" i="6"/>
  <c r="CP221" i="6"/>
  <c r="ED221" i="6"/>
  <c r="FK221" i="6" s="1"/>
  <c r="FM221" i="6" s="1"/>
  <c r="FL221" i="6" s="1"/>
  <c r="CP198" i="6"/>
  <c r="CQ198" i="6"/>
  <c r="CR198" i="6"/>
  <c r="CR202" i="6"/>
  <c r="CQ202" i="6"/>
  <c r="CP202" i="6"/>
  <c r="CQ205" i="6"/>
  <c r="CP205" i="6"/>
  <c r="CR205" i="6"/>
  <c r="L27" i="5" l="1"/>
  <c r="N11" i="5"/>
  <c r="G12" i="5"/>
  <c r="N34" i="5"/>
  <c r="K50" i="5"/>
  <c r="N31" i="5"/>
  <c r="N32" i="5"/>
  <c r="K32" i="5"/>
  <c r="L19" i="5"/>
  <c r="J49" i="5"/>
  <c r="K7" i="5"/>
  <c r="N35" i="5"/>
  <c r="K8" i="5"/>
  <c r="J27" i="5"/>
  <c r="K36" i="5"/>
  <c r="N27" i="5"/>
  <c r="L53" i="5"/>
  <c r="K17" i="5"/>
  <c r="J50" i="5"/>
  <c r="K19" i="5"/>
  <c r="K27" i="5"/>
  <c r="K51" i="5"/>
  <c r="N30" i="5"/>
  <c r="L34" i="5"/>
  <c r="L26" i="5"/>
  <c r="E8" i="5"/>
  <c r="K28" i="5"/>
  <c r="N19" i="5"/>
  <c r="J29" i="5"/>
  <c r="L35" i="5"/>
  <c r="L50" i="5"/>
  <c r="H6" i="5"/>
  <c r="N17" i="5"/>
  <c r="K26" i="5"/>
  <c r="J30" i="5"/>
  <c r="J34" i="5"/>
  <c r="K48" i="5"/>
  <c r="L52" i="5"/>
  <c r="J32" i="5"/>
  <c r="M48" i="5"/>
  <c r="N48" i="5" s="1"/>
  <c r="J53" i="5"/>
  <c r="L14" i="5"/>
  <c r="L20" i="5"/>
  <c r="J31" i="5"/>
  <c r="J35" i="5"/>
  <c r="K49" i="5"/>
  <c r="L30" i="5"/>
  <c r="K31" i="5"/>
  <c r="F6" i="5"/>
  <c r="E10" i="5" s="1"/>
  <c r="L18" i="5"/>
  <c r="N26" i="5"/>
  <c r="M49" i="5"/>
  <c r="N49" i="5" s="1"/>
  <c r="J20" i="5"/>
  <c r="J33" i="5"/>
  <c r="J47" i="5"/>
  <c r="K52" i="5"/>
  <c r="K14" i="5"/>
  <c r="K20" i="5"/>
  <c r="L28" i="5"/>
  <c r="L32" i="5"/>
  <c r="L36" i="5"/>
  <c r="M50" i="5"/>
  <c r="N50" i="5" s="1"/>
  <c r="J19" i="5"/>
  <c r="J36" i="5"/>
  <c r="J51" i="5"/>
  <c r="K9" i="5"/>
  <c r="J18" i="5"/>
  <c r="L29" i="5"/>
  <c r="L33" i="5"/>
  <c r="L47" i="5"/>
  <c r="J25" i="5"/>
  <c r="K18" i="5"/>
  <c r="K35" i="5"/>
  <c r="J14" i="5"/>
  <c r="N20" i="5"/>
  <c r="N29" i="5"/>
  <c r="L17" i="5"/>
  <c r="K25" i="5"/>
  <c r="N33" i="5"/>
  <c r="J48" i="5"/>
  <c r="K53" i="5"/>
  <c r="J17" i="5"/>
  <c r="L25" i="5"/>
  <c r="K29" i="5"/>
  <c r="K33" i="5"/>
  <c r="K47" i="5"/>
  <c r="L51" i="5"/>
  <c r="N25" i="5"/>
  <c r="N36" i="5"/>
  <c r="J52" i="5"/>
  <c r="J12" i="5"/>
  <c r="N18" i="5"/>
  <c r="K30" i="5"/>
  <c r="K34" i="5"/>
  <c r="L48" i="5"/>
  <c r="J28" i="5"/>
  <c r="N28" i="5"/>
  <c r="L49" i="5"/>
  <c r="N14" i="5"/>
  <c r="J26" i="5"/>
  <c r="FK141" i="6"/>
  <c r="FM141" i="6" s="1"/>
  <c r="FL141" i="6" s="1"/>
  <c r="M53" i="5" l="1"/>
  <c r="M28" i="5"/>
  <c r="D28" i="5" s="1"/>
  <c r="M17" i="5"/>
  <c r="M27" i="5"/>
  <c r="K41" i="5"/>
  <c r="M32" i="5"/>
  <c r="M19" i="5"/>
  <c r="M52" i="5"/>
  <c r="M51" i="5"/>
  <c r="M14" i="5"/>
  <c r="J41" i="5"/>
  <c r="M25" i="5"/>
  <c r="M35" i="5"/>
  <c r="M36" i="5"/>
  <c r="M26" i="5"/>
  <c r="L41" i="5"/>
  <c r="M33" i="5"/>
  <c r="M20" i="5"/>
  <c r="M29" i="5"/>
  <c r="M31" i="5"/>
  <c r="M34" i="5"/>
  <c r="M18" i="5"/>
  <c r="M47" i="5"/>
  <c r="M30" i="5"/>
  <c r="M44" i="5" l="1"/>
  <c r="M12" i="5"/>
  <c r="M41" i="5"/>
  <c r="M39" i="5" s="1"/>
  <c r="L44" i="5" s="1"/>
  <c r="J44" i="5" s="1"/>
  <c r="M23" i="5"/>
  <c r="ED101" i="6"/>
  <c r="FK101" i="6" s="1"/>
  <c r="FM101" i="6" s="1"/>
  <c r="FL101" i="6" s="1"/>
  <c r="ED94" i="6"/>
  <c r="FK94" i="6" s="1"/>
  <c r="FM94" i="6" s="1"/>
  <c r="FL94" i="6" s="1"/>
  <c r="ED88" i="6"/>
  <c r="FK88" i="6" s="1"/>
  <c r="FM88" i="6" s="1"/>
  <c r="FL88" i="6" s="1"/>
  <c r="ED103" i="6"/>
  <c r="FK103" i="6" s="1"/>
  <c r="FM103" i="6" s="1"/>
  <c r="FL103" i="6" s="1"/>
  <c r="ED106" i="6"/>
  <c r="FK106" i="6" s="1"/>
  <c r="FM106" i="6" s="1"/>
  <c r="FL106" i="6" s="1"/>
  <c r="ED87" i="6"/>
  <c r="FK87" i="6" s="1"/>
  <c r="FM87" i="6" s="1"/>
  <c r="FL87" i="6" s="1"/>
  <c r="ED91" i="6"/>
  <c r="FK91" i="6" s="1"/>
  <c r="FM91" i="6" s="1"/>
  <c r="FL91" i="6" s="1"/>
  <c r="ED98" i="6"/>
  <c r="FK98" i="6" s="1"/>
  <c r="FM98" i="6" s="1"/>
  <c r="FL98" i="6" s="1"/>
  <c r="ED92" i="6"/>
  <c r="FK92" i="6" s="1"/>
  <c r="FM92" i="6" s="1"/>
  <c r="FL92" i="6" s="1"/>
  <c r="ED89" i="6"/>
  <c r="FK89" i="6" s="1"/>
  <c r="FM89" i="6" s="1"/>
  <c r="FL89" i="6" s="1"/>
  <c r="ED99" i="6"/>
  <c r="ED102" i="6"/>
  <c r="FK102" i="6" s="1"/>
  <c r="FM102" i="6" s="1"/>
  <c r="FL102" i="6" s="1"/>
  <c r="ED90" i="6"/>
  <c r="FK90" i="6" s="1"/>
  <c r="FM90" i="6" s="1"/>
  <c r="FL90" i="6" s="1"/>
  <c r="ED86" i="6"/>
  <c r="FK86" i="6" s="1"/>
  <c r="FM86" i="6" s="1"/>
  <c r="FL86" i="6" s="1"/>
  <c r="FK99" i="6" l="1"/>
  <c r="FM99" i="6" s="1"/>
  <c r="FL99" i="6" s="1"/>
  <c r="N22" i="5"/>
</calcChain>
</file>

<file path=xl/sharedStrings.xml><?xml version="1.0" encoding="utf-8"?>
<sst xmlns="http://schemas.openxmlformats.org/spreadsheetml/2006/main" count="22363" uniqueCount="6587">
  <si>
    <t>Color</t>
  </si>
  <si>
    <t>State</t>
  </si>
  <si>
    <t>Rep</t>
  </si>
  <si>
    <t>Gender</t>
  </si>
  <si>
    <t>Code</t>
  </si>
  <si>
    <t>Status</t>
  </si>
  <si>
    <t>EFC</t>
  </si>
  <si>
    <t>FAApp</t>
  </si>
  <si>
    <t>FERPA</t>
  </si>
  <si>
    <t>SCB</t>
  </si>
  <si>
    <t>EC</t>
  </si>
  <si>
    <t>SMPN</t>
  </si>
  <si>
    <t>PCC</t>
  </si>
  <si>
    <t>PCB</t>
  </si>
  <si>
    <t>PMPN</t>
  </si>
  <si>
    <t>PrivApp</t>
  </si>
  <si>
    <t>TPP</t>
  </si>
  <si>
    <t>TOApp</t>
  </si>
  <si>
    <t>VACert</t>
  </si>
  <si>
    <t>DD214</t>
  </si>
  <si>
    <t>VA</t>
  </si>
  <si>
    <t>UT</t>
  </si>
  <si>
    <t>JT</t>
  </si>
  <si>
    <t>Male</t>
  </si>
  <si>
    <t>16-Accepted</t>
  </si>
  <si>
    <t>Female</t>
  </si>
  <si>
    <t>V</t>
  </si>
  <si>
    <t>VIII</t>
  </si>
  <si>
    <t>IX</t>
  </si>
  <si>
    <t>Notes</t>
  </si>
  <si>
    <t>EFC Min</t>
  </si>
  <si>
    <t>EFC Max</t>
  </si>
  <si>
    <t>Pell Amt</t>
  </si>
  <si>
    <t>HSGPA</t>
  </si>
  <si>
    <t>TaxTran</t>
  </si>
  <si>
    <t>StudentName</t>
  </si>
  <si>
    <t>Tuition &amp; Fees</t>
  </si>
  <si>
    <t>Books &amp; Supplies</t>
  </si>
  <si>
    <t>Neumont Student Housing</t>
  </si>
  <si>
    <t>AWARD LETTER ESTIMATE</t>
  </si>
  <si>
    <t>NEUMONT COLLEGE</t>
  </si>
  <si>
    <t>OFFICE OF FINANCIAL AID</t>
  </si>
  <si>
    <t>143 SOUTH MAIN STREET</t>
  </si>
  <si>
    <t>SALT LAKE CITY, UTAH 84111</t>
  </si>
  <si>
    <t>P: 866.801.1300 F: 801.302.2834</t>
  </si>
  <si>
    <t>STUDENT NAME:</t>
  </si>
  <si>
    <t>ADVISOR:</t>
  </si>
  <si>
    <t>DEGREE:</t>
  </si>
  <si>
    <t>PHONE:</t>
  </si>
  <si>
    <t>DATE ISSUED:</t>
  </si>
  <si>
    <t>EMAIL:</t>
  </si>
  <si>
    <t>COSTS FOR THE ACADEMIC YEAR</t>
  </si>
  <si>
    <t>through</t>
  </si>
  <si>
    <t>Q1</t>
  </si>
  <si>
    <t>Q2</t>
  </si>
  <si>
    <t>Q3</t>
  </si>
  <si>
    <t>Total AY</t>
  </si>
  <si>
    <t>Living Expenses (Optional)</t>
  </si>
  <si>
    <t>Other (Previous Balance, Additional Fees, Etc.)</t>
  </si>
  <si>
    <t>GRANTS AND SCHOLARSHIPS</t>
  </si>
  <si>
    <r>
      <t xml:space="preserve">Total Grants and Scholarships </t>
    </r>
    <r>
      <rPr>
        <sz val="10"/>
        <color theme="1"/>
        <rFont val="Calibri"/>
        <family val="2"/>
      </rPr>
      <t>(Gift aid that does not need to be repaid)</t>
    </r>
  </si>
  <si>
    <t>Federal Pell Grant</t>
  </si>
  <si>
    <t>Neumont Access Grant</t>
  </si>
  <si>
    <t>Neumont Utah Resident Grant</t>
  </si>
  <si>
    <t>COST AFTER GRANTS AND SCHOLARSHIPS</t>
  </si>
  <si>
    <t>Net Cost for the Academic Year</t>
  </si>
  <si>
    <t>Cost of Attendance Minus Total Grants and Scholarships</t>
  </si>
  <si>
    <t>Neumont Women in Technology Scholarship</t>
  </si>
  <si>
    <t>Neumont Service Scholarship</t>
  </si>
  <si>
    <t>Neumont Transfer Scholarship</t>
  </si>
  <si>
    <t>Neumont Outside Scholarship Match</t>
  </si>
  <si>
    <t>Outside / External Scholarship</t>
  </si>
  <si>
    <t>Federal VA Benefits</t>
  </si>
  <si>
    <t>Other Grant / Scholarship</t>
  </si>
  <si>
    <t>ADDITIONAL FUNDING OPTIONS</t>
  </si>
  <si>
    <t>Any Combination of the Following to Meet the Net Cost</t>
  </si>
  <si>
    <t>DISCLOSURE</t>
  </si>
  <si>
    <t>THIS WILL BE YOUR FUNDING PLAN UNLESS YOU REQUEST CHANGES THROUGH YOUR FINANCIAL AID ADVISOR AND TAKE ANY REQUIRED ACTION TO SECURE NECESSARY FUNDING. This document is not a contract and is subject to change. Receipt of awards not listed above, changes due to verification or school status, or changes in costs for the academic year, may alter your funding needs, eligibility, and/or amounts awarded. Please contact the Office of Financial Aid with any questions or to make adjustments to your plan.</t>
  </si>
  <si>
    <t>Personal or Family Contributions</t>
  </si>
  <si>
    <t>Federal Direct Subsidized Loan</t>
  </si>
  <si>
    <t>Federal Direct Unsubsidized Loan</t>
  </si>
  <si>
    <t>(i.e. Savings, 529 Plans, Other)</t>
  </si>
  <si>
    <t>Federal Direct Parent Plus Loan</t>
  </si>
  <si>
    <t>Private Student Loan</t>
  </si>
  <si>
    <t>(interest varies &amp; no origination fee)</t>
  </si>
  <si>
    <t>Neumont Tuition Options Loan</t>
  </si>
  <si>
    <t>Other Fund Source</t>
  </si>
  <si>
    <t>Gross Needed</t>
  </si>
  <si>
    <t>Net Needed</t>
  </si>
  <si>
    <t>Gross</t>
  </si>
  <si>
    <t>PAGE 1 OF 1</t>
  </si>
  <si>
    <t>Estimated Direct Costs for Full-Time Enrollment</t>
  </si>
  <si>
    <t>Estimated Indirect Costs for Full-Time Enrollment</t>
  </si>
  <si>
    <t>Federal SEO Grant</t>
  </si>
  <si>
    <t>(requires 3.25 cGPA to maintain)</t>
  </si>
  <si>
    <t>(requires Pell Eligibility)</t>
  </si>
  <si>
    <t>(maximum award = $5,000 first AY only)</t>
  </si>
  <si>
    <t>LstAtmpt</t>
  </si>
  <si>
    <t>LstCon</t>
  </si>
  <si>
    <t>SyStudentId</t>
  </si>
  <si>
    <t>LastName</t>
  </si>
  <si>
    <t>FirstName</t>
  </si>
  <si>
    <t>email</t>
  </si>
  <si>
    <t>Address</t>
  </si>
  <si>
    <t>City</t>
  </si>
  <si>
    <t>Zip</t>
  </si>
  <si>
    <t>ExpStartDate</t>
  </si>
  <si>
    <t>Program</t>
  </si>
  <si>
    <t>Act</t>
  </si>
  <si>
    <t>Sat</t>
  </si>
  <si>
    <t>IndexScore</t>
  </si>
  <si>
    <t>AccRating</t>
  </si>
  <si>
    <t>#Atmpts</t>
  </si>
  <si>
    <t>1stCon</t>
  </si>
  <si>
    <t>FAA</t>
  </si>
  <si>
    <t>FAAPhone</t>
  </si>
  <si>
    <t>AYStart</t>
  </si>
  <si>
    <t>AYEnd</t>
  </si>
  <si>
    <t>T&amp;FQ1</t>
  </si>
  <si>
    <t>T&amp;FQ2</t>
  </si>
  <si>
    <t>T&amp;FQ3</t>
  </si>
  <si>
    <t>T&amp;FTot</t>
  </si>
  <si>
    <t>B&amp;SQ1</t>
  </si>
  <si>
    <t>B&amp;SQ2</t>
  </si>
  <si>
    <t>B&amp;SQ3</t>
  </si>
  <si>
    <t>B&amp;STot</t>
  </si>
  <si>
    <t>SEOGQ1</t>
  </si>
  <si>
    <t>SEOGQ2</t>
  </si>
  <si>
    <t>SEOGQ3</t>
  </si>
  <si>
    <t>SEOGTot</t>
  </si>
  <si>
    <t>PellQ1</t>
  </si>
  <si>
    <t>PellQ2</t>
  </si>
  <si>
    <t>PellQ3</t>
  </si>
  <si>
    <t>PellTot</t>
  </si>
  <si>
    <t>VAQ1</t>
  </si>
  <si>
    <t>VAQ2</t>
  </si>
  <si>
    <t>VAQ3</t>
  </si>
  <si>
    <t>VATot</t>
  </si>
  <si>
    <t>CashQ1</t>
  </si>
  <si>
    <t>CashQ2</t>
  </si>
  <si>
    <t>CashQ3</t>
  </si>
  <si>
    <t>CashTot</t>
  </si>
  <si>
    <t>SubQ1</t>
  </si>
  <si>
    <t>SubQ2</t>
  </si>
  <si>
    <t>SubQ3</t>
  </si>
  <si>
    <t>SubTot</t>
  </si>
  <si>
    <t>UnsubQ1</t>
  </si>
  <si>
    <t>UnsubQ2</t>
  </si>
  <si>
    <t>UnsubQ3</t>
  </si>
  <si>
    <t>UnsubTot</t>
  </si>
  <si>
    <t>SubFee</t>
  </si>
  <si>
    <t>UnsubFee</t>
  </si>
  <si>
    <t>PLUSQ1</t>
  </si>
  <si>
    <t>PLUSQ2</t>
  </si>
  <si>
    <t>PLUSQ3</t>
  </si>
  <si>
    <t>PLUSTot</t>
  </si>
  <si>
    <t>PLUSFee</t>
  </si>
  <si>
    <t>PrivQ1</t>
  </si>
  <si>
    <t>PrivQ2</t>
  </si>
  <si>
    <t>PrivQ3</t>
  </si>
  <si>
    <t>PrivTot</t>
  </si>
  <si>
    <t>TOQ1</t>
  </si>
  <si>
    <t>TOQ2</t>
  </si>
  <si>
    <t>TOQ3</t>
  </si>
  <si>
    <t>TOTot</t>
  </si>
  <si>
    <t>OFundQ1</t>
  </si>
  <si>
    <t>OFundQ2</t>
  </si>
  <si>
    <t>OFundQ3</t>
  </si>
  <si>
    <t>OFundTot</t>
  </si>
  <si>
    <t>Rank</t>
  </si>
  <si>
    <t>EFCDate</t>
  </si>
  <si>
    <t>VerReq</t>
  </si>
  <si>
    <t>VerCom</t>
  </si>
  <si>
    <t>StudentNameConCat</t>
  </si>
  <si>
    <t>D/I</t>
  </si>
  <si>
    <t>CostTot</t>
  </si>
  <si>
    <t>GiftTot</t>
  </si>
  <si>
    <t>SelfHelpTot</t>
  </si>
  <si>
    <t>(Loan Fee)</t>
  </si>
  <si>
    <t>NetNeed</t>
  </si>
  <si>
    <t>GrossNeed</t>
  </si>
  <si>
    <t>AccCom</t>
  </si>
  <si>
    <t>Zachary</t>
  </si>
  <si>
    <t>Eric</t>
  </si>
  <si>
    <t>Blake</t>
  </si>
  <si>
    <t>West Jordan</t>
  </si>
  <si>
    <t>Sandy</t>
  </si>
  <si>
    <t>MN</t>
  </si>
  <si>
    <t xml:space="preserve">UNKNOWN </t>
  </si>
  <si>
    <t>VI</t>
  </si>
  <si>
    <t>StuNum</t>
  </si>
  <si>
    <t>AdEnrollID</t>
  </si>
  <si>
    <t>OriginalStartDate</t>
  </si>
  <si>
    <t>SyCampusID</t>
  </si>
  <si>
    <t>AmHighSchoolID</t>
  </si>
  <si>
    <t>HSGradYear</t>
  </si>
  <si>
    <t>LeadDate</t>
  </si>
  <si>
    <t>OriginalExpStartDate</t>
  </si>
  <si>
    <t>AppRecDate</t>
  </si>
  <si>
    <t>adProgramVersionID</t>
  </si>
  <si>
    <t>EnrollDate</t>
  </si>
  <si>
    <t>USCitizen</t>
  </si>
  <si>
    <t>amRepID</t>
  </si>
  <si>
    <t>LeadType</t>
  </si>
  <si>
    <t>LeadSource</t>
  </si>
  <si>
    <t>SySchoolStatusID</t>
  </si>
  <si>
    <t>Campus</t>
  </si>
  <si>
    <t>AppType</t>
  </si>
  <si>
    <t>AdDegreeID</t>
  </si>
  <si>
    <t>Degree</t>
  </si>
  <si>
    <t>ActEnglish</t>
  </si>
  <si>
    <t>ActMath</t>
  </si>
  <si>
    <t>ActReading</t>
  </si>
  <si>
    <t>ActScience</t>
  </si>
  <si>
    <t>SatMath</t>
  </si>
  <si>
    <t>SatReading</t>
  </si>
  <si>
    <t>SatWriting</t>
  </si>
  <si>
    <t>IntendedProgram</t>
  </si>
  <si>
    <t>HomeState</t>
  </si>
  <si>
    <t>StartRating</t>
  </si>
  <si>
    <t>FAStatus</t>
  </si>
  <si>
    <t>TitleIV</t>
  </si>
  <si>
    <t>SMSig</t>
  </si>
  <si>
    <t>SMSel</t>
  </si>
  <si>
    <t>NLSC</t>
  </si>
  <si>
    <t>Comment</t>
  </si>
  <si>
    <t>HomeZip</t>
  </si>
  <si>
    <t>Schlrshp1</t>
  </si>
  <si>
    <t>Schlrshp1Amount</t>
  </si>
  <si>
    <t>Schlrshp2</t>
  </si>
  <si>
    <t>Schlrshp2Amount</t>
  </si>
  <si>
    <t>Schlrshp3</t>
  </si>
  <si>
    <t>Schlrshp3Amount</t>
  </si>
  <si>
    <t>ScholTotal</t>
  </si>
  <si>
    <t>Interview</t>
  </si>
  <si>
    <t>AccCommittee</t>
  </si>
  <si>
    <t>AccLetter</t>
  </si>
  <si>
    <t>SSMailer</t>
  </si>
  <si>
    <t>Transcript</t>
  </si>
  <si>
    <t>EnrFee</t>
  </si>
  <si>
    <t>EnrollAgmnt</t>
  </si>
  <si>
    <t>ScholApp</t>
  </si>
  <si>
    <t>LaptopStatus</t>
  </si>
  <si>
    <t>CreditsSched</t>
  </si>
  <si>
    <t>DateRegistered</t>
  </si>
  <si>
    <t>AcceptDate</t>
  </si>
  <si>
    <t>hsCode</t>
  </si>
  <si>
    <t>hsName</t>
  </si>
  <si>
    <t>hsCity</t>
  </si>
  <si>
    <t>hsState</t>
  </si>
  <si>
    <t>hsZip</t>
  </si>
  <si>
    <t>MI</t>
  </si>
  <si>
    <t xml:space="preserve">HS2019  </t>
  </si>
  <si>
    <t>2019 HS Graduate</t>
  </si>
  <si>
    <t>Neumont SLC Campus</t>
  </si>
  <si>
    <t>106</t>
  </si>
  <si>
    <t>BSGD</t>
  </si>
  <si>
    <t>Achievement</t>
  </si>
  <si>
    <t>0</t>
  </si>
  <si>
    <t>III</t>
  </si>
  <si>
    <t>November</t>
  </si>
  <si>
    <t>Not Ordered</t>
  </si>
  <si>
    <t>Justin</t>
  </si>
  <si>
    <t>CO</t>
  </si>
  <si>
    <t xml:space="preserve">WEBM        </t>
  </si>
  <si>
    <t xml:space="preserve">1080    </t>
  </si>
  <si>
    <t>97</t>
  </si>
  <si>
    <t>VII</t>
  </si>
  <si>
    <t>DENVER</t>
  </si>
  <si>
    <t>Smith</t>
  </si>
  <si>
    <t>Nicholas</t>
  </si>
  <si>
    <t xml:space="preserve">WSREQUESTM  </t>
  </si>
  <si>
    <t xml:space="preserve">28      </t>
  </si>
  <si>
    <t xml:space="preserve">32      </t>
  </si>
  <si>
    <t xml:space="preserve">26      </t>
  </si>
  <si>
    <t xml:space="preserve">25      </t>
  </si>
  <si>
    <t>127</t>
  </si>
  <si>
    <t>BSWD</t>
  </si>
  <si>
    <t>I</t>
  </si>
  <si>
    <t>FL</t>
  </si>
  <si>
    <t>BSCS12Q - Bachelor of Science in Computer Science</t>
  </si>
  <si>
    <t>Bachelor of Science</t>
  </si>
  <si>
    <t xml:space="preserve">1200    </t>
  </si>
  <si>
    <t>BSCS</t>
  </si>
  <si>
    <t>IN</t>
  </si>
  <si>
    <t xml:space="preserve">33      </t>
  </si>
  <si>
    <t xml:space="preserve">34      </t>
  </si>
  <si>
    <t xml:space="preserve">29      </t>
  </si>
  <si>
    <t>WI</t>
  </si>
  <si>
    <t xml:space="preserve">27      </t>
  </si>
  <si>
    <t xml:space="preserve">23      </t>
  </si>
  <si>
    <t>121</t>
  </si>
  <si>
    <t>TX</t>
  </si>
  <si>
    <t xml:space="preserve">1030    </t>
  </si>
  <si>
    <t>114</t>
  </si>
  <si>
    <t>IV</t>
  </si>
  <si>
    <t>David</t>
  </si>
  <si>
    <t>AZ</t>
  </si>
  <si>
    <t>CA</t>
  </si>
  <si>
    <t xml:space="preserve">21      </t>
  </si>
  <si>
    <t xml:space="preserve">24      </t>
  </si>
  <si>
    <t xml:space="preserve">22      </t>
  </si>
  <si>
    <t xml:space="preserve">1110    </t>
  </si>
  <si>
    <t>117</t>
  </si>
  <si>
    <t xml:space="preserve">          </t>
  </si>
  <si>
    <t>Kevin</t>
  </si>
  <si>
    <t>AR</t>
  </si>
  <si>
    <t>IL</t>
  </si>
  <si>
    <t xml:space="preserve">1170    </t>
  </si>
  <si>
    <t>108</t>
  </si>
  <si>
    <t>II</t>
  </si>
  <si>
    <t xml:space="preserve">NICHEPPLZA  </t>
  </si>
  <si>
    <t>119</t>
  </si>
  <si>
    <t>126</t>
  </si>
  <si>
    <t>Robert</t>
  </si>
  <si>
    <t>94</t>
  </si>
  <si>
    <t>Ezekiel</t>
  </si>
  <si>
    <t>Daniel</t>
  </si>
  <si>
    <t xml:space="preserve">1120    </t>
  </si>
  <si>
    <t>115</t>
  </si>
  <si>
    <t>Joshua</t>
  </si>
  <si>
    <t>AL</t>
  </si>
  <si>
    <t>IA</t>
  </si>
  <si>
    <t>X</t>
  </si>
  <si>
    <t>Grace</t>
  </si>
  <si>
    <t>TN</t>
  </si>
  <si>
    <t>Anthony</t>
  </si>
  <si>
    <t>KS</t>
  </si>
  <si>
    <t xml:space="preserve">19      </t>
  </si>
  <si>
    <t xml:space="preserve">15      </t>
  </si>
  <si>
    <t xml:space="preserve">18      </t>
  </si>
  <si>
    <t xml:space="preserve">20      </t>
  </si>
  <si>
    <t>93</t>
  </si>
  <si>
    <t>Memphis</t>
  </si>
  <si>
    <t>Utah Resident</t>
  </si>
  <si>
    <t>WA</t>
  </si>
  <si>
    <t>Not specified</t>
  </si>
  <si>
    <t xml:space="preserve">NCSEARCH18  </t>
  </si>
  <si>
    <t>113</t>
  </si>
  <si>
    <t xml:space="preserve">ACT         </t>
  </si>
  <si>
    <t xml:space="preserve">1150    </t>
  </si>
  <si>
    <t>HI</t>
  </si>
  <si>
    <t xml:space="preserve">1160    </t>
  </si>
  <si>
    <t>Colton</t>
  </si>
  <si>
    <t>NM</t>
  </si>
  <si>
    <t>Davis</t>
  </si>
  <si>
    <t xml:space="preserve">NICHEPPLZB  </t>
  </si>
  <si>
    <t xml:space="preserve">30      </t>
  </si>
  <si>
    <t xml:space="preserve">35      </t>
  </si>
  <si>
    <t>120</t>
  </si>
  <si>
    <t>MS</t>
  </si>
  <si>
    <t xml:space="preserve">31      </t>
  </si>
  <si>
    <t>131</t>
  </si>
  <si>
    <t>109</t>
  </si>
  <si>
    <t>GA</t>
  </si>
  <si>
    <t>112</t>
  </si>
  <si>
    <t xml:space="preserve">1050    </t>
  </si>
  <si>
    <t xml:space="preserve">WEBWS       </t>
  </si>
  <si>
    <t>Allen</t>
  </si>
  <si>
    <t xml:space="preserve">14      </t>
  </si>
  <si>
    <t>PA</t>
  </si>
  <si>
    <t xml:space="preserve">1250    </t>
  </si>
  <si>
    <t xml:space="preserve">1130    </t>
  </si>
  <si>
    <t xml:space="preserve">17      </t>
  </si>
  <si>
    <t xml:space="preserve">CAPPEXZA    </t>
  </si>
  <si>
    <t>99</t>
  </si>
  <si>
    <t xml:space="preserve">36      </t>
  </si>
  <si>
    <t>129</t>
  </si>
  <si>
    <t>Layton</t>
  </si>
  <si>
    <t xml:space="preserve">84041     </t>
  </si>
  <si>
    <t>Decatur</t>
  </si>
  <si>
    <t xml:space="preserve">1210    </t>
  </si>
  <si>
    <t xml:space="preserve">WEBRFL      </t>
  </si>
  <si>
    <t>Williams</t>
  </si>
  <si>
    <t>Timothy</t>
  </si>
  <si>
    <t xml:space="preserve">WEBEM       </t>
  </si>
  <si>
    <t>OH</t>
  </si>
  <si>
    <t>Jackson</t>
  </si>
  <si>
    <t>LA</t>
  </si>
  <si>
    <t>122</t>
  </si>
  <si>
    <t>Michael</t>
  </si>
  <si>
    <t>Houston</t>
  </si>
  <si>
    <t>92</t>
  </si>
  <si>
    <t>HOUSTON</t>
  </si>
  <si>
    <t>Bakersfield</t>
  </si>
  <si>
    <t>133</t>
  </si>
  <si>
    <t xml:space="preserve">16      </t>
  </si>
  <si>
    <t>Jordan</t>
  </si>
  <si>
    <t>Dayton</t>
  </si>
  <si>
    <t>Emily</t>
  </si>
  <si>
    <t>Hunter</t>
  </si>
  <si>
    <t xml:space="preserve">1280    </t>
  </si>
  <si>
    <t>SC</t>
  </si>
  <si>
    <t>KY</t>
  </si>
  <si>
    <t>111</t>
  </si>
  <si>
    <t>John</t>
  </si>
  <si>
    <t>NC</t>
  </si>
  <si>
    <t>MO</t>
  </si>
  <si>
    <t>124</t>
  </si>
  <si>
    <t>Ryan</t>
  </si>
  <si>
    <t>104</t>
  </si>
  <si>
    <t>Benjamin</t>
  </si>
  <si>
    <t xml:space="preserve">1260    </t>
  </si>
  <si>
    <t>ND</t>
  </si>
  <si>
    <t xml:space="preserve">WSREQUESTO  </t>
  </si>
  <si>
    <t xml:space="preserve">1240    </t>
  </si>
  <si>
    <t>Gabriel</t>
  </si>
  <si>
    <t xml:space="preserve">HS2018  </t>
  </si>
  <si>
    <t>2018 HS Graduate</t>
  </si>
  <si>
    <t>95</t>
  </si>
  <si>
    <t>Mayes</t>
  </si>
  <si>
    <t>McCarty</t>
  </si>
  <si>
    <t>Topeka</t>
  </si>
  <si>
    <t>TOPEKA</t>
  </si>
  <si>
    <t>Miller</t>
  </si>
  <si>
    <t>Mitchell</t>
  </si>
  <si>
    <t xml:space="preserve">13      </t>
  </si>
  <si>
    <t xml:space="preserve">11      </t>
  </si>
  <si>
    <t xml:space="preserve">12      </t>
  </si>
  <si>
    <t>75</t>
  </si>
  <si>
    <t>San Diego</t>
  </si>
  <si>
    <t xml:space="preserve">1230    </t>
  </si>
  <si>
    <t xml:space="preserve">        </t>
  </si>
  <si>
    <t>Nguyen</t>
  </si>
  <si>
    <t>Thien</t>
  </si>
  <si>
    <t>Nguyen, Thien</t>
  </si>
  <si>
    <t>105</t>
  </si>
  <si>
    <t>Jacob</t>
  </si>
  <si>
    <t>North</t>
  </si>
  <si>
    <t>Las Vegas</t>
  </si>
  <si>
    <t>NV</t>
  </si>
  <si>
    <t>96</t>
  </si>
  <si>
    <t xml:space="preserve">980     </t>
  </si>
  <si>
    <t>Ortiz</t>
  </si>
  <si>
    <t>Ewa Beach</t>
  </si>
  <si>
    <t xml:space="preserve">96706     </t>
  </si>
  <si>
    <t>Perez</t>
  </si>
  <si>
    <t xml:space="preserve">1060    </t>
  </si>
  <si>
    <t>Orlando</t>
  </si>
  <si>
    <t>Martin</t>
  </si>
  <si>
    <t>Lincoln</t>
  </si>
  <si>
    <t>NE</t>
  </si>
  <si>
    <t>Dylan</t>
  </si>
  <si>
    <t>Quincy</t>
  </si>
  <si>
    <t xml:space="preserve">84088     </t>
  </si>
  <si>
    <t>WEST JORDAN</t>
  </si>
  <si>
    <t>Mobile</t>
  </si>
  <si>
    <t>Tucson</t>
  </si>
  <si>
    <t>Logan</t>
  </si>
  <si>
    <t>OK</t>
  </si>
  <si>
    <t>Bradley</t>
  </si>
  <si>
    <t>Tyler</t>
  </si>
  <si>
    <t>Georgetown</t>
  </si>
  <si>
    <t>102</t>
  </si>
  <si>
    <t>Ashton</t>
  </si>
  <si>
    <t>Montgomery</t>
  </si>
  <si>
    <t>Stewart</t>
  </si>
  <si>
    <t xml:space="preserve">1180    </t>
  </si>
  <si>
    <t>Dakota</t>
  </si>
  <si>
    <t>Morristown</t>
  </si>
  <si>
    <t>85</t>
  </si>
  <si>
    <t xml:space="preserve">1010    </t>
  </si>
  <si>
    <t xml:space="preserve">CHAP            </t>
  </si>
  <si>
    <t>Chapin High School</t>
  </si>
  <si>
    <t>El Paso</t>
  </si>
  <si>
    <t xml:space="preserve">1310    </t>
  </si>
  <si>
    <t>101</t>
  </si>
  <si>
    <t>Ethan</t>
  </si>
  <si>
    <t>CALL-IN/WALK</t>
  </si>
  <si>
    <t>Noah</t>
  </si>
  <si>
    <t>Christopher</t>
  </si>
  <si>
    <t>Norton</t>
  </si>
  <si>
    <t>Wilson</t>
  </si>
  <si>
    <t xml:space="preserve">1040    </t>
  </si>
  <si>
    <t xml:space="preserve">1220    </t>
  </si>
  <si>
    <t>Kaleb</t>
  </si>
  <si>
    <t xml:space="preserve">960     </t>
  </si>
  <si>
    <t>Anderson</t>
  </si>
  <si>
    <t>Joseph</t>
  </si>
  <si>
    <t>Greensboro</t>
  </si>
  <si>
    <t>MD</t>
  </si>
  <si>
    <t xml:space="preserve">1320    </t>
  </si>
  <si>
    <t>Bell</t>
  </si>
  <si>
    <t xml:space="preserve">1140    </t>
  </si>
  <si>
    <t>CT</t>
  </si>
  <si>
    <t>Andrew</t>
  </si>
  <si>
    <t>MIAMI</t>
  </si>
  <si>
    <t>Brown</t>
  </si>
  <si>
    <t>Connor</t>
  </si>
  <si>
    <t xml:space="preserve">990     </t>
  </si>
  <si>
    <t xml:space="preserve">1070    </t>
  </si>
  <si>
    <t xml:space="preserve">1000    </t>
  </si>
  <si>
    <t>90</t>
  </si>
  <si>
    <t>78</t>
  </si>
  <si>
    <t xml:space="preserve">950     </t>
  </si>
  <si>
    <t>Dalton</t>
  </si>
  <si>
    <t>ID</t>
  </si>
  <si>
    <t>Crowley</t>
  </si>
  <si>
    <t>NY</t>
  </si>
  <si>
    <t xml:space="preserve">1020    </t>
  </si>
  <si>
    <t>Mason</t>
  </si>
  <si>
    <t>Evans</t>
  </si>
  <si>
    <t>Aaron</t>
  </si>
  <si>
    <t>Thomas</t>
  </si>
  <si>
    <t>Adam</t>
  </si>
  <si>
    <t>Brandon</t>
  </si>
  <si>
    <t>James</t>
  </si>
  <si>
    <t>Alexander</t>
  </si>
  <si>
    <t xml:space="preserve">1190    </t>
  </si>
  <si>
    <t>Aurora</t>
  </si>
  <si>
    <t>Dustin</t>
  </si>
  <si>
    <t>Bountiful</t>
  </si>
  <si>
    <t xml:space="preserve">84010     </t>
  </si>
  <si>
    <t>Jones</t>
  </si>
  <si>
    <t>Ashley</t>
  </si>
  <si>
    <t>Matthew</t>
  </si>
  <si>
    <t>Cameron</t>
  </si>
  <si>
    <t xml:space="preserve">1350    </t>
  </si>
  <si>
    <t>Mark</t>
  </si>
  <si>
    <t>Cathedral City</t>
  </si>
  <si>
    <t>Meridian</t>
  </si>
  <si>
    <t>Pleasant View</t>
  </si>
  <si>
    <t>McKinney</t>
  </si>
  <si>
    <t>Moore</t>
  </si>
  <si>
    <t>Jonathan</t>
  </si>
  <si>
    <t>Moses</t>
  </si>
  <si>
    <t>George</t>
  </si>
  <si>
    <t>Richmond</t>
  </si>
  <si>
    <t>Nelson</t>
  </si>
  <si>
    <t>Kirkland</t>
  </si>
  <si>
    <t xml:space="preserve">98034     </t>
  </si>
  <si>
    <t>Parker</t>
  </si>
  <si>
    <t>Pittsburgh</t>
  </si>
  <si>
    <t xml:space="preserve">80012     </t>
  </si>
  <si>
    <t xml:space="preserve">1270    </t>
  </si>
  <si>
    <t>Leon</t>
  </si>
  <si>
    <t>Chandler</t>
  </si>
  <si>
    <t>Ramirez</t>
  </si>
  <si>
    <t>Juan</t>
  </si>
  <si>
    <t>Long Beach</t>
  </si>
  <si>
    <t>Reyes</t>
  </si>
  <si>
    <t>Roberts</t>
  </si>
  <si>
    <t>Robinson</t>
  </si>
  <si>
    <t>Detroit</t>
  </si>
  <si>
    <t>Rodriguez</t>
  </si>
  <si>
    <t>Dover</t>
  </si>
  <si>
    <t>DE</t>
  </si>
  <si>
    <t xml:space="preserve">19904     </t>
  </si>
  <si>
    <t>Redlands</t>
  </si>
  <si>
    <t xml:space="preserve">78626     </t>
  </si>
  <si>
    <t>Jade</t>
  </si>
  <si>
    <t xml:space="preserve">450241          </t>
  </si>
  <si>
    <t>Spectrum Academy</t>
  </si>
  <si>
    <t>North Salt Lake</t>
  </si>
  <si>
    <t xml:space="preserve">84054     </t>
  </si>
  <si>
    <t>Shannon</t>
  </si>
  <si>
    <t>123</t>
  </si>
  <si>
    <t>ME</t>
  </si>
  <si>
    <t xml:space="preserve">  </t>
  </si>
  <si>
    <t>Lauren</t>
  </si>
  <si>
    <t>Taylor</t>
  </si>
  <si>
    <t>FREDERICK</t>
  </si>
  <si>
    <t>SD</t>
  </si>
  <si>
    <t>Evan</t>
  </si>
  <si>
    <t>Carrollton</t>
  </si>
  <si>
    <t>Augusta</t>
  </si>
  <si>
    <t>Simeon</t>
  </si>
  <si>
    <t>BSIS</t>
  </si>
  <si>
    <t>Shawn</t>
  </si>
  <si>
    <t>Morris</t>
  </si>
  <si>
    <t>Donovan</t>
  </si>
  <si>
    <t>Haley</t>
  </si>
  <si>
    <t>Montrose</t>
  </si>
  <si>
    <t>Hector</t>
  </si>
  <si>
    <t>LOVELAND</t>
  </si>
  <si>
    <t xml:space="preserve">84118     </t>
  </si>
  <si>
    <t>Taylorsville</t>
  </si>
  <si>
    <t>Stinson</t>
  </si>
  <si>
    <t>Wright</t>
  </si>
  <si>
    <t>BSTM</t>
  </si>
  <si>
    <t>Sanders</t>
  </si>
  <si>
    <t>MT</t>
  </si>
  <si>
    <t xml:space="preserve">92234     </t>
  </si>
  <si>
    <t xml:space="preserve">84414     </t>
  </si>
  <si>
    <t xml:space="preserve">14094     </t>
  </si>
  <si>
    <t xml:space="preserve">15206     </t>
  </si>
  <si>
    <t xml:space="preserve">84117     </t>
  </si>
  <si>
    <t xml:space="preserve">90810     </t>
  </si>
  <si>
    <t xml:space="preserve">92373     </t>
  </si>
  <si>
    <t xml:space="preserve">27407     </t>
  </si>
  <si>
    <t xml:space="preserve">28215     </t>
  </si>
  <si>
    <t xml:space="preserve">81401     </t>
  </si>
  <si>
    <t>18-Pending Enrollment</t>
  </si>
  <si>
    <t>Maureen Ranks</t>
  </si>
  <si>
    <t>mranks@neumont.edu</t>
  </si>
  <si>
    <t>Lastname</t>
  </si>
  <si>
    <t>TransactionID</t>
  </si>
  <si>
    <t>PEFC</t>
  </si>
  <si>
    <t>Verification</t>
  </si>
  <si>
    <t>PellEligFlag</t>
  </si>
  <si>
    <t>AwardYear</t>
  </si>
  <si>
    <t>DateISIRrcvd</t>
  </si>
  <si>
    <t>SyStudentID</t>
  </si>
  <si>
    <t>000000</t>
  </si>
  <si>
    <t>N</t>
  </si>
  <si>
    <t>Y</t>
  </si>
  <si>
    <t>009540</t>
  </si>
  <si>
    <t>IntProg</t>
  </si>
  <si>
    <t>a</t>
  </si>
  <si>
    <t>b</t>
  </si>
  <si>
    <t>c</t>
  </si>
  <si>
    <t>d</t>
  </si>
  <si>
    <t>e</t>
  </si>
  <si>
    <t>f</t>
  </si>
  <si>
    <t>g</t>
  </si>
  <si>
    <t>h</t>
  </si>
  <si>
    <t>i</t>
  </si>
  <si>
    <t>j</t>
  </si>
  <si>
    <t>k</t>
  </si>
  <si>
    <t>l</t>
  </si>
  <si>
    <t>m</t>
  </si>
  <si>
    <t>n</t>
  </si>
  <si>
    <t>o</t>
  </si>
  <si>
    <t>p</t>
  </si>
  <si>
    <t>q</t>
  </si>
  <si>
    <t>r</t>
  </si>
  <si>
    <t>s</t>
  </si>
  <si>
    <t>t</t>
  </si>
  <si>
    <t>u</t>
  </si>
  <si>
    <t>v</t>
  </si>
  <si>
    <t>w</t>
  </si>
  <si>
    <t>x</t>
  </si>
  <si>
    <t>y</t>
  </si>
  <si>
    <t>z</t>
  </si>
  <si>
    <t>ALESent</t>
  </si>
  <si>
    <t>PlusApp</t>
  </si>
  <si>
    <t>TO_E-Sign</t>
  </si>
  <si>
    <t>V-HHSNIC</t>
  </si>
  <si>
    <t>V-SNonFiler</t>
  </si>
  <si>
    <t>V-PNonFiler</t>
  </si>
  <si>
    <t>V-ID</t>
  </si>
  <si>
    <t>DRT</t>
  </si>
  <si>
    <t>%Complete</t>
  </si>
  <si>
    <t>FAAEmail</t>
  </si>
  <si>
    <t>HousQ1</t>
  </si>
  <si>
    <t>HousQ2</t>
  </si>
  <si>
    <t>HousQ3</t>
  </si>
  <si>
    <t>HousTot</t>
  </si>
  <si>
    <t>LEQ1</t>
  </si>
  <si>
    <t>LEQ2</t>
  </si>
  <si>
    <t>LEQ3</t>
  </si>
  <si>
    <t>LETot</t>
  </si>
  <si>
    <t>OthCostQ1</t>
  </si>
  <si>
    <t>OthCostQ2</t>
  </si>
  <si>
    <t>OthCostQ3</t>
  </si>
  <si>
    <t>OthCostTot</t>
  </si>
  <si>
    <t>AccessQ1</t>
  </si>
  <si>
    <t>AccessQ2</t>
  </si>
  <si>
    <t>AccessQ3</t>
  </si>
  <si>
    <t>AccessTot</t>
  </si>
  <si>
    <t>AchiQ1</t>
  </si>
  <si>
    <t>AchiQ2</t>
  </si>
  <si>
    <t>AchiQ3</t>
  </si>
  <si>
    <t>AchiTot</t>
  </si>
  <si>
    <t>UTQ1</t>
  </si>
  <si>
    <t>UTQ2</t>
  </si>
  <si>
    <t>UTQ3</t>
  </si>
  <si>
    <t>UTTot</t>
  </si>
  <si>
    <t>WITQ1</t>
  </si>
  <si>
    <t>WITQ2</t>
  </si>
  <si>
    <t>WITQ3</t>
  </si>
  <si>
    <t>WITTot</t>
  </si>
  <si>
    <t>SerQ1</t>
  </si>
  <si>
    <t>SerQ2</t>
  </si>
  <si>
    <t>SerQ3</t>
  </si>
  <si>
    <t>SerTot</t>
  </si>
  <si>
    <t>TranQ1</t>
  </si>
  <si>
    <t>TranQ2</t>
  </si>
  <si>
    <t>TranQ3</t>
  </si>
  <si>
    <t>TranTot</t>
  </si>
  <si>
    <t>OthGrantQ1</t>
  </si>
  <si>
    <t>OthGrantQ2</t>
  </si>
  <si>
    <t>OthGrantQ3</t>
  </si>
  <si>
    <t>OthGrantTot</t>
  </si>
  <si>
    <t>OutQ1</t>
  </si>
  <si>
    <t>OutQ2</t>
  </si>
  <si>
    <t>OutQ3</t>
  </si>
  <si>
    <t>OutTot</t>
  </si>
  <si>
    <t>MatQ1</t>
  </si>
  <si>
    <t>MatQ2</t>
  </si>
  <si>
    <t>MatQ3</t>
  </si>
  <si>
    <t>MatTot</t>
  </si>
  <si>
    <t>AWARD LETTER ESTIMATE 19.1</t>
  </si>
  <si>
    <t>NetCost</t>
  </si>
  <si>
    <t>Portage</t>
  </si>
  <si>
    <t>Ramirez, Ezekiel</t>
  </si>
  <si>
    <t>Levi</t>
  </si>
  <si>
    <t>Vega</t>
  </si>
  <si>
    <t>Charles</t>
  </si>
  <si>
    <t xml:space="preserve">84084     </t>
  </si>
  <si>
    <t xml:space="preserve">WEBHS       </t>
  </si>
  <si>
    <t>MURRAY</t>
  </si>
  <si>
    <t>Murray</t>
  </si>
  <si>
    <t>Riverton</t>
  </si>
  <si>
    <t xml:space="preserve">84065     </t>
  </si>
  <si>
    <t>Model</t>
  </si>
  <si>
    <t>D</t>
  </si>
  <si>
    <t>R</t>
  </si>
  <si>
    <t>G</t>
  </si>
  <si>
    <t>DAYTON</t>
  </si>
  <si>
    <t>Chris</t>
  </si>
  <si>
    <t>Magna</t>
  </si>
  <si>
    <t>EFCRaw</t>
  </si>
  <si>
    <t>October</t>
  </si>
  <si>
    <t>WY</t>
  </si>
  <si>
    <t xml:space="preserve">84129     </t>
  </si>
  <si>
    <t>Chloe</t>
  </si>
  <si>
    <t>Henderson</t>
  </si>
  <si>
    <t>128</t>
  </si>
  <si>
    <t xml:space="preserve">940     </t>
  </si>
  <si>
    <t xml:space="preserve">WEBO        </t>
  </si>
  <si>
    <t xml:space="preserve">1100    </t>
  </si>
  <si>
    <t>South Jordan</t>
  </si>
  <si>
    <t xml:space="preserve">84095     </t>
  </si>
  <si>
    <t xml:space="preserve">84015     </t>
  </si>
  <si>
    <t>San Antonio</t>
  </si>
  <si>
    <t xml:space="preserve">84020     </t>
  </si>
  <si>
    <t xml:space="preserve">450004          </t>
  </si>
  <si>
    <t>Westlake High School</t>
  </si>
  <si>
    <t>Saratoga Springs</t>
  </si>
  <si>
    <t xml:space="preserve">84045     </t>
  </si>
  <si>
    <t xml:space="preserve">870     </t>
  </si>
  <si>
    <t>Reed</t>
  </si>
  <si>
    <t>Syracuse</t>
  </si>
  <si>
    <t xml:space="preserve">84075     </t>
  </si>
  <si>
    <t>Ruiz</t>
  </si>
  <si>
    <t>Albuquerque</t>
  </si>
  <si>
    <t>Chicago</t>
  </si>
  <si>
    <t>Benson</t>
  </si>
  <si>
    <t>Bryson</t>
  </si>
  <si>
    <t xml:space="preserve">970     </t>
  </si>
  <si>
    <t xml:space="preserve">130286          </t>
  </si>
  <si>
    <t>Compass Academy</t>
  </si>
  <si>
    <t>Idaho Falls</t>
  </si>
  <si>
    <t xml:space="preserve">83401     </t>
  </si>
  <si>
    <t>Peyton</t>
  </si>
  <si>
    <t>OR</t>
  </si>
  <si>
    <t xml:space="preserve">89110     </t>
  </si>
  <si>
    <t>Harrison</t>
  </si>
  <si>
    <t>Harvey</t>
  </si>
  <si>
    <t>Austin</t>
  </si>
  <si>
    <t>Johnathan</t>
  </si>
  <si>
    <t xml:space="preserve">1300    </t>
  </si>
  <si>
    <t>Spencer</t>
  </si>
  <si>
    <t>Mikayla</t>
  </si>
  <si>
    <t>MA</t>
  </si>
  <si>
    <t xml:space="preserve">72712     </t>
  </si>
  <si>
    <t>Carson</t>
  </si>
  <si>
    <t>Carlos</t>
  </si>
  <si>
    <t>Jayson</t>
  </si>
  <si>
    <t xml:space="preserve">1340    </t>
  </si>
  <si>
    <t>PrintID</t>
  </si>
  <si>
    <t>SarCFlag</t>
  </si>
  <si>
    <t>ProfJudgement</t>
  </si>
  <si>
    <t>VerificationComplete</t>
  </si>
  <si>
    <t>CPSPushedISIR</t>
  </si>
  <si>
    <t>SARcChangeFlag</t>
  </si>
  <si>
    <t>CampusCode</t>
  </si>
  <si>
    <t>CampusDescrip</t>
  </si>
  <si>
    <t>PellLifetimeLimit</t>
  </si>
  <si>
    <t xml:space="preserve"> </t>
  </si>
  <si>
    <t>No</t>
  </si>
  <si>
    <t>Not Required</t>
  </si>
  <si>
    <t xml:space="preserve">572     </t>
  </si>
  <si>
    <t>Dallas</t>
  </si>
  <si>
    <t>Morgan</t>
  </si>
  <si>
    <t>Fort Worth</t>
  </si>
  <si>
    <t>Jason</t>
  </si>
  <si>
    <t>Simi Valley</t>
  </si>
  <si>
    <t xml:space="preserve">93065     </t>
  </si>
  <si>
    <t>Potter</t>
  </si>
  <si>
    <t>Alec</t>
  </si>
  <si>
    <t>Jensen</t>
  </si>
  <si>
    <t xml:space="preserve">92345     </t>
  </si>
  <si>
    <t>DRAPER</t>
  </si>
  <si>
    <t>Saint Clair</t>
  </si>
  <si>
    <t>Smith, David</t>
  </si>
  <si>
    <t>Antonio</t>
  </si>
  <si>
    <t>Andy</t>
  </si>
  <si>
    <t xml:space="preserve">HS2011  </t>
  </si>
  <si>
    <t>2011 HS Graduate</t>
  </si>
  <si>
    <t>Honolulu</t>
  </si>
  <si>
    <t xml:space="preserve">96818     </t>
  </si>
  <si>
    <t>Leslie Tippets</t>
  </si>
  <si>
    <t>ltippets@neumont.edu</t>
  </si>
  <si>
    <t>Firstname</t>
  </si>
  <si>
    <t>Formula</t>
  </si>
  <si>
    <t/>
  </si>
  <si>
    <t>BS Computer Science</t>
  </si>
  <si>
    <t>Salt Lake City</t>
  </si>
  <si>
    <t xml:space="preserve">930     </t>
  </si>
  <si>
    <t>Mendoza</t>
  </si>
  <si>
    <t>Victor</t>
  </si>
  <si>
    <t>Patel</t>
  </si>
  <si>
    <t>Leland</t>
  </si>
  <si>
    <t xml:space="preserve">19947     </t>
  </si>
  <si>
    <t>Alex</t>
  </si>
  <si>
    <t>GAFFNEY SENIOR HIGH SCHOOL</t>
  </si>
  <si>
    <t>GAFFNEY</t>
  </si>
  <si>
    <t xml:space="preserve">880     </t>
  </si>
  <si>
    <t>Atmore</t>
  </si>
  <si>
    <t xml:space="preserve">36502     </t>
  </si>
  <si>
    <t>Plainview</t>
  </si>
  <si>
    <t>Springville</t>
  </si>
  <si>
    <t>Vista Grande High School</t>
  </si>
  <si>
    <t>(No interest in school-rate/fee = Unsub)</t>
  </si>
  <si>
    <t>ROCKFORD</t>
  </si>
  <si>
    <t xml:space="preserve">HS2016  </t>
  </si>
  <si>
    <t>2016 HS Graduate</t>
  </si>
  <si>
    <t>Woods Cross</t>
  </si>
  <si>
    <t xml:space="preserve">84087     </t>
  </si>
  <si>
    <t>MIDDLETOWN HIGH SCHOOL</t>
  </si>
  <si>
    <t>MIDDLETOWN</t>
  </si>
  <si>
    <t>WV</t>
  </si>
  <si>
    <t xml:space="preserve">450064          </t>
  </si>
  <si>
    <t>JUAN DIEGO CATHOLIC HS</t>
  </si>
  <si>
    <t xml:space="preserve">D1901NR113  </t>
  </si>
  <si>
    <t>Walker</t>
  </si>
  <si>
    <t>SLEURange</t>
  </si>
  <si>
    <t>SULAFLag</t>
  </si>
  <si>
    <t>12000</t>
  </si>
  <si>
    <t>36000</t>
  </si>
  <si>
    <t xml:space="preserve">1090    </t>
  </si>
  <si>
    <t>110</t>
  </si>
  <si>
    <t>20400</t>
  </si>
  <si>
    <t>81</t>
  </si>
  <si>
    <t>18000</t>
  </si>
  <si>
    <t>15000</t>
  </si>
  <si>
    <t>15600</t>
  </si>
  <si>
    <t>86</t>
  </si>
  <si>
    <t>116</t>
  </si>
  <si>
    <t>9000</t>
  </si>
  <si>
    <t>103</t>
  </si>
  <si>
    <t>125</t>
  </si>
  <si>
    <t>83</t>
  </si>
  <si>
    <t>89</t>
  </si>
  <si>
    <t>70</t>
  </si>
  <si>
    <t xml:space="preserve">1470    </t>
  </si>
  <si>
    <t>136</t>
  </si>
  <si>
    <t>84</t>
  </si>
  <si>
    <t xml:space="preserve">1550    </t>
  </si>
  <si>
    <t>132</t>
  </si>
  <si>
    <t xml:space="preserve">37813     </t>
  </si>
  <si>
    <t xml:space="preserve">79925     </t>
  </si>
  <si>
    <t xml:space="preserve">87106     </t>
  </si>
  <si>
    <t>118</t>
  </si>
  <si>
    <t>107</t>
  </si>
  <si>
    <t>134</t>
  </si>
  <si>
    <t>88</t>
  </si>
  <si>
    <t>91</t>
  </si>
  <si>
    <t>80</t>
  </si>
  <si>
    <t>79</t>
  </si>
  <si>
    <t xml:space="preserve">30117     </t>
  </si>
  <si>
    <t xml:space="preserve">89117     </t>
  </si>
  <si>
    <t xml:space="preserve">84044     </t>
  </si>
  <si>
    <t xml:space="preserve">1450    </t>
  </si>
  <si>
    <t xml:space="preserve">410810          </t>
  </si>
  <si>
    <t xml:space="preserve">29341     </t>
  </si>
  <si>
    <t>KNOXVILLE</t>
  </si>
  <si>
    <t>Romero</t>
  </si>
  <si>
    <t>Brown, Aaron</t>
  </si>
  <si>
    <t>Harris</t>
  </si>
  <si>
    <t>Gregory</t>
  </si>
  <si>
    <t>Norwalk</t>
  </si>
  <si>
    <t xml:space="preserve">84104     </t>
  </si>
  <si>
    <t>Lehi</t>
  </si>
  <si>
    <t xml:space="preserve">84043     </t>
  </si>
  <si>
    <t>Sotelo</t>
  </si>
  <si>
    <t>Alamo</t>
  </si>
  <si>
    <t>Glendale</t>
  </si>
  <si>
    <t>Corey</t>
  </si>
  <si>
    <t>Rogers</t>
  </si>
  <si>
    <t>Preston</t>
  </si>
  <si>
    <t xml:space="preserve">84120     </t>
  </si>
  <si>
    <t>Velasquez</t>
  </si>
  <si>
    <t>100</t>
  </si>
  <si>
    <t>Monroe</t>
  </si>
  <si>
    <t>Phillips</t>
  </si>
  <si>
    <t>Knoxville</t>
  </si>
  <si>
    <t>Russell</t>
  </si>
  <si>
    <t>135</t>
  </si>
  <si>
    <t xml:space="preserve">84121     </t>
  </si>
  <si>
    <t>WSREQUESTCLR</t>
  </si>
  <si>
    <t>(4.53% interest &amp; 1.059% origination fee)</t>
  </si>
  <si>
    <t>(7.08% interest &amp; 4.236% origination fee)</t>
  </si>
  <si>
    <t>(9.08% interest &amp; no origination fee)</t>
  </si>
  <si>
    <t>LAS VEGAS</t>
  </si>
  <si>
    <t>Net</t>
  </si>
  <si>
    <t>Pearson</t>
  </si>
  <si>
    <t>Young</t>
  </si>
  <si>
    <t>Benton</t>
  </si>
  <si>
    <t xml:space="preserve">72015     </t>
  </si>
  <si>
    <t xml:space="preserve">040170          </t>
  </si>
  <si>
    <t>BENTON HIGH SCHOOL</t>
  </si>
  <si>
    <t>BENTON</t>
  </si>
  <si>
    <t>GM</t>
  </si>
  <si>
    <t>MR</t>
  </si>
  <si>
    <t>Kelly</t>
  </si>
  <si>
    <t>Manchester</t>
  </si>
  <si>
    <t>MANCHESTER</t>
  </si>
  <si>
    <t>Global Submitted</t>
  </si>
  <si>
    <t>Global Confirmed</t>
  </si>
  <si>
    <t>Cvue Complete</t>
  </si>
  <si>
    <t>Johnson</t>
  </si>
  <si>
    <t xml:space="preserve">HOME SCHOOLED   </t>
  </si>
  <si>
    <t>Home Schooled</t>
  </si>
  <si>
    <t xml:space="preserve">190935246 </t>
  </si>
  <si>
    <t>lopezismael1932@hotmail.com</t>
  </si>
  <si>
    <t xml:space="preserve">60099     </t>
  </si>
  <si>
    <t xml:space="preserve">HS2020  </t>
  </si>
  <si>
    <t>2020 HS Graduate</t>
  </si>
  <si>
    <t xml:space="preserve">DM1908CB078 </t>
  </si>
  <si>
    <t>July-October</t>
  </si>
  <si>
    <t xml:space="preserve">144515          </t>
  </si>
  <si>
    <t>ZION BENTON TOWNSHIP HS</t>
  </si>
  <si>
    <t>ZION</t>
  </si>
  <si>
    <t xml:space="preserve">190935374 </t>
  </si>
  <si>
    <t>Abraha</t>
  </si>
  <si>
    <t>Yonas</t>
  </si>
  <si>
    <t>Abraha, Yonas</t>
  </si>
  <si>
    <t>yonasabraha11b@gmail.com</t>
  </si>
  <si>
    <t>1104 West 37th Pl. Apt. 110</t>
  </si>
  <si>
    <t>Los Angeles</t>
  </si>
  <si>
    <t xml:space="preserve">90007     </t>
  </si>
  <si>
    <t xml:space="preserve">054025          </t>
  </si>
  <si>
    <t>NEW DESIGNS CHARTER SCHOOL</t>
  </si>
  <si>
    <t>LOS ANGELES</t>
  </si>
  <si>
    <t xml:space="preserve">90008     </t>
  </si>
  <si>
    <t xml:space="preserve">190935891 </t>
  </si>
  <si>
    <t>Acosta</t>
  </si>
  <si>
    <t>Megan</t>
  </si>
  <si>
    <t>Acosta, Megan</t>
  </si>
  <si>
    <t>meganacosta150@gmail.com</t>
  </si>
  <si>
    <t>1590 Linda Rosa Avenue</t>
  </si>
  <si>
    <t xml:space="preserve">90041     </t>
  </si>
  <si>
    <t xml:space="preserve">051580          </t>
  </si>
  <si>
    <t>EAGLE ROCK HIGH SCHOOL</t>
  </si>
  <si>
    <t xml:space="preserve">190935975 </t>
  </si>
  <si>
    <t>Aguilar</t>
  </si>
  <si>
    <t>Jewel</t>
  </si>
  <si>
    <t>Aguilar, Jewel</t>
  </si>
  <si>
    <t>jewroo1224@yahoo.com</t>
  </si>
  <si>
    <t>790 North 3600 East</t>
  </si>
  <si>
    <t>Menan</t>
  </si>
  <si>
    <t xml:space="preserve">83434     </t>
  </si>
  <si>
    <t xml:space="preserve">830     </t>
  </si>
  <si>
    <t xml:space="preserve">190936095 </t>
  </si>
  <si>
    <t>Jose Antonio</t>
  </si>
  <si>
    <t>Aguilar, Jose Antonio</t>
  </si>
  <si>
    <t>joseaguilarbusiness@gmail.com</t>
  </si>
  <si>
    <t>248 Mardi Gras Dr</t>
  </si>
  <si>
    <t xml:space="preserve">79912     </t>
  </si>
  <si>
    <t xml:space="preserve">DM1907EMAIL </t>
  </si>
  <si>
    <t>BSSE</t>
  </si>
  <si>
    <t xml:space="preserve">190732282 </t>
  </si>
  <si>
    <t>Ajaj</t>
  </si>
  <si>
    <t>Khaled</t>
  </si>
  <si>
    <t>Ajaj, Khaled</t>
  </si>
  <si>
    <t>khaledajaj20026@gmail.com</t>
  </si>
  <si>
    <t>21022 Los Alisos Blvd. Apt# 824</t>
  </si>
  <si>
    <t>Rancho Santa Margarita</t>
  </si>
  <si>
    <t xml:space="preserve">92688     </t>
  </si>
  <si>
    <t>DM1905CBA058</t>
  </si>
  <si>
    <t xml:space="preserve">051974          </t>
  </si>
  <si>
    <t>EL TORO HIGH SCHOOL</t>
  </si>
  <si>
    <t>LAKE FOREST</t>
  </si>
  <si>
    <t xml:space="preserve">92630     </t>
  </si>
  <si>
    <t xml:space="preserve">190632151 </t>
  </si>
  <si>
    <t>Al-Jaafari</t>
  </si>
  <si>
    <t>Omar</t>
  </si>
  <si>
    <t>Al-Jaafari, Omar</t>
  </si>
  <si>
    <t>omariopiano06@gmail.com</t>
  </si>
  <si>
    <t>3895 W Brixton Rd.</t>
  </si>
  <si>
    <t>DM1905UCB033</t>
  </si>
  <si>
    <t xml:space="preserve">190934722 </t>
  </si>
  <si>
    <t>Aidan</t>
  </si>
  <si>
    <t>Allen, Aidan</t>
  </si>
  <si>
    <t>rageallen01@hotmail.com</t>
  </si>
  <si>
    <t>1521 Park Height Street</t>
  </si>
  <si>
    <t>Miami</t>
  </si>
  <si>
    <t xml:space="preserve">74354     </t>
  </si>
  <si>
    <t xml:space="preserve">372375          </t>
  </si>
  <si>
    <t>MIAMI HIGH SCHOOL</t>
  </si>
  <si>
    <t xml:space="preserve">190833298 </t>
  </si>
  <si>
    <t>Jayden</t>
  </si>
  <si>
    <t>Allen, Jayden</t>
  </si>
  <si>
    <t>jaydenman3@gmail.com</t>
  </si>
  <si>
    <t>3200 Old Winter Garden Road Apt.1524</t>
  </si>
  <si>
    <t>Ocoee</t>
  </si>
  <si>
    <t xml:space="preserve">34761     </t>
  </si>
  <si>
    <t xml:space="preserve">101656          </t>
  </si>
  <si>
    <t>OLYMPIA HIGH SCHOOL</t>
  </si>
  <si>
    <t>ORLANDO</t>
  </si>
  <si>
    <t xml:space="preserve">32835     </t>
  </si>
  <si>
    <t xml:space="preserve">190632108 </t>
  </si>
  <si>
    <t>Ameigh</t>
  </si>
  <si>
    <t>Ameigh, Zachary</t>
  </si>
  <si>
    <t>zameigh@gmail.com</t>
  </si>
  <si>
    <t>2415 Trinity Ave</t>
  </si>
  <si>
    <t>Cortez</t>
  </si>
  <si>
    <t xml:space="preserve">81321     </t>
  </si>
  <si>
    <t xml:space="preserve">DM1905NR058 </t>
  </si>
  <si>
    <t xml:space="preserve">060305          </t>
  </si>
  <si>
    <t xml:space="preserve">Montezuma-Cortez High School            </t>
  </si>
  <si>
    <t xml:space="preserve">190833482 </t>
  </si>
  <si>
    <t>Sonny</t>
  </si>
  <si>
    <t>Anderson, Sonny</t>
  </si>
  <si>
    <t>sanderson.vcusd@gmail.com</t>
  </si>
  <si>
    <t>106 Dyer Ct.</t>
  </si>
  <si>
    <t>Vallejo</t>
  </si>
  <si>
    <t xml:space="preserve">94591     </t>
  </si>
  <si>
    <t xml:space="preserve">053690          </t>
  </si>
  <si>
    <t>JESSE M BETHEL HIGH SCHOOL</t>
  </si>
  <si>
    <t>VALLEJO</t>
  </si>
  <si>
    <t xml:space="preserve">190834032 </t>
  </si>
  <si>
    <t>Andreason</t>
  </si>
  <si>
    <t>Andreason, Ezekiel</t>
  </si>
  <si>
    <t>zekeandreason@gmail.com</t>
  </si>
  <si>
    <t>290 E 4000 N</t>
  </si>
  <si>
    <t>Provo</t>
  </si>
  <si>
    <t xml:space="preserve">84604     </t>
  </si>
  <si>
    <t>DM1908UNR053</t>
  </si>
  <si>
    <t xml:space="preserve">450326          </t>
  </si>
  <si>
    <t>Timpview High School</t>
  </si>
  <si>
    <t>PROVO</t>
  </si>
  <si>
    <t xml:space="preserve">190935862 </t>
  </si>
  <si>
    <t>Arreaga</t>
  </si>
  <si>
    <t>Eddie</t>
  </si>
  <si>
    <t>Arreaga, Eddie</t>
  </si>
  <si>
    <t>EDArreaga@outlook.com</t>
  </si>
  <si>
    <t>12410 Longbrook Dr</t>
  </si>
  <si>
    <t xml:space="preserve">77099     </t>
  </si>
  <si>
    <t>DM1908CBG053</t>
  </si>
  <si>
    <t xml:space="preserve">443372          </t>
  </si>
  <si>
    <t>Kerr High School</t>
  </si>
  <si>
    <t xml:space="preserve">77083     </t>
  </si>
  <si>
    <t xml:space="preserve">191036224 </t>
  </si>
  <si>
    <t>Bagley</t>
  </si>
  <si>
    <t>Bagley, Jonathan</t>
  </si>
  <si>
    <t>bagleyj57@gmail.com</t>
  </si>
  <si>
    <t>1761 East Del Rio Street</t>
  </si>
  <si>
    <t>Gilbert</t>
  </si>
  <si>
    <t xml:space="preserve">85295     </t>
  </si>
  <si>
    <t xml:space="preserve">030437          </t>
  </si>
  <si>
    <t>VALLEY CHRISTIAN HIGH SCHOOL</t>
  </si>
  <si>
    <t>CHANDLER</t>
  </si>
  <si>
    <t xml:space="preserve">85226     </t>
  </si>
  <si>
    <t xml:space="preserve">190833483 </t>
  </si>
  <si>
    <t>Bailey</t>
  </si>
  <si>
    <t>Bailey, Donovan</t>
  </si>
  <si>
    <t>djbailey19@protonmail.com</t>
  </si>
  <si>
    <t>467 Tonawanda Lake Road</t>
  </si>
  <si>
    <t>Spout Spring</t>
  </si>
  <si>
    <t xml:space="preserve">24593     </t>
  </si>
  <si>
    <t xml:space="preserve">DM1905SS058 </t>
  </si>
  <si>
    <t xml:space="preserve">470088          </t>
  </si>
  <si>
    <t>APPOMATTOX COUNTY HIGH SCHOOL</t>
  </si>
  <si>
    <t>APPOMATTOX</t>
  </si>
  <si>
    <t xml:space="preserve">24522     </t>
  </si>
  <si>
    <t xml:space="preserve">190935824 </t>
  </si>
  <si>
    <t>Jace</t>
  </si>
  <si>
    <t>Bailey, Jace</t>
  </si>
  <si>
    <t>Jacebaileysc@gmail.com</t>
  </si>
  <si>
    <t>27656 Brookshire Circle</t>
  </si>
  <si>
    <t>Menifee</t>
  </si>
  <si>
    <t xml:space="preserve">92585     </t>
  </si>
  <si>
    <t xml:space="preserve">054141          </t>
  </si>
  <si>
    <t>HERITAGE HIGH SCHOOL</t>
  </si>
  <si>
    <t>ROMOLAND</t>
  </si>
  <si>
    <t xml:space="preserve">190834098 </t>
  </si>
  <si>
    <t>Bailey, Logan</t>
  </si>
  <si>
    <t>pumabailey08@gmail.com</t>
  </si>
  <si>
    <t>217 W. Main</t>
  </si>
  <si>
    <t>Spring Arbor</t>
  </si>
  <si>
    <t xml:space="preserve">49283     </t>
  </si>
  <si>
    <t xml:space="preserve">DM1908NR078 </t>
  </si>
  <si>
    <t xml:space="preserve">232945          </t>
  </si>
  <si>
    <t>WESTERN HIGH SCHOOL</t>
  </si>
  <si>
    <t>PARMA</t>
  </si>
  <si>
    <t xml:space="preserve">49269     </t>
  </si>
  <si>
    <t xml:space="preserve">190632126 </t>
  </si>
  <si>
    <t>Barajas</t>
  </si>
  <si>
    <t>Barajas, Carlos</t>
  </si>
  <si>
    <t>carlosbarajas2929@gmail.com</t>
  </si>
  <si>
    <t>19401 Se Yamhill St</t>
  </si>
  <si>
    <t>Portland</t>
  </si>
  <si>
    <t>97233-5948</t>
  </si>
  <si>
    <t xml:space="preserve">DM1906EMAIL </t>
  </si>
  <si>
    <t xml:space="preserve">381178          </t>
  </si>
  <si>
    <t>Reynolds High School</t>
  </si>
  <si>
    <t>Troutdalo</t>
  </si>
  <si>
    <t xml:space="preserve">97060     </t>
  </si>
  <si>
    <t xml:space="preserve">190833254 </t>
  </si>
  <si>
    <t>Barbee</t>
  </si>
  <si>
    <t>Dalan</t>
  </si>
  <si>
    <t>Barbee, Dalan</t>
  </si>
  <si>
    <t>981 W 1300 S</t>
  </si>
  <si>
    <t xml:space="preserve">WSREQUESTHS </t>
  </si>
  <si>
    <t xml:space="preserve">190629763 </t>
  </si>
  <si>
    <t>Barnes</t>
  </si>
  <si>
    <t>Jyrez</t>
  </si>
  <si>
    <t>Barnes, Jyrez</t>
  </si>
  <si>
    <t>jyrezb@gmail.com</t>
  </si>
  <si>
    <t>1223 Jessie St.</t>
  </si>
  <si>
    <t xml:space="preserve">36617     </t>
  </si>
  <si>
    <t xml:space="preserve">012235          </t>
  </si>
  <si>
    <t>C F VIGOR HIGH SCHOOL</t>
  </si>
  <si>
    <t>PRICHARD</t>
  </si>
  <si>
    <t xml:space="preserve">36610     </t>
  </si>
  <si>
    <t xml:space="preserve">190935240 </t>
  </si>
  <si>
    <t>Bates</t>
  </si>
  <si>
    <t>Liam</t>
  </si>
  <si>
    <t>Bates, Liam</t>
  </si>
  <si>
    <t>liamfbates@outlook.com</t>
  </si>
  <si>
    <t>1618 Morningside Avenue</t>
  </si>
  <si>
    <t xml:space="preserve">393644          </t>
  </si>
  <si>
    <t>ACADEMY CHARTER SCHOOL</t>
  </si>
  <si>
    <t>PITTSBURGH</t>
  </si>
  <si>
    <t xml:space="preserve">15227     </t>
  </si>
  <si>
    <t xml:space="preserve">190631430 </t>
  </si>
  <si>
    <t>Beccaria</t>
  </si>
  <si>
    <t>Beccaria, Alec</t>
  </si>
  <si>
    <t>abecc2255@gmail.com</t>
  </si>
  <si>
    <t>856 Park Ave.</t>
  </si>
  <si>
    <t>Worland</t>
  </si>
  <si>
    <t xml:space="preserve">82401     </t>
  </si>
  <si>
    <t xml:space="preserve">510450          </t>
  </si>
  <si>
    <t xml:space="preserve">Worland High School                     </t>
  </si>
  <si>
    <t>WORLAND</t>
  </si>
  <si>
    <t xml:space="preserve">190833964 </t>
  </si>
  <si>
    <t>Beckwith</t>
  </si>
  <si>
    <t>Jameson</t>
  </si>
  <si>
    <t>Beckwith, Jameson</t>
  </si>
  <si>
    <t>jebeck595@gmail.com</t>
  </si>
  <si>
    <t>2688 Cattle Drive</t>
  </si>
  <si>
    <t>Cheyenne</t>
  </si>
  <si>
    <t xml:space="preserve">82009     </t>
  </si>
  <si>
    <t xml:space="preserve">190631378 </t>
  </si>
  <si>
    <t>Belfry</t>
  </si>
  <si>
    <t>Cole</t>
  </si>
  <si>
    <t>Belfry, Cole</t>
  </si>
  <si>
    <t>belfryco1@wsdstudent.net</t>
  </si>
  <si>
    <t>982W 4000N</t>
  </si>
  <si>
    <t>DM1905USS058</t>
  </si>
  <si>
    <t xml:space="preserve">450270          </t>
  </si>
  <si>
    <t>Weber High School</t>
  </si>
  <si>
    <t xml:space="preserve">190630883 </t>
  </si>
  <si>
    <t>Shunnysty</t>
  </si>
  <si>
    <t>Bell, Shunnysty</t>
  </si>
  <si>
    <t>shunnystybell@gmail.com</t>
  </si>
  <si>
    <t>900 Wheeler Ave N Apt 803</t>
  </si>
  <si>
    <t>Douglas</t>
  </si>
  <si>
    <t>31533-3844</t>
  </si>
  <si>
    <t xml:space="preserve">111100          </t>
  </si>
  <si>
    <t>COFFEE HIGH SCHOOL</t>
  </si>
  <si>
    <t>DOUGLAS</t>
  </si>
  <si>
    <t xml:space="preserve">31533     </t>
  </si>
  <si>
    <t xml:space="preserve">190631157 </t>
  </si>
  <si>
    <t>Benitez</t>
  </si>
  <si>
    <t>Benitez, Daniel</t>
  </si>
  <si>
    <t>danielobe.12@icloud.com</t>
  </si>
  <si>
    <t>17701 S. Avalon Blvd Spc 326</t>
  </si>
  <si>
    <t xml:space="preserve">90746     </t>
  </si>
  <si>
    <t xml:space="preserve">053515          </t>
  </si>
  <si>
    <t>CARSON HIGH SCHOOL</t>
  </si>
  <si>
    <t>CARSON</t>
  </si>
  <si>
    <t xml:space="preserve">90745     </t>
  </si>
  <si>
    <t xml:space="preserve">190631464 </t>
  </si>
  <si>
    <t>Bennett</t>
  </si>
  <si>
    <t>Bennett, Jade</t>
  </si>
  <si>
    <t>jadebennett248@gmail.com</t>
  </si>
  <si>
    <t>123 Savannah Ct</t>
  </si>
  <si>
    <t>Byron</t>
  </si>
  <si>
    <t xml:space="preserve">31008     </t>
  </si>
  <si>
    <t>DM1905SSF058</t>
  </si>
  <si>
    <t xml:space="preserve">111333          </t>
  </si>
  <si>
    <t>PEACH COUNTY HIGH SCHOOL</t>
  </si>
  <si>
    <t>FT VALLEY</t>
  </si>
  <si>
    <t xml:space="preserve">31030     </t>
  </si>
  <si>
    <t xml:space="preserve">190632131 </t>
  </si>
  <si>
    <t>Beohourou</t>
  </si>
  <si>
    <t>Calixte</t>
  </si>
  <si>
    <t>Beohourou, Calixte</t>
  </si>
  <si>
    <t>calixtebeohourou24@gmail.com</t>
  </si>
  <si>
    <t>1641 E 122nd st</t>
  </si>
  <si>
    <t xml:space="preserve">90059     </t>
  </si>
  <si>
    <t xml:space="preserve">051590          </t>
  </si>
  <si>
    <t>FAIRFAX HIGH SCHOOL</t>
  </si>
  <si>
    <t xml:space="preserve">90046     </t>
  </si>
  <si>
    <t xml:space="preserve">190834240 </t>
  </si>
  <si>
    <t>Berlanga</t>
  </si>
  <si>
    <t>Arden</t>
  </si>
  <si>
    <t>Berlanga, Arden</t>
  </si>
  <si>
    <t>arden.berlanga@gmail.com</t>
  </si>
  <si>
    <t>3509 Flagler Ave</t>
  </si>
  <si>
    <t>Key West</t>
  </si>
  <si>
    <t>33040-4609</t>
  </si>
  <si>
    <t>DM1908ACF078</t>
  </si>
  <si>
    <t xml:space="preserve">471288          </t>
  </si>
  <si>
    <t>Liberty University Online Academy</t>
  </si>
  <si>
    <t>LYNCHBURG</t>
  </si>
  <si>
    <t xml:space="preserve">24515     </t>
  </si>
  <si>
    <t xml:space="preserve">190629478 </t>
  </si>
  <si>
    <t>Berry</t>
  </si>
  <si>
    <t>Berry, Emily</t>
  </si>
  <si>
    <t>crazykittym@gmail.com</t>
  </si>
  <si>
    <t>1705 Tudor Dr</t>
  </si>
  <si>
    <t>73160-1417</t>
  </si>
  <si>
    <t>DM1903CBF038</t>
  </si>
  <si>
    <t xml:space="preserve">372412          </t>
  </si>
  <si>
    <t>SOUTHMOORE HIGH SCHOOL</t>
  </si>
  <si>
    <t>MOORE</t>
  </si>
  <si>
    <t xml:space="preserve">73170     </t>
  </si>
  <si>
    <t xml:space="preserve">190935996 </t>
  </si>
  <si>
    <t>Bitselley-Romo</t>
  </si>
  <si>
    <t>Nata'ani</t>
  </si>
  <si>
    <t>Bitselley-Romo, Nata'ani</t>
  </si>
  <si>
    <t>natah0303@gmail.com</t>
  </si>
  <si>
    <t>308 Reid Ct N</t>
  </si>
  <si>
    <t>Jacksonville</t>
  </si>
  <si>
    <t xml:space="preserve">28540     </t>
  </si>
  <si>
    <t xml:space="preserve">341954          </t>
  </si>
  <si>
    <t>SOUTHWEST HIGH SCHOOL</t>
  </si>
  <si>
    <t>JACKSONVILLE</t>
  </si>
  <si>
    <t xml:space="preserve">190935933 </t>
  </si>
  <si>
    <t>Brady</t>
  </si>
  <si>
    <t>Blake, Brady</t>
  </si>
  <si>
    <t>blakebrady59@gmail.com</t>
  </si>
  <si>
    <t>123 Spring Alley</t>
  </si>
  <si>
    <t>Waynesburg</t>
  </si>
  <si>
    <t xml:space="preserve">15370     </t>
  </si>
  <si>
    <t xml:space="preserve">395110          </t>
  </si>
  <si>
    <t>WAYNESBURG CENTRAL HIGH SCHOOL</t>
  </si>
  <si>
    <t>WAYNESBURG</t>
  </si>
  <si>
    <t xml:space="preserve">190732699 </t>
  </si>
  <si>
    <t>Bland</t>
  </si>
  <si>
    <t>Alexandra</t>
  </si>
  <si>
    <t>Bland, Alexandra</t>
  </si>
  <si>
    <t>blandlexi009@gmail.com</t>
  </si>
  <si>
    <t>531 Washington Street</t>
  </si>
  <si>
    <t>Newell</t>
  </si>
  <si>
    <t xml:space="preserve">26050     </t>
  </si>
  <si>
    <t>DM1905NRF058</t>
  </si>
  <si>
    <t xml:space="preserve">490920          </t>
  </si>
  <si>
    <t>OAK GLEN HIGH SCHOOL</t>
  </si>
  <si>
    <t>NEW CUMBERLAND</t>
  </si>
  <si>
    <t xml:space="preserve">26047     </t>
  </si>
  <si>
    <t xml:space="preserve">190733147 </t>
  </si>
  <si>
    <t>Booher</t>
  </si>
  <si>
    <t>Booher, Joshua</t>
  </si>
  <si>
    <t>joshuabooher46@gmail.com</t>
  </si>
  <si>
    <t>106 Ronald Dr</t>
  </si>
  <si>
    <t>Sarver</t>
  </si>
  <si>
    <t>16055-9746</t>
  </si>
  <si>
    <t xml:space="preserve">D1904EMAIL8 </t>
  </si>
  <si>
    <t xml:space="preserve">391480          </t>
  </si>
  <si>
    <t>FREEPORT AREA SENIOR HS</t>
  </si>
  <si>
    <t>SARVER</t>
  </si>
  <si>
    <t xml:space="preserve">16055     </t>
  </si>
  <si>
    <t xml:space="preserve">190834244 </t>
  </si>
  <si>
    <t>Bott</t>
  </si>
  <si>
    <t>Kyros</t>
  </si>
  <si>
    <t>Bott, Kyros</t>
  </si>
  <si>
    <t>helgrind56@gmail.com</t>
  </si>
  <si>
    <t>1501 Roberts Cove Rd</t>
  </si>
  <si>
    <t xml:space="preserve">70526     </t>
  </si>
  <si>
    <t>DM1905NRA058</t>
  </si>
  <si>
    <t xml:space="preserve">192490          </t>
  </si>
  <si>
    <t>RAYNE HIGH SCHOOL</t>
  </si>
  <si>
    <t>RAYNE</t>
  </si>
  <si>
    <t xml:space="preserve">70578     </t>
  </si>
  <si>
    <t xml:space="preserve">190934560 </t>
  </si>
  <si>
    <t>Bouvier</t>
  </si>
  <si>
    <t>Stephanie</t>
  </si>
  <si>
    <t>Bouvier, Stephanie</t>
  </si>
  <si>
    <t>stephaniebroarmy@gmail.com</t>
  </si>
  <si>
    <t>1319 Oakridge Estates Dr, 11</t>
  </si>
  <si>
    <t xml:space="preserve">63077     </t>
  </si>
  <si>
    <t xml:space="preserve">262860          </t>
  </si>
  <si>
    <t>SAINT CLAIR HIGH SCHOOL</t>
  </si>
  <si>
    <t>SAINT CLAIR</t>
  </si>
  <si>
    <t xml:space="preserve">190833285 </t>
  </si>
  <si>
    <t>Brackbill</t>
  </si>
  <si>
    <t>Victoria</t>
  </si>
  <si>
    <t>Brackbill, Victoria</t>
  </si>
  <si>
    <t>torib2002@gmail.com</t>
  </si>
  <si>
    <t>362 Neals Lane</t>
  </si>
  <si>
    <t>Gallatin</t>
  </si>
  <si>
    <t xml:space="preserve">37066     </t>
  </si>
  <si>
    <t>DM1905ACF058</t>
  </si>
  <si>
    <t xml:space="preserve">430745          </t>
  </si>
  <si>
    <t>GALLATIN HIGH SCHOOL</t>
  </si>
  <si>
    <t>GALLATIN</t>
  </si>
  <si>
    <t xml:space="preserve">191036276 </t>
  </si>
  <si>
    <t>Bravo</t>
  </si>
  <si>
    <t>Oscar</t>
  </si>
  <si>
    <t>Bravo, Oscar</t>
  </si>
  <si>
    <t>oscarbravo365@gmail.com</t>
  </si>
  <si>
    <t>1024 West 24th Street, apt.203</t>
  </si>
  <si>
    <t xml:space="preserve">190732574 </t>
  </si>
  <si>
    <t>Brockmeyer</t>
  </si>
  <si>
    <t>Brockmeyer, David</t>
  </si>
  <si>
    <t>Brockmeyerdavid@gmail.com</t>
  </si>
  <si>
    <t>1401 Carole Cir</t>
  </si>
  <si>
    <t>Altus</t>
  </si>
  <si>
    <t xml:space="preserve">73521     </t>
  </si>
  <si>
    <t xml:space="preserve">370105          </t>
  </si>
  <si>
    <t>ALTUS HIGH SCHOOL</t>
  </si>
  <si>
    <t>ALTUS</t>
  </si>
  <si>
    <t xml:space="preserve">190833241 </t>
  </si>
  <si>
    <t>Sakura</t>
  </si>
  <si>
    <t>Brockmeyer, Sakura</t>
  </si>
  <si>
    <t>sakurabrockmeyer@yahoo.com</t>
  </si>
  <si>
    <t>1401 Carole Circle</t>
  </si>
  <si>
    <t xml:space="preserve">190529065 </t>
  </si>
  <si>
    <t>aaronbrown57@yahoo.com</t>
  </si>
  <si>
    <t>178 Calico Loop</t>
  </si>
  <si>
    <t>Grantville</t>
  </si>
  <si>
    <t xml:space="preserve">30220     </t>
  </si>
  <si>
    <t xml:space="preserve">DM1903CB038 </t>
  </si>
  <si>
    <t xml:space="preserve">112250          </t>
  </si>
  <si>
    <t>NEWNAN HIGH SCHOOL</t>
  </si>
  <si>
    <t>NEWNAN</t>
  </si>
  <si>
    <t xml:space="preserve">30263     </t>
  </si>
  <si>
    <t xml:space="preserve">191036704 </t>
  </si>
  <si>
    <t>Brown, Jayson</t>
  </si>
  <si>
    <t>jayman11279@gmail.com</t>
  </si>
  <si>
    <t>1217 Everwood Drive SW</t>
  </si>
  <si>
    <t>Marietta</t>
  </si>
  <si>
    <t xml:space="preserve">30008     </t>
  </si>
  <si>
    <t xml:space="preserve">112431          </t>
  </si>
  <si>
    <t>HILLGROVE HIGH SCHOOL</t>
  </si>
  <si>
    <t>POWDER SPRINGS</t>
  </si>
  <si>
    <t xml:space="preserve">30127     </t>
  </si>
  <si>
    <t xml:space="preserve">190833732 </t>
  </si>
  <si>
    <t>Bruce</t>
  </si>
  <si>
    <t>Bruce, Michael</t>
  </si>
  <si>
    <t>timekeeper205@gmail.com</t>
  </si>
  <si>
    <t>Wagoner</t>
  </si>
  <si>
    <t xml:space="preserve">74467     </t>
  </si>
  <si>
    <t xml:space="preserve">373755          </t>
  </si>
  <si>
    <t>WAGONER HIGH SCHOOL</t>
  </si>
  <si>
    <t>WAGONER</t>
  </si>
  <si>
    <t xml:space="preserve">190935810 </t>
  </si>
  <si>
    <t>Bui</t>
  </si>
  <si>
    <t>Louis</t>
  </si>
  <si>
    <t>Bui, Louis</t>
  </si>
  <si>
    <t>kima126@hotmail.com</t>
  </si>
  <si>
    <t>120 E Acorn Hill Dr</t>
  </si>
  <si>
    <t>Olyphant</t>
  </si>
  <si>
    <t xml:space="preserve">18447     </t>
  </si>
  <si>
    <t>DM1903CBG038</t>
  </si>
  <si>
    <t xml:space="preserve">394442          </t>
  </si>
  <si>
    <t>SCRANTON HIGH SCHOOL</t>
  </si>
  <si>
    <t>SCRANTON</t>
  </si>
  <si>
    <t xml:space="preserve">18510     </t>
  </si>
  <si>
    <t xml:space="preserve">190629637 </t>
  </si>
  <si>
    <t>Richard</t>
  </si>
  <si>
    <t>Bui, Richard</t>
  </si>
  <si>
    <t>RBUI467@GMAIL.COM</t>
  </si>
  <si>
    <t>4031 N 15Th St</t>
  </si>
  <si>
    <t>68521-1908</t>
  </si>
  <si>
    <t>DM1905ACE058</t>
  </si>
  <si>
    <t xml:space="preserve">281304          </t>
  </si>
  <si>
    <t>LINCOLN NORTH STAR HIGH SCHOOL</t>
  </si>
  <si>
    <t>LINCOLN</t>
  </si>
  <si>
    <t xml:space="preserve">68504     </t>
  </si>
  <si>
    <t xml:space="preserve">190833337 </t>
  </si>
  <si>
    <t>Bunn</t>
  </si>
  <si>
    <t>Kelson</t>
  </si>
  <si>
    <t>Bunn, Kelson</t>
  </si>
  <si>
    <t>kelsonbunn@gmail.com</t>
  </si>
  <si>
    <t>196 Caswell Ave</t>
  </si>
  <si>
    <t>Twin Falls</t>
  </si>
  <si>
    <t xml:space="preserve">83301     </t>
  </si>
  <si>
    <t xml:space="preserve">130636          </t>
  </si>
  <si>
    <t>Canyon Ridge High School</t>
  </si>
  <si>
    <t xml:space="preserve">190936186 </t>
  </si>
  <si>
    <t>Burling</t>
  </si>
  <si>
    <t>Lon</t>
  </si>
  <si>
    <t>Burling, Lon</t>
  </si>
  <si>
    <t>fudgebars2@gmail.com</t>
  </si>
  <si>
    <t>Oregon</t>
  </si>
  <si>
    <t xml:space="preserve">43616     </t>
  </si>
  <si>
    <t xml:space="preserve">365010          </t>
  </si>
  <si>
    <t>CLAY HIGH SCHOOL</t>
  </si>
  <si>
    <t>OREGON</t>
  </si>
  <si>
    <t xml:space="preserve">190834274 </t>
  </si>
  <si>
    <t>Burri</t>
  </si>
  <si>
    <t>Colby</t>
  </si>
  <si>
    <t>Burri, Colby</t>
  </si>
  <si>
    <t>colbyburri@gmail.com</t>
  </si>
  <si>
    <t>1430 Bel Air Ave</t>
  </si>
  <si>
    <t>Alliance</t>
  </si>
  <si>
    <t>69301-2308</t>
  </si>
  <si>
    <t xml:space="preserve">DM1908NR053 </t>
  </si>
  <si>
    <t xml:space="preserve">280030          </t>
  </si>
  <si>
    <t>ALLIANCE HIGH SCHOOL</t>
  </si>
  <si>
    <t>ALLIANCE</t>
  </si>
  <si>
    <t xml:space="preserve">69301     </t>
  </si>
  <si>
    <t xml:space="preserve">190833468 </t>
  </si>
  <si>
    <t>Burtrum</t>
  </si>
  <si>
    <t>Kathleen</t>
  </si>
  <si>
    <t>Burtrum, Kathleen</t>
  </si>
  <si>
    <t>kitburtrum@yahoo.com</t>
  </si>
  <si>
    <t>1404 Dst NE</t>
  </si>
  <si>
    <t>miami</t>
  </si>
  <si>
    <t xml:space="preserve">190833873 </t>
  </si>
  <si>
    <t>Bush</t>
  </si>
  <si>
    <t>Bush, Benjamin</t>
  </si>
  <si>
    <t>benjaminbush617@gmail.com</t>
  </si>
  <si>
    <t>125 Hoyt Street</t>
  </si>
  <si>
    <t>Owosso</t>
  </si>
  <si>
    <t xml:space="preserve">48867     </t>
  </si>
  <si>
    <t xml:space="preserve">232915          </t>
  </si>
  <si>
    <t>OWOSSO HIGH SCHOOL</t>
  </si>
  <si>
    <t>OWOSSO</t>
  </si>
  <si>
    <t xml:space="preserve">190528740 </t>
  </si>
  <si>
    <t>Calabrese</t>
  </si>
  <si>
    <t>Kathryn</t>
  </si>
  <si>
    <t>Calabrese, Kathryn</t>
  </si>
  <si>
    <t>cheisc13q@gmail.com</t>
  </si>
  <si>
    <t>28 Country Walk</t>
  </si>
  <si>
    <t>Shelton</t>
  </si>
  <si>
    <t xml:space="preserve">06484     </t>
  </si>
  <si>
    <t xml:space="preserve">070665          </t>
  </si>
  <si>
    <t>SHELTON HIGH SCHOOL</t>
  </si>
  <si>
    <t>SHELTON</t>
  </si>
  <si>
    <t xml:space="preserve">6484      </t>
  </si>
  <si>
    <t xml:space="preserve">190936109 </t>
  </si>
  <si>
    <t>Cao</t>
  </si>
  <si>
    <t>Cao, James</t>
  </si>
  <si>
    <t>jamesc1137@gmail.com</t>
  </si>
  <si>
    <t>515 Golden Rod Dr</t>
  </si>
  <si>
    <t>Alexandria</t>
  </si>
  <si>
    <t xml:space="preserve">71303     </t>
  </si>
  <si>
    <t xml:space="preserve">DM1909EMAIL </t>
  </si>
  <si>
    <t xml:space="preserve">190038          </t>
  </si>
  <si>
    <t>ALEXANDRIA SENIOR HIGH SCHOOL</t>
  </si>
  <si>
    <t>ALEXANDRIA</t>
  </si>
  <si>
    <t xml:space="preserve">190934999 </t>
  </si>
  <si>
    <t>Carpenter-Slone</t>
  </si>
  <si>
    <t>Drevan</t>
  </si>
  <si>
    <t>Carpenter-Slone, Drevan</t>
  </si>
  <si>
    <t>dcarpenterslone@gmail.com</t>
  </si>
  <si>
    <t>207 S. Patterson St.</t>
  </si>
  <si>
    <t>Forest</t>
  </si>
  <si>
    <t xml:space="preserve">45843     </t>
  </si>
  <si>
    <t>DM1908ACT053</t>
  </si>
  <si>
    <t xml:space="preserve">363525          </t>
  </si>
  <si>
    <t>RIVERDALE HIGH SCHOOL</t>
  </si>
  <si>
    <t>MT BLANCHARD</t>
  </si>
  <si>
    <t xml:space="preserve">45867     </t>
  </si>
  <si>
    <t xml:space="preserve">190935798 </t>
  </si>
  <si>
    <t>Carson, Mark</t>
  </si>
  <si>
    <t>teamfortresselk2@gmail.com</t>
  </si>
  <si>
    <t>793 Knight Avenue, PO 3379</t>
  </si>
  <si>
    <t>Big Bear Lake</t>
  </si>
  <si>
    <t xml:space="preserve">92315     </t>
  </si>
  <si>
    <t xml:space="preserve">R7ELEMENTS  </t>
  </si>
  <si>
    <t xml:space="preserve">052590          </t>
  </si>
  <si>
    <t>REDLANDS HIGH SCHOOL</t>
  </si>
  <si>
    <t>REDLANDS</t>
  </si>
  <si>
    <t xml:space="preserve">92374     </t>
  </si>
  <si>
    <t xml:space="preserve">190732952 </t>
  </si>
  <si>
    <t>Carver</t>
  </si>
  <si>
    <t>Beckham</t>
  </si>
  <si>
    <t>Carver, Beckham</t>
  </si>
  <si>
    <t>sonicboomrbd@gmail.com</t>
  </si>
  <si>
    <t>449 County Road 158</t>
  </si>
  <si>
    <t>Evanston</t>
  </si>
  <si>
    <t xml:space="preserve">82930     </t>
  </si>
  <si>
    <t xml:space="preserve">DM1905CB033 </t>
  </si>
  <si>
    <t xml:space="preserve">510135          </t>
  </si>
  <si>
    <t xml:space="preserve">Evanston High School                    </t>
  </si>
  <si>
    <t>EVANSTON</t>
  </si>
  <si>
    <t xml:space="preserve">190529115 </t>
  </si>
  <si>
    <t>Castillo</t>
  </si>
  <si>
    <t>Castillo, Christopher</t>
  </si>
  <si>
    <t>christophercastillo427@gmail.com</t>
  </si>
  <si>
    <t>2465 Calle Gladiolo</t>
  </si>
  <si>
    <t>Thousand Oaks</t>
  </si>
  <si>
    <t xml:space="preserve">91360     </t>
  </si>
  <si>
    <t xml:space="preserve">053502          </t>
  </si>
  <si>
    <t>THOUSAND OAKS HIGH SCHOOL</t>
  </si>
  <si>
    <t>THOUSAND OAKS</t>
  </si>
  <si>
    <t xml:space="preserve">191036297 </t>
  </si>
  <si>
    <t>Cavazos</t>
  </si>
  <si>
    <t>Wendy</t>
  </si>
  <si>
    <t>Cavazos, Wendy</t>
  </si>
  <si>
    <t>cavazosemail2@gmail.com</t>
  </si>
  <si>
    <t xml:space="preserve">442776          </t>
  </si>
  <si>
    <t>East View High School</t>
  </si>
  <si>
    <t xml:space="preserve">190935782 </t>
  </si>
  <si>
    <t>hephaestus71@gmail.com</t>
  </si>
  <si>
    <t xml:space="preserve">450346          </t>
  </si>
  <si>
    <t>Nuames Early College High School</t>
  </si>
  <si>
    <t xml:space="preserve">190529166 </t>
  </si>
  <si>
    <t>Cius</t>
  </si>
  <si>
    <t>Jeremie</t>
  </si>
  <si>
    <t>Cius, Jeremie</t>
  </si>
  <si>
    <t>jeremiecius@gmail.com</t>
  </si>
  <si>
    <t>231 Riverside Ave</t>
  </si>
  <si>
    <t>Medford</t>
  </si>
  <si>
    <t xml:space="preserve">02155     </t>
  </si>
  <si>
    <t xml:space="preserve">221370          </t>
  </si>
  <si>
    <t>MEDFORD VOCATIONAL-TECHNICAL HIGH SCHOOL</t>
  </si>
  <si>
    <t>MEDFORD</t>
  </si>
  <si>
    <t xml:space="preserve">2155      </t>
  </si>
  <si>
    <t xml:space="preserve">190833702 </t>
  </si>
  <si>
    <t>Clark III</t>
  </si>
  <si>
    <t>Ricky</t>
  </si>
  <si>
    <t>Clark III, Ricky</t>
  </si>
  <si>
    <t>clarkric@meadeschools.org</t>
  </si>
  <si>
    <t>P.O. Box 176</t>
  </si>
  <si>
    <t>Piedmont</t>
  </si>
  <si>
    <t xml:space="preserve">57769     </t>
  </si>
  <si>
    <t xml:space="preserve">421247          </t>
  </si>
  <si>
    <t>STURGIS HIGH SCHOOL</t>
  </si>
  <si>
    <t>STURGIS</t>
  </si>
  <si>
    <t xml:space="preserve">57785     </t>
  </si>
  <si>
    <t xml:space="preserve">190935290 </t>
  </si>
  <si>
    <t>Clawson</t>
  </si>
  <si>
    <t>Clawson, Zachary</t>
  </si>
  <si>
    <t>zachclaws@gmail.com</t>
  </si>
  <si>
    <t>1458 Falcon Lane</t>
  </si>
  <si>
    <t>Eagle Mountain</t>
  </si>
  <si>
    <t xml:space="preserve">84005     </t>
  </si>
  <si>
    <t xml:space="preserve">190833499 </t>
  </si>
  <si>
    <t>Clent</t>
  </si>
  <si>
    <t>Clent, Christopher</t>
  </si>
  <si>
    <t>2002sonic@gmail.com</t>
  </si>
  <si>
    <t>14115 Mesa Mtn</t>
  </si>
  <si>
    <t xml:space="preserve">77069     </t>
  </si>
  <si>
    <t xml:space="preserve">443358          </t>
  </si>
  <si>
    <t>CYPRESS CREEK HIGH SCHOOL</t>
  </si>
  <si>
    <t xml:space="preserve">77070     </t>
  </si>
  <si>
    <t xml:space="preserve">190936184 </t>
  </si>
  <si>
    <t>Cole, Joshua</t>
  </si>
  <si>
    <t>joshuacole@scalesmound.net</t>
  </si>
  <si>
    <t>410 Provost P.O.Box 99</t>
  </si>
  <si>
    <t>Scales Mound</t>
  </si>
  <si>
    <t xml:space="preserve">61075     </t>
  </si>
  <si>
    <t xml:space="preserve">143855          </t>
  </si>
  <si>
    <t>SCALES MOUND HIGH SCHOOL</t>
  </si>
  <si>
    <t>SCALES MOUND</t>
  </si>
  <si>
    <t xml:space="preserve">190834101 </t>
  </si>
  <si>
    <t>Collatt</t>
  </si>
  <si>
    <t>Keaton</t>
  </si>
  <si>
    <t>Collatt, Keaton</t>
  </si>
  <si>
    <t>1117 Rocky Mountain Rd</t>
  </si>
  <si>
    <t xml:space="preserve">190935668 </t>
  </si>
  <si>
    <t>Collins</t>
  </si>
  <si>
    <t>Collins, Benjamin</t>
  </si>
  <si>
    <t>Benjamin.collins@stu.dayton.kyschools.us</t>
  </si>
  <si>
    <t>607 Clay Street</t>
  </si>
  <si>
    <t xml:space="preserve">41074     </t>
  </si>
  <si>
    <t xml:space="preserve">180665          </t>
  </si>
  <si>
    <t>DAYTON HIGH SCHOOL</t>
  </si>
  <si>
    <t xml:space="preserve">190935241 </t>
  </si>
  <si>
    <t>McKayla</t>
  </si>
  <si>
    <t>Collins, McKayla</t>
  </si>
  <si>
    <t>298 Graceland Trail</t>
  </si>
  <si>
    <t>Elizabethtown</t>
  </si>
  <si>
    <t xml:space="preserve">42701     </t>
  </si>
  <si>
    <t xml:space="preserve">180995          </t>
  </si>
  <si>
    <t>CENTRAL HARDIN HIGH SCHOOL</t>
  </si>
  <si>
    <t>CECILIA</t>
  </si>
  <si>
    <t xml:space="preserve">42724     </t>
  </si>
  <si>
    <t xml:space="preserve">190833751 </t>
  </si>
  <si>
    <t>Combs</t>
  </si>
  <si>
    <t>Combs, Nicholas</t>
  </si>
  <si>
    <t>nick.combs@aol.com</t>
  </si>
  <si>
    <t>1305 Springville Judah Road</t>
  </si>
  <si>
    <t xml:space="preserve">47462     </t>
  </si>
  <si>
    <t xml:space="preserve">150165          </t>
  </si>
  <si>
    <t>BEDFORD-NORTH LAWRENCE HS</t>
  </si>
  <si>
    <t>BEDFORD</t>
  </si>
  <si>
    <t xml:space="preserve">47421     </t>
  </si>
  <si>
    <t xml:space="preserve">190733035 </t>
  </si>
  <si>
    <t>Cone</t>
  </si>
  <si>
    <t>Cone, Matthew</t>
  </si>
  <si>
    <t>mcone880@gmail.com</t>
  </si>
  <si>
    <t>1720 West Central Ave.</t>
  </si>
  <si>
    <t>Minot</t>
  </si>
  <si>
    <t xml:space="preserve">58701     </t>
  </si>
  <si>
    <t xml:space="preserve">351232          </t>
  </si>
  <si>
    <t>MINOT HIGH SCH MAGIC CITY</t>
  </si>
  <si>
    <t>MINOT</t>
  </si>
  <si>
    <t xml:space="preserve">190935519 </t>
  </si>
  <si>
    <t>Connor, Joseph</t>
  </si>
  <si>
    <t>connorjoseph@haydencatholic.net</t>
  </si>
  <si>
    <t>1233 SW Warren Ave</t>
  </si>
  <si>
    <t xml:space="preserve">66604     </t>
  </si>
  <si>
    <t>WSREQUESTCPX</t>
  </si>
  <si>
    <t xml:space="preserve">172905          </t>
  </si>
  <si>
    <t>HAYDEN HIGH SCHOOL</t>
  </si>
  <si>
    <t xml:space="preserve">66606     </t>
  </si>
  <si>
    <t xml:space="preserve">190732346 </t>
  </si>
  <si>
    <t>Coppage</t>
  </si>
  <si>
    <t>Daijah</t>
  </si>
  <si>
    <t>Coppage, Daijah</t>
  </si>
  <si>
    <t>Daijahlinyahcoppage@gmail.com</t>
  </si>
  <si>
    <t>6881 Phillips Road 600</t>
  </si>
  <si>
    <t>Marvell</t>
  </si>
  <si>
    <t xml:space="preserve">72366     </t>
  </si>
  <si>
    <t xml:space="preserve">041585          </t>
  </si>
  <si>
    <t>MARVELL HIGH SCHOOL</t>
  </si>
  <si>
    <t>MARVELL</t>
  </si>
  <si>
    <t xml:space="preserve">190935466 </t>
  </si>
  <si>
    <t>Corder</t>
  </si>
  <si>
    <t>Markus</t>
  </si>
  <si>
    <t>Corder, Markus</t>
  </si>
  <si>
    <t>mgc056645@gmail.com</t>
  </si>
  <si>
    <t>2518 Spring Court</t>
  </si>
  <si>
    <t>Zeeland</t>
  </si>
  <si>
    <t xml:space="preserve">49464     </t>
  </si>
  <si>
    <t xml:space="preserve">233845          </t>
  </si>
  <si>
    <t>ZEELAND HIGH SCHOOL</t>
  </si>
  <si>
    <t>ZEELAND</t>
  </si>
  <si>
    <t xml:space="preserve">190833671 </t>
  </si>
  <si>
    <t>Cortazar Jr</t>
  </si>
  <si>
    <t>Raul</t>
  </si>
  <si>
    <t>Cortazar Jr, Raul</t>
  </si>
  <si>
    <t>cortazarraul44@gmail.com</t>
  </si>
  <si>
    <t>3704 Maranatha Drive</t>
  </si>
  <si>
    <t>Hope Mills</t>
  </si>
  <si>
    <t xml:space="preserve">28348     </t>
  </si>
  <si>
    <t xml:space="preserve">341900          </t>
  </si>
  <si>
    <t>SOUTH VIEW HIGH SCHOOL</t>
  </si>
  <si>
    <t>HOPE MILLS</t>
  </si>
  <si>
    <t xml:space="preserve">190834364 </t>
  </si>
  <si>
    <t>Court</t>
  </si>
  <si>
    <t>Demetri</t>
  </si>
  <si>
    <t>Court, Demetri</t>
  </si>
  <si>
    <t>courtdemetri@gmail.com</t>
  </si>
  <si>
    <t>308 W 5th Ave</t>
  </si>
  <si>
    <t>Ritzville</t>
  </si>
  <si>
    <t xml:space="preserve">99169     </t>
  </si>
  <si>
    <t xml:space="preserve">1420    </t>
  </si>
  <si>
    <t xml:space="preserve">481010          </t>
  </si>
  <si>
    <t>RITZVILLE HIGH SCHOOL</t>
  </si>
  <si>
    <t>RITZVILLE</t>
  </si>
  <si>
    <t xml:space="preserve">190935396 </t>
  </si>
  <si>
    <t>Covarrubia</t>
  </si>
  <si>
    <t>Covarrubia, Daniel</t>
  </si>
  <si>
    <t>d.covarrubia01@gmail.com</t>
  </si>
  <si>
    <t xml:space="preserve">78225     </t>
  </si>
  <si>
    <t xml:space="preserve">DM1905CB058 </t>
  </si>
  <si>
    <t xml:space="preserve">446150          </t>
  </si>
  <si>
    <t>HARLANDALE SENIOR HIGH SCHOOL</t>
  </si>
  <si>
    <t>SAN ANTONIO</t>
  </si>
  <si>
    <t xml:space="preserve">78214     </t>
  </si>
  <si>
    <t xml:space="preserve">190631439 </t>
  </si>
  <si>
    <t>Covert</t>
  </si>
  <si>
    <t>Covert, Benson</t>
  </si>
  <si>
    <t>bacwrds@gmail.com</t>
  </si>
  <si>
    <t>954 53 St SW</t>
  </si>
  <si>
    <t>Canton</t>
  </si>
  <si>
    <t xml:space="preserve">44706     </t>
  </si>
  <si>
    <t>DM1905NRG058</t>
  </si>
  <si>
    <t xml:space="preserve">360760          </t>
  </si>
  <si>
    <t>CANTON SOUTH HIGH SCHOOL</t>
  </si>
  <si>
    <t>CANTON</t>
  </si>
  <si>
    <t xml:space="preserve">44707     </t>
  </si>
  <si>
    <t xml:space="preserve">190631159 </t>
  </si>
  <si>
    <t>Mathew</t>
  </si>
  <si>
    <t>Covert, Mathew</t>
  </si>
  <si>
    <t>4935 Jupiter Hills Dr</t>
  </si>
  <si>
    <t>83401-6344</t>
  </si>
  <si>
    <t xml:space="preserve">190732338 </t>
  </si>
  <si>
    <t>Cowan</t>
  </si>
  <si>
    <t>Tate</t>
  </si>
  <si>
    <t>Cowan, Tate</t>
  </si>
  <si>
    <t>tatecbaker@hotmail.com</t>
  </si>
  <si>
    <t>208 West North Street</t>
  </si>
  <si>
    <t>Hooper</t>
  </si>
  <si>
    <t xml:space="preserve">68031     </t>
  </si>
  <si>
    <t xml:space="preserve">DM1905AC058 </t>
  </si>
  <si>
    <t xml:space="preserve">281135          </t>
  </si>
  <si>
    <t>LOGAN VIEW HIGH SCHOOL</t>
  </si>
  <si>
    <t>HOOPER</t>
  </si>
  <si>
    <t xml:space="preserve">191036581 </t>
  </si>
  <si>
    <t>Cox</t>
  </si>
  <si>
    <t>Jon-Paul</t>
  </si>
  <si>
    <t>Cox, Jon-Paul</t>
  </si>
  <si>
    <t>jpcox41@gmail.com</t>
  </si>
  <si>
    <t>7341 Folkstone Dr.</t>
  </si>
  <si>
    <t>Forest Hill</t>
  </si>
  <si>
    <t xml:space="preserve">76140     </t>
  </si>
  <si>
    <t xml:space="preserve">442335          </t>
  </si>
  <si>
    <t>EVERMAN JOE C BEAN HIGH SCHOOL</t>
  </si>
  <si>
    <t>EVERMAN</t>
  </si>
  <si>
    <t xml:space="preserve">190936001 </t>
  </si>
  <si>
    <t>Cruzado</t>
  </si>
  <si>
    <t>Cruzado, Joshua</t>
  </si>
  <si>
    <t>cruzadojoshua@yahoo.com</t>
  </si>
  <si>
    <t>8340 Buffalo Fork Court</t>
  </si>
  <si>
    <t xml:space="preserve">89113     </t>
  </si>
  <si>
    <t>DM1903CBT038</t>
  </si>
  <si>
    <t xml:space="preserve">290009          </t>
  </si>
  <si>
    <t>Doral Academy Red Rock</t>
  </si>
  <si>
    <t xml:space="preserve">89138     </t>
  </si>
  <si>
    <t xml:space="preserve">190833416 </t>
  </si>
  <si>
    <t>Curry</t>
  </si>
  <si>
    <t>Curry, Noah</t>
  </si>
  <si>
    <t>noahc1212@outlook.com</t>
  </si>
  <si>
    <t>2159 Clay Stone Place</t>
  </si>
  <si>
    <t>Reynoldsburg</t>
  </si>
  <si>
    <t xml:space="preserve">43068     </t>
  </si>
  <si>
    <t>77</t>
  </si>
  <si>
    <t xml:space="preserve">365783          </t>
  </si>
  <si>
    <t>REYNOLDSBURG HIGH SCHOOL - ENCORE ACADEMY</t>
  </si>
  <si>
    <t>REYNOLDSBURG</t>
  </si>
  <si>
    <t xml:space="preserve">190630498 </t>
  </si>
  <si>
    <t>Dalbec</t>
  </si>
  <si>
    <t>Dalbec, Brady</t>
  </si>
  <si>
    <t>dalbecbr@gmail.com</t>
  </si>
  <si>
    <t>7220 Night Heron Way</t>
  </si>
  <si>
    <t xml:space="preserve">89084     </t>
  </si>
  <si>
    <t xml:space="preserve">290109          </t>
  </si>
  <si>
    <t>FAITH LUTHERAN HIGH SCHOOL</t>
  </si>
  <si>
    <t xml:space="preserve">190631241 </t>
  </si>
  <si>
    <t>Davila</t>
  </si>
  <si>
    <t>Aramis</t>
  </si>
  <si>
    <t>Davila, Aramis</t>
  </si>
  <si>
    <t>aramisdavila28@gmail.com</t>
  </si>
  <si>
    <t>3720 Arabia Rd</t>
  </si>
  <si>
    <t>Raeford</t>
  </si>
  <si>
    <t xml:space="preserve">28376     </t>
  </si>
  <si>
    <t xml:space="preserve">343195          </t>
  </si>
  <si>
    <t>HOKE COUNTY HIGH SCHOOL</t>
  </si>
  <si>
    <t>RAEFORD</t>
  </si>
  <si>
    <t xml:space="preserve">190935876 </t>
  </si>
  <si>
    <t>Dawson</t>
  </si>
  <si>
    <t>Sophia</t>
  </si>
  <si>
    <t>Dawson, Sophia</t>
  </si>
  <si>
    <t>sophiadawson123456@yahoo.com</t>
  </si>
  <si>
    <t>1937 E Main St.</t>
  </si>
  <si>
    <t xml:space="preserve">62521     </t>
  </si>
  <si>
    <t xml:space="preserve">CAPPEXZB    </t>
  </si>
  <si>
    <t xml:space="preserve">141565          </t>
  </si>
  <si>
    <t>SAINT TERESA HIGH SCHOOL</t>
  </si>
  <si>
    <t>DECATUR</t>
  </si>
  <si>
    <t xml:space="preserve">62526     </t>
  </si>
  <si>
    <t xml:space="preserve">190935660 </t>
  </si>
  <si>
    <t>Deardorff</t>
  </si>
  <si>
    <t>Deardorff, Austin</t>
  </si>
  <si>
    <t>austinjdeardorff@gmail.com</t>
  </si>
  <si>
    <t>20510 S Hwy 211</t>
  </si>
  <si>
    <t xml:space="preserve">97017     </t>
  </si>
  <si>
    <t xml:space="preserve">380690          </t>
  </si>
  <si>
    <t>MOLALLA HIGH SCHOOL</t>
  </si>
  <si>
    <t>MOLALLA</t>
  </si>
  <si>
    <t xml:space="preserve">97038     </t>
  </si>
  <si>
    <t xml:space="preserve">190631356 </t>
  </si>
  <si>
    <t>Delgado</t>
  </si>
  <si>
    <t>Edgar</t>
  </si>
  <si>
    <t>Delgado, Edgar</t>
  </si>
  <si>
    <t>edgardelgado45909@gmail.com</t>
  </si>
  <si>
    <t>1514 Spring St</t>
  </si>
  <si>
    <t>Edinburg</t>
  </si>
  <si>
    <t xml:space="preserve">78542     </t>
  </si>
  <si>
    <t xml:space="preserve">442045          </t>
  </si>
  <si>
    <t xml:space="preserve">Donna High School                       </t>
  </si>
  <si>
    <t>Donna</t>
  </si>
  <si>
    <t xml:space="preserve">190732932 </t>
  </si>
  <si>
    <t>DeVito</t>
  </si>
  <si>
    <t>Jaron</t>
  </si>
  <si>
    <t>DeVito, Jaron</t>
  </si>
  <si>
    <t>jaronmdevito@gmail.com</t>
  </si>
  <si>
    <t>93 S Vosper St</t>
  </si>
  <si>
    <t>Saranac</t>
  </si>
  <si>
    <t xml:space="preserve">48881     </t>
  </si>
  <si>
    <t>DM1905CBE033</t>
  </si>
  <si>
    <t xml:space="preserve">232360          </t>
  </si>
  <si>
    <t>LOWELL SENIOR HIGH SCHOOL</t>
  </si>
  <si>
    <t>LOWELL</t>
  </si>
  <si>
    <t xml:space="preserve">49331     </t>
  </si>
  <si>
    <t xml:space="preserve">190629575 </t>
  </si>
  <si>
    <t>Doerflein</t>
  </si>
  <si>
    <t>Lucas</t>
  </si>
  <si>
    <t>Doerflein, Lucas</t>
  </si>
  <si>
    <t>lucasdoerflein02@gmail.com</t>
  </si>
  <si>
    <t>3914 New Church Road</t>
  </si>
  <si>
    <t>Pinckneyville</t>
  </si>
  <si>
    <t xml:space="preserve">62274     </t>
  </si>
  <si>
    <t xml:space="preserve">143480          </t>
  </si>
  <si>
    <t>PINCKNEYVILLE CMTY HS</t>
  </si>
  <si>
    <t>PINCKNEYVILLE</t>
  </si>
  <si>
    <t xml:space="preserve">190936014 </t>
  </si>
  <si>
    <t>Doss</t>
  </si>
  <si>
    <t>Doss, Cameron</t>
  </si>
  <si>
    <t>camerondossedu@gmail.com</t>
  </si>
  <si>
    <t>2303 W Michigan Ave, Apt D8</t>
  </si>
  <si>
    <t>Pensacola</t>
  </si>
  <si>
    <t>32526-2368</t>
  </si>
  <si>
    <t xml:space="preserve">101381          </t>
  </si>
  <si>
    <t>PINE FOREST HIGH SCHOOL</t>
  </si>
  <si>
    <t>PENSACOLA</t>
  </si>
  <si>
    <t xml:space="preserve">32526     </t>
  </si>
  <si>
    <t xml:space="preserve">191036289 </t>
  </si>
  <si>
    <t>Duncan</t>
  </si>
  <si>
    <t>Lethicia</t>
  </si>
  <si>
    <t>Duncan, Lethicia</t>
  </si>
  <si>
    <t>lethicia.duncan@gmail.com</t>
  </si>
  <si>
    <t>14183 Gil Reyes</t>
  </si>
  <si>
    <t xml:space="preserve">79938     </t>
  </si>
  <si>
    <t>DM1908CBF053</t>
  </si>
  <si>
    <t xml:space="preserve">442247          </t>
  </si>
  <si>
    <t>Socorro High School</t>
  </si>
  <si>
    <t xml:space="preserve">79927     </t>
  </si>
  <si>
    <t xml:space="preserve">190934665 </t>
  </si>
  <si>
    <t>Earles</t>
  </si>
  <si>
    <t>Earles, Kaleb</t>
  </si>
  <si>
    <t>snowball1542002@gmail.com</t>
  </si>
  <si>
    <t>6492 Wheeler Dr</t>
  </si>
  <si>
    <t>King George</t>
  </si>
  <si>
    <t>22485-7144</t>
  </si>
  <si>
    <t>DM1908CBT078</t>
  </si>
  <si>
    <t xml:space="preserve">471180          </t>
  </si>
  <si>
    <t>KING GEORGE HIGH SCHOOL</t>
  </si>
  <si>
    <t>KING GEORGE</t>
  </si>
  <si>
    <t xml:space="preserve">22485     </t>
  </si>
  <si>
    <t xml:space="preserve">190631505 </t>
  </si>
  <si>
    <t>Ecker</t>
  </si>
  <si>
    <t>Ecker, Peyton</t>
  </si>
  <si>
    <t>peytonecker5@gmail.com</t>
  </si>
  <si>
    <t>185 Lawn Rd</t>
  </si>
  <si>
    <t>Palmyra</t>
  </si>
  <si>
    <t xml:space="preserve">17078     </t>
  </si>
  <si>
    <t>DM1905CBT033</t>
  </si>
  <si>
    <t xml:space="preserve">392609          </t>
  </si>
  <si>
    <t>WESTERN PA CYBER CHARTER SCHL</t>
  </si>
  <si>
    <t>MIDLAND</t>
  </si>
  <si>
    <t xml:space="preserve">15059     </t>
  </si>
  <si>
    <t xml:space="preserve">190529074 </t>
  </si>
  <si>
    <t>Eghwofobe</t>
  </si>
  <si>
    <t>Eghwofobe, Simeon</t>
  </si>
  <si>
    <t>seghwofobe@hotmail.com</t>
  </si>
  <si>
    <t>Southfield</t>
  </si>
  <si>
    <t xml:space="preserve">231205          </t>
  </si>
  <si>
    <t>SOUTHFIELD SENIOR HIGH SCHOOL</t>
  </si>
  <si>
    <t>SOUTHFIELD</t>
  </si>
  <si>
    <t xml:space="preserve">48034     </t>
  </si>
  <si>
    <t xml:space="preserve">190935460 </t>
  </si>
  <si>
    <t>Eichert</t>
  </si>
  <si>
    <t>Garrison</t>
  </si>
  <si>
    <t>Eichert, Garrison</t>
  </si>
  <si>
    <t>gsesilver2001@gmail.com</t>
  </si>
  <si>
    <t>62193 Ida Rd</t>
  </si>
  <si>
    <t xml:space="preserve">061095          </t>
  </si>
  <si>
    <t>OLATHE HIGH SCHOOL</t>
  </si>
  <si>
    <t>OLATHE</t>
  </si>
  <si>
    <t xml:space="preserve">81425     </t>
  </si>
  <si>
    <t xml:space="preserve">190528952 </t>
  </si>
  <si>
    <t>Ellis</t>
  </si>
  <si>
    <t>Ellis, David</t>
  </si>
  <si>
    <t>dellis12418@gmail.com</t>
  </si>
  <si>
    <t>215 Burgess Rd</t>
  </si>
  <si>
    <t>Gaffney</t>
  </si>
  <si>
    <t xml:space="preserve">190935599 </t>
  </si>
  <si>
    <t>Ensor</t>
  </si>
  <si>
    <t>Draven</t>
  </si>
  <si>
    <t>Ensor, Draven</t>
  </si>
  <si>
    <t>dravenensorisokay@gmail.com</t>
  </si>
  <si>
    <t>1227 1st Avenue North</t>
  </si>
  <si>
    <t>Park Falls</t>
  </si>
  <si>
    <t xml:space="preserve">54552     </t>
  </si>
  <si>
    <t xml:space="preserve">501789          </t>
  </si>
  <si>
    <t>Chequamegon High School</t>
  </si>
  <si>
    <t xml:space="preserve">190935981 </t>
  </si>
  <si>
    <t>Ervin</t>
  </si>
  <si>
    <t>Nita</t>
  </si>
  <si>
    <t>Ervin, Nita</t>
  </si>
  <si>
    <t>Stormflyandastridforever01@gmail.com</t>
  </si>
  <si>
    <t>2039 Rice Dr</t>
  </si>
  <si>
    <t>Levelland</t>
  </si>
  <si>
    <t xml:space="preserve">79336     </t>
  </si>
  <si>
    <t>DM1905CBF058</t>
  </si>
  <si>
    <t xml:space="preserve">444130          </t>
  </si>
  <si>
    <t>LEVELLAND HIGH SCHOOL</t>
  </si>
  <si>
    <t>LEVELLAND</t>
  </si>
  <si>
    <t xml:space="preserve">191036229 </t>
  </si>
  <si>
    <t>Estrada</t>
  </si>
  <si>
    <t>Jose</t>
  </si>
  <si>
    <t>Estrada, Jose</t>
  </si>
  <si>
    <t>diablito12331@gmail.com</t>
  </si>
  <si>
    <t>1615 s 35th st</t>
  </si>
  <si>
    <t>Milwaukee</t>
  </si>
  <si>
    <t xml:space="preserve">53215     </t>
  </si>
  <si>
    <t xml:space="preserve">501370          </t>
  </si>
  <si>
    <t>MARQUETTE UNIVERSITY HS</t>
  </si>
  <si>
    <t>MILWAUKEE</t>
  </si>
  <si>
    <t xml:space="preserve">53208     </t>
  </si>
  <si>
    <t xml:space="preserve">190833343 </t>
  </si>
  <si>
    <t>Eudave</t>
  </si>
  <si>
    <t>America</t>
  </si>
  <si>
    <t>Eudave, America</t>
  </si>
  <si>
    <t>americaeudave132@gmail.com</t>
  </si>
  <si>
    <t>955 South Glendale Street</t>
  </si>
  <si>
    <t xml:space="preserve">EVENTUSF16  </t>
  </si>
  <si>
    <t xml:space="preserve">450365          </t>
  </si>
  <si>
    <t>East High School - Salt Lake</t>
  </si>
  <si>
    <t xml:space="preserve">84102     </t>
  </si>
  <si>
    <t xml:space="preserve">190935176 </t>
  </si>
  <si>
    <t>Faulkner</t>
  </si>
  <si>
    <t>Sarah</t>
  </si>
  <si>
    <t>Faulkner, Sarah</t>
  </si>
  <si>
    <t>GRACIE115@HOTMAIL.COM</t>
  </si>
  <si>
    <t>115 Lakeview Cir</t>
  </si>
  <si>
    <t>Albertville</t>
  </si>
  <si>
    <t>35950-9255</t>
  </si>
  <si>
    <t xml:space="preserve">010025          </t>
  </si>
  <si>
    <t>ALBERTVILLE HIGH SCHOOL</t>
  </si>
  <si>
    <t>ALBERTVILLE</t>
  </si>
  <si>
    <t xml:space="preserve">35950     </t>
  </si>
  <si>
    <t xml:space="preserve">190732715 </t>
  </si>
  <si>
    <t>Flatness</t>
  </si>
  <si>
    <t>Randy</t>
  </si>
  <si>
    <t>Flatness, Randy</t>
  </si>
  <si>
    <t>randy.flatness@gmail.com</t>
  </si>
  <si>
    <t>371 County Road 105</t>
  </si>
  <si>
    <t>Walnut</t>
  </si>
  <si>
    <t xml:space="preserve">38683     </t>
  </si>
  <si>
    <t xml:space="preserve">253165          </t>
  </si>
  <si>
    <t>WALNUT HIGH SCHOOL</t>
  </si>
  <si>
    <t>WALNUT</t>
  </si>
  <si>
    <t xml:space="preserve">190630870 </t>
  </si>
  <si>
    <t>Foley</t>
  </si>
  <si>
    <t>Foley, Lucas</t>
  </si>
  <si>
    <t>harveyfoley2002@gmail.com</t>
  </si>
  <si>
    <t>2277 Hwy 503</t>
  </si>
  <si>
    <t>Newton</t>
  </si>
  <si>
    <t xml:space="preserve">39345     </t>
  </si>
  <si>
    <t xml:space="preserve">250760          </t>
  </si>
  <si>
    <t>NEWTON COUNTY HIGH SCHOOL</t>
  </si>
  <si>
    <t xml:space="preserve">39327     </t>
  </si>
  <si>
    <t xml:space="preserve">190936002 </t>
  </si>
  <si>
    <t>Ford</t>
  </si>
  <si>
    <t>Ford, Matthew</t>
  </si>
  <si>
    <t>mattford567@yahoo.com</t>
  </si>
  <si>
    <t>710 Brookwood Way</t>
  </si>
  <si>
    <t>Chico</t>
  </si>
  <si>
    <t>95926-1733</t>
  </si>
  <si>
    <t xml:space="preserve">054416          </t>
  </si>
  <si>
    <t>lnspire School of Arts and Sciences</t>
  </si>
  <si>
    <t>CHICO</t>
  </si>
  <si>
    <t xml:space="preserve">95926     </t>
  </si>
  <si>
    <t xml:space="preserve">1400    </t>
  </si>
  <si>
    <t xml:space="preserve">190529054 </t>
  </si>
  <si>
    <t>Foulks</t>
  </si>
  <si>
    <t>Foulks, Austin</t>
  </si>
  <si>
    <t>afoulks2002@gmail.com</t>
  </si>
  <si>
    <t>1732 N Cholla St #85224</t>
  </si>
  <si>
    <t xml:space="preserve">85224     </t>
  </si>
  <si>
    <t xml:space="preserve">030304          </t>
  </si>
  <si>
    <t>SHADOW MOUNTAIN HIGH SCHOOL</t>
  </si>
  <si>
    <t>PHOENIX</t>
  </si>
  <si>
    <t xml:space="preserve">85028     </t>
  </si>
  <si>
    <t xml:space="preserve">190936094 </t>
  </si>
  <si>
    <t>Frens</t>
  </si>
  <si>
    <t>Frens, Hunter</t>
  </si>
  <si>
    <t>hdafrens@hotmail.com</t>
  </si>
  <si>
    <t>6081 S Fitzgerald</t>
  </si>
  <si>
    <t>Fremont</t>
  </si>
  <si>
    <t xml:space="preserve">49412     </t>
  </si>
  <si>
    <t>DM1908CBE078</t>
  </si>
  <si>
    <t xml:space="preserve">231595          </t>
  </si>
  <si>
    <t>FREMONT HIGH SCHOOL</t>
  </si>
  <si>
    <t>FREMONT</t>
  </si>
  <si>
    <t xml:space="preserve">190833274 </t>
  </si>
  <si>
    <t>Fulcher</t>
  </si>
  <si>
    <t>Cade</t>
  </si>
  <si>
    <t>Fulcher, Cade</t>
  </si>
  <si>
    <t>cadelandrum10@gmail.com</t>
  </si>
  <si>
    <t>5607 Tulip ln</t>
  </si>
  <si>
    <t xml:space="preserve">120028          </t>
  </si>
  <si>
    <t>RADFORD HIGH SCHOOL</t>
  </si>
  <si>
    <t>HONOLULU</t>
  </si>
  <si>
    <t xml:space="preserve">190833409 </t>
  </si>
  <si>
    <t>Fullmer</t>
  </si>
  <si>
    <t>Fullmer, Tyler</t>
  </si>
  <si>
    <t>the3nviousone@gmail.com</t>
  </si>
  <si>
    <t>976 W 2300 S</t>
  </si>
  <si>
    <t xml:space="preserve">450032          </t>
  </si>
  <si>
    <t xml:space="preserve">Viewmont High School                    </t>
  </si>
  <si>
    <t xml:space="preserve">190732317 </t>
  </si>
  <si>
    <t>Garcia</t>
  </si>
  <si>
    <t>Ezequiel</t>
  </si>
  <si>
    <t>Garcia, Ezequiel</t>
  </si>
  <si>
    <t>Ezequiel.garcia500@yahoo.com</t>
  </si>
  <si>
    <t>1010 Ramireno Ave</t>
  </si>
  <si>
    <t>Zapata</t>
  </si>
  <si>
    <t xml:space="preserve">78076     </t>
  </si>
  <si>
    <t xml:space="preserve">447715          </t>
  </si>
  <si>
    <t>ZAPATA HIGH SCHOOL</t>
  </si>
  <si>
    <t>ZAPATA</t>
  </si>
  <si>
    <t xml:space="preserve">191036258 </t>
  </si>
  <si>
    <t>Marcos</t>
  </si>
  <si>
    <t>Garcia, Marcos</t>
  </si>
  <si>
    <t>garcia.marcos2003@gmail.com</t>
  </si>
  <si>
    <t>405 Toni Lane</t>
  </si>
  <si>
    <t>Pearl</t>
  </si>
  <si>
    <t xml:space="preserve">39208     </t>
  </si>
  <si>
    <t xml:space="preserve">DM1908AC078 </t>
  </si>
  <si>
    <t xml:space="preserve">251415          </t>
  </si>
  <si>
    <t>PEARL HIGH SCHOOL</t>
  </si>
  <si>
    <t>PEARL</t>
  </si>
  <si>
    <t xml:space="preserve">191036568 </t>
  </si>
  <si>
    <t>Garland Jr</t>
  </si>
  <si>
    <t>Micale</t>
  </si>
  <si>
    <t>Garland Jr, Micale</t>
  </si>
  <si>
    <t>micalejr@gmail.com</t>
  </si>
  <si>
    <t>7384 Heyden</t>
  </si>
  <si>
    <t xml:space="preserve">48228     </t>
  </si>
  <si>
    <t xml:space="preserve">230850          </t>
  </si>
  <si>
    <t>CASS TECHNICAL HIGH SCHOOL</t>
  </si>
  <si>
    <t>DETROIT</t>
  </si>
  <si>
    <t xml:space="preserve">48201     </t>
  </si>
  <si>
    <t xml:space="preserve">190632173 </t>
  </si>
  <si>
    <t>Garry</t>
  </si>
  <si>
    <t>Alayna</t>
  </si>
  <si>
    <t>Garry, Alayna</t>
  </si>
  <si>
    <t>alaynagarry@gmail.com</t>
  </si>
  <si>
    <t>533 Charlie Rodgers Rd.</t>
  </si>
  <si>
    <t>ElDorado</t>
  </si>
  <si>
    <t xml:space="preserve">71730     </t>
  </si>
  <si>
    <t>DM1903ACF038</t>
  </si>
  <si>
    <t xml:space="preserve">041285          </t>
  </si>
  <si>
    <t>JUNCTION CITY HIGH SCHOOL</t>
  </si>
  <si>
    <t>JUNCTION CITY</t>
  </si>
  <si>
    <t xml:space="preserve">71749     </t>
  </si>
  <si>
    <t xml:space="preserve">190936022 </t>
  </si>
  <si>
    <t>Garza</t>
  </si>
  <si>
    <t>Garza, Jose</t>
  </si>
  <si>
    <t>jose.rick.garza@gmail.com</t>
  </si>
  <si>
    <t>155 Abbeville Dr.</t>
  </si>
  <si>
    <t>Laredo</t>
  </si>
  <si>
    <t xml:space="preserve">78045     </t>
  </si>
  <si>
    <t xml:space="preserve">444058          </t>
  </si>
  <si>
    <t>United High School</t>
  </si>
  <si>
    <t xml:space="preserve">190936060 </t>
  </si>
  <si>
    <t>Dasha</t>
  </si>
  <si>
    <t>George, Dasha</t>
  </si>
  <si>
    <t>dashageorge16@gmail.com</t>
  </si>
  <si>
    <t>21646 Est 53rd Pl</t>
  </si>
  <si>
    <t xml:space="preserve">80249     </t>
  </si>
  <si>
    <t xml:space="preserve">060484          </t>
  </si>
  <si>
    <t>MARTIN LUTHER KING JR EARLY COLLEGE HS</t>
  </si>
  <si>
    <t xml:space="preserve">190732581 </t>
  </si>
  <si>
    <t>Gerhart II</t>
  </si>
  <si>
    <t>Gerhart II, Leland</t>
  </si>
  <si>
    <t>LELANDDGERHARTII@YAHOO.COM</t>
  </si>
  <si>
    <t>2257 S Fork Ridge Rd</t>
  </si>
  <si>
    <t>Liberty</t>
  </si>
  <si>
    <t>42539-5271</t>
  </si>
  <si>
    <t xml:space="preserve">181449          </t>
  </si>
  <si>
    <t>GALILEAN CHRISTIAN ACADEMY</t>
  </si>
  <si>
    <t>LIBERTY</t>
  </si>
  <si>
    <t xml:space="preserve">42539     </t>
  </si>
  <si>
    <t xml:space="preserve">190935496 </t>
  </si>
  <si>
    <t>Gettert</t>
  </si>
  <si>
    <t>Gettert, Alec</t>
  </si>
  <si>
    <t>agettert20@icloud.com</t>
  </si>
  <si>
    <t>232 East 11th Street</t>
  </si>
  <si>
    <t>Wahoo</t>
  </si>
  <si>
    <t xml:space="preserve">68066     </t>
  </si>
  <si>
    <t xml:space="preserve">282440          </t>
  </si>
  <si>
    <t>WAHOO HIGH SCHOOL</t>
  </si>
  <si>
    <t>WAHOO</t>
  </si>
  <si>
    <t xml:space="preserve">190934680 </t>
  </si>
  <si>
    <t>Gibson</t>
  </si>
  <si>
    <t>Josiah</t>
  </si>
  <si>
    <t>Gibson, Josiah</t>
  </si>
  <si>
    <t>mrdrummerboy711@yahoo.com</t>
  </si>
  <si>
    <t>5416 Maywood Rd</t>
  </si>
  <si>
    <t>37921-1332</t>
  </si>
  <si>
    <t xml:space="preserve">DM1908SS053 </t>
  </si>
  <si>
    <t xml:space="preserve">431090          </t>
  </si>
  <si>
    <t>BEARDEN HIGH SCHOOL</t>
  </si>
  <si>
    <t xml:space="preserve">37919     </t>
  </si>
  <si>
    <t xml:space="preserve">191036779 </t>
  </si>
  <si>
    <t>Gonzalez</t>
  </si>
  <si>
    <t>Aldo</t>
  </si>
  <si>
    <t>Gonzalez, Aldo</t>
  </si>
  <si>
    <t>Aldo.gonz014@gmail.com</t>
  </si>
  <si>
    <t>722 W Calle Canto Sereno</t>
  </si>
  <si>
    <t>Sahuarita</t>
  </si>
  <si>
    <t xml:space="preserve">85629     </t>
  </si>
  <si>
    <t xml:space="preserve">030731          </t>
  </si>
  <si>
    <t>Walden grove High school</t>
  </si>
  <si>
    <t xml:space="preserve">191036338 </t>
  </si>
  <si>
    <t>Axel</t>
  </si>
  <si>
    <t>Gonzalez, Axel</t>
  </si>
  <si>
    <t>aivangonza11@gmail.com</t>
  </si>
  <si>
    <t>1646 Saint Jerome Pl.</t>
  </si>
  <si>
    <t xml:space="preserve">79936     </t>
  </si>
  <si>
    <t xml:space="preserve">190732642 </t>
  </si>
  <si>
    <t>Krystal</t>
  </si>
  <si>
    <t>Gonzalez, Krystal</t>
  </si>
  <si>
    <t>krystalgonzalez225@icloud.com</t>
  </si>
  <si>
    <t>163 Cemetery Rd Apt 74</t>
  </si>
  <si>
    <t>Williamsburg</t>
  </si>
  <si>
    <t xml:space="preserve">40769     </t>
  </si>
  <si>
    <t xml:space="preserve">182718          </t>
  </si>
  <si>
    <t>WHITLEY COUNTY HIGH SCHOOL</t>
  </si>
  <si>
    <t>WILLIAMSBURG</t>
  </si>
  <si>
    <t xml:space="preserve">190833529 </t>
  </si>
  <si>
    <t>Gouard</t>
  </si>
  <si>
    <t>Taran</t>
  </si>
  <si>
    <t>Gouard, Taran</t>
  </si>
  <si>
    <t>alec.gouard@gmail.com</t>
  </si>
  <si>
    <t>6703 Plainview Rd</t>
  </si>
  <si>
    <t>Sherman</t>
  </si>
  <si>
    <t xml:space="preserve">75092     </t>
  </si>
  <si>
    <t xml:space="preserve">446083          </t>
  </si>
  <si>
    <t>S AND S HIGH SCHOOL</t>
  </si>
  <si>
    <t>SADLER</t>
  </si>
  <si>
    <t xml:space="preserve">76264     </t>
  </si>
  <si>
    <t xml:space="preserve">190934667 </t>
  </si>
  <si>
    <t>Graham</t>
  </si>
  <si>
    <t>Rocco</t>
  </si>
  <si>
    <t>Graham, Rocco</t>
  </si>
  <si>
    <t>roccograham88@gmail.com</t>
  </si>
  <si>
    <t>181 S Casper</t>
  </si>
  <si>
    <t>Vinita</t>
  </si>
  <si>
    <t xml:space="preserve">74301     </t>
  </si>
  <si>
    <t xml:space="preserve">371970          </t>
  </si>
  <si>
    <t>KETCHUM HIGH SCHOOL</t>
  </si>
  <si>
    <t>KETCHUM</t>
  </si>
  <si>
    <t xml:space="preserve">74349     </t>
  </si>
  <si>
    <t xml:space="preserve">190935484 </t>
  </si>
  <si>
    <t>Grant</t>
  </si>
  <si>
    <t>Aaliyah</t>
  </si>
  <si>
    <t>Grant, Aaliyah</t>
  </si>
  <si>
    <t>aaliyah.grant20@gmail.com</t>
  </si>
  <si>
    <t>6262 HWY 371 N</t>
  </si>
  <si>
    <t>Waldo</t>
  </si>
  <si>
    <t xml:space="preserve">71770     </t>
  </si>
  <si>
    <t xml:space="preserve">042183          </t>
  </si>
  <si>
    <t>NEVADA HIGH SCHOOL</t>
  </si>
  <si>
    <t>ROSSTON</t>
  </si>
  <si>
    <t xml:space="preserve">71858     </t>
  </si>
  <si>
    <t xml:space="preserve">190630466 </t>
  </si>
  <si>
    <t>Grant, Chloe</t>
  </si>
  <si>
    <t>khloeana@gmail.com</t>
  </si>
  <si>
    <t>7490 Northfield Lane</t>
  </si>
  <si>
    <t>Manlius</t>
  </si>
  <si>
    <t xml:space="preserve">13104     </t>
  </si>
  <si>
    <t xml:space="preserve">1290    </t>
  </si>
  <si>
    <t xml:space="preserve">331895          </t>
  </si>
  <si>
    <t>FAYETTEVILLE-MANLIUS HIGH SCH</t>
  </si>
  <si>
    <t>MANLIUS</t>
  </si>
  <si>
    <t xml:space="preserve">190935910 </t>
  </si>
  <si>
    <t>Green</t>
  </si>
  <si>
    <t>Brianna</t>
  </si>
  <si>
    <t>Green, Brianna</t>
  </si>
  <si>
    <t>brianna.green@marmadukeschool.com</t>
  </si>
  <si>
    <t>440 Greene Road 460</t>
  </si>
  <si>
    <t>Rector</t>
  </si>
  <si>
    <t xml:space="preserve">72461     </t>
  </si>
  <si>
    <t xml:space="preserve">041575          </t>
  </si>
  <si>
    <t>MARMADUKE HIGH SCHOOL</t>
  </si>
  <si>
    <t>MARMADUKE</t>
  </si>
  <si>
    <t xml:space="preserve">72443     </t>
  </si>
  <si>
    <t xml:space="preserve">190529198 </t>
  </si>
  <si>
    <t>Gregory, Spencer</t>
  </si>
  <si>
    <t>sgregory@cedarvilleschools.org</t>
  </si>
  <si>
    <t>4300 Pine Hollow Road</t>
  </si>
  <si>
    <t>Van Buren</t>
  </si>
  <si>
    <t xml:space="preserve">72956     </t>
  </si>
  <si>
    <t xml:space="preserve">DM1903AC038 </t>
  </si>
  <si>
    <t xml:space="preserve">040410          </t>
  </si>
  <si>
    <t>CEDARVILLE HIGH SCHOOL</t>
  </si>
  <si>
    <t>CEDARVILLE</t>
  </si>
  <si>
    <t xml:space="preserve">72932     </t>
  </si>
  <si>
    <t xml:space="preserve">190833211 </t>
  </si>
  <si>
    <t>Gribben</t>
  </si>
  <si>
    <t>Jude</t>
  </si>
  <si>
    <t>Gribben, Jude</t>
  </si>
  <si>
    <t>judegribben2020@gmail.com</t>
  </si>
  <si>
    <t>1017 Vine St</t>
  </si>
  <si>
    <t>Sandusky</t>
  </si>
  <si>
    <t xml:space="preserve">44870     </t>
  </si>
  <si>
    <t xml:space="preserve">364570          </t>
  </si>
  <si>
    <t>SANDUSKY HIGH SCHOOL</t>
  </si>
  <si>
    <t>SANDUSKY</t>
  </si>
  <si>
    <t xml:space="preserve">190631369 </t>
  </si>
  <si>
    <t>Griego</t>
  </si>
  <si>
    <t>Griego, Donovan</t>
  </si>
  <si>
    <t>dxgriego@gmail.com</t>
  </si>
  <si>
    <t>10511 Calle Alba NW</t>
  </si>
  <si>
    <t xml:space="preserve">87114     </t>
  </si>
  <si>
    <t xml:space="preserve">320138          </t>
  </si>
  <si>
    <t>College and Career High School</t>
  </si>
  <si>
    <t>Albuqyuerque</t>
  </si>
  <si>
    <t xml:space="preserve">190934726 </t>
  </si>
  <si>
    <t>Griffin</t>
  </si>
  <si>
    <t>Rayshawn</t>
  </si>
  <si>
    <t>Griffin, Rayshawn</t>
  </si>
  <si>
    <t>griffin.rayshawn1@gmail.com</t>
  </si>
  <si>
    <t>369 E Rialto Ave, Apt 42</t>
  </si>
  <si>
    <t>San Bernardino</t>
  </si>
  <si>
    <t xml:space="preserve">92408     </t>
  </si>
  <si>
    <t xml:space="preserve">054605          </t>
  </si>
  <si>
    <t>Indian Springs High School</t>
  </si>
  <si>
    <t>SAN BERNARDINO</t>
  </si>
  <si>
    <t xml:space="preserve">92410     </t>
  </si>
  <si>
    <t xml:space="preserve">190833674 </t>
  </si>
  <si>
    <t>Gunnuscio</t>
  </si>
  <si>
    <t>Gunnuscio, Zachary</t>
  </si>
  <si>
    <t>zach.gunn2002@gmail.com</t>
  </si>
  <si>
    <t>Po Box 329</t>
  </si>
  <si>
    <t>Huntington</t>
  </si>
  <si>
    <t>84528-0329</t>
  </si>
  <si>
    <t xml:space="preserve">450043          </t>
  </si>
  <si>
    <t>EMERY HIGH SCHOOL</t>
  </si>
  <si>
    <t>CASTLE DALE</t>
  </si>
  <si>
    <t xml:space="preserve">84513     </t>
  </si>
  <si>
    <t xml:space="preserve">190732361 </t>
  </si>
  <si>
    <t>Haley, Andrew</t>
  </si>
  <si>
    <t>drew.haley@leytonwarriors.org</t>
  </si>
  <si>
    <t>11312 Road 58</t>
  </si>
  <si>
    <t>69131-7254</t>
  </si>
  <si>
    <t xml:space="preserve">280610          </t>
  </si>
  <si>
    <t>LEYTON HIGH SCHOOL</t>
  </si>
  <si>
    <t>DALTON</t>
  </si>
  <si>
    <t xml:space="preserve">69131     </t>
  </si>
  <si>
    <t xml:space="preserve">190935680 </t>
  </si>
  <si>
    <t>Hall</t>
  </si>
  <si>
    <t>Hall, Jordan</t>
  </si>
  <si>
    <t>rob.hall.sxcs@statefarm.com</t>
  </si>
  <si>
    <t>2004 Camino Real Way</t>
  </si>
  <si>
    <t>Roseville</t>
  </si>
  <si>
    <t xml:space="preserve">95747     </t>
  </si>
  <si>
    <t xml:space="preserve">052598          </t>
  </si>
  <si>
    <t xml:space="preserve">Woodcreek High School                   </t>
  </si>
  <si>
    <t xml:space="preserve">190833553 </t>
  </si>
  <si>
    <t>Hammerschmidt</t>
  </si>
  <si>
    <t>Hammerschmidt, Tyler</t>
  </si>
  <si>
    <t>bigthammerschmidt@gmail.com</t>
  </si>
  <si>
    <t>2933 Sweet Flag Ct</t>
  </si>
  <si>
    <t>Dardenne Prairie</t>
  </si>
  <si>
    <t xml:space="preserve">63368     </t>
  </si>
  <si>
    <t xml:space="preserve">262488          </t>
  </si>
  <si>
    <t>FORT ZUMWALT WEST HIGH SCHOOL</t>
  </si>
  <si>
    <t>O FALLON</t>
  </si>
  <si>
    <t xml:space="preserve">63366     </t>
  </si>
  <si>
    <t xml:space="preserve">190935805 </t>
  </si>
  <si>
    <t>Harms</t>
  </si>
  <si>
    <t>Harms, Thomas</t>
  </si>
  <si>
    <t>thomasmichaelharmsii@gmail.com</t>
  </si>
  <si>
    <t>P.O. Box 224</t>
  </si>
  <si>
    <t>Yucca</t>
  </si>
  <si>
    <t xml:space="preserve">86438     </t>
  </si>
  <si>
    <t xml:space="preserve">030672          </t>
  </si>
  <si>
    <t xml:space="preserve">Lee Williams High School </t>
  </si>
  <si>
    <t>Kingman</t>
  </si>
  <si>
    <t xml:space="preserve">86401     </t>
  </si>
  <si>
    <t xml:space="preserve">190733034 </t>
  </si>
  <si>
    <t>Will</t>
  </si>
  <si>
    <t>Harris, Will</t>
  </si>
  <si>
    <t>minecraftplayer45.mc@gmail.com</t>
  </si>
  <si>
    <t>3406 Sayers St</t>
  </si>
  <si>
    <t xml:space="preserve">77026     </t>
  </si>
  <si>
    <t xml:space="preserve">443408          </t>
  </si>
  <si>
    <t>NORTH SHORE SENIOR HIGH SCHOOL</t>
  </si>
  <si>
    <t xml:space="preserve">77049     </t>
  </si>
  <si>
    <t xml:space="preserve">190935417 </t>
  </si>
  <si>
    <t>Harrison, Robert</t>
  </si>
  <si>
    <t>rcmh@att.net</t>
  </si>
  <si>
    <t>2348 Sc Hwy 391</t>
  </si>
  <si>
    <t>Prosperity</t>
  </si>
  <si>
    <t xml:space="preserve">29127     </t>
  </si>
  <si>
    <t xml:space="preserve">411657          </t>
  </si>
  <si>
    <t>MID CAROLINA HIGH SCHOOL</t>
  </si>
  <si>
    <t>PROSPERITY</t>
  </si>
  <si>
    <t xml:space="preserve">190630550 </t>
  </si>
  <si>
    <t>Hernandez Palacios</t>
  </si>
  <si>
    <t>Hernandez Palacios, Orlando</t>
  </si>
  <si>
    <t>superfireball555@gmail.com</t>
  </si>
  <si>
    <t xml:space="preserve">76105     </t>
  </si>
  <si>
    <t xml:space="preserve">442570          </t>
  </si>
  <si>
    <t>TRIMBLE TECHNICAL HIGH SCHOOL</t>
  </si>
  <si>
    <t>FT WORTH</t>
  </si>
  <si>
    <t xml:space="preserve">76104     </t>
  </si>
  <si>
    <t xml:space="preserve">190428381 </t>
  </si>
  <si>
    <t>Hernandez</t>
  </si>
  <si>
    <t>Hernandez, James</t>
  </si>
  <si>
    <t>jimmybond007jhn@gmail.com</t>
  </si>
  <si>
    <t>170 Fieldstone Drive</t>
  </si>
  <si>
    <t>Winston-Salem</t>
  </si>
  <si>
    <t xml:space="preserve">27127     </t>
  </si>
  <si>
    <t xml:space="preserve">342286          </t>
  </si>
  <si>
    <t>UNION GROVE CHRISTIAN SCHOOL</t>
  </si>
  <si>
    <t>LEXINGTON</t>
  </si>
  <si>
    <t xml:space="preserve">27295     </t>
  </si>
  <si>
    <t xml:space="preserve">190935075 </t>
  </si>
  <si>
    <t>Laixu</t>
  </si>
  <si>
    <t>Hernandez, Laixu</t>
  </si>
  <si>
    <t>laixumicol@gmail.com</t>
  </si>
  <si>
    <t>720 Vouray Dr Apt A</t>
  </si>
  <si>
    <t>Kenner</t>
  </si>
  <si>
    <t xml:space="preserve">70065     </t>
  </si>
  <si>
    <t>DM1908NRF053</t>
  </si>
  <si>
    <t xml:space="preserve">10      </t>
  </si>
  <si>
    <t xml:space="preserve">191776          </t>
  </si>
  <si>
    <t>ALFRED T BONNABEL HIGH SCHOOL</t>
  </si>
  <si>
    <t>KENNER</t>
  </si>
  <si>
    <t xml:space="preserve">190833835 </t>
  </si>
  <si>
    <t>Hilton</t>
  </si>
  <si>
    <t>Hilton, Blake</t>
  </si>
  <si>
    <t>bhtwin2002@icloud.com</t>
  </si>
  <si>
    <t>4422 S. Aleut Way</t>
  </si>
  <si>
    <t>Boise</t>
  </si>
  <si>
    <t xml:space="preserve">83709     </t>
  </si>
  <si>
    <t xml:space="preserve">1370    </t>
  </si>
  <si>
    <t xml:space="preserve">130043          </t>
  </si>
  <si>
    <t xml:space="preserve">Borah High School                       </t>
  </si>
  <si>
    <t xml:space="preserve">190935874 </t>
  </si>
  <si>
    <t>Hinojoza</t>
  </si>
  <si>
    <t>Hinojoza, Juan</t>
  </si>
  <si>
    <t>jd.hinojoza@gmail.com</t>
  </si>
  <si>
    <t>1510 Dunn Ave</t>
  </si>
  <si>
    <t xml:space="preserve">94801     </t>
  </si>
  <si>
    <t xml:space="preserve">053970          </t>
  </si>
  <si>
    <t>LEADERSHIP PUBLIC SCH - RICHMOND CAMPUS</t>
  </si>
  <si>
    <t>RICHMOND</t>
  </si>
  <si>
    <t xml:space="preserve">190834388 </t>
  </si>
  <si>
    <t>Holt</t>
  </si>
  <si>
    <t>Kaitlin</t>
  </si>
  <si>
    <t>Holt, Kaitlin</t>
  </si>
  <si>
    <t>vintagerose369@gmail.com</t>
  </si>
  <si>
    <t>1555 N Liberty Hill Rd. Lot 124</t>
  </si>
  <si>
    <t xml:space="preserve">37814     </t>
  </si>
  <si>
    <t xml:space="preserve">431587          </t>
  </si>
  <si>
    <t>MORRISTOWN-HAMBLEN HS WEST</t>
  </si>
  <si>
    <t>MORRISTOWN</t>
  </si>
  <si>
    <t xml:space="preserve">191036312 </t>
  </si>
  <si>
    <t>Howard</t>
  </si>
  <si>
    <t>Dante</t>
  </si>
  <si>
    <t>Howard, Dante</t>
  </si>
  <si>
    <t>dantehoward@optonline.net</t>
  </si>
  <si>
    <t>32 Oak Avenue</t>
  </si>
  <si>
    <t>Larchmont</t>
  </si>
  <si>
    <t xml:space="preserve">10538     </t>
  </si>
  <si>
    <t xml:space="preserve">332995          </t>
  </si>
  <si>
    <t>MAMARONECK HIGH SCHOOL</t>
  </si>
  <si>
    <t>MAMARONECK</t>
  </si>
  <si>
    <t xml:space="preserve">10543     </t>
  </si>
  <si>
    <t xml:space="preserve">190935282 </t>
  </si>
  <si>
    <t>Huff</t>
  </si>
  <si>
    <t>Huff, Andrew</t>
  </si>
  <si>
    <t>andrewhuff.scholarships@gmail.com</t>
  </si>
  <si>
    <t>3866 Elwood way</t>
  </si>
  <si>
    <t xml:space="preserve">450452          </t>
  </si>
  <si>
    <t>ITINERIS EARLY COLLEGE HIGH SCHOOL</t>
  </si>
  <si>
    <t xml:space="preserve">181120842 </t>
  </si>
  <si>
    <t>Huynh</t>
  </si>
  <si>
    <t>Katelin</t>
  </si>
  <si>
    <t>Huynh, Katelin</t>
  </si>
  <si>
    <t>19khuynh@gmail.com</t>
  </si>
  <si>
    <t>1422 S 730 W</t>
  </si>
  <si>
    <t>Payson</t>
  </si>
  <si>
    <t xml:space="preserve">84651     </t>
  </si>
  <si>
    <t xml:space="preserve">D1809NRE073 </t>
  </si>
  <si>
    <t xml:space="preserve">450413          </t>
  </si>
  <si>
    <t>AMERICAN ACHIEVEMENT ACADEMY</t>
  </si>
  <si>
    <t>SPANISH FORK</t>
  </si>
  <si>
    <t xml:space="preserve">84660     </t>
  </si>
  <si>
    <t xml:space="preserve">190833598 </t>
  </si>
  <si>
    <t>Ingram</t>
  </si>
  <si>
    <t>Ingram, Colton</t>
  </si>
  <si>
    <t>colton.ingram@concordschools.org</t>
  </si>
  <si>
    <t>650 Ben Rd.</t>
  </si>
  <si>
    <t>Drasco</t>
  </si>
  <si>
    <t xml:space="preserve">72530     </t>
  </si>
  <si>
    <t xml:space="preserve">040485          </t>
  </si>
  <si>
    <t>CONCORD HIGH SCHOOL</t>
  </si>
  <si>
    <t>CONCORD</t>
  </si>
  <si>
    <t xml:space="preserve">72523     </t>
  </si>
  <si>
    <t xml:space="preserve">190529095 </t>
  </si>
  <si>
    <t>Iroha</t>
  </si>
  <si>
    <t>Harmony</t>
  </si>
  <si>
    <t>Iroha, Harmony</t>
  </si>
  <si>
    <t>HARMONYIROHA99@GMAIL.COM</t>
  </si>
  <si>
    <t>1765 Cutleaf Creek Rd.</t>
  </si>
  <si>
    <t>Grayson</t>
  </si>
  <si>
    <t xml:space="preserve">30017     </t>
  </si>
  <si>
    <t xml:space="preserve">111802          </t>
  </si>
  <si>
    <t>Archer High School</t>
  </si>
  <si>
    <t>Lawrenceville</t>
  </si>
  <si>
    <t xml:space="preserve">190732875 </t>
  </si>
  <si>
    <t>Jenkins</t>
  </si>
  <si>
    <t>Beverly</t>
  </si>
  <si>
    <t>Jenkins, Beverly</t>
  </si>
  <si>
    <t>bec.jenks14@gmail.com</t>
  </si>
  <si>
    <t>249 cr 4890</t>
  </si>
  <si>
    <t>Boyd</t>
  </si>
  <si>
    <t xml:space="preserve">76023     </t>
  </si>
  <si>
    <t xml:space="preserve">440795          </t>
  </si>
  <si>
    <t>BOYD HIGH SCHOOL</t>
  </si>
  <si>
    <t>BOYD</t>
  </si>
  <si>
    <t xml:space="preserve">190935455 </t>
  </si>
  <si>
    <t>Shobin</t>
  </si>
  <si>
    <t>John, Shobin</t>
  </si>
  <si>
    <t>shobinjohn999@gmail.com</t>
  </si>
  <si>
    <t>1003 Southern Night Lane</t>
  </si>
  <si>
    <t>Gaithersburg</t>
  </si>
  <si>
    <t xml:space="preserve">20879     </t>
  </si>
  <si>
    <t xml:space="preserve">690     </t>
  </si>
  <si>
    <t xml:space="preserve">210568          </t>
  </si>
  <si>
    <t>WATKINS MILL HIGH SCHOOL</t>
  </si>
  <si>
    <t>GAITHERSBURG</t>
  </si>
  <si>
    <t xml:space="preserve">191036494 </t>
  </si>
  <si>
    <t>Ruben</t>
  </si>
  <si>
    <t>Johnson, Ruben</t>
  </si>
  <si>
    <t>rubenjohnson1@aol.com</t>
  </si>
  <si>
    <t>612 Ponden Drive</t>
  </si>
  <si>
    <t>Greer</t>
  </si>
  <si>
    <t xml:space="preserve">29650     </t>
  </si>
  <si>
    <t xml:space="preserve">410017          </t>
  </si>
  <si>
    <t>NEXT High School</t>
  </si>
  <si>
    <t xml:space="preserve">191036707 </t>
  </si>
  <si>
    <t>Johnson, Tyler</t>
  </si>
  <si>
    <t>Tyler4186@live.com</t>
  </si>
  <si>
    <t>4186 E 117th Ave</t>
  </si>
  <si>
    <t>Thornton</t>
  </si>
  <si>
    <t>80233-5102</t>
  </si>
  <si>
    <t xml:space="preserve">061437          </t>
  </si>
  <si>
    <t>MOUNTAIN RANGE HIGH SCHOOL</t>
  </si>
  <si>
    <t>WESTMINSTER</t>
  </si>
  <si>
    <t xml:space="preserve">80234     </t>
  </si>
  <si>
    <t xml:space="preserve">190833847 </t>
  </si>
  <si>
    <t>Johnston</t>
  </si>
  <si>
    <t>Johnston, Timothy</t>
  </si>
  <si>
    <t>natsu343.tj@gmail.com</t>
  </si>
  <si>
    <t>117 Huger street apt. A3</t>
  </si>
  <si>
    <t>Cheraw</t>
  </si>
  <si>
    <t xml:space="preserve">29520     </t>
  </si>
  <si>
    <t xml:space="preserve">410523          </t>
  </si>
  <si>
    <t>South Carolina Virtual Charter School</t>
  </si>
  <si>
    <t>COLUMBIA</t>
  </si>
  <si>
    <t xml:space="preserve">29210     </t>
  </si>
  <si>
    <t xml:space="preserve">190528630 </t>
  </si>
  <si>
    <t>Jones, Wahoo</t>
  </si>
  <si>
    <t>wjones2002@hotmail.com</t>
  </si>
  <si>
    <t>5380 Kingswell Dr.</t>
  </si>
  <si>
    <t>Norfolk</t>
  </si>
  <si>
    <t xml:space="preserve">23502     </t>
  </si>
  <si>
    <t xml:space="preserve">471598          </t>
  </si>
  <si>
    <t>LAKE TAYLOR HIGH SCHOOL</t>
  </si>
  <si>
    <t>NORFOLK</t>
  </si>
  <si>
    <t xml:space="preserve">190935644 </t>
  </si>
  <si>
    <t>Jeremy</t>
  </si>
  <si>
    <t>Jordan, Jeremy</t>
  </si>
  <si>
    <t>jeremyjordan457@gmail.com</t>
  </si>
  <si>
    <t xml:space="preserve">470955          </t>
  </si>
  <si>
    <t>GLOUCESTER HIGH SCHOOL</t>
  </si>
  <si>
    <t>GLOUCESTER</t>
  </si>
  <si>
    <t xml:space="preserve">23061     </t>
  </si>
  <si>
    <t xml:space="preserve">191036277 </t>
  </si>
  <si>
    <t>Zaria</t>
  </si>
  <si>
    <t>Joseph, Zaria</t>
  </si>
  <si>
    <t>zaria.joseph2002@gmail.com</t>
  </si>
  <si>
    <t>6315 Lamp Post Pl</t>
  </si>
  <si>
    <t>College Park</t>
  </si>
  <si>
    <t xml:space="preserve">30349     </t>
  </si>
  <si>
    <t xml:space="preserve">110258          </t>
  </si>
  <si>
    <t>WESTLAKE HIGH SCHOOL</t>
  </si>
  <si>
    <t>ATLANTA</t>
  </si>
  <si>
    <t xml:space="preserve">30331     </t>
  </si>
  <si>
    <t xml:space="preserve">190732834 </t>
  </si>
  <si>
    <t>Juarez</t>
  </si>
  <si>
    <t>Juarez, Antonio</t>
  </si>
  <si>
    <t>azeljuarez@gmail.com</t>
  </si>
  <si>
    <t>38251 121st St. East</t>
  </si>
  <si>
    <t>Palmdale</t>
  </si>
  <si>
    <t xml:space="preserve">93591     </t>
  </si>
  <si>
    <t xml:space="preserve">051418          </t>
  </si>
  <si>
    <t>LITTLEROCK HIGH SCHOOL</t>
  </si>
  <si>
    <t>LITTLEROCK</t>
  </si>
  <si>
    <t xml:space="preserve">93543     </t>
  </si>
  <si>
    <t xml:space="preserve">190733071 </t>
  </si>
  <si>
    <t>Kaasch</t>
  </si>
  <si>
    <t>Joey</t>
  </si>
  <si>
    <t>Kaasch, Joey</t>
  </si>
  <si>
    <t>joey.kaasch.jk@gmail.com</t>
  </si>
  <si>
    <t>600 N Oakland Ave</t>
  </si>
  <si>
    <t>Oakland</t>
  </si>
  <si>
    <t xml:space="preserve">68045     </t>
  </si>
  <si>
    <t xml:space="preserve">281650          </t>
  </si>
  <si>
    <t>OAKLAND-CRAIG HIGH SCHOOL</t>
  </si>
  <si>
    <t>OAKLAND</t>
  </si>
  <si>
    <t xml:space="preserve">190935780 </t>
  </si>
  <si>
    <t>Kambo</t>
  </si>
  <si>
    <t>Mehakpreet</t>
  </si>
  <si>
    <t>Kambo, Mehakpreet</t>
  </si>
  <si>
    <t>mehakpreetp12@gmail.com</t>
  </si>
  <si>
    <t>11310 NE 129th St.</t>
  </si>
  <si>
    <t xml:space="preserve">WSREQUESTCF </t>
  </si>
  <si>
    <t xml:space="preserve">480543          </t>
  </si>
  <si>
    <t xml:space="preserve">Juanita High School                     </t>
  </si>
  <si>
    <t xml:space="preserve">191036523 </t>
  </si>
  <si>
    <t>Kealalio</t>
  </si>
  <si>
    <t>Kaysha</t>
  </si>
  <si>
    <t>Kealalio, Kaysha</t>
  </si>
  <si>
    <t>kaysha.kealalio@imua.ksbe.edu</t>
  </si>
  <si>
    <t>91-1523 Pahika Street</t>
  </si>
  <si>
    <t xml:space="preserve">120055          </t>
  </si>
  <si>
    <t>KAMEHAMEHA HIGH SCHOOL</t>
  </si>
  <si>
    <t xml:space="preserve">96817     </t>
  </si>
  <si>
    <t xml:space="preserve">190732384 </t>
  </si>
  <si>
    <t>Kelley</t>
  </si>
  <si>
    <t>Miles</t>
  </si>
  <si>
    <t>Kelley, Miles</t>
  </si>
  <si>
    <t>mkelley3629@gmail.com</t>
  </si>
  <si>
    <t>313 Berry Avenue</t>
  </si>
  <si>
    <t>Belton</t>
  </si>
  <si>
    <t xml:space="preserve">64012     </t>
  </si>
  <si>
    <t xml:space="preserve">260160          </t>
  </si>
  <si>
    <t>BELTON HIGH SCHOOL</t>
  </si>
  <si>
    <t>BELTON</t>
  </si>
  <si>
    <t xml:space="preserve">190935432 </t>
  </si>
  <si>
    <t>Khan</t>
  </si>
  <si>
    <t>Kanzah</t>
  </si>
  <si>
    <t>Khan, Kanzah</t>
  </si>
  <si>
    <t>kaylie063@gmail.com</t>
  </si>
  <si>
    <t>Manassas</t>
  </si>
  <si>
    <t xml:space="preserve">20110     </t>
  </si>
  <si>
    <t xml:space="preserve">471069          </t>
  </si>
  <si>
    <t>BATTLEFIELD HIGH SCHOOL</t>
  </si>
  <si>
    <t>HAYMARKET</t>
  </si>
  <si>
    <t xml:space="preserve">20169     </t>
  </si>
  <si>
    <t xml:space="preserve">190630387 </t>
  </si>
  <si>
    <t>Kline</t>
  </si>
  <si>
    <t>Xandria</t>
  </si>
  <si>
    <t>Kline, Xandria</t>
  </si>
  <si>
    <t>LRDXCK@GMAIL.COM</t>
  </si>
  <si>
    <t>130 Buckner St</t>
  </si>
  <si>
    <t>Tallulah</t>
  </si>
  <si>
    <t>71282-2802</t>
  </si>
  <si>
    <t xml:space="preserve">190634          </t>
  </si>
  <si>
    <t>DELHI CHARTER SCHOOL</t>
  </si>
  <si>
    <t>DELHI</t>
  </si>
  <si>
    <t xml:space="preserve">71232     </t>
  </si>
  <si>
    <t xml:space="preserve">191036567 </t>
  </si>
  <si>
    <t>Kutz</t>
  </si>
  <si>
    <t>Ashlyn</t>
  </si>
  <si>
    <t>Kutz, Ashlyn</t>
  </si>
  <si>
    <t>ashkutz2020@gmail.com</t>
  </si>
  <si>
    <t>25673 Wick Rd</t>
  </si>
  <si>
    <t xml:space="preserve">48180     </t>
  </si>
  <si>
    <t xml:space="preserve">233547          </t>
  </si>
  <si>
    <t>HARRY S TRUMAN HIGH SCHOOL</t>
  </si>
  <si>
    <t>TAYLOR</t>
  </si>
  <si>
    <t xml:space="preserve">190834088 </t>
  </si>
  <si>
    <t>Laing</t>
  </si>
  <si>
    <t>Jared</t>
  </si>
  <si>
    <t>Laing, Jared</t>
  </si>
  <si>
    <t>markarth102@gmail.com</t>
  </si>
  <si>
    <t>832 Serpentine Dr.</t>
  </si>
  <si>
    <t>DM1905CBG033</t>
  </si>
  <si>
    <t xml:space="preserve">190833901 </t>
  </si>
  <si>
    <t>Landaiche</t>
  </si>
  <si>
    <t>Landaiche, Thomas</t>
  </si>
  <si>
    <t>trebug123@gmail.com</t>
  </si>
  <si>
    <t>36531 Carlino Ct</t>
  </si>
  <si>
    <t>Prairieville</t>
  </si>
  <si>
    <t xml:space="preserve">70769     </t>
  </si>
  <si>
    <t>138</t>
  </si>
  <si>
    <t xml:space="preserve">190244          </t>
  </si>
  <si>
    <t>DUNHAM SCHOOL</t>
  </si>
  <si>
    <t>BATON ROUGE</t>
  </si>
  <si>
    <t xml:space="preserve">70810     </t>
  </si>
  <si>
    <t xml:space="preserve">190833698 </t>
  </si>
  <si>
    <t>Langley</t>
  </si>
  <si>
    <t>Langley, Eric</t>
  </si>
  <si>
    <t>ericlangley0921@gmail.com</t>
  </si>
  <si>
    <t>4688 E Scenic Ct</t>
  </si>
  <si>
    <t>Battle Ground</t>
  </si>
  <si>
    <t xml:space="preserve">47920     </t>
  </si>
  <si>
    <t xml:space="preserve">150315          </t>
  </si>
  <si>
    <t>FRONTIER JUNIOR-SENIOR HS</t>
  </si>
  <si>
    <t>CHALMERS</t>
  </si>
  <si>
    <t xml:space="preserve">47929     </t>
  </si>
  <si>
    <t xml:space="preserve">191036270 </t>
  </si>
  <si>
    <t>Lawrence</t>
  </si>
  <si>
    <t>Lawrence, Mason</t>
  </si>
  <si>
    <t>alexlawrence0401@gmail.com</t>
  </si>
  <si>
    <t>1616 Beaumont Dr</t>
  </si>
  <si>
    <t>Deatsville</t>
  </si>
  <si>
    <t>36022-2815</t>
  </si>
  <si>
    <t xml:space="preserve">012219          </t>
  </si>
  <si>
    <t>PRATTVILLE CHRISTIAN ACADEMY</t>
  </si>
  <si>
    <t>PRATTVILLE</t>
  </si>
  <si>
    <t xml:space="preserve">36066     </t>
  </si>
  <si>
    <t xml:space="preserve">190833635 </t>
  </si>
  <si>
    <t>Lebron</t>
  </si>
  <si>
    <t>Marilyn</t>
  </si>
  <si>
    <t>Lebron, Marilyn</t>
  </si>
  <si>
    <t>marilyn.l.lebron@gmail.com</t>
  </si>
  <si>
    <t>14855 Wigwam Ct</t>
  </si>
  <si>
    <t>Victorville</t>
  </si>
  <si>
    <t xml:space="preserve">92394     </t>
  </si>
  <si>
    <t xml:space="preserve">051168          </t>
  </si>
  <si>
    <t>HESPERIA HIGH SCHOOL</t>
  </si>
  <si>
    <t>HESPERIA</t>
  </si>
  <si>
    <t xml:space="preserve">190935366 </t>
  </si>
  <si>
    <t>Lechuga</t>
  </si>
  <si>
    <t>Claudia</t>
  </si>
  <si>
    <t>Lechuga, Claudia</t>
  </si>
  <si>
    <t>lechugaclaudia716@gmail.com</t>
  </si>
  <si>
    <t>443 East Butterfly Circle</t>
  </si>
  <si>
    <t>Terrytown</t>
  </si>
  <si>
    <t xml:space="preserve">70056     </t>
  </si>
  <si>
    <t xml:space="preserve">191724          </t>
  </si>
  <si>
    <t>JOHN EHRET HIGH SCHOOL</t>
  </si>
  <si>
    <t>MARRERO</t>
  </si>
  <si>
    <t xml:space="preserve">70072     </t>
  </si>
  <si>
    <t xml:space="preserve">190732851 </t>
  </si>
  <si>
    <t>Lee</t>
  </si>
  <si>
    <t>Khaliel</t>
  </si>
  <si>
    <t>Lee, Khaliel</t>
  </si>
  <si>
    <t>khalieJ.lee@gmail.com</t>
  </si>
  <si>
    <t>5205 E Cortland Blvd, Apt 380</t>
  </si>
  <si>
    <t>Flagstaff</t>
  </si>
  <si>
    <t xml:space="preserve">86004     </t>
  </si>
  <si>
    <t xml:space="preserve">030434          </t>
  </si>
  <si>
    <t>RED MESA HIGH SCHOOL</t>
  </si>
  <si>
    <t>TEEC NOS POS</t>
  </si>
  <si>
    <t xml:space="preserve">86514     </t>
  </si>
  <si>
    <t xml:space="preserve">190936182 </t>
  </si>
  <si>
    <t>Leite</t>
  </si>
  <si>
    <t>Ikaika</t>
  </si>
  <si>
    <t>Leite, Ikaika</t>
  </si>
  <si>
    <t>ikaika.leite@outlook.com</t>
  </si>
  <si>
    <t>28731 Via Pasatiempo</t>
  </si>
  <si>
    <t>Laguna Niguel</t>
  </si>
  <si>
    <t xml:space="preserve">92677     </t>
  </si>
  <si>
    <t xml:space="preserve">051324          </t>
  </si>
  <si>
    <t>ALISO NIGUEL HIGH SCHOOL</t>
  </si>
  <si>
    <t>ALISO VIEJO</t>
  </si>
  <si>
    <t xml:space="preserve">92656     </t>
  </si>
  <si>
    <t xml:space="preserve">190935293 </t>
  </si>
  <si>
    <t>Lenz</t>
  </si>
  <si>
    <t>Lenz, Evan</t>
  </si>
  <si>
    <t>E_lenz02@yahoo.com</t>
  </si>
  <si>
    <t>372 First St. SE</t>
  </si>
  <si>
    <t>New Albin</t>
  </si>
  <si>
    <t xml:space="preserve">52160     </t>
  </si>
  <si>
    <t xml:space="preserve">162385          </t>
  </si>
  <si>
    <t>KEE HIGH SCHOOL</t>
  </si>
  <si>
    <t>LANSING</t>
  </si>
  <si>
    <t xml:space="preserve">52151     </t>
  </si>
  <si>
    <t xml:space="preserve">190935591 </t>
  </si>
  <si>
    <t>Leonard</t>
  </si>
  <si>
    <t>Majory</t>
  </si>
  <si>
    <t>Leonard, Majory</t>
  </si>
  <si>
    <t>Leonardjade905@gmail.com</t>
  </si>
  <si>
    <t>40 Forrestwood Dr</t>
  </si>
  <si>
    <t xml:space="preserve">37355     </t>
  </si>
  <si>
    <t>DM1908SSF053</t>
  </si>
  <si>
    <t xml:space="preserve">431275          </t>
  </si>
  <si>
    <t>COFFEE COUNTY CENTRAL HS</t>
  </si>
  <si>
    <t xml:space="preserve">190631685 </t>
  </si>
  <si>
    <t>Leung</t>
  </si>
  <si>
    <t>Leung, Michael</t>
  </si>
  <si>
    <t>michaelpakhon@gmail.com</t>
  </si>
  <si>
    <t>2406 Leeward Ct</t>
  </si>
  <si>
    <t>Lithia Springs</t>
  </si>
  <si>
    <t xml:space="preserve">30122     </t>
  </si>
  <si>
    <t>DM1908NRG053</t>
  </si>
  <si>
    <t xml:space="preserve">111836          </t>
  </si>
  <si>
    <t>LITHIA SPRINGS HIGH SCHOOL</t>
  </si>
  <si>
    <t>LITHIA SPRINGS</t>
  </si>
  <si>
    <t xml:space="preserve">190935294 </t>
  </si>
  <si>
    <t>Lewis</t>
  </si>
  <si>
    <t>William</t>
  </si>
  <si>
    <t>Lewis, William</t>
  </si>
  <si>
    <t>7890doom123456@gmail.com</t>
  </si>
  <si>
    <t>908 1/2 Trenton St</t>
  </si>
  <si>
    <t>Toronto</t>
  </si>
  <si>
    <t xml:space="preserve">43964     </t>
  </si>
  <si>
    <t xml:space="preserve">365080          </t>
  </si>
  <si>
    <t>TORONTO HIGH SCHOOL</t>
  </si>
  <si>
    <t>TORONTO</t>
  </si>
  <si>
    <t xml:space="preserve">190934957 </t>
  </si>
  <si>
    <t>Liang</t>
  </si>
  <si>
    <t>Liang, Ethan</t>
  </si>
  <si>
    <t>ethan_liang@bbschool.org</t>
  </si>
  <si>
    <t>10031 Rolling Wind Drive</t>
  </si>
  <si>
    <t>Soddy Daisy</t>
  </si>
  <si>
    <t xml:space="preserve">37379     </t>
  </si>
  <si>
    <t xml:space="preserve">430276          </t>
  </si>
  <si>
    <t>BOYD-BUCHANAN SCHOOL</t>
  </si>
  <si>
    <t>CHATTANOOGA</t>
  </si>
  <si>
    <t xml:space="preserve">37411     </t>
  </si>
  <si>
    <t xml:space="preserve">190934585 </t>
  </si>
  <si>
    <t>Lindemann</t>
  </si>
  <si>
    <t>Lindemann, Kevin</t>
  </si>
  <si>
    <t>lindemann.kev@gmail.com</t>
  </si>
  <si>
    <t>15 Ridge St</t>
  </si>
  <si>
    <t>Middletown</t>
  </si>
  <si>
    <t>10940-3304</t>
  </si>
  <si>
    <t xml:space="preserve">333120          </t>
  </si>
  <si>
    <t xml:space="preserve">10940     </t>
  </si>
  <si>
    <t xml:space="preserve">190935709 </t>
  </si>
  <si>
    <t>Lu</t>
  </si>
  <si>
    <t>Lu, Nelson</t>
  </si>
  <si>
    <t>nelsonlu3@gmail.com</t>
  </si>
  <si>
    <t>131 E Franklin St</t>
  </si>
  <si>
    <t xml:space="preserve">53901     </t>
  </si>
  <si>
    <t xml:space="preserve">501835          </t>
  </si>
  <si>
    <t>PORTAGE HIGH SCHOOL</t>
  </si>
  <si>
    <t>PORTAGE</t>
  </si>
  <si>
    <t xml:space="preserve">190934942 </t>
  </si>
  <si>
    <t>Lujang</t>
  </si>
  <si>
    <t>Manasseh</t>
  </si>
  <si>
    <t>Lujang, Manasseh</t>
  </si>
  <si>
    <t>manasseh21@icloud.com</t>
  </si>
  <si>
    <t>3320 Chapel Ridge Way</t>
  </si>
  <si>
    <t xml:space="preserve">76116     </t>
  </si>
  <si>
    <t xml:space="preserve">442498          </t>
  </si>
  <si>
    <t>ALL SAINTS EPISCOPAL SCHOOL</t>
  </si>
  <si>
    <t xml:space="preserve">76108     </t>
  </si>
  <si>
    <t xml:space="preserve">190935401 </t>
  </si>
  <si>
    <t>Luna</t>
  </si>
  <si>
    <t>Serafin</t>
  </si>
  <si>
    <t>Luna, Serafin</t>
  </si>
  <si>
    <t>Serafinluna07@gmail.com</t>
  </si>
  <si>
    <t>3707 South 18th Street</t>
  </si>
  <si>
    <t xml:space="preserve">53221     </t>
  </si>
  <si>
    <t>DM1903CBE038</t>
  </si>
  <si>
    <t xml:space="preserve">501418          </t>
  </si>
  <si>
    <t>THOMAS MORE HIGH SCHOOL</t>
  </si>
  <si>
    <t xml:space="preserve">53207     </t>
  </si>
  <si>
    <t xml:space="preserve">190833933 </t>
  </si>
  <si>
    <t>Mahan</t>
  </si>
  <si>
    <t>Jalen</t>
  </si>
  <si>
    <t>Mahan, Jalen</t>
  </si>
  <si>
    <t>jalenmahan16@gmail.com</t>
  </si>
  <si>
    <t>159 Salem Rd</t>
  </si>
  <si>
    <t>Alpine</t>
  </si>
  <si>
    <t xml:space="preserve">35014     </t>
  </si>
  <si>
    <t xml:space="preserve">012583          </t>
  </si>
  <si>
    <t>TALLADEGA COUNTY CENTRAL HS</t>
  </si>
  <si>
    <t>TALLADEGA</t>
  </si>
  <si>
    <t xml:space="preserve">35160     </t>
  </si>
  <si>
    <t xml:space="preserve">190630332 </t>
  </si>
  <si>
    <t>Maiden</t>
  </si>
  <si>
    <t>Maiden, Emily</t>
  </si>
  <si>
    <t>emilymaiden7@gmail.com</t>
  </si>
  <si>
    <t>150 S. Maple Creek Subd. Rd.</t>
  </si>
  <si>
    <t xml:space="preserve">190732279 </t>
  </si>
  <si>
    <t>Mancilla</t>
  </si>
  <si>
    <t>Mancilla, Carlos</t>
  </si>
  <si>
    <t>cgmancilla01@gmail.com</t>
  </si>
  <si>
    <t>2414 Larry Dr.</t>
  </si>
  <si>
    <t xml:space="preserve">75228     </t>
  </si>
  <si>
    <t xml:space="preserve">441721          </t>
  </si>
  <si>
    <t>SCHOOL OF BUSINESSS/MANAGEMENT</t>
  </si>
  <si>
    <t>DALLAS</t>
  </si>
  <si>
    <t xml:space="preserve">75203     </t>
  </si>
  <si>
    <t xml:space="preserve">190630189 </t>
  </si>
  <si>
    <t>Marcial</t>
  </si>
  <si>
    <t>Christina</t>
  </si>
  <si>
    <t>Marcial, Christina</t>
  </si>
  <si>
    <t>kayleemarcial@gmail.com</t>
  </si>
  <si>
    <t>2851 Fenel Avenue</t>
  </si>
  <si>
    <t>Grand Junction</t>
  </si>
  <si>
    <t xml:space="preserve">81501     </t>
  </si>
  <si>
    <t xml:space="preserve">060695          </t>
  </si>
  <si>
    <t>GRAND JUNCTION HIGH SCHOOL</t>
  </si>
  <si>
    <t>GRAND JUNCTION</t>
  </si>
  <si>
    <t xml:space="preserve">190732743 </t>
  </si>
  <si>
    <t>Mars</t>
  </si>
  <si>
    <t>El</t>
  </si>
  <si>
    <t>Mars, El</t>
  </si>
  <si>
    <t>elmars3223@gmail.com</t>
  </si>
  <si>
    <t>2501 45th St Apt D</t>
  </si>
  <si>
    <t>Galveston</t>
  </si>
  <si>
    <t xml:space="preserve">77550     </t>
  </si>
  <si>
    <t xml:space="preserve">442690          </t>
  </si>
  <si>
    <t>BALL HIGH SCHOOL</t>
  </si>
  <si>
    <t>GALVESTON</t>
  </si>
  <si>
    <t xml:space="preserve">191036306 </t>
  </si>
  <si>
    <t>Marsh</t>
  </si>
  <si>
    <t>Dillion</t>
  </si>
  <si>
    <t>Marsh, Dillion</t>
  </si>
  <si>
    <t>marshdillion23@gmail.com</t>
  </si>
  <si>
    <t>P.O. Box 531</t>
  </si>
  <si>
    <t>Pleasant Hill</t>
  </si>
  <si>
    <t xml:space="preserve">38578     </t>
  </si>
  <si>
    <t xml:space="preserve">430500          </t>
  </si>
  <si>
    <t>CUMBERLAND COUNTY HIGH SCHOOL</t>
  </si>
  <si>
    <t>CROSSVILLE</t>
  </si>
  <si>
    <t xml:space="preserve">38555     </t>
  </si>
  <si>
    <t xml:space="preserve">190833369 </t>
  </si>
  <si>
    <t>Martinez</t>
  </si>
  <si>
    <t>Martinez, Carlos</t>
  </si>
  <si>
    <t>superpancakeboy562@gmail.com</t>
  </si>
  <si>
    <t>7632 Racine Ave</t>
  </si>
  <si>
    <t>Paramount</t>
  </si>
  <si>
    <t xml:space="preserve">90723     </t>
  </si>
  <si>
    <t xml:space="preserve">052365          </t>
  </si>
  <si>
    <t>Paramount High School</t>
  </si>
  <si>
    <t xml:space="preserve">190629643 </t>
  </si>
  <si>
    <t>Lamberto</t>
  </si>
  <si>
    <t>Martinez, Lamberto</t>
  </si>
  <si>
    <t>MARTINEZLAMBERTO11@GMAIL.COM</t>
  </si>
  <si>
    <t>1617 E Avenue R12</t>
  </si>
  <si>
    <t>93550-6964</t>
  </si>
  <si>
    <t xml:space="preserve">052315          </t>
  </si>
  <si>
    <t>Palmdale High School</t>
  </si>
  <si>
    <t xml:space="preserve">93550     </t>
  </si>
  <si>
    <t xml:space="preserve">190631500 </t>
  </si>
  <si>
    <t>Nancy</t>
  </si>
  <si>
    <t>Martinez, Nancy</t>
  </si>
  <si>
    <t>nancymartinez0718@icloud.com</t>
  </si>
  <si>
    <t>2332 Mesa Street</t>
  </si>
  <si>
    <t xml:space="preserve">92407     </t>
  </si>
  <si>
    <t xml:space="preserve">052948          </t>
  </si>
  <si>
    <t>ARROYA VALLEY HIGH SCHOOL</t>
  </si>
  <si>
    <t xml:space="preserve">92411     </t>
  </si>
  <si>
    <t xml:space="preserve">190529149 </t>
  </si>
  <si>
    <t>Matza</t>
  </si>
  <si>
    <t>Matza, Adam</t>
  </si>
  <si>
    <t>adammarco2002@gmail.com</t>
  </si>
  <si>
    <t>2569 N 3653rd Rd.</t>
  </si>
  <si>
    <t>Sherridan</t>
  </si>
  <si>
    <t xml:space="preserve">60551     </t>
  </si>
  <si>
    <t xml:space="preserve">143335          </t>
  </si>
  <si>
    <t>MARQUETTE HIGH SCHOOL</t>
  </si>
  <si>
    <t>OTTAWA</t>
  </si>
  <si>
    <t xml:space="preserve">61350     </t>
  </si>
  <si>
    <t xml:space="preserve">190834026 </t>
  </si>
  <si>
    <t>Maulseed Jr</t>
  </si>
  <si>
    <t>Courtney</t>
  </si>
  <si>
    <t>Maulseed Jr, Courtney</t>
  </si>
  <si>
    <t>cmaulseed20@gmail.com</t>
  </si>
  <si>
    <t>2910 NW Mill Place</t>
  </si>
  <si>
    <t>Blue Springs</t>
  </si>
  <si>
    <t xml:space="preserve">64015     </t>
  </si>
  <si>
    <t xml:space="preserve">260240          </t>
  </si>
  <si>
    <t>BLUE SPRINGS HIGH SCHOOL</t>
  </si>
  <si>
    <t>BLUE SPRINGS</t>
  </si>
  <si>
    <t xml:space="preserve">190834255 </t>
  </si>
  <si>
    <t>Mayes, Jordan</t>
  </si>
  <si>
    <t>jordanmayes099@gmail.com</t>
  </si>
  <si>
    <t>120 Settlers Ln</t>
  </si>
  <si>
    <t>West Blocton</t>
  </si>
  <si>
    <t xml:space="preserve">35184     </t>
  </si>
  <si>
    <t xml:space="preserve">012820          </t>
  </si>
  <si>
    <t>WEST BLOCTON HIGH SCHOOL</t>
  </si>
  <si>
    <t>WEST BLOCTON</t>
  </si>
  <si>
    <t xml:space="preserve">190834319 </t>
  </si>
  <si>
    <t>Nolan</t>
  </si>
  <si>
    <t>McCarty, Nolan</t>
  </si>
  <si>
    <t>nlmccartyy@gmail.com</t>
  </si>
  <si>
    <t>10301 Anchor Way</t>
  </si>
  <si>
    <t>Evansville</t>
  </si>
  <si>
    <t xml:space="preserve">47725     </t>
  </si>
  <si>
    <t xml:space="preserve">150977          </t>
  </si>
  <si>
    <t>NORTH HIGH SCHOOL</t>
  </si>
  <si>
    <t>EVANSVILLE</t>
  </si>
  <si>
    <t xml:space="preserve">47711     </t>
  </si>
  <si>
    <t xml:space="preserve">190935633 </t>
  </si>
  <si>
    <t>McFall</t>
  </si>
  <si>
    <t>McFall, Andrew</t>
  </si>
  <si>
    <t>andrew.mcfall@glenwoodsd.org</t>
  </si>
  <si>
    <t>Po Box 83, 517 E. Main St</t>
  </si>
  <si>
    <t>Glenwood</t>
  </si>
  <si>
    <t xml:space="preserve">98619     </t>
  </si>
  <si>
    <t xml:space="preserve">480425          </t>
  </si>
  <si>
    <t>GLENWOOD HIGH SCHOOL</t>
  </si>
  <si>
    <t>GLENWOOD</t>
  </si>
  <si>
    <t xml:space="preserve">191036268 </t>
  </si>
  <si>
    <t>McIntyre</t>
  </si>
  <si>
    <t>Ashlynn</t>
  </si>
  <si>
    <t>McIntyre, Ashlynn</t>
  </si>
  <si>
    <t>ashlynnmcintyre@gmail.com</t>
  </si>
  <si>
    <t>2600 Columbine Rd</t>
  </si>
  <si>
    <t>Weed</t>
  </si>
  <si>
    <t xml:space="preserve">96094     </t>
  </si>
  <si>
    <t xml:space="preserve">053730          </t>
  </si>
  <si>
    <t>WEED HIGH SCHOOL</t>
  </si>
  <si>
    <t>WEED</t>
  </si>
  <si>
    <t xml:space="preserve">190631343 </t>
  </si>
  <si>
    <t>McKinney, Austin</t>
  </si>
  <si>
    <t>legodragon01@gmail.com</t>
  </si>
  <si>
    <t>66350 US HWY 31</t>
  </si>
  <si>
    <t>Lakeville</t>
  </si>
  <si>
    <t xml:space="preserve">46536     </t>
  </si>
  <si>
    <t xml:space="preserve">151970          </t>
  </si>
  <si>
    <t>LA VILLE JUNIOR-SENIOR HS</t>
  </si>
  <si>
    <t>LAKEVILLE</t>
  </si>
  <si>
    <t xml:space="preserve">190732873 </t>
  </si>
  <si>
    <t>Memije</t>
  </si>
  <si>
    <t>Memije, Carlos</t>
  </si>
  <si>
    <t>carlosmemije25@gmail.com</t>
  </si>
  <si>
    <t>1269 Osprey St</t>
  </si>
  <si>
    <t>San Jacinto</t>
  </si>
  <si>
    <t xml:space="preserve">92583     </t>
  </si>
  <si>
    <t xml:space="preserve">053459          </t>
  </si>
  <si>
    <t>MORENO VALLEY HIGH SCHOOL</t>
  </si>
  <si>
    <t>MORENO VALLEY</t>
  </si>
  <si>
    <t xml:space="preserve">92553     </t>
  </si>
  <si>
    <t xml:space="preserve">190631911 </t>
  </si>
  <si>
    <t>Mikelevicius</t>
  </si>
  <si>
    <t>Viktorija</t>
  </si>
  <si>
    <t>Mikelevicius, Viktorija</t>
  </si>
  <si>
    <t>viktorija02@comcast.net</t>
  </si>
  <si>
    <t>7159 S Eudora Ct</t>
  </si>
  <si>
    <t>Centennial</t>
  </si>
  <si>
    <t>80122-2433</t>
  </si>
  <si>
    <t xml:space="preserve">1390    </t>
  </si>
  <si>
    <t xml:space="preserve">060928          </t>
  </si>
  <si>
    <t xml:space="preserve">Arapahoe High School                    </t>
  </si>
  <si>
    <t>Littleton</t>
  </si>
  <si>
    <t xml:space="preserve">80122     </t>
  </si>
  <si>
    <t xml:space="preserve">190935546 </t>
  </si>
  <si>
    <t>Miklasz</t>
  </si>
  <si>
    <t>Miklasz, Mikayla</t>
  </si>
  <si>
    <t>mmmiklasz@cps.edu</t>
  </si>
  <si>
    <t>6089 N Navarre Ave</t>
  </si>
  <si>
    <t>60631-2614</t>
  </si>
  <si>
    <t xml:space="preserve">141385          </t>
  </si>
  <si>
    <t>WILLIAM H TAFT HIGH SCHOOL</t>
  </si>
  <si>
    <t>CHICAGO</t>
  </si>
  <si>
    <t xml:space="preserve">60631     </t>
  </si>
  <si>
    <t xml:space="preserve">190833330 </t>
  </si>
  <si>
    <t>Millar</t>
  </si>
  <si>
    <t>Hudson</t>
  </si>
  <si>
    <t>Millar, Hudson</t>
  </si>
  <si>
    <t>hudmill@gmail.com</t>
  </si>
  <si>
    <t>315 Toscavilla Blvd.</t>
  </si>
  <si>
    <t>Nokomis</t>
  </si>
  <si>
    <t xml:space="preserve">34275     </t>
  </si>
  <si>
    <t>137</t>
  </si>
  <si>
    <t xml:space="preserve">101577          </t>
  </si>
  <si>
    <t>PINE VIEW SCHOOL</t>
  </si>
  <si>
    <t>OSPREY</t>
  </si>
  <si>
    <t xml:space="preserve">34229     </t>
  </si>
  <si>
    <t xml:space="preserve">190630896 </t>
  </si>
  <si>
    <t>Minix</t>
  </si>
  <si>
    <t>Haylee</t>
  </si>
  <si>
    <t>Minix, Haylee</t>
  </si>
  <si>
    <t>hayleeminix@gmail.com</t>
  </si>
  <si>
    <t>256 April Way</t>
  </si>
  <si>
    <t>Winchester</t>
  </si>
  <si>
    <t>40391-8347</t>
  </si>
  <si>
    <t xml:space="preserve">182740          </t>
  </si>
  <si>
    <t>GEORGE ROGERS CLARK HS</t>
  </si>
  <si>
    <t>WINCHESTER</t>
  </si>
  <si>
    <t xml:space="preserve">40391     </t>
  </si>
  <si>
    <t xml:space="preserve">190630706 </t>
  </si>
  <si>
    <t>Modi</t>
  </si>
  <si>
    <t>Vraj</t>
  </si>
  <si>
    <t>Modi, Vraj</t>
  </si>
  <si>
    <t>vrajmodi70@gmail.com</t>
  </si>
  <si>
    <t>112 Long Beach Dr.</t>
  </si>
  <si>
    <t>Hot Springs</t>
  </si>
  <si>
    <t xml:space="preserve">71913     </t>
  </si>
  <si>
    <t xml:space="preserve">041148          </t>
  </si>
  <si>
    <t>ARKANSAS SCH MATH &amp; SCIENCE</t>
  </si>
  <si>
    <t>HOT SPRINGS</t>
  </si>
  <si>
    <t xml:space="preserve">71901     </t>
  </si>
  <si>
    <t xml:space="preserve">190935650 </t>
  </si>
  <si>
    <t>Moffett</t>
  </si>
  <si>
    <t>Moffett, Michael</t>
  </si>
  <si>
    <t>mkemoff@gmail.com</t>
  </si>
  <si>
    <t>27326 Freda St</t>
  </si>
  <si>
    <t>Lacombe</t>
  </si>
  <si>
    <t xml:space="preserve">70445     </t>
  </si>
  <si>
    <t xml:space="preserve">191657          </t>
  </si>
  <si>
    <t>Lakeshore High School</t>
  </si>
  <si>
    <t>LACOMBE</t>
  </si>
  <si>
    <t xml:space="preserve">190732690 </t>
  </si>
  <si>
    <t>Moore, Christopher</t>
  </si>
  <si>
    <t>Cj.Moore2279@gmail.com</t>
  </si>
  <si>
    <t>129 West Terrell St</t>
  </si>
  <si>
    <t xml:space="preserve">27406     </t>
  </si>
  <si>
    <t xml:space="preserve">341629          </t>
  </si>
  <si>
    <t>ACADEMY AT SMITH HIGH SCHOOL</t>
  </si>
  <si>
    <t>GREENSBORO</t>
  </si>
  <si>
    <t xml:space="preserve">190630521 </t>
  </si>
  <si>
    <t>Brock</t>
  </si>
  <si>
    <t>Morgan, Brock</t>
  </si>
  <si>
    <t xml:space="preserve">75070     </t>
  </si>
  <si>
    <t xml:space="preserve">444630          </t>
  </si>
  <si>
    <t>MCKINNEY HIGH SCHOOL</t>
  </si>
  <si>
    <t>MCKINNEY</t>
  </si>
  <si>
    <t xml:space="preserve">75069     </t>
  </si>
  <si>
    <t xml:space="preserve">190630788 </t>
  </si>
  <si>
    <t>Teryn</t>
  </si>
  <si>
    <t>Morgan, Teryn</t>
  </si>
  <si>
    <t>1023802@pinelakeprep.org</t>
  </si>
  <si>
    <t>129 Deer Run Dr</t>
  </si>
  <si>
    <t>Troutman</t>
  </si>
  <si>
    <t xml:space="preserve">28166     </t>
  </si>
  <si>
    <t xml:space="preserve">342698          </t>
  </si>
  <si>
    <t>Pine Lake Preparatory</t>
  </si>
  <si>
    <t xml:space="preserve">190935710 </t>
  </si>
  <si>
    <t>Melissa</t>
  </si>
  <si>
    <t>Morris, Melissa</t>
  </si>
  <si>
    <t>mel4college@gmail.com</t>
  </si>
  <si>
    <t>216 Lynn Ct</t>
  </si>
  <si>
    <t>Altoona</t>
  </si>
  <si>
    <t xml:space="preserve">50009     </t>
  </si>
  <si>
    <t xml:space="preserve">163850          </t>
  </si>
  <si>
    <t>SOUTHEAST POLK HIGH SCHOOL</t>
  </si>
  <si>
    <t>RUNNELLS</t>
  </si>
  <si>
    <t xml:space="preserve">50237     </t>
  </si>
  <si>
    <t xml:space="preserve">190833924 </t>
  </si>
  <si>
    <t>Munk</t>
  </si>
  <si>
    <t>Munk, Cameron</t>
  </si>
  <si>
    <t>hooptroop2234@gmail.com</t>
  </si>
  <si>
    <t>23807 N 24th way</t>
  </si>
  <si>
    <t>Phoenix</t>
  </si>
  <si>
    <t xml:space="preserve">85024     </t>
  </si>
  <si>
    <t xml:space="preserve">030377          </t>
  </si>
  <si>
    <t xml:space="preserve">Pinnacle High School                    </t>
  </si>
  <si>
    <t xml:space="preserve">85050     </t>
  </si>
  <si>
    <t xml:space="preserve">190936113 </t>
  </si>
  <si>
    <t>Myers</t>
  </si>
  <si>
    <t>Jaden</t>
  </si>
  <si>
    <t>Myers, Jaden</t>
  </si>
  <si>
    <t>jaden.myers731@gmail.com</t>
  </si>
  <si>
    <t>25366 S Valley Dr</t>
  </si>
  <si>
    <t>Claremore</t>
  </si>
  <si>
    <t xml:space="preserve">74019     </t>
  </si>
  <si>
    <t xml:space="preserve">370787          </t>
  </si>
  <si>
    <t>VERDIGRIS SCHOOL</t>
  </si>
  <si>
    <t>CLAREMORE</t>
  </si>
  <si>
    <t xml:space="preserve">74017     </t>
  </si>
  <si>
    <t xml:space="preserve">190935605 </t>
  </si>
  <si>
    <t>Navarrete</t>
  </si>
  <si>
    <t>Luis</t>
  </si>
  <si>
    <t>Navarrete, Luis</t>
  </si>
  <si>
    <t>luiginava22@gmail.com</t>
  </si>
  <si>
    <t>803 W Pomona Blvd, Apt #B</t>
  </si>
  <si>
    <t>Monterey Park</t>
  </si>
  <si>
    <t xml:space="preserve">91754     </t>
  </si>
  <si>
    <t xml:space="preserve">052694          </t>
  </si>
  <si>
    <t>GLEN A WILSON HIGH SCHOOL</t>
  </si>
  <si>
    <t>HACIENDA HEIGHTS</t>
  </si>
  <si>
    <t xml:space="preserve">91745     </t>
  </si>
  <si>
    <t xml:space="preserve">190935453 </t>
  </si>
  <si>
    <t>Neal</t>
  </si>
  <si>
    <t>Derek</t>
  </si>
  <si>
    <t>Neal, Derek</t>
  </si>
  <si>
    <t>derek.neal@sjcds.net</t>
  </si>
  <si>
    <t>271 Glenlyon Dr.</t>
  </si>
  <si>
    <t>Orange Park</t>
  </si>
  <si>
    <t xml:space="preserve">32073     </t>
  </si>
  <si>
    <t xml:space="preserve">DM1905AC033 </t>
  </si>
  <si>
    <t xml:space="preserve">101275          </t>
  </si>
  <si>
    <t>SAINT JOHNS COUNTRY DAY SCHOOL</t>
  </si>
  <si>
    <t>ORANGE PARK</t>
  </si>
  <si>
    <t xml:space="preserve">190935587 </t>
  </si>
  <si>
    <t>Neaves</t>
  </si>
  <si>
    <t>Neaves, Juan</t>
  </si>
  <si>
    <t>jjneaves3@gmail.com</t>
  </si>
  <si>
    <t>6315 Macdona Street</t>
  </si>
  <si>
    <t xml:space="preserve">78221     </t>
  </si>
  <si>
    <t xml:space="preserve">DM1908CB053 </t>
  </si>
  <si>
    <t xml:space="preserve">190632021 </t>
  </si>
  <si>
    <t>Neeley</t>
  </si>
  <si>
    <t>Ariel</t>
  </si>
  <si>
    <t>Neeley, Ariel</t>
  </si>
  <si>
    <t>ariel.neeley@my.netech.edu</t>
  </si>
  <si>
    <t>62851 E 280 Rd</t>
  </si>
  <si>
    <t>Grove</t>
  </si>
  <si>
    <t xml:space="preserve">74344     </t>
  </si>
  <si>
    <t xml:space="preserve">371550          </t>
  </si>
  <si>
    <t>GROVE HIGH SCHOOL</t>
  </si>
  <si>
    <t>GROVE</t>
  </si>
  <si>
    <t xml:space="preserve">190834335 </t>
  </si>
  <si>
    <t>Nicalek</t>
  </si>
  <si>
    <t>Nicalek, Dakota</t>
  </si>
  <si>
    <t>1492 Vandolah Rd</t>
  </si>
  <si>
    <t>Wauchula</t>
  </si>
  <si>
    <t>33873-8725</t>
  </si>
  <si>
    <t xml:space="preserve">101805          </t>
  </si>
  <si>
    <t>HARDEE SENIOR HIGH SCHOOL</t>
  </si>
  <si>
    <t>WAUCHULA</t>
  </si>
  <si>
    <t xml:space="preserve">33873     </t>
  </si>
  <si>
    <t xml:space="preserve">190935953 </t>
  </si>
  <si>
    <t>Ning</t>
  </si>
  <si>
    <t>Ning, Christopher</t>
  </si>
  <si>
    <t>c9ning@hotmail.com</t>
  </si>
  <si>
    <t>3511 E Lynx Pl</t>
  </si>
  <si>
    <t xml:space="preserve">85249     </t>
  </si>
  <si>
    <t xml:space="preserve">030668          </t>
  </si>
  <si>
    <t>PERRY HIGH SCHOOL</t>
  </si>
  <si>
    <t>GILBERT</t>
  </si>
  <si>
    <t xml:space="preserve">85296     </t>
  </si>
  <si>
    <t xml:space="preserve">190631156 </t>
  </si>
  <si>
    <t>Noer</t>
  </si>
  <si>
    <t>Noer, Adam</t>
  </si>
  <si>
    <t>adamnoer20@outlook.com</t>
  </si>
  <si>
    <t>1813 Riverbend Drive</t>
  </si>
  <si>
    <t xml:space="preserve">054331          </t>
  </si>
  <si>
    <t xml:space="preserve">Citrus Valley High School </t>
  </si>
  <si>
    <t xml:space="preserve">190936065 </t>
  </si>
  <si>
    <t>Norton, Lauren</t>
  </si>
  <si>
    <t>lnorton928@gmail.com</t>
  </si>
  <si>
    <t>680 Humphries Road</t>
  </si>
  <si>
    <t>Cowpens</t>
  </si>
  <si>
    <t xml:space="preserve">29330     </t>
  </si>
  <si>
    <t xml:space="preserve">411565          </t>
  </si>
  <si>
    <t>G D BROOME HIGH SCHOOL</t>
  </si>
  <si>
    <t>SPARTANBURG</t>
  </si>
  <si>
    <t xml:space="preserve">29307     </t>
  </si>
  <si>
    <t xml:space="preserve">190935228 </t>
  </si>
  <si>
    <t>Nusser</t>
  </si>
  <si>
    <t>Nusser, Mark</t>
  </si>
  <si>
    <t>303234@my.puhsd.org</t>
  </si>
  <si>
    <t>29084 Golden Pebble Ct</t>
  </si>
  <si>
    <t xml:space="preserve">92584     </t>
  </si>
  <si>
    <t xml:space="preserve">051907          </t>
  </si>
  <si>
    <t>PALOMA VALLEY HIGH SCHOOL</t>
  </si>
  <si>
    <t>MENIFEE</t>
  </si>
  <si>
    <t xml:space="preserve">190936179 </t>
  </si>
  <si>
    <t>Ogrin</t>
  </si>
  <si>
    <t>Ogrin, Colby</t>
  </si>
  <si>
    <t>colbyjackcheese123@gmail.com</t>
  </si>
  <si>
    <t>20274 Dewey Lake St.</t>
  </si>
  <si>
    <t xml:space="preserve">49045     </t>
  </si>
  <si>
    <t xml:space="preserve">230795          </t>
  </si>
  <si>
    <t>DECATUR HIGH SCHOOL</t>
  </si>
  <si>
    <t xml:space="preserve">190935873 </t>
  </si>
  <si>
    <t>Okaiteye</t>
  </si>
  <si>
    <t>Okaiteye, Jason</t>
  </si>
  <si>
    <t>jasonokaiteye@gmail.com</t>
  </si>
  <si>
    <t>22114 Normandie Ave.</t>
  </si>
  <si>
    <t>Torrance</t>
  </si>
  <si>
    <t xml:space="preserve">90502     </t>
  </si>
  <si>
    <t xml:space="preserve">190833383 </t>
  </si>
  <si>
    <t>Olea</t>
  </si>
  <si>
    <t>Moises</t>
  </si>
  <si>
    <t>Olea, Moises</t>
  </si>
  <si>
    <t>moises.olea12@gmail.com</t>
  </si>
  <si>
    <t>1022 Locust Ave Apt. E</t>
  </si>
  <si>
    <t xml:space="preserve">90813     </t>
  </si>
  <si>
    <t xml:space="preserve">050424          </t>
  </si>
  <si>
    <t>CABRILLO HIGH SCHOOL</t>
  </si>
  <si>
    <t>LONG BEACH</t>
  </si>
  <si>
    <t xml:space="preserve">190936072 </t>
  </si>
  <si>
    <t>Prit</t>
  </si>
  <si>
    <t>Patel, Prit</t>
  </si>
  <si>
    <t>merceded5338@gmail.com</t>
  </si>
  <si>
    <t>24 Hilgert Ave</t>
  </si>
  <si>
    <t>Reading</t>
  </si>
  <si>
    <t xml:space="preserve">19607     </t>
  </si>
  <si>
    <t xml:space="preserve">394555          </t>
  </si>
  <si>
    <t>GOVERNOR MIFFLIN SENIOR HS</t>
  </si>
  <si>
    <t>SHILLINGTON</t>
  </si>
  <si>
    <t xml:space="preserve">190630819 </t>
  </si>
  <si>
    <t>Pearson, Jonathan</t>
  </si>
  <si>
    <t>johnyjoejoe55@gmail.com</t>
  </si>
  <si>
    <t>720 S West Ave</t>
  </si>
  <si>
    <t>49203-1600</t>
  </si>
  <si>
    <t xml:space="preserve">230698          </t>
  </si>
  <si>
    <t>Jackson Pathways High Schools</t>
  </si>
  <si>
    <t xml:space="preserve">190632186 </t>
  </si>
  <si>
    <t>Pena</t>
  </si>
  <si>
    <t>Pena, Moses</t>
  </si>
  <si>
    <t>penamoses2@gmail.com</t>
  </si>
  <si>
    <t>511 Edgewood Ave</t>
  </si>
  <si>
    <t xml:space="preserve">78541     </t>
  </si>
  <si>
    <t xml:space="preserve">442149          </t>
  </si>
  <si>
    <t>TEACHER ACADEMY</t>
  </si>
  <si>
    <t>EDINBURG</t>
  </si>
  <si>
    <t xml:space="preserve">78539     </t>
  </si>
  <si>
    <t xml:space="preserve">190833296 </t>
  </si>
  <si>
    <t>Jerson</t>
  </si>
  <si>
    <t>Perez, Jerson</t>
  </si>
  <si>
    <t>Perez-jerson@hotmail.com</t>
  </si>
  <si>
    <t>6814 Makee Ave.</t>
  </si>
  <si>
    <t xml:space="preserve">90001     </t>
  </si>
  <si>
    <t xml:space="preserve">051621          </t>
  </si>
  <si>
    <t>Diego Rivera Learning Complex - Performing Arts Community Sc</t>
  </si>
  <si>
    <t xml:space="preserve">190935655 </t>
  </si>
  <si>
    <t>Julian</t>
  </si>
  <si>
    <t>Perez, Julian</t>
  </si>
  <si>
    <t>jperez818@outlook.com</t>
  </si>
  <si>
    <t>6323 Avenida De Las Vistas Unit 4</t>
  </si>
  <si>
    <t>92154-6613</t>
  </si>
  <si>
    <t xml:space="preserve">051239          </t>
  </si>
  <si>
    <t>MONTGOMERY HIGH SCHOOL</t>
  </si>
  <si>
    <t>SAN DIEGO</t>
  </si>
  <si>
    <t xml:space="preserve">92154     </t>
  </si>
  <si>
    <t xml:space="preserve">190834192 </t>
  </si>
  <si>
    <t>Ponce</t>
  </si>
  <si>
    <t>Ramon</t>
  </si>
  <si>
    <t>Ponce, Ramon</t>
  </si>
  <si>
    <t>redponce06@hotmail.com</t>
  </si>
  <si>
    <t>179 Rollins St</t>
  </si>
  <si>
    <t>28337-5043</t>
  </si>
  <si>
    <t xml:space="preserve">341140          </t>
  </si>
  <si>
    <t>EAST BLADEN HIGH SCHOOL</t>
  </si>
  <si>
    <t>ELIZABETHTOWN</t>
  </si>
  <si>
    <t xml:space="preserve">28337     </t>
  </si>
  <si>
    <t xml:space="preserve">190833367 </t>
  </si>
  <si>
    <t>Popowski</t>
  </si>
  <si>
    <t>Natalie</t>
  </si>
  <si>
    <t>Popowski, Natalie</t>
  </si>
  <si>
    <t>natalievpopowski@gmail.com</t>
  </si>
  <si>
    <t>1725 Clark Ave</t>
  </si>
  <si>
    <t>Cottage Grove</t>
  </si>
  <si>
    <t xml:space="preserve">97424     </t>
  </si>
  <si>
    <t xml:space="preserve">380215          </t>
  </si>
  <si>
    <t>COTTAGE GROVE HIGH SCHOOL</t>
  </si>
  <si>
    <t>COTTAGE GROVE</t>
  </si>
  <si>
    <t xml:space="preserve">190834548 </t>
  </si>
  <si>
    <t>Nayeli</t>
  </si>
  <si>
    <t>Potter, Nayeli</t>
  </si>
  <si>
    <t>nayelipotter2002@gmail.com</t>
  </si>
  <si>
    <t>14 Easton St. Apt 3</t>
  </si>
  <si>
    <t xml:space="preserve">01843     </t>
  </si>
  <si>
    <t xml:space="preserve">221120          </t>
  </si>
  <si>
    <t>LAWRENCE HIGH SCHOOL</t>
  </si>
  <si>
    <t>LAWRENCE</t>
  </si>
  <si>
    <t xml:space="preserve">1841      </t>
  </si>
  <si>
    <t xml:space="preserve">190630461 </t>
  </si>
  <si>
    <t>Pratt</t>
  </si>
  <si>
    <t>Jaire</t>
  </si>
  <si>
    <t>Pratt, Jaire</t>
  </si>
  <si>
    <t>jfpratt47@gmail.com</t>
  </si>
  <si>
    <t>2052 Pitman Ave</t>
  </si>
  <si>
    <t>Bronx</t>
  </si>
  <si>
    <t xml:space="preserve">10466     </t>
  </si>
  <si>
    <t xml:space="preserve">330497          </t>
  </si>
  <si>
    <t>EAGLE ACAD FOR YOUNG MEN</t>
  </si>
  <si>
    <t>BRONX</t>
  </si>
  <si>
    <t xml:space="preserve">10451     </t>
  </si>
  <si>
    <t xml:space="preserve">190630774 </t>
  </si>
  <si>
    <t>Prevo</t>
  </si>
  <si>
    <t>Sam</t>
  </si>
  <si>
    <t>Prevo, Sam</t>
  </si>
  <si>
    <t>sampv006@gmail.com</t>
  </si>
  <si>
    <t>3414 Greg Drive</t>
  </si>
  <si>
    <t>Prescott Valley</t>
  </si>
  <si>
    <t xml:space="preserve">86314     </t>
  </si>
  <si>
    <t xml:space="preserve">030071          </t>
  </si>
  <si>
    <t>BRADSHAW MOUNTAIN HS</t>
  </si>
  <si>
    <t>PRESCOTT VALLEY</t>
  </si>
  <si>
    <t xml:space="preserve">190834185 </t>
  </si>
  <si>
    <t>Psaltakis</t>
  </si>
  <si>
    <t>Anastasios</t>
  </si>
  <si>
    <t>Psaltakis, Anastasios</t>
  </si>
  <si>
    <t>tassopsaltakis@me.com</t>
  </si>
  <si>
    <t>13403 Farm View St.</t>
  </si>
  <si>
    <t>Homer Glen</t>
  </si>
  <si>
    <t xml:space="preserve">60491     </t>
  </si>
  <si>
    <t xml:space="preserve">142375          </t>
  </si>
  <si>
    <t>PROVIDENCE CATHOLIC HS</t>
  </si>
  <si>
    <t>NEW LENOX</t>
  </si>
  <si>
    <t xml:space="preserve">60451     </t>
  </si>
  <si>
    <t xml:space="preserve">190834413 </t>
  </si>
  <si>
    <t>Pyeatt</t>
  </si>
  <si>
    <t>Shelbie</t>
  </si>
  <si>
    <t>Pyeatt, Shelbie</t>
  </si>
  <si>
    <t>srpyeatt@outlook.com</t>
  </si>
  <si>
    <t>20707 N 67th Ave, Apt. 117</t>
  </si>
  <si>
    <t xml:space="preserve">85308     </t>
  </si>
  <si>
    <t xml:space="preserve">030266          </t>
  </si>
  <si>
    <t>GREENWAY HIGH SCHOOL</t>
  </si>
  <si>
    <t xml:space="preserve">85053     </t>
  </si>
  <si>
    <t xml:space="preserve">190833798 </t>
  </si>
  <si>
    <t>Quintero Salcido</t>
  </si>
  <si>
    <t>Emili</t>
  </si>
  <si>
    <t>Quintero Salcido, Emili</t>
  </si>
  <si>
    <t>quinteroemili12@gmail.com</t>
  </si>
  <si>
    <t>7007 W Indian School Rd, Apt. 2504</t>
  </si>
  <si>
    <t xml:space="preserve">85033     </t>
  </si>
  <si>
    <t xml:space="preserve">030780          </t>
  </si>
  <si>
    <t>Western School of Science and Technology - CFA</t>
  </si>
  <si>
    <t xml:space="preserve">190833216 </t>
  </si>
  <si>
    <t>Armando</t>
  </si>
  <si>
    <t>Ramirez, Armando</t>
  </si>
  <si>
    <t>armando.r6910@gmail.com</t>
  </si>
  <si>
    <t>245 Warren Way</t>
  </si>
  <si>
    <t>Pittsburg</t>
  </si>
  <si>
    <t>94565-3744</t>
  </si>
  <si>
    <t xml:space="preserve">052475          </t>
  </si>
  <si>
    <t>PITTSBURG SR HIGH SCHOOL NORTH</t>
  </si>
  <si>
    <t>PITTSBURG</t>
  </si>
  <si>
    <t xml:space="preserve">94565     </t>
  </si>
  <si>
    <t xml:space="preserve">190935440 </t>
  </si>
  <si>
    <t>ezekielrez16@gmail.com</t>
  </si>
  <si>
    <t>4510 Given Ave</t>
  </si>
  <si>
    <t xml:space="preserve">38122     </t>
  </si>
  <si>
    <t xml:space="preserve">431433          </t>
  </si>
  <si>
    <t xml:space="preserve">Kingsbury High School                   </t>
  </si>
  <si>
    <t xml:space="preserve">190935041 </t>
  </si>
  <si>
    <t>Jasmin</t>
  </si>
  <si>
    <t>Ramirez, Jasmin</t>
  </si>
  <si>
    <t>jessyeet42@gmail.com</t>
  </si>
  <si>
    <t>404 NW H ST</t>
  </si>
  <si>
    <t>Bentonville</t>
  </si>
  <si>
    <t xml:space="preserve">042171          </t>
  </si>
  <si>
    <t>Rogers New Tech High School</t>
  </si>
  <si>
    <t xml:space="preserve">72756     </t>
  </si>
  <si>
    <t xml:space="preserve">190834237 </t>
  </si>
  <si>
    <t>Rampton</t>
  </si>
  <si>
    <t>Isaac</t>
  </si>
  <si>
    <t>Rampton, Isaac</t>
  </si>
  <si>
    <t>isaac@2b4joy.com</t>
  </si>
  <si>
    <t>691 W 2400 N</t>
  </si>
  <si>
    <t xml:space="preserve">450001          </t>
  </si>
  <si>
    <t>Skyridge High School</t>
  </si>
  <si>
    <t xml:space="preserve">190935893 </t>
  </si>
  <si>
    <t>Reese</t>
  </si>
  <si>
    <t>Xavier</t>
  </si>
  <si>
    <t>Reese, Xavier</t>
  </si>
  <si>
    <t>xavier.reese@mtchs.org</t>
  </si>
  <si>
    <t>10827 West Sandhurst Dr.</t>
  </si>
  <si>
    <t xml:space="preserve">130392          </t>
  </si>
  <si>
    <t xml:space="preserve">Meridian Charter High School            </t>
  </si>
  <si>
    <t xml:space="preserve">190732478 </t>
  </si>
  <si>
    <t>Reyes, Shawn</t>
  </si>
  <si>
    <t>snreyes223@gmail.com</t>
  </si>
  <si>
    <t>28169 Saint Tropez PL.</t>
  </si>
  <si>
    <t>Hayward</t>
  </si>
  <si>
    <t xml:space="preserve">94544     </t>
  </si>
  <si>
    <t xml:space="preserve">051152          </t>
  </si>
  <si>
    <t>TENNYSON HIGH SCHOOL</t>
  </si>
  <si>
    <t>HAYWARD</t>
  </si>
  <si>
    <t xml:space="preserve">190833523 </t>
  </si>
  <si>
    <t>Richardson</t>
  </si>
  <si>
    <t>Richardson, Mark</t>
  </si>
  <si>
    <t>Mr.legoman@yahoo.com</t>
  </si>
  <si>
    <t>408 East RailRoad Street</t>
  </si>
  <si>
    <t>Sheffield</t>
  </si>
  <si>
    <t xml:space="preserve">61361     </t>
  </si>
  <si>
    <t xml:space="preserve">142740          </t>
  </si>
  <si>
    <t>BUREAU VALLEY HIGH SCHOOL</t>
  </si>
  <si>
    <t xml:space="preserve">61338     </t>
  </si>
  <si>
    <t xml:space="preserve">190935672 </t>
  </si>
  <si>
    <t>Ries</t>
  </si>
  <si>
    <t>Nicolas</t>
  </si>
  <si>
    <t>Ries, Nicolas</t>
  </si>
  <si>
    <t>ries.roberts@juno.com</t>
  </si>
  <si>
    <t>2809 Emerald Bay Drive</t>
  </si>
  <si>
    <t xml:space="preserve">95618     </t>
  </si>
  <si>
    <t xml:space="preserve">053850          </t>
  </si>
  <si>
    <t>WOODLAND CHRISTIAN HIGH SCHOOL</t>
  </si>
  <si>
    <t>WOODLAND</t>
  </si>
  <si>
    <t xml:space="preserve">95776     </t>
  </si>
  <si>
    <t xml:space="preserve">190833822 </t>
  </si>
  <si>
    <t>Riggs</t>
  </si>
  <si>
    <t>Riggs, Jacob</t>
  </si>
  <si>
    <t>jacob.riggs2411@gmail.com</t>
  </si>
  <si>
    <t>963 S Leslie Pl</t>
  </si>
  <si>
    <t>West Terre Haute</t>
  </si>
  <si>
    <t>47885-8934</t>
  </si>
  <si>
    <t xml:space="preserve">153765          </t>
  </si>
  <si>
    <t>WEST VIGO HIGH SCHOOL</t>
  </si>
  <si>
    <t>WEST TERRE HAUTE</t>
  </si>
  <si>
    <t xml:space="preserve">47885     </t>
  </si>
  <si>
    <t xml:space="preserve">191036272 </t>
  </si>
  <si>
    <t>Roberts, Justin</t>
  </si>
  <si>
    <t>temperary542@gmail.com</t>
  </si>
  <si>
    <t>17005 Perimeter Road</t>
  </si>
  <si>
    <t>Grass Valley</t>
  </si>
  <si>
    <t xml:space="preserve">95949     </t>
  </si>
  <si>
    <t xml:space="preserve">051092          </t>
  </si>
  <si>
    <t>BEAR RIVER HIGH SCHOOL</t>
  </si>
  <si>
    <t>GRASS VALLEY</t>
  </si>
  <si>
    <t xml:space="preserve">190934727 </t>
  </si>
  <si>
    <t>Nakieyah</t>
  </si>
  <si>
    <t>Robinson, Nakieyah</t>
  </si>
  <si>
    <t>kieyah411@gmail.com</t>
  </si>
  <si>
    <t>112 Pondarosa Dr</t>
  </si>
  <si>
    <t xml:space="preserve">010200          </t>
  </si>
  <si>
    <t>ESCAMBIA COUNTY HIGH SCHOOL</t>
  </si>
  <si>
    <t>ATMORE</t>
  </si>
  <si>
    <t xml:space="preserve">190733167 </t>
  </si>
  <si>
    <t>Luca</t>
  </si>
  <si>
    <t>Rodriguez, Luca</t>
  </si>
  <si>
    <t>what.time.is.it.3f@gmail.com</t>
  </si>
  <si>
    <t>5740 Sandstone Way</t>
  </si>
  <si>
    <t xml:space="preserve">32258     </t>
  </si>
  <si>
    <t xml:space="preserve">100769          </t>
  </si>
  <si>
    <t>MANDARIN HIGH SCHOOL</t>
  </si>
  <si>
    <t xml:space="preserve">190631211 </t>
  </si>
  <si>
    <t>Roldan</t>
  </si>
  <si>
    <t>Margie</t>
  </si>
  <si>
    <t>Roldan, Margie</t>
  </si>
  <si>
    <t>emilyroldan17@gmail.com</t>
  </si>
  <si>
    <t>1900 Walnut, #1310</t>
  </si>
  <si>
    <t>Bastrop</t>
  </si>
  <si>
    <t xml:space="preserve">78602     </t>
  </si>
  <si>
    <t xml:space="preserve">440460          </t>
  </si>
  <si>
    <t>BASTROP HIGH SCHOOL</t>
  </si>
  <si>
    <t>BASTROP</t>
  </si>
  <si>
    <t xml:space="preserve">190936092 </t>
  </si>
  <si>
    <t>Bryan</t>
  </si>
  <si>
    <t>Romero, Bryan</t>
  </si>
  <si>
    <t>bryan.romerox187@gmail.com</t>
  </si>
  <si>
    <t>1808 W 48th st</t>
  </si>
  <si>
    <t xml:space="preserve">90062     </t>
  </si>
  <si>
    <t xml:space="preserve">190834378 </t>
  </si>
  <si>
    <t>Ross Jr</t>
  </si>
  <si>
    <t>Micheal</t>
  </si>
  <si>
    <t>Ross Jr, Micheal</t>
  </si>
  <si>
    <t>ross.family44@yahoo.com</t>
  </si>
  <si>
    <t>107 Catalba Ct</t>
  </si>
  <si>
    <t>Peachtree City</t>
  </si>
  <si>
    <t>30269-2008</t>
  </si>
  <si>
    <t xml:space="preserve">111277          </t>
  </si>
  <si>
    <t>STARR'S MILL HIGH SCHOOL</t>
  </si>
  <si>
    <t>FAYETTEVILLE</t>
  </si>
  <si>
    <t xml:space="preserve">30215     </t>
  </si>
  <si>
    <t xml:space="preserve">190935614 </t>
  </si>
  <si>
    <t>Russell, Ryan</t>
  </si>
  <si>
    <t>trueaggie30@gmail.com</t>
  </si>
  <si>
    <t>2037 N Belmont Dr.</t>
  </si>
  <si>
    <t xml:space="preserve">444743          </t>
  </si>
  <si>
    <t>ROBERT E LEE HIGH SCHOOL</t>
  </si>
  <si>
    <t xml:space="preserve">79707     </t>
  </si>
  <si>
    <t xml:space="preserve">190934599 </t>
  </si>
  <si>
    <t>Rybak</t>
  </si>
  <si>
    <t>Ian</t>
  </si>
  <si>
    <t>Rybak, Ian</t>
  </si>
  <si>
    <t>ian.rybak2020@gmail.com</t>
  </si>
  <si>
    <t>12277 Bob Heasley Dr</t>
  </si>
  <si>
    <t xml:space="preserve">442279          </t>
  </si>
  <si>
    <t>Pebble Hills High school</t>
  </si>
  <si>
    <t>EL PASO</t>
  </si>
  <si>
    <t xml:space="preserve">190833480 </t>
  </si>
  <si>
    <t>Salazar</t>
  </si>
  <si>
    <t>Erick</t>
  </si>
  <si>
    <t>Salazar, Erick</t>
  </si>
  <si>
    <t>428 Camino Providencia</t>
  </si>
  <si>
    <t>Rio Rico</t>
  </si>
  <si>
    <t xml:space="preserve">85648     </t>
  </si>
  <si>
    <t xml:space="preserve">030235          </t>
  </si>
  <si>
    <t>Nogales High School</t>
  </si>
  <si>
    <t>Nogals</t>
  </si>
  <si>
    <t xml:space="preserve">85621     </t>
  </si>
  <si>
    <t xml:space="preserve">191036455 </t>
  </si>
  <si>
    <t>Salinas</t>
  </si>
  <si>
    <t>Salinas, Juan</t>
  </si>
  <si>
    <t>shadowhawk6440@gmail.com</t>
  </si>
  <si>
    <t>612 NE 20th St</t>
  </si>
  <si>
    <t>Guymon</t>
  </si>
  <si>
    <t xml:space="preserve">73942     </t>
  </si>
  <si>
    <t xml:space="preserve">371570          </t>
  </si>
  <si>
    <t>GUYMON SENIOR HIGH SCHOOL</t>
  </si>
  <si>
    <t>GUYMON</t>
  </si>
  <si>
    <t xml:space="preserve">190833666 </t>
  </si>
  <si>
    <t>Samuel</t>
  </si>
  <si>
    <t>DeAndrey</t>
  </si>
  <si>
    <t>Samuel, DeAndrey</t>
  </si>
  <si>
    <t>deandrey68.ds@gmail.com</t>
  </si>
  <si>
    <t>99 County Road 1795</t>
  </si>
  <si>
    <t>Jefferson</t>
  </si>
  <si>
    <t xml:space="preserve">75657     </t>
  </si>
  <si>
    <t xml:space="preserve">444180          </t>
  </si>
  <si>
    <t>LINDEN KILDARE HIGH SCHOOL</t>
  </si>
  <si>
    <t>LINDEN</t>
  </si>
  <si>
    <t xml:space="preserve">75563     </t>
  </si>
  <si>
    <t xml:space="preserve">191036313 </t>
  </si>
  <si>
    <t>Samuel, Ryan</t>
  </si>
  <si>
    <t>vanusoverty@gmail.com</t>
  </si>
  <si>
    <t>2412 Tottingham Rd</t>
  </si>
  <si>
    <t xml:space="preserve">89074     </t>
  </si>
  <si>
    <t xml:space="preserve">290101          </t>
  </si>
  <si>
    <t>Southeast Career &amp; Technical Academy</t>
  </si>
  <si>
    <t xml:space="preserve">89120     </t>
  </si>
  <si>
    <t xml:space="preserve">190833472 </t>
  </si>
  <si>
    <t>San Nicolas</t>
  </si>
  <si>
    <t>San Nicolas, Richard</t>
  </si>
  <si>
    <t>sannicolasrichard@gmail.com</t>
  </si>
  <si>
    <t>717 Burns Rd Apt 3221</t>
  </si>
  <si>
    <t>30117-2573</t>
  </si>
  <si>
    <t xml:space="preserve">110603          </t>
  </si>
  <si>
    <t>CARROLLTON HIGH SCHOOL</t>
  </si>
  <si>
    <t>CARROLLTON</t>
  </si>
  <si>
    <t xml:space="preserve">190630836 </t>
  </si>
  <si>
    <t>Piper</t>
  </si>
  <si>
    <t>Sanders, Piper</t>
  </si>
  <si>
    <t>pipersanders01@gmail.com</t>
  </si>
  <si>
    <t>3108 Mosher Rd, 410 Parkway Drive</t>
  </si>
  <si>
    <t>Parsons</t>
  </si>
  <si>
    <t xml:space="preserve">67357     </t>
  </si>
  <si>
    <t xml:space="preserve">172343          </t>
  </si>
  <si>
    <t>PARSONS SENIOR HIGH SCHOOL</t>
  </si>
  <si>
    <t>PARSONS</t>
  </si>
  <si>
    <t xml:space="preserve">190834537 </t>
  </si>
  <si>
    <t>Schroeder</t>
  </si>
  <si>
    <t>Craig</t>
  </si>
  <si>
    <t>Schroeder, Craig</t>
  </si>
  <si>
    <t>schroedercraig149@gmail.com</t>
  </si>
  <si>
    <t>311 Hammond Drive</t>
  </si>
  <si>
    <t>Auburn</t>
  </si>
  <si>
    <t xml:space="preserve">95603     </t>
  </si>
  <si>
    <t xml:space="preserve">050175          </t>
  </si>
  <si>
    <t xml:space="preserve">Placer High School                      </t>
  </si>
  <si>
    <t xml:space="preserve">190833995 </t>
  </si>
  <si>
    <t>Schwamberger</t>
  </si>
  <si>
    <t>Schwamberger, William</t>
  </si>
  <si>
    <t>willschwamy@gmail.com</t>
  </si>
  <si>
    <t>109 Copperfield Dr.</t>
  </si>
  <si>
    <t>Mankato</t>
  </si>
  <si>
    <t xml:space="preserve">56001     </t>
  </si>
  <si>
    <t xml:space="preserve">241484          </t>
  </si>
  <si>
    <t>MANKATO EAST HIGH SCHOOL</t>
  </si>
  <si>
    <t>MANKATO</t>
  </si>
  <si>
    <t xml:space="preserve">190935786 </t>
  </si>
  <si>
    <t>Seavers</t>
  </si>
  <si>
    <t>Seavers, Michael</t>
  </si>
  <si>
    <t>michaelseavers@hotmail.com</t>
  </si>
  <si>
    <t>100 Fox Meadows D12</t>
  </si>
  <si>
    <t xml:space="preserve">42071     </t>
  </si>
  <si>
    <t xml:space="preserve">181923          </t>
  </si>
  <si>
    <t>CALLOWAY COUNTY HIGH SCHOOL</t>
  </si>
  <si>
    <t xml:space="preserve">190833217 </t>
  </si>
  <si>
    <t>Sebastian-Ortiz</t>
  </si>
  <si>
    <t>Sebastian-Ortiz, Victor</t>
  </si>
  <si>
    <t>vsebastian@bucs.fsw.edu</t>
  </si>
  <si>
    <t>18284 Troon Ave</t>
  </si>
  <si>
    <t>Port Charlotte</t>
  </si>
  <si>
    <t xml:space="preserve">33948     </t>
  </si>
  <si>
    <t xml:space="preserve">102092          </t>
  </si>
  <si>
    <t>Florida Southwestern Collegiate High School</t>
  </si>
  <si>
    <t>Punta Gorda</t>
  </si>
  <si>
    <t xml:space="preserve">33950     </t>
  </si>
  <si>
    <t xml:space="preserve">190834083 </t>
  </si>
  <si>
    <t>Heather</t>
  </si>
  <si>
    <t>Shannon, Heather</t>
  </si>
  <si>
    <t>heather216shannon@gmail.com</t>
  </si>
  <si>
    <t>1880 Elvester Rd</t>
  </si>
  <si>
    <t>Warrior</t>
  </si>
  <si>
    <t xml:space="preserve">35180     </t>
  </si>
  <si>
    <t xml:space="preserve">011400          </t>
  </si>
  <si>
    <t>HAYDEN</t>
  </si>
  <si>
    <t xml:space="preserve">35079     </t>
  </si>
  <si>
    <t xml:space="preserve">190936152 </t>
  </si>
  <si>
    <t>Sharbaugh</t>
  </si>
  <si>
    <t>Sharbaugh, Michael</t>
  </si>
  <si>
    <t>Roselle</t>
  </si>
  <si>
    <t xml:space="preserve">60172     </t>
  </si>
  <si>
    <t xml:space="preserve">143343          </t>
  </si>
  <si>
    <t>J B CONANT HIGH SCHOOL</t>
  </si>
  <si>
    <t>HOFFMAN ESTATES</t>
  </si>
  <si>
    <t xml:space="preserve">60194     </t>
  </si>
  <si>
    <t xml:space="preserve">190631475 </t>
  </si>
  <si>
    <t>Shawver</t>
  </si>
  <si>
    <t>Hannah</t>
  </si>
  <si>
    <t>Shawver, Hannah</t>
  </si>
  <si>
    <t>hannahshawver19@gmail.com</t>
  </si>
  <si>
    <t>4573 Meadowlark Dr</t>
  </si>
  <si>
    <t>Windsor</t>
  </si>
  <si>
    <t xml:space="preserve">80550     </t>
  </si>
  <si>
    <t xml:space="preserve">060951          </t>
  </si>
  <si>
    <t>MOUNTAIN VIEW HIGH SCHOOL</t>
  </si>
  <si>
    <t xml:space="preserve">80537     </t>
  </si>
  <si>
    <t xml:space="preserve">190935235 </t>
  </si>
  <si>
    <t>Shipman</t>
  </si>
  <si>
    <t>Isabella</t>
  </si>
  <si>
    <t>Shipman, Isabella</t>
  </si>
  <si>
    <t>kallenkozuki314@gmail.com</t>
  </si>
  <si>
    <t>228 E. Main St.</t>
  </si>
  <si>
    <t xml:space="preserve">44857     </t>
  </si>
  <si>
    <t xml:space="preserve">363875          </t>
  </si>
  <si>
    <t>NORWALK HIGH SCHOOL</t>
  </si>
  <si>
    <t>NORWALK</t>
  </si>
  <si>
    <t xml:space="preserve">190934908 </t>
  </si>
  <si>
    <t>Silverman</t>
  </si>
  <si>
    <t>Simon</t>
  </si>
  <si>
    <t>Silverman, Simon</t>
  </si>
  <si>
    <t>simonsilverman03@gmail.com</t>
  </si>
  <si>
    <t>2560 Arbor Lake Lane #1018</t>
  </si>
  <si>
    <t>Indianapolis</t>
  </si>
  <si>
    <t xml:space="preserve">46268     </t>
  </si>
  <si>
    <t xml:space="preserve">150011          </t>
  </si>
  <si>
    <t>Indiana Connections Career Academy</t>
  </si>
  <si>
    <t>Indinanapolis</t>
  </si>
  <si>
    <t xml:space="preserve">190936203 </t>
  </si>
  <si>
    <t>Simpson</t>
  </si>
  <si>
    <t>Kaelib</t>
  </si>
  <si>
    <t>Simpson, Kaelib</t>
  </si>
  <si>
    <t>Kaelibrs@gmail.com</t>
  </si>
  <si>
    <t>409 Dunn Ave</t>
  </si>
  <si>
    <t>Clinton</t>
  </si>
  <si>
    <t xml:space="preserve">73601     </t>
  </si>
  <si>
    <t>DM1908NRA053</t>
  </si>
  <si>
    <t xml:space="preserve">370810          </t>
  </si>
  <si>
    <t>CLINTON HIGH SCHOOL</t>
  </si>
  <si>
    <t>CLINTON</t>
  </si>
  <si>
    <t xml:space="preserve">190833707 </t>
  </si>
  <si>
    <t>Malachai</t>
  </si>
  <si>
    <t>Simpson, Malachai</t>
  </si>
  <si>
    <t>fe26v1@gmail.com</t>
  </si>
  <si>
    <t>1005 E Burlington</t>
  </si>
  <si>
    <t>Fairfield</t>
  </si>
  <si>
    <t xml:space="preserve">52556     </t>
  </si>
  <si>
    <t xml:space="preserve">161550          </t>
  </si>
  <si>
    <t>FAIRFIELD COMMUNITY HS</t>
  </si>
  <si>
    <t>FAIRFIELD</t>
  </si>
  <si>
    <t xml:space="preserve">191036323 </t>
  </si>
  <si>
    <t>Caleb</t>
  </si>
  <si>
    <t>Smith, Caleb</t>
  </si>
  <si>
    <t>2121smith@trgators.org</t>
  </si>
  <si>
    <t xml:space="preserve">72857     </t>
  </si>
  <si>
    <t xml:space="preserve">041901          </t>
  </si>
  <si>
    <t xml:space="preserve">Two Rivers High School </t>
  </si>
  <si>
    <t xml:space="preserve">190934904 </t>
  </si>
  <si>
    <t>dsmith20@bfhsla.org</t>
  </si>
  <si>
    <t>7563 Briarheath Drive</t>
  </si>
  <si>
    <t>New Orleans</t>
  </si>
  <si>
    <t xml:space="preserve">70128     </t>
  </si>
  <si>
    <t xml:space="preserve">192006          </t>
  </si>
  <si>
    <t>BENJAMIN FRANKLIN HIGH SCHOOL</t>
  </si>
  <si>
    <t>NEW ORLEANS</t>
  </si>
  <si>
    <t xml:space="preserve">70122     </t>
  </si>
  <si>
    <t xml:space="preserve">190428083 </t>
  </si>
  <si>
    <t>Smith, Levi</t>
  </si>
  <si>
    <t>levimsmith089@gmail.com</t>
  </si>
  <si>
    <t>425 Purdy Mesa Rd</t>
  </si>
  <si>
    <t>Whitewater</t>
  </si>
  <si>
    <t xml:space="preserve">81527     </t>
  </si>
  <si>
    <t xml:space="preserve">060630          </t>
  </si>
  <si>
    <t>FRUITA MONUMENT HIGH SCHOOL</t>
  </si>
  <si>
    <t>FRUITA</t>
  </si>
  <si>
    <t xml:space="preserve">81521     </t>
  </si>
  <si>
    <t xml:space="preserve">190833368 </t>
  </si>
  <si>
    <t>Smith, Sarah</t>
  </si>
  <si>
    <t>semmas@comcast.net</t>
  </si>
  <si>
    <t>2256 W 11625 S</t>
  </si>
  <si>
    <t xml:space="preserve">450461          </t>
  </si>
  <si>
    <t>Riverton High School</t>
  </si>
  <si>
    <t xml:space="preserve">190935878 </t>
  </si>
  <si>
    <t>Snyder</t>
  </si>
  <si>
    <t>Snyder, Jacob</t>
  </si>
  <si>
    <t>minecraftyogiverse@gmail.com</t>
  </si>
  <si>
    <t>227 E Northview Ave</t>
  </si>
  <si>
    <t>New Castle</t>
  </si>
  <si>
    <t xml:space="preserve">16105     </t>
  </si>
  <si>
    <t xml:space="preserve">392910          </t>
  </si>
  <si>
    <t>NEW CASTLE SENIOR HIGH SCHOOL</t>
  </si>
  <si>
    <t>NEW CASTLE</t>
  </si>
  <si>
    <t xml:space="preserve">16101     </t>
  </si>
  <si>
    <t xml:space="preserve">190528863 </t>
  </si>
  <si>
    <t>Solie</t>
  </si>
  <si>
    <t>Calvin</t>
  </si>
  <si>
    <t>Solie, Calvin</t>
  </si>
  <si>
    <t>calvin_solie@yahoo.com</t>
  </si>
  <si>
    <t>2902 N Point Ridge Rd</t>
  </si>
  <si>
    <t>Buckeye</t>
  </si>
  <si>
    <t xml:space="preserve">85396     </t>
  </si>
  <si>
    <t xml:space="preserve">030029          </t>
  </si>
  <si>
    <t>VERRADO HIGH SCHOOL</t>
  </si>
  <si>
    <t>BUCKEYE</t>
  </si>
  <si>
    <t xml:space="preserve">190732619 </t>
  </si>
  <si>
    <t>Sosa</t>
  </si>
  <si>
    <t>Edward</t>
  </si>
  <si>
    <t>Sosa, Edward</t>
  </si>
  <si>
    <t>halo-20@outlook.com</t>
  </si>
  <si>
    <t>507 Mcnutt Rd</t>
  </si>
  <si>
    <t>Sunland Park</t>
  </si>
  <si>
    <t xml:space="preserve">88063     </t>
  </si>
  <si>
    <t xml:space="preserve">320570          </t>
  </si>
  <si>
    <t>SANTA TERESA HIGH SCHOOL</t>
  </si>
  <si>
    <t>SANTA TERESA</t>
  </si>
  <si>
    <t xml:space="preserve">88008     </t>
  </si>
  <si>
    <t xml:space="preserve">190935392 </t>
  </si>
  <si>
    <t>Frank</t>
  </si>
  <si>
    <t>Sotelo, Frank</t>
  </si>
  <si>
    <t>frank.sotelo10@gmail.com</t>
  </si>
  <si>
    <t>1757 N St Francis Pl</t>
  </si>
  <si>
    <t>Casa Grande</t>
  </si>
  <si>
    <t xml:space="preserve">85122     </t>
  </si>
  <si>
    <t xml:space="preserve">030081          </t>
  </si>
  <si>
    <t xml:space="preserve">190630310 </t>
  </si>
  <si>
    <t>Kaij</t>
  </si>
  <si>
    <t>Spencer, Kaij</t>
  </si>
  <si>
    <t>kaijtaco@gmail.com</t>
  </si>
  <si>
    <t>Cedar Hill</t>
  </si>
  <si>
    <t xml:space="preserve">75104     </t>
  </si>
  <si>
    <t xml:space="preserve">441170          </t>
  </si>
  <si>
    <t>CEDAR HILL HIGH SCHOOL</t>
  </si>
  <si>
    <t>CEDAR HILL</t>
  </si>
  <si>
    <t xml:space="preserve">190934870 </t>
  </si>
  <si>
    <t>Springer</t>
  </si>
  <si>
    <t>Springer, Frank</t>
  </si>
  <si>
    <t>frankspringer2001@gmail.com</t>
  </si>
  <si>
    <t>8844 Sheraton Drive</t>
  </si>
  <si>
    <t>Miramar</t>
  </si>
  <si>
    <t xml:space="preserve">33025     </t>
  </si>
  <si>
    <t>DM1905CBE058</t>
  </si>
  <si>
    <t xml:space="preserve">101817          </t>
  </si>
  <si>
    <t>MCARTHUR HIGH SCHOOL</t>
  </si>
  <si>
    <t>HOLLYWOOD</t>
  </si>
  <si>
    <t xml:space="preserve">33024     </t>
  </si>
  <si>
    <t xml:space="preserve">190630428 </t>
  </si>
  <si>
    <t>Sproul</t>
  </si>
  <si>
    <t>Sproul, Ethan</t>
  </si>
  <si>
    <t xml:space="preserve">28658     </t>
  </si>
  <si>
    <t xml:space="preserve">342460          </t>
  </si>
  <si>
    <t>MAIDEN HIGH SCHOOL</t>
  </si>
  <si>
    <t>MAIDEN</t>
  </si>
  <si>
    <t xml:space="preserve">28650     </t>
  </si>
  <si>
    <t xml:space="preserve">190834013 </t>
  </si>
  <si>
    <t>Stallworth</t>
  </si>
  <si>
    <t>Mahari</t>
  </si>
  <si>
    <t>Stallworth, Mahari</t>
  </si>
  <si>
    <t>maharistallworth@gmail.com</t>
  </si>
  <si>
    <t>P.O. Box 414</t>
  </si>
  <si>
    <t>Beatrice</t>
  </si>
  <si>
    <t xml:space="preserve">00414     </t>
  </si>
  <si>
    <t xml:space="preserve">010275          </t>
  </si>
  <si>
    <t>J F SHIELDS HIGH SCHOOL</t>
  </si>
  <si>
    <t>BEATRICE</t>
  </si>
  <si>
    <t xml:space="preserve">36425     </t>
  </si>
  <si>
    <t xml:space="preserve">190833432 </t>
  </si>
  <si>
    <t>Stephen</t>
  </si>
  <si>
    <t>Stephen, James</t>
  </si>
  <si>
    <t>jamesjstephen1@gmail.com</t>
  </si>
  <si>
    <t>7171 Pendale Circle</t>
  </si>
  <si>
    <t>North Tonawanda</t>
  </si>
  <si>
    <t xml:space="preserve">14120     </t>
  </si>
  <si>
    <t xml:space="preserve">332872          </t>
  </si>
  <si>
    <t>STARPOINT JUNIOR-SENIOR HS</t>
  </si>
  <si>
    <t>LOCKPORT</t>
  </si>
  <si>
    <t xml:space="preserve">190833915 </t>
  </si>
  <si>
    <t>Still</t>
  </si>
  <si>
    <t>Still, Randy</t>
  </si>
  <si>
    <t>randy.a.still01@gmail.com</t>
  </si>
  <si>
    <t>160 Baker Road</t>
  </si>
  <si>
    <t>Searcy</t>
  </si>
  <si>
    <t xml:space="preserve">72143     </t>
  </si>
  <si>
    <t xml:space="preserve">041940          </t>
  </si>
  <si>
    <t>PANGBURN HIGH SCHOOL</t>
  </si>
  <si>
    <t>PANGBURN</t>
  </si>
  <si>
    <t xml:space="preserve">72121     </t>
  </si>
  <si>
    <t xml:space="preserve">190934732 </t>
  </si>
  <si>
    <t>Stinson, Grant</t>
  </si>
  <si>
    <t>grantstinson4@gmail.com</t>
  </si>
  <si>
    <t>918 Randall Rd.</t>
  </si>
  <si>
    <t>Weatherford</t>
  </si>
  <si>
    <t xml:space="preserve">76087     </t>
  </si>
  <si>
    <t xml:space="preserve">447395          </t>
  </si>
  <si>
    <t>WEATHERFORD HIGH SCHOOL</t>
  </si>
  <si>
    <t>WEATHERFORD</t>
  </si>
  <si>
    <t xml:space="preserve">76086     </t>
  </si>
  <si>
    <t xml:space="preserve">190833710 </t>
  </si>
  <si>
    <t>Sutton</t>
  </si>
  <si>
    <t>Shamar</t>
  </si>
  <si>
    <t>Sutton, Shamar</t>
  </si>
  <si>
    <t>shamarsuttonss@gmail.com</t>
  </si>
  <si>
    <t>61 Orange St.</t>
  </si>
  <si>
    <t>Hartford</t>
  </si>
  <si>
    <t xml:space="preserve">06106     </t>
  </si>
  <si>
    <t xml:space="preserve">070675          </t>
  </si>
  <si>
    <t>SIMSBURY HIGH SCHOOL</t>
  </si>
  <si>
    <t>SIMSBURY</t>
  </si>
  <si>
    <t xml:space="preserve">6070      </t>
  </si>
  <si>
    <t xml:space="preserve">191036588 </t>
  </si>
  <si>
    <t>Taray</t>
  </si>
  <si>
    <t>Taray, Anthony</t>
  </si>
  <si>
    <t>tarayton000@student.prbschools.org</t>
  </si>
  <si>
    <t>9387 County Rd. 1</t>
  </si>
  <si>
    <t>Pine River</t>
  </si>
  <si>
    <t xml:space="preserve">56474     </t>
  </si>
  <si>
    <t xml:space="preserve">242005          </t>
  </si>
  <si>
    <t>PINE RIVER-BACKUS HIGH SCHOOL</t>
  </si>
  <si>
    <t>PINE RIVER</t>
  </si>
  <si>
    <t xml:space="preserve">191036766 </t>
  </si>
  <si>
    <t>Mackenzie</t>
  </si>
  <si>
    <t>Taylor, Mackenzie</t>
  </si>
  <si>
    <t>m.ashlyn1028@gmail.com</t>
  </si>
  <si>
    <t>19215 Eldridge Lane</t>
  </si>
  <si>
    <t xml:space="preserve">48076     </t>
  </si>
  <si>
    <t xml:space="preserve">230333          </t>
  </si>
  <si>
    <t>WYLIE E GROVES HIGH SCHOOL</t>
  </si>
  <si>
    <t>BEVERLY HILLS</t>
  </si>
  <si>
    <t xml:space="preserve">48025     </t>
  </si>
  <si>
    <t xml:space="preserve">191036764 </t>
  </si>
  <si>
    <t>Tieu</t>
  </si>
  <si>
    <t>Tieu, Isaac</t>
  </si>
  <si>
    <t>spilers0120@gmail.com</t>
  </si>
  <si>
    <t>2909 Barrowby St.</t>
  </si>
  <si>
    <t xml:space="preserve">93311     </t>
  </si>
  <si>
    <t xml:space="preserve">050208          </t>
  </si>
  <si>
    <t>BAKERSFIELD CHRISTIAN HS</t>
  </si>
  <si>
    <t>BAKERSFIELD</t>
  </si>
  <si>
    <t xml:space="preserve">93380     </t>
  </si>
  <si>
    <t xml:space="preserve">190935288 </t>
  </si>
  <si>
    <t>Tir</t>
  </si>
  <si>
    <t>Linda</t>
  </si>
  <si>
    <t>Tir, Linda</t>
  </si>
  <si>
    <t>LOTirl11@stu.lok12.org</t>
  </si>
  <si>
    <t>1100 American Elm St</t>
  </si>
  <si>
    <t>Lake Orion</t>
  </si>
  <si>
    <t xml:space="preserve">48360     </t>
  </si>
  <si>
    <t xml:space="preserve">232255          </t>
  </si>
  <si>
    <t>LAKE ORION HIGH SCHOOL</t>
  </si>
  <si>
    <t>LAKE ORION</t>
  </si>
  <si>
    <t xml:space="preserve">190630034 </t>
  </si>
  <si>
    <t>Townes</t>
  </si>
  <si>
    <t>Kwame'</t>
  </si>
  <si>
    <t>Townes, Kwame'</t>
  </si>
  <si>
    <t>townes.k.work@gmail.com</t>
  </si>
  <si>
    <t>154 Chatham Trce.</t>
  </si>
  <si>
    <t>Columbia</t>
  </si>
  <si>
    <t xml:space="preserve">29229     </t>
  </si>
  <si>
    <t xml:space="preserve">411101          </t>
  </si>
  <si>
    <t>DUTCH FORK HIGH SCHOOL</t>
  </si>
  <si>
    <t>IRMO</t>
  </si>
  <si>
    <t xml:space="preserve">29063     </t>
  </si>
  <si>
    <t xml:space="preserve">190935547 </t>
  </si>
  <si>
    <t>Tran</t>
  </si>
  <si>
    <t>Gia</t>
  </si>
  <si>
    <t>Tran, Gia</t>
  </si>
  <si>
    <t>billtrancon12@gmail.com</t>
  </si>
  <si>
    <t>17018 Sereniah Cir</t>
  </si>
  <si>
    <t xml:space="preserve">77084     </t>
  </si>
  <si>
    <t xml:space="preserve">050548          </t>
  </si>
  <si>
    <t>PLEASANT VALLEY SR HIGH SCHOOL</t>
  </si>
  <si>
    <t xml:space="preserve">190935778 </t>
  </si>
  <si>
    <t>Tran, Leon</t>
  </si>
  <si>
    <t>blazgreenflame@gmail.com</t>
  </si>
  <si>
    <t>19211 N 78th Ln</t>
  </si>
  <si>
    <t xml:space="preserve">030259          </t>
  </si>
  <si>
    <t>IRONWOOD HIGH SCHOOL</t>
  </si>
  <si>
    <t>GLENDALE</t>
  </si>
  <si>
    <t xml:space="preserve">85304     </t>
  </si>
  <si>
    <t xml:space="preserve">190630677 </t>
  </si>
  <si>
    <t>Trowbridge</t>
  </si>
  <si>
    <t>Conner</t>
  </si>
  <si>
    <t>Trowbridge, Conner</t>
  </si>
  <si>
    <t>conner.trowbridge@stu.bgreen.kyschools.us</t>
  </si>
  <si>
    <t>1261 Shannon Way</t>
  </si>
  <si>
    <t>Bowling Green</t>
  </si>
  <si>
    <t xml:space="preserve">42101     </t>
  </si>
  <si>
    <t xml:space="preserve">180247          </t>
  </si>
  <si>
    <t>BOWLING GREEN HIGH SCHOOL</t>
  </si>
  <si>
    <t>BOWLING GREEN</t>
  </si>
  <si>
    <t xml:space="preserve">42104     </t>
  </si>
  <si>
    <t xml:space="preserve">190732544 </t>
  </si>
  <si>
    <t>Turpin</t>
  </si>
  <si>
    <t>Micah</t>
  </si>
  <si>
    <t>Turpin, Micah</t>
  </si>
  <si>
    <t>mjturp2@gmail.com</t>
  </si>
  <si>
    <t xml:space="preserve">70058     </t>
  </si>
  <si>
    <t xml:space="preserve">192136          </t>
  </si>
  <si>
    <t>New Orleans Military and Maritime Academy</t>
  </si>
  <si>
    <t xml:space="preserve">190936165 </t>
  </si>
  <si>
    <t>Vance</t>
  </si>
  <si>
    <t>Vance, Joseph</t>
  </si>
  <si>
    <t>Jlewis0621@gmail.com</t>
  </si>
  <si>
    <t>130 Mabry Rd</t>
  </si>
  <si>
    <t>Spartanburg</t>
  </si>
  <si>
    <t xml:space="preserve">190833514 </t>
  </si>
  <si>
    <t>Vanderberg</t>
  </si>
  <si>
    <t>Vanderberg, Cameron</t>
  </si>
  <si>
    <t>cameronvanderberg46@gmail.com</t>
  </si>
  <si>
    <t>254 Ryan court</t>
  </si>
  <si>
    <t>Hobart</t>
  </si>
  <si>
    <t xml:space="preserve">46342     </t>
  </si>
  <si>
    <t xml:space="preserve">151545          </t>
  </si>
  <si>
    <t>HOBART HIGH SCHOOL</t>
  </si>
  <si>
    <t>HOBART</t>
  </si>
  <si>
    <t xml:space="preserve">190936108 </t>
  </si>
  <si>
    <t>Vanderniet</t>
  </si>
  <si>
    <t>Jakob</t>
  </si>
  <si>
    <t>Vanderniet, Jakob</t>
  </si>
  <si>
    <t>vajakobus@gmail.com</t>
  </si>
  <si>
    <t>5162 Alvera Dr.</t>
  </si>
  <si>
    <t xml:space="preserve">450397          </t>
  </si>
  <si>
    <t>Skyline High School</t>
  </si>
  <si>
    <t xml:space="preserve">84109     </t>
  </si>
  <si>
    <t xml:space="preserve">190732372 </t>
  </si>
  <si>
    <t>Vandiver</t>
  </si>
  <si>
    <t>Vandiver, Austin</t>
  </si>
  <si>
    <t>austin.garcia2030@gmail.com</t>
  </si>
  <si>
    <t>2712  Martin Dr, Apt 1102</t>
  </si>
  <si>
    <t>Bedford</t>
  </si>
  <si>
    <t xml:space="preserve">76021     </t>
  </si>
  <si>
    <t xml:space="preserve">443654          </t>
  </si>
  <si>
    <t>Collegiate Academy at Tarrant County College Northeast</t>
  </si>
  <si>
    <t>Hurst</t>
  </si>
  <si>
    <t xml:space="preserve">76054     </t>
  </si>
  <si>
    <t xml:space="preserve">190833648 </t>
  </si>
  <si>
    <t>Hasam</t>
  </si>
  <si>
    <t>Vega, Hasam</t>
  </si>
  <si>
    <t>hasam.vega0523@icloud.com</t>
  </si>
  <si>
    <t>1630 James St</t>
  </si>
  <si>
    <t>DM1908ACE078</t>
  </si>
  <si>
    <t xml:space="preserve">290235          </t>
  </si>
  <si>
    <t>Equipo Academy</t>
  </si>
  <si>
    <t xml:space="preserve">191036265 </t>
  </si>
  <si>
    <t>Velasquez, Daniel</t>
  </si>
  <si>
    <t>djandres61@gmail.com</t>
  </si>
  <si>
    <t>220 Windsor Place Cir Apt H</t>
  </si>
  <si>
    <t>Randleman</t>
  </si>
  <si>
    <t>27317-2115</t>
  </si>
  <si>
    <t xml:space="preserve">340114          </t>
  </si>
  <si>
    <t>Uwharrie Charter Academy</t>
  </si>
  <si>
    <t xml:space="preserve">190833905 </t>
  </si>
  <si>
    <t>Villegas</t>
  </si>
  <si>
    <t>Villegas, Colton</t>
  </si>
  <si>
    <t>Colton.villegas@s.demingps.org</t>
  </si>
  <si>
    <t>575 Pampas Rd Sw</t>
  </si>
  <si>
    <t>Deming</t>
  </si>
  <si>
    <t>88030-8692</t>
  </si>
  <si>
    <t xml:space="preserve">320190          </t>
  </si>
  <si>
    <t>DEMING HIGH SCHOOL</t>
  </si>
  <si>
    <t>DEMING</t>
  </si>
  <si>
    <t xml:space="preserve">88030     </t>
  </si>
  <si>
    <t xml:space="preserve">190732281 </t>
  </si>
  <si>
    <t>Vogel</t>
  </si>
  <si>
    <t>Vogel, Alex</t>
  </si>
  <si>
    <t>afrogv@yahoo.com</t>
  </si>
  <si>
    <t>N4899 N Helenville Rd.</t>
  </si>
  <si>
    <t>Helenville</t>
  </si>
  <si>
    <t xml:space="preserve">53137     </t>
  </si>
  <si>
    <t xml:space="preserve">500965          </t>
  </si>
  <si>
    <t>JEFFERSON HIGH SCHOOL</t>
  </si>
  <si>
    <t>JEFFERSON</t>
  </si>
  <si>
    <t xml:space="preserve">53549     </t>
  </si>
  <si>
    <t xml:space="preserve">190833393 </t>
  </si>
  <si>
    <t>Henry</t>
  </si>
  <si>
    <t>Walker, Henry</t>
  </si>
  <si>
    <t>skyandstuffs02@gmail.com</t>
  </si>
  <si>
    <t>73 Stone Mountain Dr.</t>
  </si>
  <si>
    <t>Conway</t>
  </si>
  <si>
    <t xml:space="preserve">72032     </t>
  </si>
  <si>
    <t xml:space="preserve">042530          </t>
  </si>
  <si>
    <t>VILONIA HIGH SCHOOL</t>
  </si>
  <si>
    <t>VILONIA</t>
  </si>
  <si>
    <t xml:space="preserve">72173     </t>
  </si>
  <si>
    <t xml:space="preserve">190935020 </t>
  </si>
  <si>
    <t>Wallace</t>
  </si>
  <si>
    <t>Wallace, Aidan</t>
  </si>
  <si>
    <t>aidan.kirk.wallace@gmail.com</t>
  </si>
  <si>
    <t>2296 McGuire Rd.</t>
  </si>
  <si>
    <t>Symsonia</t>
  </si>
  <si>
    <t>42082-9453</t>
  </si>
  <si>
    <t xml:space="preserve">181733          </t>
  </si>
  <si>
    <t>GRAVES COUNTY HIGH SCHOOL</t>
  </si>
  <si>
    <t>MAYFIELD</t>
  </si>
  <si>
    <t xml:space="preserve">42066     </t>
  </si>
  <si>
    <t xml:space="preserve">190935831 </t>
  </si>
  <si>
    <t>Walton</t>
  </si>
  <si>
    <t>Walton, Aaron</t>
  </si>
  <si>
    <t>aaron.walton2139@gmail.com</t>
  </si>
  <si>
    <t>3950 County Road 4018</t>
  </si>
  <si>
    <t xml:space="preserve">75966     </t>
  </si>
  <si>
    <t xml:space="preserve">443865          </t>
  </si>
  <si>
    <t>KIRBYVILLE HIGH SCHOOL</t>
  </si>
  <si>
    <t>KIRBYVILLE</t>
  </si>
  <si>
    <t xml:space="preserve">75956     </t>
  </si>
  <si>
    <t xml:space="preserve">190935977 </t>
  </si>
  <si>
    <t>Watson</t>
  </si>
  <si>
    <t>Watson, Austin</t>
  </si>
  <si>
    <t>austin.watson91102@gmail.com</t>
  </si>
  <si>
    <t>106 Front Street</t>
  </si>
  <si>
    <t>Bardwell</t>
  </si>
  <si>
    <t xml:space="preserve">42023     </t>
  </si>
  <si>
    <t xml:space="preserve">190833902 </t>
  </si>
  <si>
    <t>Watson, James</t>
  </si>
  <si>
    <t>james.watson4798@gmail.com</t>
  </si>
  <si>
    <t xml:space="preserve">D1512ACL128 </t>
  </si>
  <si>
    <t xml:space="preserve">181735          </t>
  </si>
  <si>
    <t>MAYFIELD HIGH SCHOOL</t>
  </si>
  <si>
    <t xml:space="preserve">191036240 </t>
  </si>
  <si>
    <t>Weese</t>
  </si>
  <si>
    <t>Josie</t>
  </si>
  <si>
    <t>Weese, Josie</t>
  </si>
  <si>
    <t>josie.n.weese@gmail.com</t>
  </si>
  <si>
    <t>1475 Stoneham St</t>
  </si>
  <si>
    <t>Superior</t>
  </si>
  <si>
    <t xml:space="preserve">80027     </t>
  </si>
  <si>
    <t xml:space="preserve">060130          </t>
  </si>
  <si>
    <t>MONARCH HIGH SCHOOL</t>
  </si>
  <si>
    <t>LOUISVILLE</t>
  </si>
  <si>
    <t xml:space="preserve">190528813 </t>
  </si>
  <si>
    <t>Weller</t>
  </si>
  <si>
    <t>Wyatt</t>
  </si>
  <si>
    <t>Weller, Wyatt</t>
  </si>
  <si>
    <t>wyattzyatt@gmail.com</t>
  </si>
  <si>
    <t>34 Chip Court</t>
  </si>
  <si>
    <t>Kalispell</t>
  </si>
  <si>
    <t xml:space="preserve">59901     </t>
  </si>
  <si>
    <t xml:space="preserve">270523          </t>
  </si>
  <si>
    <t>GLACIER HIGH SCHOOL</t>
  </si>
  <si>
    <t>KALISPELL</t>
  </si>
  <si>
    <t xml:space="preserve">190935198 </t>
  </si>
  <si>
    <t>Wescoat</t>
  </si>
  <si>
    <t>Wescoat, Donovan</t>
  </si>
  <si>
    <t>Wescoat85@gmail.com</t>
  </si>
  <si>
    <t>3249 E. Wilson Rd.</t>
  </si>
  <si>
    <t>Clio</t>
  </si>
  <si>
    <t xml:space="preserve">48420     </t>
  </si>
  <si>
    <t xml:space="preserve">230655          </t>
  </si>
  <si>
    <t>CLIO HIGH SCHOOL</t>
  </si>
  <si>
    <t>CLIO</t>
  </si>
  <si>
    <t xml:space="preserve">190834353 </t>
  </si>
  <si>
    <t>Whitehead</t>
  </si>
  <si>
    <t>Amanda</t>
  </si>
  <si>
    <t>Whitehead, Amanda</t>
  </si>
  <si>
    <t>aw40036@ocsd5.net</t>
  </si>
  <si>
    <t>1707 Az Rd</t>
  </si>
  <si>
    <t>29112-9122</t>
  </si>
  <si>
    <t xml:space="preserve">411510          </t>
  </si>
  <si>
    <t>NORTH</t>
  </si>
  <si>
    <t xml:space="preserve">29112     </t>
  </si>
  <si>
    <t xml:space="preserve">190528497 </t>
  </si>
  <si>
    <t>Jaiden</t>
  </si>
  <si>
    <t>Williams, Jaiden</t>
  </si>
  <si>
    <t>darkphoenix845@gmail.com</t>
  </si>
  <si>
    <t>3152 Alison Dr</t>
  </si>
  <si>
    <t xml:space="preserve">36116     </t>
  </si>
  <si>
    <t xml:space="preserve">011877          </t>
  </si>
  <si>
    <t>BREWBAKER TECHNOLOGY MAGNET HS</t>
  </si>
  <si>
    <t>MONTGOMERY</t>
  </si>
  <si>
    <t xml:space="preserve">190935606 </t>
  </si>
  <si>
    <t>Mearah</t>
  </si>
  <si>
    <t>Williams, Mearah</t>
  </si>
  <si>
    <t>iamahiddenpotato@gmail.com</t>
  </si>
  <si>
    <t>1849 N Josey Ln Apt G</t>
  </si>
  <si>
    <t xml:space="preserve">75006     </t>
  </si>
  <si>
    <t xml:space="preserve">441143          </t>
  </si>
  <si>
    <t>NEWMAN SMITH HIGH SCHOOL</t>
  </si>
  <si>
    <t xml:space="preserve">190833716 </t>
  </si>
  <si>
    <t>Shaquan</t>
  </si>
  <si>
    <t>Williams, Shaquan</t>
  </si>
  <si>
    <t>Shaquanhackney12@gmail.com</t>
  </si>
  <si>
    <t>4105 Amber Stone Way</t>
  </si>
  <si>
    <t>Durham</t>
  </si>
  <si>
    <t xml:space="preserve">23704     </t>
  </si>
  <si>
    <t xml:space="preserve">341080          </t>
  </si>
  <si>
    <t>NORTHERN HIGH SCHOOL</t>
  </si>
  <si>
    <t>DURHAM</t>
  </si>
  <si>
    <t xml:space="preserve">27712     </t>
  </si>
  <si>
    <t xml:space="preserve">190732992 </t>
  </si>
  <si>
    <t>Wilson, Alexander</t>
  </si>
  <si>
    <t>alexwilson919@gmail.com</t>
  </si>
  <si>
    <t>640 Meadowbrook Lane</t>
  </si>
  <si>
    <t>Lake Zurich</t>
  </si>
  <si>
    <t xml:space="preserve">60047     </t>
  </si>
  <si>
    <t xml:space="preserve">142530          </t>
  </si>
  <si>
    <t>LAKE ZURICH SENIOR HIGH SCHOOL</t>
  </si>
  <si>
    <t>LAKE ZURICH</t>
  </si>
  <si>
    <t xml:space="preserve">190631388 </t>
  </si>
  <si>
    <t>Winegar</t>
  </si>
  <si>
    <t>Alivia</t>
  </si>
  <si>
    <t>Winegar, Alivia</t>
  </si>
  <si>
    <t>raewinegar@gmail.com</t>
  </si>
  <si>
    <t>878 South West Redview Drive</t>
  </si>
  <si>
    <t xml:space="preserve">84754     </t>
  </si>
  <si>
    <t xml:space="preserve">450205          </t>
  </si>
  <si>
    <t xml:space="preserve">South Sevier High School                </t>
  </si>
  <si>
    <t>84754-4332</t>
  </si>
  <si>
    <t xml:space="preserve">191036308 </t>
  </si>
  <si>
    <t>Winters</t>
  </si>
  <si>
    <t>Winters, Dylan</t>
  </si>
  <si>
    <t>Jo3MC0y@gmail.com</t>
  </si>
  <si>
    <t>7779 N Artesiano Rd</t>
  </si>
  <si>
    <t xml:space="preserve">85743     </t>
  </si>
  <si>
    <t xml:space="preserve">030200          </t>
  </si>
  <si>
    <t xml:space="preserve">Marana High School                      </t>
  </si>
  <si>
    <t xml:space="preserve">190935552 </t>
  </si>
  <si>
    <t>Worley</t>
  </si>
  <si>
    <t>Worley, Alexander</t>
  </si>
  <si>
    <t>aworley7501@gmail.com</t>
  </si>
  <si>
    <t>2336 Ranburn Drive</t>
  </si>
  <si>
    <t>Gary</t>
  </si>
  <si>
    <t xml:space="preserve">46408     </t>
  </si>
  <si>
    <t xml:space="preserve">151230          </t>
  </si>
  <si>
    <t>CALUMET HIGH SCHOOL</t>
  </si>
  <si>
    <t>GARY</t>
  </si>
  <si>
    <t xml:space="preserve">190935264 </t>
  </si>
  <si>
    <t>Xiao</t>
  </si>
  <si>
    <t>Xiao, Kelly</t>
  </si>
  <si>
    <t>Xiaokelly02@gmail.com</t>
  </si>
  <si>
    <t>1241 Artesa dr</t>
  </si>
  <si>
    <t>Marrero</t>
  </si>
  <si>
    <t xml:space="preserve">190833711 </t>
  </si>
  <si>
    <t>Young, Corey</t>
  </si>
  <si>
    <t>coreyyoung794@gmail.com</t>
  </si>
  <si>
    <t>4111 Amherst Lane</t>
  </si>
  <si>
    <t>Rockford</t>
  </si>
  <si>
    <t xml:space="preserve">61109     </t>
  </si>
  <si>
    <t xml:space="preserve">143700          </t>
  </si>
  <si>
    <t>EAST HIGH SCHOOL</t>
  </si>
  <si>
    <t xml:space="preserve">61108     </t>
  </si>
  <si>
    <t xml:space="preserve">190935161 </t>
  </si>
  <si>
    <t>Yudiche</t>
  </si>
  <si>
    <t>Yudiche, Andy</t>
  </si>
  <si>
    <t>andyyudiche@gmail.com</t>
  </si>
  <si>
    <t>827 Paradise Road</t>
  </si>
  <si>
    <t>Baytown</t>
  </si>
  <si>
    <t xml:space="preserve">77521     </t>
  </si>
  <si>
    <t xml:space="preserve">440480          </t>
  </si>
  <si>
    <t>GOOSE CREEK MEMORIAL HIGH SCHOOL</t>
  </si>
  <si>
    <t>BAYTOWN</t>
  </si>
  <si>
    <t xml:space="preserve">190833787 </t>
  </si>
  <si>
    <t>Zacarias</t>
  </si>
  <si>
    <t>Zacarias, Williams</t>
  </si>
  <si>
    <t>zacariaswilliams47@gmail.com</t>
  </si>
  <si>
    <t>8711 W. Flower St.</t>
  </si>
  <si>
    <t xml:space="preserve">85037     </t>
  </si>
  <si>
    <t xml:space="preserve">030645          </t>
  </si>
  <si>
    <t>BIOSCIENCE HIGH SCHOOL</t>
  </si>
  <si>
    <t xml:space="preserve">85006     </t>
  </si>
  <si>
    <t xml:space="preserve">190833306 </t>
  </si>
  <si>
    <t>Zheng</t>
  </si>
  <si>
    <t>Addison</t>
  </si>
  <si>
    <t>Zheng, Addison</t>
  </si>
  <si>
    <t>addisonsubtract@gmail.com</t>
  </si>
  <si>
    <t>64 Magness Creek Dr</t>
  </si>
  <si>
    <t>Cabot</t>
  </si>
  <si>
    <t xml:space="preserve">72023     </t>
  </si>
  <si>
    <t xml:space="preserve">040320          </t>
  </si>
  <si>
    <t>CABOT HIGH SCHOOL</t>
  </si>
  <si>
    <t>CABOT</t>
  </si>
  <si>
    <t xml:space="preserve">190833507 </t>
  </si>
  <si>
    <t>Miller, Dustin</t>
  </si>
  <si>
    <t>dustinamiller15@gmail.com</t>
  </si>
  <si>
    <t>331 Timberline Ln</t>
  </si>
  <si>
    <t xml:space="preserve">190935490 </t>
  </si>
  <si>
    <t>Rouse</t>
  </si>
  <si>
    <t>Rouse, Johnathan</t>
  </si>
  <si>
    <t>johnathanlrouse@gmail.com</t>
  </si>
  <si>
    <t xml:space="preserve">444865          </t>
  </si>
  <si>
    <t xml:space="preserve">77356     </t>
  </si>
  <si>
    <t xml:space="preserve">190733170 </t>
  </si>
  <si>
    <t>Brooke</t>
  </si>
  <si>
    <t>Allen, Brooke</t>
  </si>
  <si>
    <t>20allenb@msad17.org</t>
  </si>
  <si>
    <t>13 Higgins Rd</t>
  </si>
  <si>
    <t>Waterford</t>
  </si>
  <si>
    <t xml:space="preserve">04088     </t>
  </si>
  <si>
    <t xml:space="preserve">200950          </t>
  </si>
  <si>
    <t>OXFORD HILLS HIGH SCHOOL</t>
  </si>
  <si>
    <t>SOUTH PARIS</t>
  </si>
  <si>
    <t xml:space="preserve">4281      </t>
  </si>
  <si>
    <t xml:space="preserve">191036825 </t>
  </si>
  <si>
    <t>Atkins</t>
  </si>
  <si>
    <t>Atkins, Antonio</t>
  </si>
  <si>
    <t>antonioatkins4@gmail.com</t>
  </si>
  <si>
    <t xml:space="preserve">100798          </t>
  </si>
  <si>
    <t>NATHAN B FORREST SENIOR HS</t>
  </si>
  <si>
    <t xml:space="preserve">32244     </t>
  </si>
  <si>
    <t>dalan.barbee@gmail.com</t>
  </si>
  <si>
    <t xml:space="preserve">191036943 </t>
  </si>
  <si>
    <t>Barrett</t>
  </si>
  <si>
    <t>Donavin</t>
  </si>
  <si>
    <t>Barrett, Donavin</t>
  </si>
  <si>
    <t>donavin.barrett@gmail.com</t>
  </si>
  <si>
    <t>6264 Baileya Ave.</t>
  </si>
  <si>
    <t>Twentynine Palms</t>
  </si>
  <si>
    <t xml:space="preserve">92277     </t>
  </si>
  <si>
    <t xml:space="preserve">053575          </t>
  </si>
  <si>
    <t>TWENTYNINE PALMS HIGH SCHOOL</t>
  </si>
  <si>
    <t>TWENTYNINE PALMS</t>
  </si>
  <si>
    <t xml:space="preserve">191037074 </t>
  </si>
  <si>
    <t>Baxter</t>
  </si>
  <si>
    <t>Brett</t>
  </si>
  <si>
    <t>Baxter, Brett</t>
  </si>
  <si>
    <t>brettbaxter1@hotmail.com</t>
  </si>
  <si>
    <t>770 East Ponderosa Drive</t>
  </si>
  <si>
    <t xml:space="preserve">84094     </t>
  </si>
  <si>
    <t xml:space="preserve">HSV2018     </t>
  </si>
  <si>
    <t xml:space="preserve">450193          </t>
  </si>
  <si>
    <t>Hillcrest High School</t>
  </si>
  <si>
    <t>Midvale</t>
  </si>
  <si>
    <t xml:space="preserve">84047     </t>
  </si>
  <si>
    <t xml:space="preserve">190935971 </t>
  </si>
  <si>
    <t>Bigelow</t>
  </si>
  <si>
    <t>Bigelow, Gabriel</t>
  </si>
  <si>
    <t>goofygabe25@outlook.com</t>
  </si>
  <si>
    <t>P.O. Box 220638</t>
  </si>
  <si>
    <t>Centerfield</t>
  </si>
  <si>
    <t xml:space="preserve">84622     </t>
  </si>
  <si>
    <t xml:space="preserve">450120          </t>
  </si>
  <si>
    <t xml:space="preserve">Gunnison Valley High School             </t>
  </si>
  <si>
    <t>Gunnison</t>
  </si>
  <si>
    <t xml:space="preserve">84634     </t>
  </si>
  <si>
    <t xml:space="preserve">191036938 </t>
  </si>
  <si>
    <t>Britt</t>
  </si>
  <si>
    <t>Jadarian</t>
  </si>
  <si>
    <t>Britt, Jadarian</t>
  </si>
  <si>
    <t>jadarianbritt794782@icloud.com</t>
  </si>
  <si>
    <t>6710 Brimridge Lane</t>
  </si>
  <si>
    <t xml:space="preserve">77048     </t>
  </si>
  <si>
    <t xml:space="preserve">443419          </t>
  </si>
  <si>
    <t>ROSS SHAW STERLING HIGH SCHOOL</t>
  </si>
  <si>
    <t xml:space="preserve">191036525 </t>
  </si>
  <si>
    <t>Bunn, Mitchell</t>
  </si>
  <si>
    <t>bunnmitchell@gmail.com</t>
  </si>
  <si>
    <t>6166 McCue Rd</t>
  </si>
  <si>
    <t>48842-9658</t>
  </si>
  <si>
    <t>DM1909CBG073</t>
  </si>
  <si>
    <t xml:space="preserve">231990          </t>
  </si>
  <si>
    <t>HOLT HIGH SCHOOL</t>
  </si>
  <si>
    <t>HOLT</t>
  </si>
  <si>
    <t xml:space="preserve">48842     </t>
  </si>
  <si>
    <t>2055 Lafrance</t>
  </si>
  <si>
    <t xml:space="preserve">191036651 </t>
  </si>
  <si>
    <t>Carrillo</t>
  </si>
  <si>
    <t>Fernando</t>
  </si>
  <si>
    <t>Carrillo, Fernando</t>
  </si>
  <si>
    <t>fcarrillo5210@gmail.com</t>
  </si>
  <si>
    <t>1305 S Tennessee St</t>
  </si>
  <si>
    <t>Tuscumbia</t>
  </si>
  <si>
    <t xml:space="preserve">35674     </t>
  </si>
  <si>
    <t xml:space="preserve">012695          </t>
  </si>
  <si>
    <t>DESHLER HIGH SCHOOL</t>
  </si>
  <si>
    <t>TUSCUMBIA</t>
  </si>
  <si>
    <t xml:space="preserve">191036725 </t>
  </si>
  <si>
    <t>Sergio</t>
  </si>
  <si>
    <t>Castillo, Sergio</t>
  </si>
  <si>
    <t>castilloser@protonmail.com</t>
  </si>
  <si>
    <t>1838 Orange St.</t>
  </si>
  <si>
    <t xml:space="preserve">46203     </t>
  </si>
  <si>
    <t xml:space="preserve">151732          </t>
  </si>
  <si>
    <t xml:space="preserve">Shortridge High School </t>
  </si>
  <si>
    <t xml:space="preserve">191036426 </t>
  </si>
  <si>
    <t>Chavez</t>
  </si>
  <si>
    <t>Julianna</t>
  </si>
  <si>
    <t>Chavez, Julianna</t>
  </si>
  <si>
    <t>503 Yorkshire Ave</t>
  </si>
  <si>
    <t>Pasadena</t>
  </si>
  <si>
    <t xml:space="preserve">77503     </t>
  </si>
  <si>
    <t xml:space="preserve">441875          </t>
  </si>
  <si>
    <t>DEER PARK HIGH SCHOOL SOUTH</t>
  </si>
  <si>
    <t>DEER PARK</t>
  </si>
  <si>
    <t xml:space="preserve">77536     </t>
  </si>
  <si>
    <t>christensen</t>
  </si>
  <si>
    <t>alexandrew</t>
  </si>
  <si>
    <t>christensen, alexandrew</t>
  </si>
  <si>
    <t>1533N 300W</t>
  </si>
  <si>
    <t>sunset</t>
  </si>
  <si>
    <t>keatoncs@yahoo.com</t>
  </si>
  <si>
    <t xml:space="preserve">72019     </t>
  </si>
  <si>
    <t xml:space="preserve">190528966 </t>
  </si>
  <si>
    <t>Conley</t>
  </si>
  <si>
    <t>Aldon</t>
  </si>
  <si>
    <t>Conley, Aldon</t>
  </si>
  <si>
    <t>adustvenus4019@gmail.com</t>
  </si>
  <si>
    <t>36999 BRITTINGHAM RD</t>
  </si>
  <si>
    <t>DELMAR</t>
  </si>
  <si>
    <t xml:space="preserve">19940     </t>
  </si>
  <si>
    <t xml:space="preserve">080052          </t>
  </si>
  <si>
    <t>SUSSEX TECHNICAL HIGH SCHOOL</t>
  </si>
  <si>
    <t>GEORGETOWN</t>
  </si>
  <si>
    <t xml:space="preserve">190529092 </t>
  </si>
  <si>
    <t>Dennis</t>
  </si>
  <si>
    <t>Dennis, Colby</t>
  </si>
  <si>
    <t>colbyjdennis19@gmail.com</t>
  </si>
  <si>
    <t>134 LAMPLIGHTER LANE</t>
  </si>
  <si>
    <t>MOORESVILLE</t>
  </si>
  <si>
    <t xml:space="preserve">28115     </t>
  </si>
  <si>
    <t xml:space="preserve">342715          </t>
  </si>
  <si>
    <t>MOORESVILLE SENIOR HIGH SCHOOL</t>
  </si>
  <si>
    <t xml:space="preserve">190732363 </t>
  </si>
  <si>
    <t>Donovan, Gregory</t>
  </si>
  <si>
    <t>gregory.donovan43@yahoo.com</t>
  </si>
  <si>
    <t>117 Ashley st.</t>
  </si>
  <si>
    <t>West Springfield</t>
  </si>
  <si>
    <t xml:space="preserve">01089     </t>
  </si>
  <si>
    <t xml:space="preserve">222370          </t>
  </si>
  <si>
    <t>WEST SPRINGFIELD HIGH SCHOOL</t>
  </si>
  <si>
    <t>WEST SPRINGFIELD</t>
  </si>
  <si>
    <t xml:space="preserve">1089      </t>
  </si>
  <si>
    <t>22420 Ivanhoe Lane</t>
  </si>
  <si>
    <t xml:space="preserve">190529196 </t>
  </si>
  <si>
    <t>Espinoza</t>
  </si>
  <si>
    <t>Espinoza, Julian</t>
  </si>
  <si>
    <t>je688433@gmail.com</t>
  </si>
  <si>
    <t>194 MADELIA PL</t>
  </si>
  <si>
    <t>MOOREVILLE</t>
  </si>
  <si>
    <t xml:space="preserve">190936128 </t>
  </si>
  <si>
    <t>Kyler</t>
  </si>
  <si>
    <t>Evans, Kyler</t>
  </si>
  <si>
    <t>kylerrevans@gmail.com</t>
  </si>
  <si>
    <t>4747 Claim Staker Way</t>
  </si>
  <si>
    <t>Herriman</t>
  </si>
  <si>
    <t xml:space="preserve">84096     </t>
  </si>
  <si>
    <t xml:space="preserve">450126          </t>
  </si>
  <si>
    <t>Herriman High School</t>
  </si>
  <si>
    <t xml:space="preserve">190833390 </t>
  </si>
  <si>
    <t>Fields</t>
  </si>
  <si>
    <t>DeNaria</t>
  </si>
  <si>
    <t>Fields, DeNaria</t>
  </si>
  <si>
    <t>denariaf1@aol.com</t>
  </si>
  <si>
    <t>5948 pocosham drive</t>
  </si>
  <si>
    <t xml:space="preserve">23224     </t>
  </si>
  <si>
    <t xml:space="preserve">471873          </t>
  </si>
  <si>
    <t>MONACAN HIGH SCHOOL</t>
  </si>
  <si>
    <t xml:space="preserve">23236     </t>
  </si>
  <si>
    <t xml:space="preserve">190833481 </t>
  </si>
  <si>
    <t>Georgia</t>
  </si>
  <si>
    <t>Kristopher</t>
  </si>
  <si>
    <t>Georgia, Kristopher</t>
  </si>
  <si>
    <t>Kristopherhgeorgia@gmail.com</t>
  </si>
  <si>
    <t>111 Leatherwood Bay Rd</t>
  </si>
  <si>
    <t xml:space="preserve">37058     </t>
  </si>
  <si>
    <t xml:space="preserve">430580          </t>
  </si>
  <si>
    <t>STEWART COUNTY HIGH SCHOOL</t>
  </si>
  <si>
    <t>DOVER</t>
  </si>
  <si>
    <t xml:space="preserve">191036324 </t>
  </si>
  <si>
    <t>Going</t>
  </si>
  <si>
    <t>Going, Preston</t>
  </si>
  <si>
    <t>presgoing@gmail.com</t>
  </si>
  <si>
    <t>4122 south 1045 east</t>
  </si>
  <si>
    <t xml:space="preserve">84124     </t>
  </si>
  <si>
    <t xml:space="preserve">450380          </t>
  </si>
  <si>
    <t>Olympus High School</t>
  </si>
  <si>
    <t>Holladay</t>
  </si>
  <si>
    <t>2505 vogt st</t>
  </si>
  <si>
    <t>fort worth</t>
  </si>
  <si>
    <t xml:space="preserve">190733073 </t>
  </si>
  <si>
    <t>Hurst, Justin</t>
  </si>
  <si>
    <t>justinhurst0201@gmail.com</t>
  </si>
  <si>
    <t>907 Berkeley Dr.</t>
  </si>
  <si>
    <t xml:space="preserve">450030          </t>
  </si>
  <si>
    <t>Bountiful High School</t>
  </si>
  <si>
    <t xml:space="preserve">190935951 </t>
  </si>
  <si>
    <t>Jensen, Tyler</t>
  </si>
  <si>
    <t>JensenTN@icloud.com</t>
  </si>
  <si>
    <t>229 N. Jackson Ave</t>
  </si>
  <si>
    <t xml:space="preserve">60915     </t>
  </si>
  <si>
    <t xml:space="preserve">140380          </t>
  </si>
  <si>
    <t>BRADLEY-BOURBONNAIS HS</t>
  </si>
  <si>
    <t>BRADLEY</t>
  </si>
  <si>
    <t>6899 woodville Rd</t>
  </si>
  <si>
    <t>hayes</t>
  </si>
  <si>
    <t xml:space="preserve">23072     </t>
  </si>
  <si>
    <t xml:space="preserve">191036458 </t>
  </si>
  <si>
    <t>Kelley, Ryan</t>
  </si>
  <si>
    <t>rynokillir@gmail.com</t>
  </si>
  <si>
    <t>1132 101ST Ave Ct</t>
  </si>
  <si>
    <t>Greeley</t>
  </si>
  <si>
    <t xml:space="preserve">80634     </t>
  </si>
  <si>
    <t xml:space="preserve">060711          </t>
  </si>
  <si>
    <t xml:space="preserve">Northridge High School                  </t>
  </si>
  <si>
    <t xml:space="preserve">190833837 </t>
  </si>
  <si>
    <t>King</t>
  </si>
  <si>
    <t>King, Mark</t>
  </si>
  <si>
    <t>dylan13king@live.com</t>
  </si>
  <si>
    <t>73 Mulberry Street Ext</t>
  </si>
  <si>
    <t>38001-1941</t>
  </si>
  <si>
    <t xml:space="preserve">430005          </t>
  </si>
  <si>
    <t>CROCKETT COUNTY HIGH SCHOOL</t>
  </si>
  <si>
    <t>ALAMO</t>
  </si>
  <si>
    <t xml:space="preserve">38001     </t>
  </si>
  <si>
    <t>lopez</t>
  </si>
  <si>
    <t>ismael</t>
  </si>
  <si>
    <t>lopez, ismael</t>
  </si>
  <si>
    <t>1932 BETHESDA BLVD</t>
  </si>
  <si>
    <t xml:space="preserve">190833880 </t>
  </si>
  <si>
    <t>Lopez</t>
  </si>
  <si>
    <t>Tito</t>
  </si>
  <si>
    <t>Lopez, Tito</t>
  </si>
  <si>
    <t>titolopez.tl804@gmail.com</t>
  </si>
  <si>
    <t>47355 90th st west</t>
  </si>
  <si>
    <t>Lancaster</t>
  </si>
  <si>
    <t xml:space="preserve">93536     </t>
  </si>
  <si>
    <t xml:space="preserve">052543          </t>
  </si>
  <si>
    <t>QUARTZ HILL HIGH SCHOOL</t>
  </si>
  <si>
    <t>QUARTZ HILL</t>
  </si>
  <si>
    <t xml:space="preserve">190935636 </t>
  </si>
  <si>
    <t>Mehta</t>
  </si>
  <si>
    <t>Neil</t>
  </si>
  <si>
    <t>Mehta, Neil</t>
  </si>
  <si>
    <t>neil.mehta02@gmail.com</t>
  </si>
  <si>
    <t>201 Summertree Ct</t>
  </si>
  <si>
    <t>Bossier City</t>
  </si>
  <si>
    <t>71111-5452</t>
  </si>
  <si>
    <t xml:space="preserve">190318          </t>
  </si>
  <si>
    <t xml:space="preserve">Airline High School                     </t>
  </si>
  <si>
    <t xml:space="preserve">71111     </t>
  </si>
  <si>
    <t xml:space="preserve">190833663 </t>
  </si>
  <si>
    <t>Mejia Palma</t>
  </si>
  <si>
    <t>Wilfredo</t>
  </si>
  <si>
    <t>Mejia Palma, Wilfredo</t>
  </si>
  <si>
    <t>Juniormejia29@hotmail.com</t>
  </si>
  <si>
    <t>1316 sw 27th terrace</t>
  </si>
  <si>
    <t>Cape Coral</t>
  </si>
  <si>
    <t xml:space="preserve">33914     </t>
  </si>
  <si>
    <t xml:space="preserve">100217          </t>
  </si>
  <si>
    <t>MARINER HIGH SCHOOL</t>
  </si>
  <si>
    <t>CAPE CORAL</t>
  </si>
  <si>
    <t xml:space="preserve">33993     </t>
  </si>
  <si>
    <t xml:space="preserve">191036304 </t>
  </si>
  <si>
    <t>Mejia</t>
  </si>
  <si>
    <t>Mejia, Jared</t>
  </si>
  <si>
    <t>jaredmejia187@gmail.com</t>
  </si>
  <si>
    <t>1924 Norwood Street</t>
  </si>
  <si>
    <t xml:space="preserve">191036505 </t>
  </si>
  <si>
    <t>Monroe, Colton</t>
  </si>
  <si>
    <t>GameninjaX2@gmail.com</t>
  </si>
  <si>
    <t>600 N 80 E</t>
  </si>
  <si>
    <t>FILLMORE</t>
  </si>
  <si>
    <t xml:space="preserve">84631     </t>
  </si>
  <si>
    <t>DM1905UNR058</t>
  </si>
  <si>
    <t xml:space="preserve">450105          </t>
  </si>
  <si>
    <t xml:space="preserve">Millard High School                     </t>
  </si>
  <si>
    <t>Fillmore</t>
  </si>
  <si>
    <t xml:space="preserve">190935526 </t>
  </si>
  <si>
    <t>Jamier</t>
  </si>
  <si>
    <t>Moses, Jamier</t>
  </si>
  <si>
    <t>jamiermoses2001@hotmail.com</t>
  </si>
  <si>
    <t>2631 20th St</t>
  </si>
  <si>
    <t>Tuscaloosa</t>
  </si>
  <si>
    <t>35401-4420</t>
  </si>
  <si>
    <t xml:space="preserve">011120          </t>
  </si>
  <si>
    <t>CENTRAL HIGH SCHOOL</t>
  </si>
  <si>
    <t>FLORENCE</t>
  </si>
  <si>
    <t xml:space="preserve">35633     </t>
  </si>
  <si>
    <t xml:space="preserve">191036928 </t>
  </si>
  <si>
    <t>Norgard</t>
  </si>
  <si>
    <t>Karsten</t>
  </si>
  <si>
    <t>Norgard, Karsten</t>
  </si>
  <si>
    <t>karstennorgard1@gmail.com</t>
  </si>
  <si>
    <t>1620 14TH Street</t>
  </si>
  <si>
    <t xml:space="preserve">69357     </t>
  </si>
  <si>
    <t xml:space="preserve">280915          </t>
  </si>
  <si>
    <t>GERING HIGH SCHOOL</t>
  </si>
  <si>
    <t>GERING</t>
  </si>
  <si>
    <t xml:space="preserve">69341     </t>
  </si>
  <si>
    <t xml:space="preserve">190833884 </t>
  </si>
  <si>
    <t>Osborne</t>
  </si>
  <si>
    <t>Osborne, Ashley</t>
  </si>
  <si>
    <t>ashley.osborne@pisgahpats.org</t>
  </si>
  <si>
    <t>4998 Bridgeport Way</t>
  </si>
  <si>
    <t>Peachtree Corners</t>
  </si>
  <si>
    <t xml:space="preserve">30092     </t>
  </si>
  <si>
    <t xml:space="preserve">110338          </t>
  </si>
  <si>
    <t>Paul Duke Stem High School</t>
  </si>
  <si>
    <t xml:space="preserve">190935520 </t>
  </si>
  <si>
    <t>Owens</t>
  </si>
  <si>
    <t>Owens, Alexandria</t>
  </si>
  <si>
    <t>lexiboo1366@gmail.com</t>
  </si>
  <si>
    <t>1940 Roberson Rd</t>
  </si>
  <si>
    <t xml:space="preserve">30906     </t>
  </si>
  <si>
    <t xml:space="preserve">110281          </t>
  </si>
  <si>
    <t>AUGUSTUS R JOHNSON HEALTH</t>
  </si>
  <si>
    <t>AUGUSTA</t>
  </si>
  <si>
    <t xml:space="preserve">30901     </t>
  </si>
  <si>
    <t xml:space="preserve">191036924 </t>
  </si>
  <si>
    <t>Aaditya</t>
  </si>
  <si>
    <t>Patel, Aaditya</t>
  </si>
  <si>
    <t>iamaaditya2020@gmail.com</t>
  </si>
  <si>
    <t>19459 S Highlite Dr</t>
  </si>
  <si>
    <t>Clinton Township</t>
  </si>
  <si>
    <t xml:space="preserve">48035     </t>
  </si>
  <si>
    <t xml:space="preserve">231575          </t>
  </si>
  <si>
    <t>FRASER HIGH SCHOOL</t>
  </si>
  <si>
    <t>FRASER</t>
  </si>
  <si>
    <t xml:space="preserve">48026     </t>
  </si>
  <si>
    <t>Wilton</t>
  </si>
  <si>
    <t>Reed, Wilton</t>
  </si>
  <si>
    <t>reed829068@gmail.com</t>
  </si>
  <si>
    <t>8361 DUDLEY AVE</t>
  </si>
  <si>
    <t xml:space="preserve">32534     </t>
  </si>
  <si>
    <t xml:space="preserve">191037015 </t>
  </si>
  <si>
    <t>Reisner</t>
  </si>
  <si>
    <t>Reisner, Kaleb</t>
  </si>
  <si>
    <t>8371 West Jennings Road</t>
  </si>
  <si>
    <t>Lake CIty</t>
  </si>
  <si>
    <t xml:space="preserve">49651     </t>
  </si>
  <si>
    <t xml:space="preserve">232235          </t>
  </si>
  <si>
    <t>LAKE CITY HIGH SCHOOL</t>
  </si>
  <si>
    <t>LAKE CITY</t>
  </si>
  <si>
    <t xml:space="preserve">190935705 </t>
  </si>
  <si>
    <t>Rowe</t>
  </si>
  <si>
    <t>Darius</t>
  </si>
  <si>
    <t>Rowe, Darius</t>
  </si>
  <si>
    <t>Darius.rowe22@gmail.com</t>
  </si>
  <si>
    <t>39 KINGSBURY WAY</t>
  </si>
  <si>
    <t>HAMPTON</t>
  </si>
  <si>
    <t xml:space="preserve">23666     </t>
  </si>
  <si>
    <t xml:space="preserve">471025          </t>
  </si>
  <si>
    <t>HAMPTON HIGH SCHOOL</t>
  </si>
  <si>
    <t xml:space="preserve">23669     </t>
  </si>
  <si>
    <t xml:space="preserve">190935690 </t>
  </si>
  <si>
    <t>Ruiz, Hector</t>
  </si>
  <si>
    <t>hruiz0488@gmail.com</t>
  </si>
  <si>
    <t>458 E Madison St</t>
  </si>
  <si>
    <t>Arcola</t>
  </si>
  <si>
    <t xml:space="preserve">61910     </t>
  </si>
  <si>
    <t>Unknown</t>
  </si>
  <si>
    <t xml:space="preserve">140075          </t>
  </si>
  <si>
    <t>ARCOLA COMMUNITY HIGH SCHOOL</t>
  </si>
  <si>
    <t>ARCOLA</t>
  </si>
  <si>
    <t xml:space="preserve">190632137 </t>
  </si>
  <si>
    <t>Rust</t>
  </si>
  <si>
    <t>Rust, Logan</t>
  </si>
  <si>
    <t>littlelogan2002@gmail.com</t>
  </si>
  <si>
    <t>5534 Peacock Street</t>
  </si>
  <si>
    <t>Ocean Springs</t>
  </si>
  <si>
    <t xml:space="preserve">39564     </t>
  </si>
  <si>
    <t xml:space="preserve">252205          </t>
  </si>
  <si>
    <t xml:space="preserve">Ocean Springs High School               </t>
  </si>
  <si>
    <t xml:space="preserve">191036389 </t>
  </si>
  <si>
    <t>Ajelet</t>
  </si>
  <si>
    <t>Salinas, Ajelet</t>
  </si>
  <si>
    <t>ajeletsalinas@gmail.com</t>
  </si>
  <si>
    <t>4641 Lasater Road TRLR71</t>
  </si>
  <si>
    <t>Mesquite</t>
  </si>
  <si>
    <t>75181-3400</t>
  </si>
  <si>
    <t xml:space="preserve">441848          </t>
  </si>
  <si>
    <t>RICHLAND COLLEGIATE HIGH SCHOOL</t>
  </si>
  <si>
    <t xml:space="preserve">75243     </t>
  </si>
  <si>
    <t xml:space="preserve">191036723 </t>
  </si>
  <si>
    <t>Shumard</t>
  </si>
  <si>
    <t>Shumard, Parker</t>
  </si>
  <si>
    <t>parkersam@gmail.com</t>
  </si>
  <si>
    <t>164 River View Drive</t>
  </si>
  <si>
    <t xml:space="preserve">191036497 </t>
  </si>
  <si>
    <t>Sickler</t>
  </si>
  <si>
    <t>Sickler, Noah</t>
  </si>
  <si>
    <t>noahsickler1023@gmail.com</t>
  </si>
  <si>
    <t>1103 Ann Place, 1103</t>
  </si>
  <si>
    <t>Platteville</t>
  </si>
  <si>
    <t xml:space="preserve">80652     </t>
  </si>
  <si>
    <t xml:space="preserve">060625          </t>
  </si>
  <si>
    <t>FREDERICK MIDDLE-SENIOR HS</t>
  </si>
  <si>
    <t xml:space="preserve">80530     </t>
  </si>
  <si>
    <t xml:space="preserve">190732616 </t>
  </si>
  <si>
    <t>Sierra</t>
  </si>
  <si>
    <t>Sierra, Daniel</t>
  </si>
  <si>
    <t>daniel.sierra3@verizon.net</t>
  </si>
  <si>
    <t>798 Appleton Rd</t>
  </si>
  <si>
    <t xml:space="preserve">053379          </t>
  </si>
  <si>
    <t>ROYAL HIGH SCHOOL</t>
  </si>
  <si>
    <t>SIMI VALLEY</t>
  </si>
  <si>
    <t xml:space="preserve">191037042 </t>
  </si>
  <si>
    <t>Hayden</t>
  </si>
  <si>
    <t>Simpson, Hayden</t>
  </si>
  <si>
    <t>simpson.hayden2002@gmail.com</t>
  </si>
  <si>
    <t>PO Box 335</t>
  </si>
  <si>
    <t>Island Park</t>
  </si>
  <si>
    <t>83429-0335</t>
  </si>
  <si>
    <t>DM1910EMAIL2</t>
  </si>
  <si>
    <t xml:space="preserve">130020          </t>
  </si>
  <si>
    <t>NORTH FREMONT HIGH SCHOOL</t>
  </si>
  <si>
    <t>ASHTON</t>
  </si>
  <si>
    <t xml:space="preserve">83420     </t>
  </si>
  <si>
    <t xml:space="preserve">191036991 </t>
  </si>
  <si>
    <t>Small</t>
  </si>
  <si>
    <t>Sianah</t>
  </si>
  <si>
    <t>Small, Sianah</t>
  </si>
  <si>
    <t>tandssmall@gmail.com</t>
  </si>
  <si>
    <t>17246 COMMUNITY ST</t>
  </si>
  <si>
    <t xml:space="preserve">60438     </t>
  </si>
  <si>
    <t xml:space="preserve">142547          </t>
  </si>
  <si>
    <t>THORNTON FRACTIONAL SOUTH HS</t>
  </si>
  <si>
    <t xml:space="preserve">190833992 </t>
  </si>
  <si>
    <t>Smitherman</t>
  </si>
  <si>
    <t>Smitherman, Chris</t>
  </si>
  <si>
    <t>thumperfuzzy@gmail.com</t>
  </si>
  <si>
    <t>1101 NW 92nd St</t>
  </si>
  <si>
    <t>Kcmo</t>
  </si>
  <si>
    <t xml:space="preserve">64155     </t>
  </si>
  <si>
    <t xml:space="preserve">262640          </t>
  </si>
  <si>
    <t>PLATTE CITY R-III HIGH SCHOOL</t>
  </si>
  <si>
    <t>PLATTE CITY</t>
  </si>
  <si>
    <t xml:space="preserve">64079     </t>
  </si>
  <si>
    <t>723 Cedarwood Pl</t>
  </si>
  <si>
    <t>ethansproul4@gmail.com</t>
  </si>
  <si>
    <t>5476 Startown Road</t>
  </si>
  <si>
    <t xml:space="preserve">191036473 </t>
  </si>
  <si>
    <t>Cassidy</t>
  </si>
  <si>
    <t>Taylor, Cassidy</t>
  </si>
  <si>
    <t>cassidy.taylor696@gaston.k12.nc.us</t>
  </si>
  <si>
    <t>22 Bowen Drive</t>
  </si>
  <si>
    <t>Belmont</t>
  </si>
  <si>
    <t xml:space="preserve">28012     </t>
  </si>
  <si>
    <t xml:space="preserve">364730          </t>
  </si>
  <si>
    <t>SOUTH POINT HIGH SCHOOL</t>
  </si>
  <si>
    <t>SOUTH POINT</t>
  </si>
  <si>
    <t xml:space="preserve">45680     </t>
  </si>
  <si>
    <t xml:space="preserve">191036877 </t>
  </si>
  <si>
    <t>Turro</t>
  </si>
  <si>
    <t>Turro, Alex</t>
  </si>
  <si>
    <t>Alexhazim11@gmail.com</t>
  </si>
  <si>
    <t>3335 Hauck St. Apt. 2046</t>
  </si>
  <si>
    <t xml:space="preserve">89146     </t>
  </si>
  <si>
    <t xml:space="preserve">290097          </t>
  </si>
  <si>
    <t>EDWARD W CLARK HIGH SCHOOL</t>
  </si>
  <si>
    <t xml:space="preserve">89102     </t>
  </si>
  <si>
    <t xml:space="preserve">190834544 </t>
  </si>
  <si>
    <t>Wheeler</t>
  </si>
  <si>
    <t>Nehemiah</t>
  </si>
  <si>
    <t>Wheeler, Nehemiah</t>
  </si>
  <si>
    <t>nehemiah1280@gmail.com</t>
  </si>
  <si>
    <t>119 Carondolet Ct N</t>
  </si>
  <si>
    <t>36608-5716</t>
  </si>
  <si>
    <t xml:space="preserve">011830          </t>
  </si>
  <si>
    <t>MURPHY HIGH SCHOOL</t>
  </si>
  <si>
    <t>MOBILE</t>
  </si>
  <si>
    <t xml:space="preserve">36606     </t>
  </si>
  <si>
    <t xml:space="preserve">190935713 </t>
  </si>
  <si>
    <t>Williams, Ashton</t>
  </si>
  <si>
    <t>ashton9201@gmail.com</t>
  </si>
  <si>
    <t>2831 Cane Creek Rd</t>
  </si>
  <si>
    <t>Centerville</t>
  </si>
  <si>
    <t xml:space="preserve">37033     </t>
  </si>
  <si>
    <t xml:space="preserve">430250          </t>
  </si>
  <si>
    <t>HICKMAN COUNTY HIGH SCHOOL</t>
  </si>
  <si>
    <t>CENTERVILLE</t>
  </si>
  <si>
    <t xml:space="preserve">191036841 </t>
  </si>
  <si>
    <t>Deverell</t>
  </si>
  <si>
    <t>Williams, Deverell</t>
  </si>
  <si>
    <t>devrat12345@gmail.com</t>
  </si>
  <si>
    <t>1337 Edison Street</t>
  </si>
  <si>
    <t xml:space="preserve">45417     </t>
  </si>
  <si>
    <t xml:space="preserve">361795          </t>
  </si>
  <si>
    <t>CHAMINADE-JULIENNE HIGH SCH</t>
  </si>
  <si>
    <t xml:space="preserve">45402     </t>
  </si>
  <si>
    <t xml:space="preserve">190833563 </t>
  </si>
  <si>
    <t>Wishon</t>
  </si>
  <si>
    <t>Wishon, Hannah</t>
  </si>
  <si>
    <t>hannahwishon@gmail.com</t>
  </si>
  <si>
    <t>806 Roundtop Court, APT 1B</t>
  </si>
  <si>
    <t>Lutherville</t>
  </si>
  <si>
    <t xml:space="preserve">21093     </t>
  </si>
  <si>
    <t>DM1905CBF033</t>
  </si>
  <si>
    <t xml:space="preserve">211025          </t>
  </si>
  <si>
    <t>CARVER CENTER ARTS &amp; TECH</t>
  </si>
  <si>
    <t>TOWSON</t>
  </si>
  <si>
    <t xml:space="preserve">21204     </t>
  </si>
  <si>
    <t xml:space="preserve">190936171 </t>
  </si>
  <si>
    <t>Sara</t>
  </si>
  <si>
    <t>Wright, Sara</t>
  </si>
  <si>
    <t>Nightmare2414@gmail.com</t>
  </si>
  <si>
    <t>1298 East 900 South</t>
  </si>
  <si>
    <t xml:space="preserve">84606     </t>
  </si>
  <si>
    <t xml:space="preserve">190733045 </t>
  </si>
  <si>
    <t>Goldman</t>
  </si>
  <si>
    <t>Goldman, Tyler</t>
  </si>
  <si>
    <t>tjgoldman2002@gmail.com</t>
  </si>
  <si>
    <t>4187 S Crystal Ct, Apt 728</t>
  </si>
  <si>
    <t xml:space="preserve">80014     </t>
  </si>
  <si>
    <t xml:space="preserve">060076          </t>
  </si>
  <si>
    <t>Overland High School</t>
  </si>
  <si>
    <t xml:space="preserve">190935412 </t>
  </si>
  <si>
    <t>Hough</t>
  </si>
  <si>
    <t>Hough, Quincy</t>
  </si>
  <si>
    <t>quincyhough2@gmail.com</t>
  </si>
  <si>
    <t>261 Eastern Street</t>
  </si>
  <si>
    <t>New Haven</t>
  </si>
  <si>
    <t xml:space="preserve">06513     </t>
  </si>
  <si>
    <t xml:space="preserve">D1805SS048  </t>
  </si>
  <si>
    <t xml:space="preserve">070516          </t>
  </si>
  <si>
    <t>SOUND SCHOOL</t>
  </si>
  <si>
    <t>NEW HAVEN</t>
  </si>
  <si>
    <t xml:space="preserve">6519      </t>
  </si>
  <si>
    <t>10810 Estelle Circle</t>
  </si>
  <si>
    <t>FAQ</t>
  </si>
  <si>
    <t>624331840AB02</t>
  </si>
  <si>
    <t>2020-21</t>
  </si>
  <si>
    <t>604359968AC01</t>
  </si>
  <si>
    <t>006027</t>
  </si>
  <si>
    <t>647627416AL01</t>
  </si>
  <si>
    <t>001314</t>
  </si>
  <si>
    <t>005043186AL02</t>
  </si>
  <si>
    <t>414917814AM01</t>
  </si>
  <si>
    <t>001489</t>
  </si>
  <si>
    <t>646667748AN01</t>
  </si>
  <si>
    <t>001354</t>
  </si>
  <si>
    <t>651243261BE01</t>
  </si>
  <si>
    <t>005025346BE01</t>
  </si>
  <si>
    <t>020297</t>
  </si>
  <si>
    <t>013027</t>
  </si>
  <si>
    <t>440173480BE01</t>
  </si>
  <si>
    <t>180802227BO01</t>
  </si>
  <si>
    <t>493194324BO02</t>
  </si>
  <si>
    <t>026754</t>
  </si>
  <si>
    <t>412936518BR01</t>
  </si>
  <si>
    <t>505454515BU01</t>
  </si>
  <si>
    <t>518651925BU01</t>
  </si>
  <si>
    <t>001718</t>
  </si>
  <si>
    <t>220631591CA01</t>
  </si>
  <si>
    <t>618370770CA01</t>
  </si>
  <si>
    <t>000878</t>
  </si>
  <si>
    <t>398215180CL01</t>
  </si>
  <si>
    <t>518639792CO01</t>
  </si>
  <si>
    <t>002327</t>
  </si>
  <si>
    <t>508432450CO01</t>
  </si>
  <si>
    <t>133903392DA01</t>
  </si>
  <si>
    <t>090688</t>
  </si>
  <si>
    <t>245973199DA01</t>
  </si>
  <si>
    <t>357985258DA01</t>
  </si>
  <si>
    <t>001732</t>
  </si>
  <si>
    <t>377278703DE03</t>
  </si>
  <si>
    <t>000100</t>
  </si>
  <si>
    <t>591998864DO01</t>
  </si>
  <si>
    <t>382279736EG01</t>
  </si>
  <si>
    <t>415911476FL01</t>
  </si>
  <si>
    <t>011473</t>
  </si>
  <si>
    <t>425930811FO01</t>
  </si>
  <si>
    <t>002328</t>
  </si>
  <si>
    <t>606374031FO01</t>
  </si>
  <si>
    <t>036117</t>
  </si>
  <si>
    <t>384273446FR02</t>
  </si>
  <si>
    <t>009275</t>
  </si>
  <si>
    <t>639866694GA01</t>
  </si>
  <si>
    <t>223930668GA01</t>
  </si>
  <si>
    <t>034488</t>
  </si>
  <si>
    <t>634800139GE02</t>
  </si>
  <si>
    <t>646621421GO01</t>
  </si>
  <si>
    <t>001873</t>
  </si>
  <si>
    <t>635802792GO01</t>
  </si>
  <si>
    <t>447155998GR01</t>
  </si>
  <si>
    <t>539497622GR01</t>
  </si>
  <si>
    <t>046519</t>
  </si>
  <si>
    <t>299061962GR02</t>
  </si>
  <si>
    <t>001396</t>
  </si>
  <si>
    <t>619350887GR01</t>
  </si>
  <si>
    <t>003472</t>
  </si>
  <si>
    <t>534490695HA01</t>
  </si>
  <si>
    <t>021291</t>
  </si>
  <si>
    <t>642781012PA01</t>
  </si>
  <si>
    <t>415910299HO01</t>
  </si>
  <si>
    <t>001084</t>
  </si>
  <si>
    <t>047023718HO01</t>
  </si>
  <si>
    <t>077923246HU01</t>
  </si>
  <si>
    <t>014768</t>
  </si>
  <si>
    <t>612294705HU01</t>
  </si>
  <si>
    <t>002680</t>
  </si>
  <si>
    <t>441179455IN01</t>
  </si>
  <si>
    <t>670342925IR01</t>
  </si>
  <si>
    <t>000648</t>
  </si>
  <si>
    <t>347984892JE01</t>
  </si>
  <si>
    <t>078464</t>
  </si>
  <si>
    <t>214731064JO01</t>
  </si>
  <si>
    <t>001146</t>
  </si>
  <si>
    <t>653208456JO01</t>
  </si>
  <si>
    <t>000892</t>
  </si>
  <si>
    <t>231938762JO01</t>
  </si>
  <si>
    <t>018501</t>
  </si>
  <si>
    <t>018977</t>
  </si>
  <si>
    <t>211064302KA01</t>
  </si>
  <si>
    <t>575955418KE02</t>
  </si>
  <si>
    <t>008538</t>
  </si>
  <si>
    <t>346983613KE01</t>
  </si>
  <si>
    <t>029207</t>
  </si>
  <si>
    <t>665059898KL02</t>
  </si>
  <si>
    <t>663058446LA01</t>
  </si>
  <si>
    <t>040795</t>
  </si>
  <si>
    <t>605355799LE01</t>
  </si>
  <si>
    <t>017544</t>
  </si>
  <si>
    <t>665054443LE01</t>
  </si>
  <si>
    <t>485318931LE01</t>
  </si>
  <si>
    <t>670145750LE01</t>
  </si>
  <si>
    <t>000512</t>
  </si>
  <si>
    <t>515195476LI01</t>
  </si>
  <si>
    <t>013258</t>
  </si>
  <si>
    <t>002364</t>
  </si>
  <si>
    <t>001941</t>
  </si>
  <si>
    <t>634787117MA01</t>
  </si>
  <si>
    <t>008166</t>
  </si>
  <si>
    <t>667168294MA03</t>
  </si>
  <si>
    <t>020364</t>
  </si>
  <si>
    <t>409931014MA01</t>
  </si>
  <si>
    <t>003007</t>
  </si>
  <si>
    <t>067921630MA01</t>
  </si>
  <si>
    <t>001093</t>
  </si>
  <si>
    <t>419532481MA01</t>
  </si>
  <si>
    <t>001220</t>
  </si>
  <si>
    <t>535511732MC01</t>
  </si>
  <si>
    <t>036762</t>
  </si>
  <si>
    <t>307259971MC01</t>
  </si>
  <si>
    <t>013343</t>
  </si>
  <si>
    <t>071927063MI01</t>
  </si>
  <si>
    <t>157022</t>
  </si>
  <si>
    <t>221963320MO01</t>
  </si>
  <si>
    <t>021496</t>
  </si>
  <si>
    <t>245999234MO02</t>
  </si>
  <si>
    <t>018748</t>
  </si>
  <si>
    <t>482316415MO02</t>
  </si>
  <si>
    <t>012548</t>
  </si>
  <si>
    <t>443175336MY01</t>
  </si>
  <si>
    <t>007096</t>
  </si>
  <si>
    <t>611356205NU01</t>
  </si>
  <si>
    <t>021957</t>
  </si>
  <si>
    <t>381278484PE01</t>
  </si>
  <si>
    <t>000331</t>
  </si>
  <si>
    <t>358981502PS01</t>
  </si>
  <si>
    <t>016796</t>
  </si>
  <si>
    <t>765208658PY01</t>
  </si>
  <si>
    <t>001865</t>
  </si>
  <si>
    <t>605379441RA02</t>
  </si>
  <si>
    <t>491198069RA03</t>
  </si>
  <si>
    <t>430998970RA01</t>
  </si>
  <si>
    <t>000010</t>
  </si>
  <si>
    <t>614336077RO01</t>
  </si>
  <si>
    <t>052615</t>
  </si>
  <si>
    <t>635784211RO03</t>
  </si>
  <si>
    <t>223951210RO01</t>
  </si>
  <si>
    <t>635804694RY01</t>
  </si>
  <si>
    <t>024877</t>
  </si>
  <si>
    <t>680422631SA01</t>
  </si>
  <si>
    <t>002164</t>
  </si>
  <si>
    <t>405577333SE01</t>
  </si>
  <si>
    <t>000988</t>
  </si>
  <si>
    <t>305254330SH01</t>
  </si>
  <si>
    <t>003622</t>
  </si>
  <si>
    <t>304271545SI01</t>
  </si>
  <si>
    <t>026746</t>
  </si>
  <si>
    <t>625339942SI01</t>
  </si>
  <si>
    <t>026606</t>
  </si>
  <si>
    <t>613358620SO01</t>
  </si>
  <si>
    <t>001245</t>
  </si>
  <si>
    <t>001823</t>
  </si>
  <si>
    <t>017695</t>
  </si>
  <si>
    <t>308254195TI01</t>
  </si>
  <si>
    <t>037654838TR01</t>
  </si>
  <si>
    <t>680407654VE01</t>
  </si>
  <si>
    <t>653734928VE02</t>
  </si>
  <si>
    <t>003543</t>
  </si>
  <si>
    <t>388233648VO01</t>
  </si>
  <si>
    <t>017191</t>
  </si>
  <si>
    <t>406599619WA01</t>
  </si>
  <si>
    <t>234495012WE01</t>
  </si>
  <si>
    <t>517370337WE01</t>
  </si>
  <si>
    <t>025624</t>
  </si>
  <si>
    <t>289060853WI02</t>
  </si>
  <si>
    <t>604354898MC01</t>
  </si>
  <si>
    <t>344984711WI01</t>
  </si>
  <si>
    <t>030464</t>
  </si>
  <si>
    <t>338988610WO01</t>
  </si>
  <si>
    <t>029820</t>
  </si>
  <si>
    <t>004320</t>
  </si>
  <si>
    <t>mckayla.collins@stu.hardin.kyschools.us</t>
  </si>
  <si>
    <t>629806788AG01</t>
  </si>
  <si>
    <t>378272162BA02</t>
  </si>
  <si>
    <t>767140399BE02</t>
  </si>
  <si>
    <t>616316862BE01</t>
  </si>
  <si>
    <t>031293</t>
  </si>
  <si>
    <t>619350868BR02</t>
  </si>
  <si>
    <t>633806961BR02</t>
  </si>
  <si>
    <t>030226</t>
  </si>
  <si>
    <t>326021828CH03</t>
  </si>
  <si>
    <t>646648335CH01</t>
  </si>
  <si>
    <t>101834</t>
  </si>
  <si>
    <t>637800639CL03</t>
  </si>
  <si>
    <t>336989610CO01</t>
  </si>
  <si>
    <t>650229440CO01</t>
  </si>
  <si>
    <t>017221</t>
  </si>
  <si>
    <t>543618685CO01</t>
  </si>
  <si>
    <t>019353</t>
  </si>
  <si>
    <t>634800507CO01</t>
  </si>
  <si>
    <t>653204060EI01</t>
  </si>
  <si>
    <t>033534</t>
  </si>
  <si>
    <t>627802782GA01</t>
  </si>
  <si>
    <t>015666</t>
  </si>
  <si>
    <t>640743403GO02</t>
  </si>
  <si>
    <t>226930746KH01</t>
  </si>
  <si>
    <t>004020</t>
  </si>
  <si>
    <t>772093764LE01</t>
  </si>
  <si>
    <t>036975</t>
  </si>
  <si>
    <t>765188281MC01</t>
  </si>
  <si>
    <t>005439</t>
  </si>
  <si>
    <t>240998156MO02</t>
  </si>
  <si>
    <t>181808679MU02</t>
  </si>
  <si>
    <t>063816</t>
  </si>
  <si>
    <t>769093927NO03</t>
  </si>
  <si>
    <t>000505</t>
  </si>
  <si>
    <t>765163235QU01</t>
  </si>
  <si>
    <t>229939002RI02</t>
  </si>
  <si>
    <t>771105638RO01</t>
  </si>
  <si>
    <t>016157</t>
  </si>
  <si>
    <t>421532879SH01</t>
  </si>
  <si>
    <t>618334338SM01</t>
  </si>
  <si>
    <t>010486</t>
  </si>
  <si>
    <t>659074810SM01</t>
  </si>
  <si>
    <t>018383</t>
  </si>
  <si>
    <t>109801554SP01</t>
  </si>
  <si>
    <t>359984669VA01</t>
  </si>
  <si>
    <t>000162</t>
  </si>
  <si>
    <t>404596365WA02</t>
  </si>
  <si>
    <t>003180</t>
  </si>
  <si>
    <t>592758661WA01</t>
  </si>
  <si>
    <t>212659189WI02</t>
  </si>
  <si>
    <t>002295</t>
  </si>
  <si>
    <t>409930263XI01</t>
  </si>
  <si>
    <t>616318385ZA02</t>
  </si>
  <si>
    <t>006135</t>
  </si>
  <si>
    <t>EST</t>
  </si>
  <si>
    <t>CST</t>
  </si>
  <si>
    <t>MST</t>
  </si>
  <si>
    <t>PST</t>
  </si>
  <si>
    <t xml:space="preserve">Possible Legal Guardianship or adoption. Will send ppwrk. </t>
  </si>
  <si>
    <t xml:space="preserve">191037297 </t>
  </si>
  <si>
    <t>Akahara</t>
  </si>
  <si>
    <t>Uchenna</t>
  </si>
  <si>
    <t>Akahara, Uchenna</t>
  </si>
  <si>
    <t>akaharauchenna@gmail.com</t>
  </si>
  <si>
    <t>901 KORY DRIVE</t>
  </si>
  <si>
    <t>MESQUITE</t>
  </si>
  <si>
    <t xml:space="preserve">75149     </t>
  </si>
  <si>
    <t xml:space="preserve">191037333 </t>
  </si>
  <si>
    <t>Bautista</t>
  </si>
  <si>
    <t>Enoch</t>
  </si>
  <si>
    <t>Bautista, Enoch</t>
  </si>
  <si>
    <t>bautistaenoch@gmail.com</t>
  </si>
  <si>
    <t>212 S IVY ST</t>
  </si>
  <si>
    <t>NAMPA</t>
  </si>
  <si>
    <t xml:space="preserve">83686     </t>
  </si>
  <si>
    <t xml:space="preserve">NETPRICECAL </t>
  </si>
  <si>
    <t xml:space="preserve">130440          </t>
  </si>
  <si>
    <t>NAMPA HIGH SCHOOL</t>
  </si>
  <si>
    <t xml:space="preserve">190732434 </t>
  </si>
  <si>
    <t>Benner</t>
  </si>
  <si>
    <t>Rachael</t>
  </si>
  <si>
    <t>Benner, Rachael</t>
  </si>
  <si>
    <t>Rabenner7@gmail.com</t>
  </si>
  <si>
    <t>3802 w. Bismark dr</t>
  </si>
  <si>
    <t xml:space="preserve">83646     </t>
  </si>
  <si>
    <t xml:space="preserve">130390          </t>
  </si>
  <si>
    <t>MERIDIAN HIGH SCHOOL</t>
  </si>
  <si>
    <t>MERIDIAN</t>
  </si>
  <si>
    <t xml:space="preserve">83642     </t>
  </si>
  <si>
    <t xml:space="preserve">191036678 </t>
  </si>
  <si>
    <t>Brunson</t>
  </si>
  <si>
    <t>Brunson, Jaiden</t>
  </si>
  <si>
    <t>jaidenbrunson2020@gmail.com</t>
  </si>
  <si>
    <t>5907 WESTERN RUN DRIVE</t>
  </si>
  <si>
    <t>BALTIMORE</t>
  </si>
  <si>
    <t xml:space="preserve">21209     </t>
  </si>
  <si>
    <t xml:space="preserve">210038          </t>
  </si>
  <si>
    <t>BALTIMORE POLYTECHNIC INST</t>
  </si>
  <si>
    <t xml:space="preserve">190833734 </t>
  </si>
  <si>
    <t>Caballero</t>
  </si>
  <si>
    <t>Kenneth</t>
  </si>
  <si>
    <t>Caballero, Kenneth</t>
  </si>
  <si>
    <t>Kenneth.caballero713@gmail.com</t>
  </si>
  <si>
    <t>27545 Valley West Road</t>
  </si>
  <si>
    <t>Taft</t>
  </si>
  <si>
    <t xml:space="preserve">93268     </t>
  </si>
  <si>
    <t xml:space="preserve">053485          </t>
  </si>
  <si>
    <t>TAFT UNION HIGH SCHOOL</t>
  </si>
  <si>
    <t>TAFT</t>
  </si>
  <si>
    <t>cj301910@dpisd.org</t>
  </si>
  <si>
    <t>GROLITE58@GMAIL.COM</t>
  </si>
  <si>
    <t xml:space="preserve">191037056 </t>
  </si>
  <si>
    <t>Dehoyos</t>
  </si>
  <si>
    <t>Marcus</t>
  </si>
  <si>
    <t>Dehoyos, Marcus</t>
  </si>
  <si>
    <t>bennydehoyos1129@gmail.com</t>
  </si>
  <si>
    <t>2313 WEBSTER DR.</t>
  </si>
  <si>
    <t xml:space="preserve">440061          </t>
  </si>
  <si>
    <t>Pharr San Juan Alamo T-Stem Early College High School</t>
  </si>
  <si>
    <t>Pharr</t>
  </si>
  <si>
    <t xml:space="preserve">78577     </t>
  </si>
  <si>
    <t xml:space="preserve">190936037 </t>
  </si>
  <si>
    <t>Ellerbee</t>
  </si>
  <si>
    <t>Mia</t>
  </si>
  <si>
    <t>Ellerbee, Mia</t>
  </si>
  <si>
    <t>miaellerbee.vcp@gmail.com</t>
  </si>
  <si>
    <t>18601 Northlawn St.</t>
  </si>
  <si>
    <t xml:space="preserve">48221     </t>
  </si>
  <si>
    <t xml:space="preserve">230883          </t>
  </si>
  <si>
    <t>CONSORTIUM COLLEGE PREP HS</t>
  </si>
  <si>
    <t xml:space="preserve">48216     </t>
  </si>
  <si>
    <t xml:space="preserve">191036883 </t>
  </si>
  <si>
    <t>Enriquez</t>
  </si>
  <si>
    <t>Leonardo</t>
  </si>
  <si>
    <t>Enriquez, Leonardo</t>
  </si>
  <si>
    <t>enriquez.leo58@gmail.com</t>
  </si>
  <si>
    <t>3153 LOCKWOOD ST</t>
  </si>
  <si>
    <t xml:space="preserve">48210     </t>
  </si>
  <si>
    <t xml:space="preserve">231235          </t>
  </si>
  <si>
    <t>WESTERN INTERNATIONAL HS</t>
  </si>
  <si>
    <t xml:space="preserve">48209     </t>
  </si>
  <si>
    <t xml:space="preserve">190935553 </t>
  </si>
  <si>
    <t>Estes</t>
  </si>
  <si>
    <t>Carrie-Anna</t>
  </si>
  <si>
    <t>Estes, Carrie-Anna</t>
  </si>
  <si>
    <t>estescarrieanna@gmail.com</t>
  </si>
  <si>
    <t>4093 E Street</t>
  </si>
  <si>
    <t>Springfield</t>
  </si>
  <si>
    <t xml:space="preserve">97478     </t>
  </si>
  <si>
    <t xml:space="preserve">381112          </t>
  </si>
  <si>
    <t>THURSTON SENIOR HIGH SCHOOL</t>
  </si>
  <si>
    <t>SPRINGFIELD</t>
  </si>
  <si>
    <t xml:space="preserve">190935137 </t>
  </si>
  <si>
    <t>Fletcher</t>
  </si>
  <si>
    <t>Fletcher, Grace</t>
  </si>
  <si>
    <t>browneyedgirl.gaf@gmail.com</t>
  </si>
  <si>
    <t>529 SMITHFIELD MASONTOWN RD</t>
  </si>
  <si>
    <t>SMITHFIELD</t>
  </si>
  <si>
    <t xml:space="preserve">15478     </t>
  </si>
  <si>
    <t>DM1908ACF053</t>
  </si>
  <si>
    <t xml:space="preserve">490875          </t>
  </si>
  <si>
    <t>MORGANTOWN HIGH SCHOOL</t>
  </si>
  <si>
    <t>MORGANTOWN</t>
  </si>
  <si>
    <t xml:space="preserve">26501     </t>
  </si>
  <si>
    <t xml:space="preserve">191036744 </t>
  </si>
  <si>
    <t>Gurule</t>
  </si>
  <si>
    <t>Alonzo</t>
  </si>
  <si>
    <t>Gurule, Alonzo</t>
  </si>
  <si>
    <t>alonzo.gurule@gmail.com</t>
  </si>
  <si>
    <t>1861 W RICHLAND CIRCLE</t>
  </si>
  <si>
    <t>EVENTNEUMNTX</t>
  </si>
  <si>
    <t xml:space="preserve">450446          </t>
  </si>
  <si>
    <t xml:space="preserve">West Jordan High School                 </t>
  </si>
  <si>
    <t xml:space="preserve">190936220 </t>
  </si>
  <si>
    <t>Hakala</t>
  </si>
  <si>
    <t>Hakala, Dylan</t>
  </si>
  <si>
    <t>dylanjhakala@gmail.com</t>
  </si>
  <si>
    <t>5221 Queenswood Dr</t>
  </si>
  <si>
    <t>EVENTPAT1017</t>
  </si>
  <si>
    <t xml:space="preserve">450363          </t>
  </si>
  <si>
    <t>Cottonwood High School</t>
  </si>
  <si>
    <t xml:space="preserve">191037040 </t>
  </si>
  <si>
    <t>Hamman</t>
  </si>
  <si>
    <t>Katie</t>
  </si>
  <si>
    <t>Hamman, Katie</t>
  </si>
  <si>
    <t>hammankatiedogs@gmail.com</t>
  </si>
  <si>
    <t>2015 E CAMP ST, APT #3</t>
  </si>
  <si>
    <t>ELY</t>
  </si>
  <si>
    <t xml:space="preserve">55731     </t>
  </si>
  <si>
    <t xml:space="preserve">242345          </t>
  </si>
  <si>
    <t>SAINT PETER HIGH SCHOOL</t>
  </si>
  <si>
    <t>SAINT PETER</t>
  </si>
  <si>
    <t xml:space="preserve">56082     </t>
  </si>
  <si>
    <t xml:space="preserve">181120853 </t>
  </si>
  <si>
    <t>Hickey</t>
  </si>
  <si>
    <t>Donte</t>
  </si>
  <si>
    <t>Hickey, Donte</t>
  </si>
  <si>
    <t>dontehickey7@gmail.com</t>
  </si>
  <si>
    <t>88 OLD FORGE DRIVE</t>
  </si>
  <si>
    <t xml:space="preserve">080030          </t>
  </si>
  <si>
    <t>DOVER HIGH SCHOOL</t>
  </si>
  <si>
    <t xml:space="preserve">191036697 </t>
  </si>
  <si>
    <t>humphries</t>
  </si>
  <si>
    <t>catherine</t>
  </si>
  <si>
    <t>humphries, catherine</t>
  </si>
  <si>
    <t>catherinegrace911@gmail.com</t>
  </si>
  <si>
    <t>222 PLANTATION DRIVE</t>
  </si>
  <si>
    <t xml:space="preserve">29340     </t>
  </si>
  <si>
    <t xml:space="preserve">1330    </t>
  </si>
  <si>
    <t xml:space="preserve">190936173 </t>
  </si>
  <si>
    <t>Rosa</t>
  </si>
  <si>
    <t>Juarez, Rosa</t>
  </si>
  <si>
    <t>rosacj921@gmail.com</t>
  </si>
  <si>
    <t>4025 EAST HIGHWAY 67</t>
  </si>
  <si>
    <t>KEENE</t>
  </si>
  <si>
    <t xml:space="preserve">76031     </t>
  </si>
  <si>
    <t xml:space="preserve">443749          </t>
  </si>
  <si>
    <t>KEENE HIGH SCHOOL</t>
  </si>
  <si>
    <t xml:space="preserve">76059     </t>
  </si>
  <si>
    <t xml:space="preserve">191036279 </t>
  </si>
  <si>
    <t>Zaniah</t>
  </si>
  <si>
    <t>Lewis, Zaniah</t>
  </si>
  <si>
    <t>zaniahlewis4@gmail.com</t>
  </si>
  <si>
    <t>8976 1/2 cadillac ave</t>
  </si>
  <si>
    <t xml:space="preserve">90034     </t>
  </si>
  <si>
    <t xml:space="preserve">050309          </t>
  </si>
  <si>
    <t>Girls Academic Leadership Academy</t>
  </si>
  <si>
    <t xml:space="preserve">90019     </t>
  </si>
  <si>
    <t xml:space="preserve">190732667 </t>
  </si>
  <si>
    <t>Marshall</t>
  </si>
  <si>
    <t>Asia</t>
  </si>
  <si>
    <t>Marshall, Asia</t>
  </si>
  <si>
    <t>asia.marshall2002@gmail.com</t>
  </si>
  <si>
    <t>6197 bear cove</t>
  </si>
  <si>
    <t>Olive branch</t>
  </si>
  <si>
    <t xml:space="preserve">38654     </t>
  </si>
  <si>
    <t xml:space="preserve">432430          </t>
  </si>
  <si>
    <t>WHITEHAVEN HIGH SCHOOL</t>
  </si>
  <si>
    <t>MEMPHIS</t>
  </si>
  <si>
    <t xml:space="preserve">38116     </t>
  </si>
  <si>
    <t xml:space="preserve">191036244 </t>
  </si>
  <si>
    <t>GiaVonna</t>
  </si>
  <si>
    <t>Martin, GiaVonna</t>
  </si>
  <si>
    <t>martingiavonna@yahoo.com</t>
  </si>
  <si>
    <t>6002 GARFIELD AVENUE</t>
  </si>
  <si>
    <t>ST.LOUIS</t>
  </si>
  <si>
    <t xml:space="preserve">63134     </t>
  </si>
  <si>
    <t xml:space="preserve">261075          </t>
  </si>
  <si>
    <t>MCCLUER HIGH SCHOOL</t>
  </si>
  <si>
    <t>FLORISSANT</t>
  </si>
  <si>
    <t xml:space="preserve">63031     </t>
  </si>
  <si>
    <t xml:space="preserve">190934889 </t>
  </si>
  <si>
    <t>McGuire</t>
  </si>
  <si>
    <t>Gustav</t>
  </si>
  <si>
    <t>McGuire, Gustav</t>
  </si>
  <si>
    <t>gusmcg1856@gmail.com</t>
  </si>
  <si>
    <t>3260 S 7900 W</t>
  </si>
  <si>
    <t xml:space="preserve">EVENTSF1017 </t>
  </si>
  <si>
    <t xml:space="preserve">450401          </t>
  </si>
  <si>
    <t>BEEHIVE SCIENCE AND TECHNOLOGY ACADEMY</t>
  </si>
  <si>
    <t xml:space="preserve">190733113 </t>
  </si>
  <si>
    <t>Yeimi</t>
  </si>
  <si>
    <t>Mendoza, Yeimi</t>
  </si>
  <si>
    <t>yeimi0721mendoza@gmail.com</t>
  </si>
  <si>
    <t>1115 old hwy 7 south lot 15A</t>
  </si>
  <si>
    <t>Dardanelle</t>
  </si>
  <si>
    <t xml:space="preserve">72834     </t>
  </si>
  <si>
    <t xml:space="preserve">040575          </t>
  </si>
  <si>
    <t>DARDANELLE HIGH SCHOOL</t>
  </si>
  <si>
    <t>DARDANELLE</t>
  </si>
  <si>
    <t xml:space="preserve">190934683 </t>
  </si>
  <si>
    <t>Murray, Bryson</t>
  </si>
  <si>
    <t>Brysong.murray@gmail.com</t>
  </si>
  <si>
    <t>81 PINE CREEK RD</t>
  </si>
  <si>
    <t>SELIGMAN</t>
  </si>
  <si>
    <t xml:space="preserve">65745     </t>
  </si>
  <si>
    <t xml:space="preserve">260050          </t>
  </si>
  <si>
    <t>MCDONALD COUNTY R-I SR HIGH SC</t>
  </si>
  <si>
    <t>ANDERSON</t>
  </si>
  <si>
    <t xml:space="preserve">64831     </t>
  </si>
  <si>
    <t xml:space="preserve">191036511 </t>
  </si>
  <si>
    <t>nguthien2002@gmail.com</t>
  </si>
  <si>
    <t>5653 PINEY RIDGE DR.</t>
  </si>
  <si>
    <t>WEST VALLEY CITY</t>
  </si>
  <si>
    <t xml:space="preserve">450449          </t>
  </si>
  <si>
    <t>Hunter High School</t>
  </si>
  <si>
    <t>WEST VALLEY</t>
  </si>
  <si>
    <t>dakotanicalek@gmail.com</t>
  </si>
  <si>
    <t xml:space="preserve">191036648 </t>
  </si>
  <si>
    <t>Olsen</t>
  </si>
  <si>
    <t>Olsen, Reese</t>
  </si>
  <si>
    <t>rnolsen811@gmail.com</t>
  </si>
  <si>
    <t>12319 HAVEN ARBOR DR</t>
  </si>
  <si>
    <t>CYPRESS</t>
  </si>
  <si>
    <t>77433-6254</t>
  </si>
  <si>
    <t xml:space="preserve">441689          </t>
  </si>
  <si>
    <t>Cypress Ranch High School</t>
  </si>
  <si>
    <t>Cypress</t>
  </si>
  <si>
    <t xml:space="preserve">77433     </t>
  </si>
  <si>
    <t xml:space="preserve">191037079 </t>
  </si>
  <si>
    <t>Kristina</t>
  </si>
  <si>
    <t>Ortiz, Kristina</t>
  </si>
  <si>
    <t>kristinaortiz2002@gmail.com</t>
  </si>
  <si>
    <t>1231 E 89TH AVE.</t>
  </si>
  <si>
    <t>THORNTON</t>
  </si>
  <si>
    <t xml:space="preserve">80229     </t>
  </si>
  <si>
    <t xml:space="preserve">060425          </t>
  </si>
  <si>
    <t>THORNTON HIGH SCHOOL</t>
  </si>
  <si>
    <t xml:space="preserve">190833982 </t>
  </si>
  <si>
    <t>Pelaez</t>
  </si>
  <si>
    <t>Pelaez, Eric</t>
  </si>
  <si>
    <t>legodudeboom@gmail.com</t>
  </si>
  <si>
    <t xml:space="preserve">052320          </t>
  </si>
  <si>
    <t>PALM SPRINGS HIGH SCHOOL</t>
  </si>
  <si>
    <t>PALM SPRINGS</t>
  </si>
  <si>
    <t xml:space="preserve">92262     </t>
  </si>
  <si>
    <t xml:space="preserve">191037334 </t>
  </si>
  <si>
    <t>Penner</t>
  </si>
  <si>
    <t>Penner, Charles</t>
  </si>
  <si>
    <t>charliefpenner@gmail.com</t>
  </si>
  <si>
    <t>804 OCEAN DUNES CIRCLE</t>
  </si>
  <si>
    <t>JUPITER</t>
  </si>
  <si>
    <t xml:space="preserve">33477     </t>
  </si>
  <si>
    <t xml:space="preserve">101338          </t>
  </si>
  <si>
    <t>WILLIAM T DWYER HIGH SCHOOL</t>
  </si>
  <si>
    <t>PALM BEACH GARDENS</t>
  </si>
  <si>
    <t xml:space="preserve">33418     </t>
  </si>
  <si>
    <t xml:space="preserve">190833574 </t>
  </si>
  <si>
    <t>Phillips, Daniel</t>
  </si>
  <si>
    <t>daniel.phillips@stoneschools.org</t>
  </si>
  <si>
    <t>17 W. K. Breland</t>
  </si>
  <si>
    <t>Wiggins</t>
  </si>
  <si>
    <t xml:space="preserve">39577     </t>
  </si>
  <si>
    <t xml:space="preserve">253303          </t>
  </si>
  <si>
    <t>STONE HIGH SCHOOL</t>
  </si>
  <si>
    <t>WIGGINS</t>
  </si>
  <si>
    <t xml:space="preserve">191037211 </t>
  </si>
  <si>
    <t>Randazzo</t>
  </si>
  <si>
    <t>Randazzo, Zachary</t>
  </si>
  <si>
    <t>zachary.randazzo@gmail.com</t>
  </si>
  <si>
    <t>1180 COYOTE RUN</t>
  </si>
  <si>
    <t>BOURBONNAIS</t>
  </si>
  <si>
    <t xml:space="preserve">60914     </t>
  </si>
  <si>
    <t xml:space="preserve">191036476 </t>
  </si>
  <si>
    <t>Brailin</t>
  </si>
  <si>
    <t>Reyes, Brailin</t>
  </si>
  <si>
    <t>brailinreyes9@gmail.com</t>
  </si>
  <si>
    <t>11513 BUCKNELL DR</t>
  </si>
  <si>
    <t>SILVER SPRING</t>
  </si>
  <si>
    <t xml:space="preserve">20902     </t>
  </si>
  <si>
    <t xml:space="preserve">210960          </t>
  </si>
  <si>
    <t>JOHN F KENNEDY HIGH SCHOOL</t>
  </si>
  <si>
    <t xml:space="preserve">190629855 </t>
  </si>
  <si>
    <t>Taya</t>
  </si>
  <si>
    <t>Richardson, Taya</t>
  </si>
  <si>
    <t>richardson4173@gmail.com</t>
  </si>
  <si>
    <t>76 merrymeeting rd</t>
  </si>
  <si>
    <t>Brunswick</t>
  </si>
  <si>
    <t xml:space="preserve">04011     </t>
  </si>
  <si>
    <t>WSREQUESTRFL</t>
  </si>
  <si>
    <t xml:space="preserve">200185          </t>
  </si>
  <si>
    <t>BRUNSWICK HIGH SCHOOL</t>
  </si>
  <si>
    <t>BRUNSWICK</t>
  </si>
  <si>
    <t xml:space="preserve">4011      </t>
  </si>
  <si>
    <t>e.salazar.mexica1@gmail.com</t>
  </si>
  <si>
    <t xml:space="preserve">190935064 </t>
  </si>
  <si>
    <t>Schlechner</t>
  </si>
  <si>
    <t>Mahon</t>
  </si>
  <si>
    <t>Schlechner, Mahon</t>
  </si>
  <si>
    <t>Mahonws@hotmail.com</t>
  </si>
  <si>
    <t>15292 NOTTINGHAM LANE</t>
  </si>
  <si>
    <t>HUNTINGTON BEACH</t>
  </si>
  <si>
    <t xml:space="preserve">92647     </t>
  </si>
  <si>
    <t xml:space="preserve">051220          </t>
  </si>
  <si>
    <t>HUNTINGTON BEACH HIGH SCHOOL</t>
  </si>
  <si>
    <t xml:space="preserve">92648     </t>
  </si>
  <si>
    <t xml:space="preserve">191036903 </t>
  </si>
  <si>
    <t>Schrock</t>
  </si>
  <si>
    <t>Schrock, Brandon</t>
  </si>
  <si>
    <t>brandonschrock319@gmail.com</t>
  </si>
  <si>
    <t>2006 ONTARIO RD. LOT #43</t>
  </si>
  <si>
    <t>NILES</t>
  </si>
  <si>
    <t xml:space="preserve">49120     </t>
  </si>
  <si>
    <t>Undecided</t>
  </si>
  <si>
    <t xml:space="preserve">230305          </t>
  </si>
  <si>
    <t>BERRIEN SPRINGS HIGH SCHOOL</t>
  </si>
  <si>
    <t>BERRIEN SPRINGS</t>
  </si>
  <si>
    <t xml:space="preserve">49103     </t>
  </si>
  <si>
    <t xml:space="preserve">191037020 </t>
  </si>
  <si>
    <t>Aryana</t>
  </si>
  <si>
    <t>Stewart, Aryana</t>
  </si>
  <si>
    <t>CHARLOTTE</t>
  </si>
  <si>
    <t xml:space="preserve">340662          </t>
  </si>
  <si>
    <t>MIDWOOD HIGH SCHOOL</t>
  </si>
  <si>
    <t xml:space="preserve">28205     </t>
  </si>
  <si>
    <t xml:space="preserve">190935108 </t>
  </si>
  <si>
    <t>Sudweeks</t>
  </si>
  <si>
    <t>Sudweeks, Grayson</t>
  </si>
  <si>
    <t>grayson.sudweeks6302@gmail.com</t>
  </si>
  <si>
    <t>PO Box 1598, 98 N Main St</t>
  </si>
  <si>
    <t>Parowan</t>
  </si>
  <si>
    <t>84761-1598</t>
  </si>
  <si>
    <t xml:space="preserve">450295          </t>
  </si>
  <si>
    <t>Parowan High School</t>
  </si>
  <si>
    <t>PAROWAN</t>
  </si>
  <si>
    <t xml:space="preserve">84761     </t>
  </si>
  <si>
    <t xml:space="preserve">191137500 </t>
  </si>
  <si>
    <t>Curtis</t>
  </si>
  <si>
    <t>Taylor, Curtis</t>
  </si>
  <si>
    <t>curtisktaylorrrr@gmail.com</t>
  </si>
  <si>
    <t>7024 Teak Way</t>
  </si>
  <si>
    <t>Rancho Cucamonga</t>
  </si>
  <si>
    <t xml:space="preserve">91701     </t>
  </si>
  <si>
    <t xml:space="preserve">052987          </t>
  </si>
  <si>
    <t>LOS OSOS HIGH SCHOOL</t>
  </si>
  <si>
    <t>RANCHO CUCAMONGA</t>
  </si>
  <si>
    <t xml:space="preserve">190833642 </t>
  </si>
  <si>
    <t>Tolefree</t>
  </si>
  <si>
    <t>Kristian</t>
  </si>
  <si>
    <t>Tolefree, Kristian</t>
  </si>
  <si>
    <t>ttolefree45@att.net</t>
  </si>
  <si>
    <t>12905 CYPRESS LN</t>
  </si>
  <si>
    <t>PLAINFIELD</t>
  </si>
  <si>
    <t xml:space="preserve">60585     </t>
  </si>
  <si>
    <t xml:space="preserve">143331          </t>
  </si>
  <si>
    <t>OSWEGO EAST HIGH SCHOOL</t>
  </si>
  <si>
    <t>OSWEGO</t>
  </si>
  <si>
    <t xml:space="preserve">60543     </t>
  </si>
  <si>
    <t xml:space="preserve">190732626 </t>
  </si>
  <si>
    <t>Torralba</t>
  </si>
  <si>
    <t>Torralba, Joshua</t>
  </si>
  <si>
    <t>torralba.joshua12@gmail.com</t>
  </si>
  <si>
    <t>P.O. BOX 347</t>
  </si>
  <si>
    <t>CAMERON</t>
  </si>
  <si>
    <t xml:space="preserve">86020     </t>
  </si>
  <si>
    <t xml:space="preserve">030103          </t>
  </si>
  <si>
    <t>COCONINO HIGH SCHOOL</t>
  </si>
  <si>
    <t>FLAGSTAFF</t>
  </si>
  <si>
    <t>N Las Vegas</t>
  </si>
  <si>
    <t xml:space="preserve">89030     </t>
  </si>
  <si>
    <t xml:space="preserve">191036680 </t>
  </si>
  <si>
    <t>Washington</t>
  </si>
  <si>
    <t>Washington, Kaleb</t>
  </si>
  <si>
    <t>kdwashington302@gmail.com</t>
  </si>
  <si>
    <t>12651 GRIGGS ST</t>
  </si>
  <si>
    <t>48238-3049</t>
  </si>
  <si>
    <t xml:space="preserve">233227          </t>
  </si>
  <si>
    <t>SUMMIT ACADEMY HIGH SCHOOL</t>
  </si>
  <si>
    <t>ROMULUS</t>
  </si>
  <si>
    <t xml:space="preserve">48174     </t>
  </si>
  <si>
    <t xml:space="preserve">190934575 </t>
  </si>
  <si>
    <t>Kendel</t>
  </si>
  <si>
    <t>Williams, Kendel</t>
  </si>
  <si>
    <t>kendelwilliams0822@gmail.com</t>
  </si>
  <si>
    <t>24740 Devoe Ave</t>
  </si>
  <si>
    <t>Euclid</t>
  </si>
  <si>
    <t xml:space="preserve">44123     </t>
  </si>
  <si>
    <t xml:space="preserve">890     </t>
  </si>
  <si>
    <t xml:space="preserve">362090          </t>
  </si>
  <si>
    <t>EUCLID HIGH SCHOOL</t>
  </si>
  <si>
    <t>EUCLID</t>
  </si>
  <si>
    <t xml:space="preserve">Call after 3:30 MST; Concerned about cost &amp; attending a different college than friends. </t>
  </si>
  <si>
    <t>Intro Call 11/18</t>
  </si>
  <si>
    <t>Coming to NeumontX 12/6</t>
  </si>
  <si>
    <t>V1 Verification</t>
  </si>
  <si>
    <t>Wilton Reed</t>
  </si>
  <si>
    <t>669142700BE02</t>
  </si>
  <si>
    <t>446153377BR01</t>
  </si>
  <si>
    <t>383276419BU01</t>
  </si>
  <si>
    <t>622339821CA01</t>
  </si>
  <si>
    <t>000909</t>
  </si>
  <si>
    <t>212657714CO03</t>
  </si>
  <si>
    <t>067596</t>
  </si>
  <si>
    <t>384272157EN02</t>
  </si>
  <si>
    <t>542618841ES01</t>
  </si>
  <si>
    <t>646669389EV01</t>
  </si>
  <si>
    <t>003921</t>
  </si>
  <si>
    <t>765183032FO01</t>
  </si>
  <si>
    <t>119203</t>
  </si>
  <si>
    <t>764201763GO02</t>
  </si>
  <si>
    <t>009907</t>
  </si>
  <si>
    <t>647625158HA02</t>
  </si>
  <si>
    <t>655146863HU01</t>
  </si>
  <si>
    <t>054175</t>
  </si>
  <si>
    <t>615358011JU02</t>
  </si>
  <si>
    <t>412938065KI01</t>
  </si>
  <si>
    <t>002450</t>
  </si>
  <si>
    <t>412939610MA01</t>
  </si>
  <si>
    <t>000890</t>
  </si>
  <si>
    <t>289064617MC01</t>
  </si>
  <si>
    <t>019600</t>
  </si>
  <si>
    <t>230914740NE01</t>
  </si>
  <si>
    <t>032541</t>
  </si>
  <si>
    <t>371270205OG01</t>
  </si>
  <si>
    <t>004993</t>
  </si>
  <si>
    <t>669168094OL01</t>
  </si>
  <si>
    <t>016149</t>
  </si>
  <si>
    <t>625330860PE01</t>
  </si>
  <si>
    <t>617339089PO02</t>
  </si>
  <si>
    <t>606336091RO01</t>
  </si>
  <si>
    <t>000364</t>
  </si>
  <si>
    <t>616351150SC01</t>
  </si>
  <si>
    <t>002281</t>
  </si>
  <si>
    <t>650249129SH01</t>
  </si>
  <si>
    <t>646682131SH01</t>
  </si>
  <si>
    <t>000180</t>
  </si>
  <si>
    <t>644805628SP02</t>
  </si>
  <si>
    <t>637821567ST01</t>
  </si>
  <si>
    <t>016424</t>
  </si>
  <si>
    <t>001459</t>
  </si>
  <si>
    <t>380272168WA01</t>
  </si>
  <si>
    <t>477415984WI01</t>
  </si>
  <si>
    <t>134 Carlisle Ave</t>
  </si>
  <si>
    <t>215 N. Monroe Avenue, PO Box 176</t>
  </si>
  <si>
    <t>Missed appt 11/13 @ 5pm MST. Had intro call w/leslie</t>
  </si>
  <si>
    <t>had intro call w/Leslie</t>
  </si>
  <si>
    <t>interviewed w/leslie</t>
  </si>
  <si>
    <t xml:space="preserve">191137410 </t>
  </si>
  <si>
    <t>Aronson</t>
  </si>
  <si>
    <t>Aronson, Hayden</t>
  </si>
  <si>
    <t>banditoz@protonmail.com</t>
  </si>
  <si>
    <t>11943 S EMMA MINE DRIVE</t>
  </si>
  <si>
    <t>HERRIMAN</t>
  </si>
  <si>
    <t>6631 Georgia Jack Dr.</t>
  </si>
  <si>
    <t>412 N Jefferson</t>
  </si>
  <si>
    <t xml:space="preserve">191137386 </t>
  </si>
  <si>
    <t>Colbert</t>
  </si>
  <si>
    <t>Caelan</t>
  </si>
  <si>
    <t>Colbert, Caelan</t>
  </si>
  <si>
    <t>Caelan1266@icloud.com</t>
  </si>
  <si>
    <t>420 LINDEN AVE</t>
  </si>
  <si>
    <t>RIVERTON</t>
  </si>
  <si>
    <t>NJ</t>
  </si>
  <si>
    <t xml:space="preserve">08077     </t>
  </si>
  <si>
    <t xml:space="preserve">310473          </t>
  </si>
  <si>
    <t>PAUL VI HIGH SCHOOL</t>
  </si>
  <si>
    <t>HADDONFIELD</t>
  </si>
  <si>
    <t xml:space="preserve">8033      </t>
  </si>
  <si>
    <t xml:space="preserve">191036673 </t>
  </si>
  <si>
    <t>Duran</t>
  </si>
  <si>
    <t>Arturo</t>
  </si>
  <si>
    <t>Duran, Arturo</t>
  </si>
  <si>
    <t>arturdur34@gmail.com</t>
  </si>
  <si>
    <t>3258W JORDAN LINE PARKWAY #2-130</t>
  </si>
  <si>
    <t xml:space="preserve">450400          </t>
  </si>
  <si>
    <t>West High School</t>
  </si>
  <si>
    <t xml:space="preserve">84103     </t>
  </si>
  <si>
    <t xml:space="preserve">191137517 </t>
  </si>
  <si>
    <t>Farrell</t>
  </si>
  <si>
    <t>Farrell, Michael</t>
  </si>
  <si>
    <t>michael.farrell@cristoreysj.org</t>
  </si>
  <si>
    <t>905 PASCOE AVE</t>
  </si>
  <si>
    <t>SAN JOSE</t>
  </si>
  <si>
    <t xml:space="preserve">95125     </t>
  </si>
  <si>
    <t xml:space="preserve">054860          </t>
  </si>
  <si>
    <t>Cristo Rey San José Jesuit High School</t>
  </si>
  <si>
    <t xml:space="preserve">190528693 </t>
  </si>
  <si>
    <t>Gardner</t>
  </si>
  <si>
    <t>Gardner, Christopher</t>
  </si>
  <si>
    <t>Forge2_fight@live.com</t>
  </si>
  <si>
    <t>535 BERRIEDALE DR</t>
  </si>
  <si>
    <t>CARY</t>
  </si>
  <si>
    <t xml:space="preserve">60013     </t>
  </si>
  <si>
    <t xml:space="preserve">140563          </t>
  </si>
  <si>
    <t>CARY-GROVE COMMUNITY HS</t>
  </si>
  <si>
    <t xml:space="preserve">190834052 </t>
  </si>
  <si>
    <t>Garza, Andrew</t>
  </si>
  <si>
    <t>agisfcp@gmail.com</t>
  </si>
  <si>
    <t>319 WEST HARLAN AVE</t>
  </si>
  <si>
    <t xml:space="preserve">442047          </t>
  </si>
  <si>
    <t>IDEA COLLEGE PREPARATORY HIGH</t>
  </si>
  <si>
    <t>DONNA</t>
  </si>
  <si>
    <t xml:space="preserve">78537     </t>
  </si>
  <si>
    <t xml:space="preserve">191037132 </t>
  </si>
  <si>
    <t>Gomez Reano</t>
  </si>
  <si>
    <t>Alexis</t>
  </si>
  <si>
    <t>Gomez Reano, Alexis</t>
  </si>
  <si>
    <t>alexisggr104@gmail.com</t>
  </si>
  <si>
    <t>5075 W 4700 S, TRLR 133</t>
  </si>
  <si>
    <t>KEARNS</t>
  </si>
  <si>
    <t xml:space="preserve">WSRDISPLAY  </t>
  </si>
  <si>
    <t xml:space="preserve">450158          </t>
  </si>
  <si>
    <t>Kearns High School</t>
  </si>
  <si>
    <t>Kearns</t>
  </si>
  <si>
    <t xml:space="preserve">190833600 </t>
  </si>
  <si>
    <t>Gordon</t>
  </si>
  <si>
    <t>Torian</t>
  </si>
  <si>
    <t>Gordon, Torian</t>
  </si>
  <si>
    <t>torian.gordon17@gmail.com</t>
  </si>
  <si>
    <t>5847 Buckner Creek Dr</t>
  </si>
  <si>
    <t>Mableton</t>
  </si>
  <si>
    <t>30126-7701</t>
  </si>
  <si>
    <t xml:space="preserve">111925          </t>
  </si>
  <si>
    <t>PEBBLEBROOK HIGH SCHOOL</t>
  </si>
  <si>
    <t>MABLETON</t>
  </si>
  <si>
    <t xml:space="preserve">30126     </t>
  </si>
  <si>
    <t xml:space="preserve">190833743 </t>
  </si>
  <si>
    <t>Jeremiah</t>
  </si>
  <si>
    <t>Hall, Jeremiah</t>
  </si>
  <si>
    <t>jeremiahhall.schoool@gmail.com</t>
  </si>
  <si>
    <t>1484 RA WEST HWY</t>
  </si>
  <si>
    <t>DELBARTON</t>
  </si>
  <si>
    <t xml:space="preserve">25670     </t>
  </si>
  <si>
    <t xml:space="preserve">490794          </t>
  </si>
  <si>
    <t xml:space="preserve">Mingo Central Comprehensive High School </t>
  </si>
  <si>
    <t xml:space="preserve">191037312 </t>
  </si>
  <si>
    <t>Mariah</t>
  </si>
  <si>
    <t>Jackson, Mariah</t>
  </si>
  <si>
    <t>royalriah@gmail.com</t>
  </si>
  <si>
    <t>2170 RANGOON CT</t>
  </si>
  <si>
    <t>CINCINNATI</t>
  </si>
  <si>
    <t xml:space="preserve">45240     </t>
  </si>
  <si>
    <t xml:space="preserve">362153          </t>
  </si>
  <si>
    <t>WINTON WOODS HIGH SCHOOL</t>
  </si>
  <si>
    <t xml:space="preserve">191037340 </t>
  </si>
  <si>
    <t>Jones, John</t>
  </si>
  <si>
    <t>johnjonesma@gmail.com</t>
  </si>
  <si>
    <t>346 N. 100 E.</t>
  </si>
  <si>
    <t>SANTAQUIN</t>
  </si>
  <si>
    <t xml:space="preserve">84655     </t>
  </si>
  <si>
    <t xml:space="preserve">191137360 </t>
  </si>
  <si>
    <t>Nair</t>
  </si>
  <si>
    <t>Manya</t>
  </si>
  <si>
    <t>Nair, Manya</t>
  </si>
  <si>
    <t>manya.nair@gmail.com</t>
  </si>
  <si>
    <t>11404 S OVERSHINE LN</t>
  </si>
  <si>
    <t>SOUTH JORDAN</t>
  </si>
  <si>
    <t xml:space="preserve">84009     </t>
  </si>
  <si>
    <t xml:space="preserve">1360    </t>
  </si>
  <si>
    <t xml:space="preserve">190935914 </t>
  </si>
  <si>
    <t>Perez, Gabriel</t>
  </si>
  <si>
    <t>Gabe.perez1002@gmail.com</t>
  </si>
  <si>
    <t>917 2ND ST P.O.BOX 312</t>
  </si>
  <si>
    <t>PULLMAN</t>
  </si>
  <si>
    <t xml:space="preserve">49450     </t>
  </si>
  <si>
    <t xml:space="preserve">230365          </t>
  </si>
  <si>
    <t>BLOOMINGDALE HIGH SCHOOL</t>
  </si>
  <si>
    <t>BLOOMINGDALE</t>
  </si>
  <si>
    <t xml:space="preserve">49026     </t>
  </si>
  <si>
    <t xml:space="preserve">191137651 </t>
  </si>
  <si>
    <t>Guadalupe</t>
  </si>
  <si>
    <t>Perez, Guadalupe</t>
  </si>
  <si>
    <t>perezguadalupe590@gmail.com</t>
  </si>
  <si>
    <t>547 N GRANT ST</t>
  </si>
  <si>
    <t>SALT LAKE CITY</t>
  </si>
  <si>
    <t xml:space="preserve">84116     </t>
  </si>
  <si>
    <t xml:space="preserve">191036266 </t>
  </si>
  <si>
    <t>Santos</t>
  </si>
  <si>
    <t>Wilver</t>
  </si>
  <si>
    <t>Santos, Wilver</t>
  </si>
  <si>
    <t>Wilver.santos84@gmail.com</t>
  </si>
  <si>
    <t>660 teal st</t>
  </si>
  <si>
    <t>crestview</t>
  </si>
  <si>
    <t xml:space="preserve">32539     </t>
  </si>
  <si>
    <t xml:space="preserve">100325          </t>
  </si>
  <si>
    <t>CRESTVIEW SENIOR HIGH SCHOOL</t>
  </si>
  <si>
    <t>CRESTVIEW</t>
  </si>
  <si>
    <t xml:space="preserve">32536     </t>
  </si>
  <si>
    <t>mikeyandjacksmom@gmail.com</t>
  </si>
  <si>
    <t>520 Cumberland trl</t>
  </si>
  <si>
    <t xml:space="preserve">191137521 </t>
  </si>
  <si>
    <t>Sowell</t>
  </si>
  <si>
    <t>Deonta</t>
  </si>
  <si>
    <t>Sowell, Deonta</t>
  </si>
  <si>
    <t>deontasowell20@gmail.com</t>
  </si>
  <si>
    <t>7802 MARQUETT DR</t>
  </si>
  <si>
    <t>ROWLETT</t>
  </si>
  <si>
    <t xml:space="preserve">75089     </t>
  </si>
  <si>
    <t xml:space="preserve">446082          </t>
  </si>
  <si>
    <t>SACHSE HIGH SCHOOL</t>
  </si>
  <si>
    <t>SACHSE</t>
  </si>
  <si>
    <t xml:space="preserve">75048     </t>
  </si>
  <si>
    <t>87</t>
  </si>
  <si>
    <t xml:space="preserve">191037307 </t>
  </si>
  <si>
    <t>Trueitt</t>
  </si>
  <si>
    <t>Ste'fan</t>
  </si>
  <si>
    <t>Trueitt, Ste'fan</t>
  </si>
  <si>
    <t>lilstef27@yahoo.com</t>
  </si>
  <si>
    <t>7804 NESBITT DRIVE</t>
  </si>
  <si>
    <t xml:space="preserve">23505     </t>
  </si>
  <si>
    <t xml:space="preserve">471585          </t>
  </si>
  <si>
    <t>GRANBY HIGH SCHOOL</t>
  </si>
  <si>
    <t>1801 Manhattan Blvd, Ste. J-324</t>
  </si>
  <si>
    <t xml:space="preserve">190833753 </t>
  </si>
  <si>
    <t>Dez</t>
  </si>
  <si>
    <t>Vega, Dez</t>
  </si>
  <si>
    <t>solluxcaptor5013@gmail.com</t>
  </si>
  <si>
    <t>65227 State Highway 74</t>
  </si>
  <si>
    <t>Mountain Center</t>
  </si>
  <si>
    <t xml:space="preserve">92561     </t>
  </si>
  <si>
    <t xml:space="preserve">050108          </t>
  </si>
  <si>
    <t>HAMILTON SCHOOL</t>
  </si>
  <si>
    <t>ANZA</t>
  </si>
  <si>
    <t xml:space="preserve">92539     </t>
  </si>
  <si>
    <t xml:space="preserve">191036762 </t>
  </si>
  <si>
    <t>Wallraff</t>
  </si>
  <si>
    <t>Wallraff, Zachary</t>
  </si>
  <si>
    <t>zwallraff@gmail.com</t>
  </si>
  <si>
    <t>814 BLACKOAKS LN</t>
  </si>
  <si>
    <t>ANOKA</t>
  </si>
  <si>
    <t xml:space="preserve">55303     </t>
  </si>
  <si>
    <t xml:space="preserve">DM1908AC053 </t>
  </si>
  <si>
    <t xml:space="preserve">240080          </t>
  </si>
  <si>
    <t>Anoka High School</t>
  </si>
  <si>
    <t>Anoka</t>
  </si>
  <si>
    <t xml:space="preserve">191137409 </t>
  </si>
  <si>
    <t>Jubilee</t>
  </si>
  <si>
    <t>Watson, Jubilee</t>
  </si>
  <si>
    <t>jubilee.watson.02@k12.rrsd.me</t>
  </si>
  <si>
    <t>1103 CONTOURS</t>
  </si>
  <si>
    <t xml:space="preserve">233192          </t>
  </si>
  <si>
    <t>RIVER ROUGE HIGH SCHOOL</t>
  </si>
  <si>
    <t>RIVER ROUGE</t>
  </si>
  <si>
    <t xml:space="preserve">48218     </t>
  </si>
  <si>
    <t xml:space="preserve">191036647 </t>
  </si>
  <si>
    <t>Wharton</t>
  </si>
  <si>
    <t>Mindy</t>
  </si>
  <si>
    <t>Wharton, Mindy</t>
  </si>
  <si>
    <t>MINDYLYNWHARTON@GMAIL.COM</t>
  </si>
  <si>
    <t>5764 S WATERBURY WAY, I</t>
  </si>
  <si>
    <t xml:space="preserve">HS2014  </t>
  </si>
  <si>
    <t>2014 HS Graduate</t>
  </si>
  <si>
    <t xml:space="preserve">450145          </t>
  </si>
  <si>
    <t>South Summit High School</t>
  </si>
  <si>
    <t>Kamas</t>
  </si>
  <si>
    <t xml:space="preserve">84036     </t>
  </si>
  <si>
    <t xml:space="preserve">191037143 </t>
  </si>
  <si>
    <t>Williams, Justin</t>
  </si>
  <si>
    <t>littleone1233@gmail.com</t>
  </si>
  <si>
    <t>6262 BARTON PARK DRIVE</t>
  </si>
  <si>
    <t xml:space="preserve">84081     </t>
  </si>
  <si>
    <t xml:space="preserve">191036880 </t>
  </si>
  <si>
    <t>Buechner</t>
  </si>
  <si>
    <t>Alan</t>
  </si>
  <si>
    <t>Buechner, Alan</t>
  </si>
  <si>
    <t>alanjamsbuechner@gmail.com</t>
  </si>
  <si>
    <t>4289 Dicky Lane</t>
  </si>
  <si>
    <t>Madison</t>
  </si>
  <si>
    <t xml:space="preserve">53718     </t>
  </si>
  <si>
    <t xml:space="preserve">501160          </t>
  </si>
  <si>
    <t>MONONA GROVE HIGH SCHOOL</t>
  </si>
  <si>
    <t>MONONA</t>
  </si>
  <si>
    <t xml:space="preserve">53716     </t>
  </si>
  <si>
    <t>67220 San Gabriel Cir.</t>
  </si>
  <si>
    <t>Intro Call 11/25</t>
  </si>
  <si>
    <t>ALE Call 11/26 @ 1pm MST</t>
  </si>
  <si>
    <t>talked w/leslie Needs to fill out FAFSA still</t>
  </si>
  <si>
    <t xml:space="preserve">191137804 </t>
  </si>
  <si>
    <t>Almaraz</t>
  </si>
  <si>
    <t>Vicente</t>
  </si>
  <si>
    <t>Almaraz, Vicente</t>
  </si>
  <si>
    <t>veealmarazinaz@gmail.com</t>
  </si>
  <si>
    <t>28530 N BROKEN SHALE DR</t>
  </si>
  <si>
    <t>SAN TAN VALLEY</t>
  </si>
  <si>
    <t xml:space="preserve">85143     </t>
  </si>
  <si>
    <t xml:space="preserve">191137711 </t>
  </si>
  <si>
    <t>Alvarez</t>
  </si>
  <si>
    <t>Tianna</t>
  </si>
  <si>
    <t>Alvarez, Tianna</t>
  </si>
  <si>
    <t>titialvarez626@gmail.com</t>
  </si>
  <si>
    <t>15781 TAWNEY RIDGE LN</t>
  </si>
  <si>
    <t>VICTORVILLE</t>
  </si>
  <si>
    <t xml:space="preserve">92934     </t>
  </si>
  <si>
    <t xml:space="preserve">190833290 </t>
  </si>
  <si>
    <t>Bennett, Christopher</t>
  </si>
  <si>
    <t>cbinferno3@gmail.com</t>
  </si>
  <si>
    <t>114 EAST 25TH STREET</t>
  </si>
  <si>
    <t>WILMINGTON</t>
  </si>
  <si>
    <t xml:space="preserve">19802     </t>
  </si>
  <si>
    <t xml:space="preserve">ISIR        </t>
  </si>
  <si>
    <t xml:space="preserve">080180          </t>
  </si>
  <si>
    <t>MOUNT PLEASANT HIGH SCHOOL</t>
  </si>
  <si>
    <t xml:space="preserve">19809     </t>
  </si>
  <si>
    <t xml:space="preserve">191137445 </t>
  </si>
  <si>
    <t>Capucci</t>
  </si>
  <si>
    <t>Francesco</t>
  </si>
  <si>
    <t>Capucci, Francesco</t>
  </si>
  <si>
    <t>Francesco.Capucci7@gmail.com</t>
  </si>
  <si>
    <t>5300 NW 19TH ST</t>
  </si>
  <si>
    <t>TERREBONNE</t>
  </si>
  <si>
    <t xml:space="preserve">97760     </t>
  </si>
  <si>
    <t xml:space="preserve">380973          </t>
  </si>
  <si>
    <t>Redmond Proficiency Acadmey</t>
  </si>
  <si>
    <t>Redmond</t>
  </si>
  <si>
    <t xml:space="preserve">97756     </t>
  </si>
  <si>
    <t xml:space="preserve">191036734 </t>
  </si>
  <si>
    <t>Crawford</t>
  </si>
  <si>
    <t>Crawford, Micheal</t>
  </si>
  <si>
    <t>michealscott145@gmail.com</t>
  </si>
  <si>
    <t>27 WINDY RDG</t>
  </si>
  <si>
    <t>TRUMBULL</t>
  </si>
  <si>
    <t>06611-4419</t>
  </si>
  <si>
    <t xml:space="preserve">WSREQUESTWL </t>
  </si>
  <si>
    <t xml:space="preserve">070073          </t>
  </si>
  <si>
    <t>Information Technology &amp; Software Engineering High School</t>
  </si>
  <si>
    <t>Bridgeport</t>
  </si>
  <si>
    <t xml:space="preserve">06606     </t>
  </si>
  <si>
    <t xml:space="preserve">191137579 </t>
  </si>
  <si>
    <t>Day</t>
  </si>
  <si>
    <t>Day, Kyler</t>
  </si>
  <si>
    <t>kwday@outlook.com</t>
  </si>
  <si>
    <t>434 E 710 N</t>
  </si>
  <si>
    <t>LINDON</t>
  </si>
  <si>
    <t xml:space="preserve">84042     </t>
  </si>
  <si>
    <t xml:space="preserve">450426          </t>
  </si>
  <si>
    <t>Merit College Preparatory Academy</t>
  </si>
  <si>
    <t xml:space="preserve">84663     </t>
  </si>
  <si>
    <t xml:space="preserve">190428462 </t>
  </si>
  <si>
    <t>Del Castillo</t>
  </si>
  <si>
    <t>Del Castillo, Gabriel</t>
  </si>
  <si>
    <t>delcastillo182@gmail.com</t>
  </si>
  <si>
    <t>8555 FAIRMOUNT DR APT B208</t>
  </si>
  <si>
    <t xml:space="preserve">80247     </t>
  </si>
  <si>
    <t xml:space="preserve">060089          </t>
  </si>
  <si>
    <t xml:space="preserve">Lotus School For Excellence </t>
  </si>
  <si>
    <t xml:space="preserve">191037227 </t>
  </si>
  <si>
    <t>Delgadillo</t>
  </si>
  <si>
    <t>Alejandro</t>
  </si>
  <si>
    <t>Delgadillo, Alejandro</t>
  </si>
  <si>
    <t>alexdlgdll1130@gmail.com</t>
  </si>
  <si>
    <t>5010 S SEELEY AVE</t>
  </si>
  <si>
    <t xml:space="preserve">60609     </t>
  </si>
  <si>
    <t xml:space="preserve">140940          </t>
  </si>
  <si>
    <t>Back Of The Yards Ib High School</t>
  </si>
  <si>
    <t xml:space="preserve">191137496 </t>
  </si>
  <si>
    <t>Dennard</t>
  </si>
  <si>
    <t>Payton</t>
  </si>
  <si>
    <t>Dennard, Payton</t>
  </si>
  <si>
    <t>Paytondennardmsp@gmail.com</t>
  </si>
  <si>
    <t>23151 BEECH RD</t>
  </si>
  <si>
    <t xml:space="preserve">48033     </t>
  </si>
  <si>
    <t xml:space="preserve">232350          </t>
  </si>
  <si>
    <t>CLARENCEVILLE SR HIGH SCHOOL</t>
  </si>
  <si>
    <t>LIVONIA</t>
  </si>
  <si>
    <t xml:space="preserve">48152     </t>
  </si>
  <si>
    <t xml:space="preserve">191036995 </t>
  </si>
  <si>
    <t>Dervin</t>
  </si>
  <si>
    <t>Dervin, Jonathan</t>
  </si>
  <si>
    <t>Jadervin@cps.edu</t>
  </si>
  <si>
    <t>4639 SOUTH LECLAIRE AVE</t>
  </si>
  <si>
    <t xml:space="preserve">60638     </t>
  </si>
  <si>
    <t xml:space="preserve">140917          </t>
  </si>
  <si>
    <t>KENWOOD ACADEMY</t>
  </si>
  <si>
    <t xml:space="preserve">60615     </t>
  </si>
  <si>
    <t xml:space="preserve">191036940 </t>
  </si>
  <si>
    <t>Dominguez</t>
  </si>
  <si>
    <t>Jesus</t>
  </si>
  <si>
    <t>Dominguez, Jesus</t>
  </si>
  <si>
    <t>dominguezjesus641@gmail.com</t>
  </si>
  <si>
    <t>4227 West 5700 South</t>
  </si>
  <si>
    <t xml:space="preserve">190428052 </t>
  </si>
  <si>
    <t>Duron Montelongo</t>
  </si>
  <si>
    <t>Duron Montelongo, Jose</t>
  </si>
  <si>
    <t>duronje99@gmail.com</t>
  </si>
  <si>
    <t>6711 S COUNTY RD 1160</t>
  </si>
  <si>
    <t xml:space="preserve">79706     </t>
  </si>
  <si>
    <t xml:space="preserve">444740          </t>
  </si>
  <si>
    <t>MIDLAND HIGH SCHOOL</t>
  </si>
  <si>
    <t xml:space="preserve">79701     </t>
  </si>
  <si>
    <t xml:space="preserve">191137583 </t>
  </si>
  <si>
    <t>Esposito</t>
  </si>
  <si>
    <t>Esposito, Matthew</t>
  </si>
  <si>
    <t>mvre282@yahoo.com</t>
  </si>
  <si>
    <t>2103 Havenhouse Dr</t>
  </si>
  <si>
    <t>Spring</t>
  </si>
  <si>
    <t>77386-2510</t>
  </si>
  <si>
    <t xml:space="preserve">441473          </t>
  </si>
  <si>
    <t>OAK RIDGE HIGH SCHOOL</t>
  </si>
  <si>
    <t>CONROE</t>
  </si>
  <si>
    <t xml:space="preserve">77385     </t>
  </si>
  <si>
    <t xml:space="preserve">190630717 </t>
  </si>
  <si>
    <t>Gantiva</t>
  </si>
  <si>
    <t>Gantiva, Brandon</t>
  </si>
  <si>
    <t>brandon.gantiva@raunercollegeprep.org</t>
  </si>
  <si>
    <t>5337 S Kostner Ave</t>
  </si>
  <si>
    <t xml:space="preserve">60632     </t>
  </si>
  <si>
    <t xml:space="preserve">140709          </t>
  </si>
  <si>
    <t>NOBLE STREET CHARTER SCHOOL RAUNER COLLEGE PREP</t>
  </si>
  <si>
    <t xml:space="preserve">60622     </t>
  </si>
  <si>
    <t xml:space="preserve">191137458 </t>
  </si>
  <si>
    <t>Gonzalez, Jared</t>
  </si>
  <si>
    <t>jaredgonzalez02@gmail.com</t>
  </si>
  <si>
    <t>HWY 371 56500, P.O.BOX 390645</t>
  </si>
  <si>
    <t xml:space="preserve">190834094 </t>
  </si>
  <si>
    <t>Grefrath</t>
  </si>
  <si>
    <t>Grefrath, Ethan</t>
  </si>
  <si>
    <t>ethan.grefrath@gmail.com</t>
  </si>
  <si>
    <t>3002 Chimney Wood Trail</t>
  </si>
  <si>
    <t>Indian Trail</t>
  </si>
  <si>
    <t xml:space="preserve">28079     </t>
  </si>
  <si>
    <t xml:space="preserve">341924          </t>
  </si>
  <si>
    <t>PORTER RIDGE HIGH SCHOOL</t>
  </si>
  <si>
    <t>INDIAN TRAIL</t>
  </si>
  <si>
    <t xml:space="preserve">191137776 </t>
  </si>
  <si>
    <t>Grim</t>
  </si>
  <si>
    <t>Tay</t>
  </si>
  <si>
    <t>Grim, Tay</t>
  </si>
  <si>
    <t>tay.m.grim@gmail.com</t>
  </si>
  <si>
    <t>325 WOODLAWN HEIGHTS RD.</t>
  </si>
  <si>
    <t xml:space="preserve">443660          </t>
  </si>
  <si>
    <t xml:space="preserve">190834086 </t>
  </si>
  <si>
    <t>Harden</t>
  </si>
  <si>
    <t>Timya</t>
  </si>
  <si>
    <t>Harden, Timya</t>
  </si>
  <si>
    <t>timyaharden@gmail.com</t>
  </si>
  <si>
    <t>201 CHAPPELL RD NW</t>
  </si>
  <si>
    <t xml:space="preserve">30314     </t>
  </si>
  <si>
    <t xml:space="preserve">110143          </t>
  </si>
  <si>
    <t>Coretta Scott King Young Women's Leadership Academy</t>
  </si>
  <si>
    <t xml:space="preserve">30318     </t>
  </si>
  <si>
    <t>98</t>
  </si>
  <si>
    <t xml:space="preserve">190630208 </t>
  </si>
  <si>
    <t>Hollins</t>
  </si>
  <si>
    <t>Kobe</t>
  </si>
  <si>
    <t>Hollins, Kobe</t>
  </si>
  <si>
    <t>khollins345@gmail.com</t>
  </si>
  <si>
    <t>6333 N 10Th St Apt 16</t>
  </si>
  <si>
    <t>85014-1668</t>
  </si>
  <si>
    <t xml:space="preserve">030091          </t>
  </si>
  <si>
    <t>Phoenix Coding Academy</t>
  </si>
  <si>
    <t xml:space="preserve">85012     </t>
  </si>
  <si>
    <t xml:space="preserve">190935755 </t>
  </si>
  <si>
    <t>Irra Pelaez</t>
  </si>
  <si>
    <t>Brittany</t>
  </si>
  <si>
    <t>Irra Pelaez, Brittany</t>
  </si>
  <si>
    <t>brittanyirrapelaez@gmail.com</t>
  </si>
  <si>
    <t>4808STOWNSEND WAY</t>
  </si>
  <si>
    <t>HSOUTREACH19</t>
  </si>
  <si>
    <t xml:space="preserve">190935462 </t>
  </si>
  <si>
    <t>Jacquet</t>
  </si>
  <si>
    <t>Sheryll</t>
  </si>
  <si>
    <t>Jacquet, Sheryll</t>
  </si>
  <si>
    <t>phoebs.sj9928@gmail.com</t>
  </si>
  <si>
    <t>632 keller st e</t>
  </si>
  <si>
    <t>Lehigh Acres</t>
  </si>
  <si>
    <t xml:space="preserve">33974     </t>
  </si>
  <si>
    <t xml:space="preserve">101963          </t>
  </si>
  <si>
    <t>GATEWAY CHARTER HIGH SCHOOL</t>
  </si>
  <si>
    <t>FT MYERS</t>
  </si>
  <si>
    <t xml:space="preserve">33913     </t>
  </si>
  <si>
    <t xml:space="preserve">190833630 </t>
  </si>
  <si>
    <t>Jaimes</t>
  </si>
  <si>
    <t>Manuel</t>
  </si>
  <si>
    <t>Jaimes, Manuel</t>
  </si>
  <si>
    <t>mannyzleague@gmail.com</t>
  </si>
  <si>
    <t>2118 SOUTH RENE DRIVE</t>
  </si>
  <si>
    <t>SANTA ANA</t>
  </si>
  <si>
    <t xml:space="preserve">92704     </t>
  </si>
  <si>
    <t xml:space="preserve">054150          </t>
  </si>
  <si>
    <t>HECTOR G GODINEZ FUNDAMENTAL HIGH SCHOOL</t>
  </si>
  <si>
    <t xml:space="preserve">191036484 </t>
  </si>
  <si>
    <t>Johnson, Jaden</t>
  </si>
  <si>
    <t>jjoh962@gmail.com</t>
  </si>
  <si>
    <t>435 Farnsworth Circle</t>
  </si>
  <si>
    <t>Port Barrington</t>
  </si>
  <si>
    <t xml:space="preserve">60010     </t>
  </si>
  <si>
    <t xml:space="preserve">144310          </t>
  </si>
  <si>
    <t>WAUCONDA HIGH SCHOOL</t>
  </si>
  <si>
    <t>WAUCONDA</t>
  </si>
  <si>
    <t xml:space="preserve">60084     </t>
  </si>
  <si>
    <t xml:space="preserve">191037260 </t>
  </si>
  <si>
    <t>JOHNSON</t>
  </si>
  <si>
    <t>JOHNSON, Joshua</t>
  </si>
  <si>
    <t>joshuaj25679@gmail.com</t>
  </si>
  <si>
    <t>792 S 480 W</t>
  </si>
  <si>
    <t>TOOELE</t>
  </si>
  <si>
    <t xml:space="preserve">84074     </t>
  </si>
  <si>
    <t xml:space="preserve">WEBCF       </t>
  </si>
  <si>
    <t xml:space="preserve">450425          </t>
  </si>
  <si>
    <t>Tooele High School</t>
  </si>
  <si>
    <t xml:space="preserve">191137621 </t>
  </si>
  <si>
    <t>Dominique</t>
  </si>
  <si>
    <t>King, Dominique</t>
  </si>
  <si>
    <t>dominique.a.king@gmail.com</t>
  </si>
  <si>
    <t>17900 masi loop</t>
  </si>
  <si>
    <t>Pflugerville</t>
  </si>
  <si>
    <t xml:space="preserve">78660     </t>
  </si>
  <si>
    <t xml:space="preserve">DM1909CB073 </t>
  </si>
  <si>
    <t xml:space="preserve">440069          </t>
  </si>
  <si>
    <t>LIBERAL ARTS AND SCIENCE ACADEMY HIGH SCHOOL</t>
  </si>
  <si>
    <t>AUSTIN</t>
  </si>
  <si>
    <t xml:space="preserve">78724     </t>
  </si>
  <si>
    <t xml:space="preserve">190936161 </t>
  </si>
  <si>
    <t>Kingston</t>
  </si>
  <si>
    <t>Kingston, Andrew</t>
  </si>
  <si>
    <t>andrewslugger@gmail.com</t>
  </si>
  <si>
    <t>1805 LAUREN LANE</t>
  </si>
  <si>
    <t>MISSION</t>
  </si>
  <si>
    <t xml:space="preserve">78572     </t>
  </si>
  <si>
    <t xml:space="preserve">444835          </t>
  </si>
  <si>
    <t>SHARYLAND HIGH SCHOOL</t>
  </si>
  <si>
    <t xml:space="preserve">191137550 </t>
  </si>
  <si>
    <t>Lacy</t>
  </si>
  <si>
    <t>Cody</t>
  </si>
  <si>
    <t>Lacy, Cody</t>
  </si>
  <si>
    <t>lacycody973@gmail.com</t>
  </si>
  <si>
    <t>4580 DAVIS LANE</t>
  </si>
  <si>
    <t>WINNEMUCCA</t>
  </si>
  <si>
    <t xml:space="preserve">89445     </t>
  </si>
  <si>
    <t xml:space="preserve">290180          </t>
  </si>
  <si>
    <t>ALBERT M LOWRY HIGH SCHOOL</t>
  </si>
  <si>
    <t xml:space="preserve">190834150 </t>
  </si>
  <si>
    <t>Landes</t>
  </si>
  <si>
    <t>Landes, Ethan</t>
  </si>
  <si>
    <t>ethanrlandes@gmail.com</t>
  </si>
  <si>
    <t>763 SOUTH STATE STREET</t>
  </si>
  <si>
    <t>ROOSEVELT</t>
  </si>
  <si>
    <t xml:space="preserve">84066     </t>
  </si>
  <si>
    <t xml:space="preserve">450345          </t>
  </si>
  <si>
    <t xml:space="preserve">Union High School                       </t>
  </si>
  <si>
    <t xml:space="preserve">190833739 </t>
  </si>
  <si>
    <t>Leos</t>
  </si>
  <si>
    <t>Leos, Ashley</t>
  </si>
  <si>
    <t>ashley.leos@icloud.com</t>
  </si>
  <si>
    <t>5361 N EMERALD AVE</t>
  </si>
  <si>
    <t>TUCSON</t>
  </si>
  <si>
    <t xml:space="preserve">85705     </t>
  </si>
  <si>
    <t xml:space="preserve">030473          </t>
  </si>
  <si>
    <t>CANYON DEL ORO HIGH SCHOOL</t>
  </si>
  <si>
    <t>Oro Valley</t>
  </si>
  <si>
    <t xml:space="preserve">85737     </t>
  </si>
  <si>
    <t xml:space="preserve">190936183 </t>
  </si>
  <si>
    <t>Martinez, Hector</t>
  </si>
  <si>
    <t>hectordaniel.2002@hotmail.com</t>
  </si>
  <si>
    <t>1234 SHADY PINES LN</t>
  </si>
  <si>
    <t>TITUSVILLE</t>
  </si>
  <si>
    <t xml:space="preserve">32796     </t>
  </si>
  <si>
    <t xml:space="preserve">101760          </t>
  </si>
  <si>
    <t>TITUSVILLE HIGH SCHOOL</t>
  </si>
  <si>
    <t xml:space="preserve">32780     </t>
  </si>
  <si>
    <t xml:space="preserve">190834104 </t>
  </si>
  <si>
    <t>Moore, Ashlyn</t>
  </si>
  <si>
    <t>nylhsa0114@gmail.com</t>
  </si>
  <si>
    <t>177 WILLIAM WARREN RD.</t>
  </si>
  <si>
    <t>COLLINS</t>
  </si>
  <si>
    <t xml:space="preserve">39428     </t>
  </si>
  <si>
    <t xml:space="preserve">WSREQUESTWS </t>
  </si>
  <si>
    <t xml:space="preserve">250342          </t>
  </si>
  <si>
    <t>MISSISSIPPI SCHOOL OF THE ARTS</t>
  </si>
  <si>
    <t>BROOKHAVEN</t>
  </si>
  <si>
    <t xml:space="preserve">39602     </t>
  </si>
  <si>
    <t xml:space="preserve">191036617 </t>
  </si>
  <si>
    <t>Morocho</t>
  </si>
  <si>
    <t>Morocho, Gabriel</t>
  </si>
  <si>
    <t>gabriel13-02@hotmail.com</t>
  </si>
  <si>
    <t>779 40th St Apt 8</t>
  </si>
  <si>
    <t>Brooklyn</t>
  </si>
  <si>
    <t xml:space="preserve">11232     </t>
  </si>
  <si>
    <t>76</t>
  </si>
  <si>
    <t xml:space="preserve">330686          </t>
  </si>
  <si>
    <t>EDWARD R MURROW HIGH SCHOOL</t>
  </si>
  <si>
    <t>BROOKLYN</t>
  </si>
  <si>
    <t xml:space="preserve">11230     </t>
  </si>
  <si>
    <t xml:space="preserve">191137679 </t>
  </si>
  <si>
    <t>Khamen</t>
  </si>
  <si>
    <t>Murray, Khamen</t>
  </si>
  <si>
    <t>mrinsanity18@gmail.com</t>
  </si>
  <si>
    <t>9114 S CHAPPEL AVE</t>
  </si>
  <si>
    <t xml:space="preserve">60617     </t>
  </si>
  <si>
    <t xml:space="preserve">141295          </t>
  </si>
  <si>
    <t>SOUTH SHORE HIGH SCHOOL</t>
  </si>
  <si>
    <t xml:space="preserve">60649     </t>
  </si>
  <si>
    <t xml:space="preserve">191137472 </t>
  </si>
  <si>
    <t>Musco</t>
  </si>
  <si>
    <t>Musco, Matthew</t>
  </si>
  <si>
    <t>MatthewMusco10@gmail.com</t>
  </si>
  <si>
    <t>20 AMERICA ST 2ND FLOOR</t>
  </si>
  <si>
    <t>WATERBURY</t>
  </si>
  <si>
    <t xml:space="preserve">06708     </t>
  </si>
  <si>
    <t xml:space="preserve">070863          </t>
  </si>
  <si>
    <t>Waterbury Career Academy</t>
  </si>
  <si>
    <t xml:space="preserve">191037323 </t>
  </si>
  <si>
    <t>Olea Tapia</t>
  </si>
  <si>
    <t>Alejandra</t>
  </si>
  <si>
    <t>Olea Tapia, Alejandra</t>
  </si>
  <si>
    <t>tapiaalex360@yahoo.com</t>
  </si>
  <si>
    <t>2627 W. Baseline Rd.</t>
  </si>
  <si>
    <t xml:space="preserve">840     </t>
  </si>
  <si>
    <t xml:space="preserve">061035          </t>
  </si>
  <si>
    <t>MONTROSE HIGH SCHOOL</t>
  </si>
  <si>
    <t>MONTROSE</t>
  </si>
  <si>
    <t xml:space="preserve">81402     </t>
  </si>
  <si>
    <t xml:space="preserve">190935979 </t>
  </si>
  <si>
    <t>Ordonez</t>
  </si>
  <si>
    <t>Ordonez, Daniel</t>
  </si>
  <si>
    <t>daniel.ordonez210@gmail.com</t>
  </si>
  <si>
    <t>1330 N BASCOM AVE, APT#26</t>
  </si>
  <si>
    <t xml:space="preserve">95128     </t>
  </si>
  <si>
    <t xml:space="preserve">053280          </t>
  </si>
  <si>
    <t>SANTA CLARA HIGH SCHOOL</t>
  </si>
  <si>
    <t>SANTA CLARA</t>
  </si>
  <si>
    <t xml:space="preserve">95051     </t>
  </si>
  <si>
    <t xml:space="preserve">190935920 </t>
  </si>
  <si>
    <t>Pagonas</t>
  </si>
  <si>
    <t>Pagonas, Joshua</t>
  </si>
  <si>
    <t>jkp19mail@yahoo.com</t>
  </si>
  <si>
    <t>6358 WALKER DRIVE</t>
  </si>
  <si>
    <t>TROY</t>
  </si>
  <si>
    <t xml:space="preserve">48085     </t>
  </si>
  <si>
    <t xml:space="preserve">233602          </t>
  </si>
  <si>
    <t>ATHENS HIGH SCHOOL</t>
  </si>
  <si>
    <t xml:space="preserve">48098     </t>
  </si>
  <si>
    <t xml:space="preserve">191036645 </t>
  </si>
  <si>
    <t>Reyes, Isaac</t>
  </si>
  <si>
    <t>saacrey8@gmail.com</t>
  </si>
  <si>
    <t>6764 Browns Bay Ct</t>
  </si>
  <si>
    <t xml:space="preserve">89149     </t>
  </si>
  <si>
    <t xml:space="preserve">290191          </t>
  </si>
  <si>
    <t xml:space="preserve">Centennial High School                  </t>
  </si>
  <si>
    <t xml:space="preserve">89129     </t>
  </si>
  <si>
    <t xml:space="preserve">191137678 </t>
  </si>
  <si>
    <t>Nikolas</t>
  </si>
  <si>
    <t>Roberts, Nikolas</t>
  </si>
  <si>
    <t>nikolasjroberts@gmail.com</t>
  </si>
  <si>
    <t>264 n state st, apt 10</t>
  </si>
  <si>
    <t>82</t>
  </si>
  <si>
    <t xml:space="preserve">450053          </t>
  </si>
  <si>
    <t>Clearfield High School</t>
  </si>
  <si>
    <t>Clearfield</t>
  </si>
  <si>
    <t xml:space="preserve">190629781 </t>
  </si>
  <si>
    <t>Robertson</t>
  </si>
  <si>
    <t>Hesston</t>
  </si>
  <si>
    <t>Robertson, Hesston</t>
  </si>
  <si>
    <t>hesston20000@yahoo.com</t>
  </si>
  <si>
    <t>1624 W MINNESOTA AVE</t>
  </si>
  <si>
    <t>CHICKASHA</t>
  </si>
  <si>
    <t xml:space="preserve">73018     </t>
  </si>
  <si>
    <t xml:space="preserve">370718          </t>
  </si>
  <si>
    <t>CHICKASHA HIGH SCHOOL</t>
  </si>
  <si>
    <t xml:space="preserve">190629574 </t>
  </si>
  <si>
    <t>Sisneros</t>
  </si>
  <si>
    <t>Sisneros, Brandon</t>
  </si>
  <si>
    <t>brandonsisneros02@live.com</t>
  </si>
  <si>
    <t>30141 ANTELOPE RD, SUITE D235</t>
  </si>
  <si>
    <t xml:space="preserve">190428455 </t>
  </si>
  <si>
    <t>Spurgin</t>
  </si>
  <si>
    <t>Terra</t>
  </si>
  <si>
    <t>Spurgin, Terra</t>
  </si>
  <si>
    <t>spurginterra@gmail.com</t>
  </si>
  <si>
    <t>3925 W BACKER LANE</t>
  </si>
  <si>
    <t xml:space="preserve">85029     </t>
  </si>
  <si>
    <t xml:space="preserve">190629595 </t>
  </si>
  <si>
    <t>Terrazas</t>
  </si>
  <si>
    <t>Terrazas, Marcos</t>
  </si>
  <si>
    <t>marcosterrazas2002@gmail.com</t>
  </si>
  <si>
    <t>P.O. BOX 2115</t>
  </si>
  <si>
    <t>SANTA CRUZ</t>
  </si>
  <si>
    <t xml:space="preserve">87567     </t>
  </si>
  <si>
    <t xml:space="preserve">320230          </t>
  </si>
  <si>
    <t>ESPANOLA VALLEY HIGH SCHOOL</t>
  </si>
  <si>
    <t>FAIRVIEW</t>
  </si>
  <si>
    <t xml:space="preserve">87533     </t>
  </si>
  <si>
    <t xml:space="preserve">191037154 </t>
  </si>
  <si>
    <t>Tucker</t>
  </si>
  <si>
    <t>Tucker, Brady</t>
  </si>
  <si>
    <t>brady.tucker07@gmail.com</t>
  </si>
  <si>
    <t>2131 Haston Rd</t>
  </si>
  <si>
    <t>Carlsbad</t>
  </si>
  <si>
    <t xml:space="preserve">88220     </t>
  </si>
  <si>
    <t xml:space="preserve">320105          </t>
  </si>
  <si>
    <t>CARLSBAD HIGH SCHOOL</t>
  </si>
  <si>
    <t>CARLSBAD</t>
  </si>
  <si>
    <t xml:space="preserve">190833450 </t>
  </si>
  <si>
    <t>Malachi</t>
  </si>
  <si>
    <t>Walker, Malachi</t>
  </si>
  <si>
    <t>walkertrack.club@gmail.com</t>
  </si>
  <si>
    <t>PO BOX 1661</t>
  </si>
  <si>
    <t>SELMA</t>
  </si>
  <si>
    <t xml:space="preserve">36702     </t>
  </si>
  <si>
    <t xml:space="preserve">012427          </t>
  </si>
  <si>
    <t>ELLWOOD CHRISTIAN ACADEMY</t>
  </si>
  <si>
    <t xml:space="preserve">36701     </t>
  </si>
  <si>
    <t xml:space="preserve">191137514 </t>
  </si>
  <si>
    <t>zornak</t>
  </si>
  <si>
    <t>alyssa</t>
  </si>
  <si>
    <t>zornak, alyssa</t>
  </si>
  <si>
    <t>alyssazornak@gmail.com</t>
  </si>
  <si>
    <t>2204 LODGE FOREST DRIVE</t>
  </si>
  <si>
    <t>EDGEMERE</t>
  </si>
  <si>
    <t xml:space="preserve">21219     </t>
  </si>
  <si>
    <t xml:space="preserve">210212          </t>
  </si>
  <si>
    <t>SPARROWS POINT HIGH SCHOOL</t>
  </si>
  <si>
    <t xml:space="preserve">170593609 </t>
  </si>
  <si>
    <t>Penrod</t>
  </si>
  <si>
    <t>Penrod, William</t>
  </si>
  <si>
    <t>renegadecat47@gmail.com</t>
  </si>
  <si>
    <t>625 E 60 N</t>
  </si>
  <si>
    <t>OREM</t>
  </si>
  <si>
    <t xml:space="preserve">84097     </t>
  </si>
  <si>
    <t>DM1903UCB038</t>
  </si>
  <si>
    <t xml:space="preserve">450153          </t>
  </si>
  <si>
    <t>KARL G MAESER PREPARATORY ACADEMY</t>
  </si>
  <si>
    <t>Intro Call 12/2</t>
  </si>
  <si>
    <t>518636004BA03</t>
  </si>
  <si>
    <t>000673</t>
  </si>
  <si>
    <t>221961758BE01</t>
  </si>
  <si>
    <t>005308</t>
  </si>
  <si>
    <t>441172560BR01</t>
  </si>
  <si>
    <t>005183</t>
  </si>
  <si>
    <t>669142694BR01</t>
  </si>
  <si>
    <t>005165</t>
  </si>
  <si>
    <t>186805157BU01</t>
  </si>
  <si>
    <t>010365</t>
  </si>
  <si>
    <t>302067328BU01</t>
  </si>
  <si>
    <t>028022</t>
  </si>
  <si>
    <t>510217272BU01</t>
  </si>
  <si>
    <t>542616983CA02</t>
  </si>
  <si>
    <t>306255738CA02</t>
  </si>
  <si>
    <t>140116496CO01</t>
  </si>
  <si>
    <t>091747</t>
  </si>
  <si>
    <t>044042401CR01</t>
  </si>
  <si>
    <t>019723</t>
  </si>
  <si>
    <t>145654189DE02</t>
  </si>
  <si>
    <t>019571</t>
  </si>
  <si>
    <t>631827328DE02</t>
  </si>
  <si>
    <t>036506</t>
  </si>
  <si>
    <t>617334870DO01</t>
  </si>
  <si>
    <t>007726</t>
  </si>
  <si>
    <t>378275384EL03</t>
  </si>
  <si>
    <t>227933118FI02</t>
  </si>
  <si>
    <t>002586</t>
  </si>
  <si>
    <t>326027364GA01</t>
  </si>
  <si>
    <t>080928955GA01</t>
  </si>
  <si>
    <t>025977</t>
  </si>
  <si>
    <t>608353012GE01</t>
  </si>
  <si>
    <t>626313715GR01</t>
  </si>
  <si>
    <t>005785</t>
  </si>
  <si>
    <t>000881</t>
  </si>
  <si>
    <t>646641605GU03</t>
  </si>
  <si>
    <t>383274599HO01</t>
  </si>
  <si>
    <t>001564</t>
  </si>
  <si>
    <t>519572867JO01</t>
  </si>
  <si>
    <t>017890</t>
  </si>
  <si>
    <t>647580663JO01</t>
  </si>
  <si>
    <t>643788947KI01</t>
  </si>
  <si>
    <t>027694</t>
  </si>
  <si>
    <t>680343201LA01</t>
  </si>
  <si>
    <t>028076</t>
  </si>
  <si>
    <t>351987460LO02</t>
  </si>
  <si>
    <t>084920408LU01</t>
  </si>
  <si>
    <t>002976</t>
  </si>
  <si>
    <t>617334817ME06</t>
  </si>
  <si>
    <t>607336136ME02</t>
  </si>
  <si>
    <t>005262</t>
  </si>
  <si>
    <t>350988113MU01</t>
  </si>
  <si>
    <t>000467</t>
  </si>
  <si>
    <t>048042926MU02</t>
  </si>
  <si>
    <t>623317069NG02</t>
  </si>
  <si>
    <t>000165</t>
  </si>
  <si>
    <t>364290991PE02</t>
  </si>
  <si>
    <t>608352236RE01</t>
  </si>
  <si>
    <t>029423</t>
  </si>
  <si>
    <t>614319684RE01</t>
  </si>
  <si>
    <t>015604</t>
  </si>
  <si>
    <t>008325</t>
  </si>
  <si>
    <t>639801690SA02</t>
  </si>
  <si>
    <t>649221544SO01</t>
  </si>
  <si>
    <t>679018676ST02</t>
  </si>
  <si>
    <t>406598229TR01</t>
  </si>
  <si>
    <t>231917198TR01</t>
  </si>
  <si>
    <t>004494</t>
  </si>
  <si>
    <t>657166710TU01</t>
  </si>
  <si>
    <t>624298118VE01</t>
  </si>
  <si>
    <t>669167631WA01</t>
  </si>
  <si>
    <t>011150</t>
  </si>
  <si>
    <t>364296140WA01</t>
  </si>
  <si>
    <t>646669668WI01</t>
  </si>
  <si>
    <t>644821007YU03</t>
  </si>
  <si>
    <t>218637372ZO02</t>
  </si>
  <si>
    <t>003997</t>
  </si>
  <si>
    <t>fo/up by 12/4 to schedule ALE call</t>
  </si>
  <si>
    <t>ADMP Appt scheduled on Thanksgiving, sent email to reschedule.</t>
  </si>
  <si>
    <t>ADMP appt set for thanksgiving, sent email to reschedule</t>
  </si>
  <si>
    <t>Couldn't really hear me during intro call, try again 12/4</t>
  </si>
  <si>
    <t>Possibly PJ</t>
  </si>
  <si>
    <t>Possible Presidential Scholarship</t>
  </si>
  <si>
    <t>443114702BR01</t>
  </si>
  <si>
    <t>007473</t>
  </si>
  <si>
    <t>396255202BU01</t>
  </si>
  <si>
    <t>642787390CA01</t>
  </si>
  <si>
    <t>015483</t>
  </si>
  <si>
    <t>682016048GR03</t>
  </si>
  <si>
    <t>006684</t>
  </si>
  <si>
    <t>633806781HA01</t>
  </si>
  <si>
    <t>000737</t>
  </si>
  <si>
    <t>647505480HU01</t>
  </si>
  <si>
    <t>008371</t>
  </si>
  <si>
    <t>642781003KI02</t>
  </si>
  <si>
    <t>032264</t>
  </si>
  <si>
    <t>231914862LE01</t>
  </si>
  <si>
    <t>077927730LI03</t>
  </si>
  <si>
    <t>519611501RE01</t>
  </si>
  <si>
    <t>007401</t>
  </si>
  <si>
    <t>765183907SA01</t>
  </si>
  <si>
    <t>771078502SP04</t>
  </si>
  <si>
    <t>027993886HA03</t>
  </si>
  <si>
    <t>658125520VA01</t>
  </si>
  <si>
    <t>003829</t>
  </si>
  <si>
    <t>313251284VA02</t>
  </si>
  <si>
    <t>ALE Review 12/10 @ 4:30 pm MST</t>
  </si>
  <si>
    <t>507 E 19th St.</t>
  </si>
  <si>
    <t>Mountwood Dr</t>
  </si>
  <si>
    <t>aryanarstewart@gmail.com</t>
  </si>
  <si>
    <t>9834 Sweet Plum Dr</t>
  </si>
  <si>
    <t>Charlotte</t>
  </si>
  <si>
    <t>Returned VM from Michael, LM</t>
  </si>
  <si>
    <t xml:space="preserve">Possible Legal Guardianship. Will send ppwrk. </t>
  </si>
  <si>
    <t>609351483CA02</t>
  </si>
  <si>
    <t>354981848DE03</t>
  </si>
  <si>
    <t>388233994ES01</t>
  </si>
  <si>
    <t>626294349FA04</t>
  </si>
  <si>
    <t>002010</t>
  </si>
  <si>
    <t>605350765GO02</t>
  </si>
  <si>
    <t>606311329HI02</t>
  </si>
  <si>
    <t>635781375JU01</t>
  </si>
  <si>
    <t>007174</t>
  </si>
  <si>
    <t>626270504LA01</t>
  </si>
  <si>
    <t>011502</t>
  </si>
  <si>
    <t>661051208MO02</t>
  </si>
  <si>
    <t>009695</t>
  </si>
  <si>
    <t>625339306OR03</t>
  </si>
  <si>
    <t>674145403OS01</t>
  </si>
  <si>
    <t>070299</t>
  </si>
  <si>
    <t>646641528PE01</t>
  </si>
  <si>
    <t>626290390PE01</t>
  </si>
  <si>
    <t>770128107RU01</t>
  </si>
  <si>
    <t>619356048SC02</t>
  </si>
  <si>
    <t>770071539SE01</t>
  </si>
  <si>
    <t>246998317ST03</t>
  </si>
  <si>
    <t>647627397WI01</t>
  </si>
  <si>
    <t>626669668WI01</t>
  </si>
  <si>
    <t xml:space="preserve">190935044 </t>
  </si>
  <si>
    <t>Baker</t>
  </si>
  <si>
    <t>Baker, Joseph</t>
  </si>
  <si>
    <t>joeyhbaker@gmail.com</t>
  </si>
  <si>
    <t>1003 SUNFLOWER ST.</t>
  </si>
  <si>
    <t>WARRENSBURG</t>
  </si>
  <si>
    <t xml:space="preserve">64093     </t>
  </si>
  <si>
    <t>December</t>
  </si>
  <si>
    <t xml:space="preserve">261800          </t>
  </si>
  <si>
    <t>KNOB NOSTER HIGH SCHOOL</t>
  </si>
  <si>
    <t>KNOB NOSTER</t>
  </si>
  <si>
    <t xml:space="preserve">65336     </t>
  </si>
  <si>
    <t xml:space="preserve">191137724 </t>
  </si>
  <si>
    <t>Baratta</t>
  </si>
  <si>
    <t>Baratta, Samuel</t>
  </si>
  <si>
    <t>unknownmage97@hotmail.com</t>
  </si>
  <si>
    <t>808 VALENTINE LANE</t>
  </si>
  <si>
    <t>PAPILLION</t>
  </si>
  <si>
    <t xml:space="preserve">68046     </t>
  </si>
  <si>
    <t xml:space="preserve">281860          </t>
  </si>
  <si>
    <t>PAPILLION-LA VISTA HIGH SCHOOL</t>
  </si>
  <si>
    <t xml:space="preserve">191137581 </t>
  </si>
  <si>
    <t>Borjon</t>
  </si>
  <si>
    <t>Elizabeth</t>
  </si>
  <si>
    <t>Borjon, Elizabeth</t>
  </si>
  <si>
    <t>grimm.elbo982@gmail.com</t>
  </si>
  <si>
    <t>9308 MILPAS LN</t>
  </si>
  <si>
    <t xml:space="preserve">79907     </t>
  </si>
  <si>
    <t xml:space="preserve">442192          </t>
  </si>
  <si>
    <t>HARMONY SCIENCE ACADEMY - EL PASO</t>
  </si>
  <si>
    <t xml:space="preserve">191137716 </t>
  </si>
  <si>
    <t>Castro</t>
  </si>
  <si>
    <t>Jorge</t>
  </si>
  <si>
    <t>Castro, Jorge</t>
  </si>
  <si>
    <t>jorgecastro09282001@gmail.com</t>
  </si>
  <si>
    <t>6927 HERON DR.</t>
  </si>
  <si>
    <t xml:space="preserve">77087     </t>
  </si>
  <si>
    <t xml:space="preserve">WBAPYOUTUBE </t>
  </si>
  <si>
    <t xml:space="preserve">190935986 </t>
  </si>
  <si>
    <t>Centeno</t>
  </si>
  <si>
    <t>Angel</t>
  </si>
  <si>
    <t>Centeno, Angel</t>
  </si>
  <si>
    <t>angelcentenoworks@gmail.com</t>
  </si>
  <si>
    <t>1437, CORBY AVENUE</t>
  </si>
  <si>
    <t>SANTA ROSA</t>
  </si>
  <si>
    <t xml:space="preserve">95407     </t>
  </si>
  <si>
    <t xml:space="preserve">053386          </t>
  </si>
  <si>
    <t>Maria Carrillo High School</t>
  </si>
  <si>
    <t>Santa Rosa</t>
  </si>
  <si>
    <t xml:space="preserve">95409     </t>
  </si>
  <si>
    <t xml:space="preserve">191036547 </t>
  </si>
  <si>
    <t>Colunga</t>
  </si>
  <si>
    <t>Colunga, Oscar</t>
  </si>
  <si>
    <t>oacolunga@gmail.com</t>
  </si>
  <si>
    <t>5050 W MONTANA</t>
  </si>
  <si>
    <t xml:space="preserve">60639     </t>
  </si>
  <si>
    <t xml:space="preserve">WEBCB       </t>
  </si>
  <si>
    <t xml:space="preserve">140700          </t>
  </si>
  <si>
    <t>SCHURZ HIGH SCHOOL</t>
  </si>
  <si>
    <t xml:space="preserve">60641     </t>
  </si>
  <si>
    <t xml:space="preserve">190428264 </t>
  </si>
  <si>
    <t>Crowder</t>
  </si>
  <si>
    <t>Crowder, Alexander</t>
  </si>
  <si>
    <t>awesomealex719@yahoo.com</t>
  </si>
  <si>
    <t>1320 SHOAL CREEK RD.</t>
  </si>
  <si>
    <t>MURPHY</t>
  </si>
  <si>
    <t xml:space="preserve">28906     </t>
  </si>
  <si>
    <t xml:space="preserve">341880          </t>
  </si>
  <si>
    <t>HIWASSEE DAM HIGH SCHOOL</t>
  </si>
  <si>
    <t xml:space="preserve">190935397 </t>
  </si>
  <si>
    <t>Donaldson</t>
  </si>
  <si>
    <t>Tatiana</t>
  </si>
  <si>
    <t>Donaldson, Tatiana</t>
  </si>
  <si>
    <t>tonexnoize@gmail.com</t>
  </si>
  <si>
    <t>188 Brunson Lane</t>
  </si>
  <si>
    <t>Barnwell</t>
  </si>
  <si>
    <t xml:space="preserve">29812     </t>
  </si>
  <si>
    <t xml:space="preserve">410105          </t>
  </si>
  <si>
    <t>BARNWELL HIGH SCHOOL</t>
  </si>
  <si>
    <t>BARNWELL</t>
  </si>
  <si>
    <t xml:space="preserve">190631602 </t>
  </si>
  <si>
    <t>Flores</t>
  </si>
  <si>
    <t>Lizbeth</t>
  </si>
  <si>
    <t>Flores, Lizbeth</t>
  </si>
  <si>
    <t>floreslizbeth486@gmail.com</t>
  </si>
  <si>
    <t>P.O. BOX 541</t>
  </si>
  <si>
    <t>WELLS</t>
  </si>
  <si>
    <t xml:space="preserve">89835     </t>
  </si>
  <si>
    <t xml:space="preserve">290175          </t>
  </si>
  <si>
    <t>WELLS HIGH SCHOOL</t>
  </si>
  <si>
    <t xml:space="preserve">191137992 </t>
  </si>
  <si>
    <t>Francis</t>
  </si>
  <si>
    <t>Francis, Liam</t>
  </si>
  <si>
    <t>liamgreyfrancis@gmail.com</t>
  </si>
  <si>
    <t>1250 LYDIA STREET</t>
  </si>
  <si>
    <t xml:space="preserve">40217     </t>
  </si>
  <si>
    <t xml:space="preserve">181604          </t>
  </si>
  <si>
    <t>SAINT FRANCIS HIGH SCHOOL</t>
  </si>
  <si>
    <t xml:space="preserve">40202     </t>
  </si>
  <si>
    <t xml:space="preserve">191037192 </t>
  </si>
  <si>
    <t>Garside</t>
  </si>
  <si>
    <t>Garrett</t>
  </si>
  <si>
    <t>Garside, Garrett</t>
  </si>
  <si>
    <t>garsidegarrett@gmail.com</t>
  </si>
  <si>
    <t>14681 S ASTIN LANE UNIT B2</t>
  </si>
  <si>
    <t xml:space="preserve">190936124 </t>
  </si>
  <si>
    <t>TaNesha</t>
  </si>
  <si>
    <t>Hall, TaNesha</t>
  </si>
  <si>
    <t>tcrh0522@gmail.com</t>
  </si>
  <si>
    <t>818 Court St.</t>
  </si>
  <si>
    <t>Saint Joseph</t>
  </si>
  <si>
    <t xml:space="preserve">64504     </t>
  </si>
  <si>
    <t>XIII</t>
  </si>
  <si>
    <t xml:space="preserve">262890          </t>
  </si>
  <si>
    <t>SAINT JOSEPH</t>
  </si>
  <si>
    <t xml:space="preserve">190935892 </t>
  </si>
  <si>
    <t>Heathershaw</t>
  </si>
  <si>
    <t>Heathershaw, Justin</t>
  </si>
  <si>
    <t>Juheathershaw@student.argyle.k12.wi.us</t>
  </si>
  <si>
    <t>610 EAST MILWAUKEE STREET</t>
  </si>
  <si>
    <t>ARGYLE</t>
  </si>
  <si>
    <t xml:space="preserve">53504     </t>
  </si>
  <si>
    <t xml:space="preserve">500075          </t>
  </si>
  <si>
    <t>ARGYLE HIGH SCHOOL</t>
  </si>
  <si>
    <t xml:space="preserve">190833288 </t>
  </si>
  <si>
    <t>Hochhalter</t>
  </si>
  <si>
    <t>Hochhalter, Nicholas</t>
  </si>
  <si>
    <t>s.bradley@ymail.com</t>
  </si>
  <si>
    <t>215 5th street west</t>
  </si>
  <si>
    <t>Hardin</t>
  </si>
  <si>
    <t xml:space="preserve">59034     </t>
  </si>
  <si>
    <t xml:space="preserve">270415          </t>
  </si>
  <si>
    <t>HARDIN HIGH SCHOOL</t>
  </si>
  <si>
    <t>HARDIN</t>
  </si>
  <si>
    <t xml:space="preserve">191037155 </t>
  </si>
  <si>
    <t>Jahn</t>
  </si>
  <si>
    <t>Jahn, Brandon</t>
  </si>
  <si>
    <t>BCJAHN040@ISD709.ORG</t>
  </si>
  <si>
    <t>901 Timberline Ln</t>
  </si>
  <si>
    <t>Duluth</t>
  </si>
  <si>
    <t>55811-4449</t>
  </si>
  <si>
    <t xml:space="preserve">240650          </t>
  </si>
  <si>
    <t>DENFELD HIGH SCHOOL</t>
  </si>
  <si>
    <t>DULUTH</t>
  </si>
  <si>
    <t xml:space="preserve">55807     </t>
  </si>
  <si>
    <t xml:space="preserve">191137466 </t>
  </si>
  <si>
    <t>Joyce</t>
  </si>
  <si>
    <t>Joyce, Joseph</t>
  </si>
  <si>
    <t>josephj26@icloud.com</t>
  </si>
  <si>
    <t>327 Lysander St Apt 8</t>
  </si>
  <si>
    <t>Rochester</t>
  </si>
  <si>
    <t xml:space="preserve">48307     </t>
  </si>
  <si>
    <t xml:space="preserve">232882          </t>
  </si>
  <si>
    <t>WEST BLOOMFIELD HIGH SCHOOL</t>
  </si>
  <si>
    <t>WEST BLOOMFIELD</t>
  </si>
  <si>
    <t xml:space="preserve">48323     </t>
  </si>
  <si>
    <t xml:space="preserve">191137786 </t>
  </si>
  <si>
    <t>KHAN</t>
  </si>
  <si>
    <t>NAHIAN</t>
  </si>
  <si>
    <t>KHAN, NAHIAN</t>
  </si>
  <si>
    <t>NEHAKHAN2058@GMAIL.COM</t>
  </si>
  <si>
    <t>1402 Lake Ridge Lane, 1402</t>
  </si>
  <si>
    <t>Dunwoody</t>
  </si>
  <si>
    <t xml:space="preserve">30338     </t>
  </si>
  <si>
    <t xml:space="preserve">111152          </t>
  </si>
  <si>
    <t>DUNWOODY HIGH SCHOOL</t>
  </si>
  <si>
    <t>DUNWOODY</t>
  </si>
  <si>
    <t xml:space="preserve">190528711 </t>
  </si>
  <si>
    <t>Mann</t>
  </si>
  <si>
    <t>Mann, Brandon</t>
  </si>
  <si>
    <t>blmann2002@gmail.com</t>
  </si>
  <si>
    <t>3254 MALCOLM ISLAND STREET</t>
  </si>
  <si>
    <t>WEST SACRAMENTO</t>
  </si>
  <si>
    <t xml:space="preserve">95691     </t>
  </si>
  <si>
    <t xml:space="preserve">1460    </t>
  </si>
  <si>
    <t xml:space="preserve">052728          </t>
  </si>
  <si>
    <t>HIRAM W JOHNSON HIGH SCHOOL- WEST CAMPUS</t>
  </si>
  <si>
    <t>SACRAMENTO</t>
  </si>
  <si>
    <t xml:space="preserve">95820     </t>
  </si>
  <si>
    <t xml:space="preserve">191137373 </t>
  </si>
  <si>
    <t>Mauler</t>
  </si>
  <si>
    <t>Coltin</t>
  </si>
  <si>
    <t>Mauler, Coltin</t>
  </si>
  <si>
    <t>Coltmauler@gmail.com</t>
  </si>
  <si>
    <t>126 Indian Prairie Loop</t>
  </si>
  <si>
    <t>Stevensville</t>
  </si>
  <si>
    <t xml:space="preserve">59870     </t>
  </si>
  <si>
    <t xml:space="preserve">270845          </t>
  </si>
  <si>
    <t>STEVENSVILLE HIGH SCHOOL</t>
  </si>
  <si>
    <t>STEVENSVILLE</t>
  </si>
  <si>
    <t xml:space="preserve">191137930 </t>
  </si>
  <si>
    <t>McCauley</t>
  </si>
  <si>
    <t>McCauley, Derek</t>
  </si>
  <si>
    <t>DEREK.MCCAULEY2002@GMAIL.COM</t>
  </si>
  <si>
    <t>7073 Beagle St</t>
  </si>
  <si>
    <t>92111-4709</t>
  </si>
  <si>
    <t xml:space="preserve">052837          </t>
  </si>
  <si>
    <t>Clairemont High School</t>
  </si>
  <si>
    <t xml:space="preserve">92117     </t>
  </si>
  <si>
    <t xml:space="preserve">191036481 </t>
  </si>
  <si>
    <t>McManus</t>
  </si>
  <si>
    <t>McManus, Kaleb</t>
  </si>
  <si>
    <t>kalebmcmanus@gmail.com</t>
  </si>
  <si>
    <t>48W 3300S</t>
  </si>
  <si>
    <t>SOUTH SALT LAKE</t>
  </si>
  <si>
    <t xml:space="preserve">84115     </t>
  </si>
  <si>
    <t xml:space="preserve">221105          </t>
  </si>
  <si>
    <t>SILVER LAKE REGIONAL HS</t>
  </si>
  <si>
    <t>KINGSTON</t>
  </si>
  <si>
    <t xml:space="preserve">2364      </t>
  </si>
  <si>
    <t xml:space="preserve">191036634 </t>
  </si>
  <si>
    <t>Moats</t>
  </si>
  <si>
    <t>Nhaithanyl</t>
  </si>
  <si>
    <t>Moats, Nhaithanyl</t>
  </si>
  <si>
    <t>nathanjmoats@gmail.com</t>
  </si>
  <si>
    <t>5764 S WATERBURY WAY, UNIT I</t>
  </si>
  <si>
    <t xml:space="preserve">190936112 </t>
  </si>
  <si>
    <t>Moreno</t>
  </si>
  <si>
    <t>Moreno, Natalie</t>
  </si>
  <si>
    <t>nmoreno0608@gmail.com</t>
  </si>
  <si>
    <t>6330 N. JIM MILLER RD.</t>
  </si>
  <si>
    <t xml:space="preserve">920     </t>
  </si>
  <si>
    <t xml:space="preserve">441723          </t>
  </si>
  <si>
    <t xml:space="preserve">Bryan Adams High School                 </t>
  </si>
  <si>
    <t>Treybcmorgan27@gmail.com</t>
  </si>
  <si>
    <t>3420 Denver Dr</t>
  </si>
  <si>
    <t xml:space="preserve">191138018 </t>
  </si>
  <si>
    <t>Brian</t>
  </si>
  <si>
    <t>North, Brian</t>
  </si>
  <si>
    <t>dnapoint5@gmail.com</t>
  </si>
  <si>
    <t>5521 CARNATION MEADOW ST</t>
  </si>
  <si>
    <t xml:space="preserve">89130     </t>
  </si>
  <si>
    <t xml:space="preserve">290134          </t>
  </si>
  <si>
    <t>Advanced Technologies Academy</t>
  </si>
  <si>
    <t xml:space="preserve">89106     </t>
  </si>
  <si>
    <t xml:space="preserve">190935945 </t>
  </si>
  <si>
    <t>Palmer</t>
  </si>
  <si>
    <t>Palmer, Dylan</t>
  </si>
  <si>
    <t>Djremlap2@gmail.com</t>
  </si>
  <si>
    <t>1315 S BLOOMINGTON ST.</t>
  </si>
  <si>
    <t>STREATOR</t>
  </si>
  <si>
    <t xml:space="preserve">61364     </t>
  </si>
  <si>
    <t xml:space="preserve">144045          </t>
  </si>
  <si>
    <t>WOODLAND HIGH SCHOOL</t>
  </si>
  <si>
    <t xml:space="preserve">190733025 </t>
  </si>
  <si>
    <t>Jamin</t>
  </si>
  <si>
    <t>Perez, Jamin</t>
  </si>
  <si>
    <t>jamin862@gmail.com</t>
  </si>
  <si>
    <t>4216 SOUTH 6000 WEST</t>
  </si>
  <si>
    <t xml:space="preserve">84128     </t>
  </si>
  <si>
    <t xml:space="preserve">191137794 </t>
  </si>
  <si>
    <t>Pulley</t>
  </si>
  <si>
    <t>Pulley, James</t>
  </si>
  <si>
    <t>jamespulley1986@gmail.com</t>
  </si>
  <si>
    <t>609SFC239</t>
  </si>
  <si>
    <t>COLT</t>
  </si>
  <si>
    <t xml:space="preserve">72326     </t>
  </si>
  <si>
    <t xml:space="preserve">WEBCLR      </t>
  </si>
  <si>
    <t xml:space="preserve">040805          </t>
  </si>
  <si>
    <t>FORREST CITY HIGH SCHOOL</t>
  </si>
  <si>
    <t>FORREST CITY</t>
  </si>
  <si>
    <t xml:space="preserve">72335     </t>
  </si>
  <si>
    <t xml:space="preserve">190936189 </t>
  </si>
  <si>
    <t>Purser</t>
  </si>
  <si>
    <t>Kyle</t>
  </si>
  <si>
    <t>Purser, Kyle</t>
  </si>
  <si>
    <t>kylepurser200101@gmail.com</t>
  </si>
  <si>
    <t>6948 Magnolia Dr.</t>
  </si>
  <si>
    <t>Olive Branch</t>
  </si>
  <si>
    <t xml:space="preserve">252220          </t>
  </si>
  <si>
    <t xml:space="preserve">Olive Branch High School                </t>
  </si>
  <si>
    <t xml:space="preserve">191036684 </t>
  </si>
  <si>
    <t>Reeves-Miller</t>
  </si>
  <si>
    <t>Kofi</t>
  </si>
  <si>
    <t>Reeves-Miller, Kofi</t>
  </si>
  <si>
    <t>kofireevesmiller@gmail.com</t>
  </si>
  <si>
    <t>6002 WOODCREEK DRIVE</t>
  </si>
  <si>
    <t>WOODSTOCK</t>
  </si>
  <si>
    <t xml:space="preserve">30188     </t>
  </si>
  <si>
    <t xml:space="preserve">113303          </t>
  </si>
  <si>
    <t xml:space="preserve">River Ridge High School </t>
  </si>
  <si>
    <t>reisnerkaleb@gmail.com</t>
  </si>
  <si>
    <t xml:space="preserve">190935351 </t>
  </si>
  <si>
    <t>Rivera</t>
  </si>
  <si>
    <t>Isaiah</t>
  </si>
  <si>
    <t>Rivera, Isaiah</t>
  </si>
  <si>
    <t>Isaiahr298@gmail.com</t>
  </si>
  <si>
    <t>53 TENNEY MOUNTAIN ROAD APT. I-4</t>
  </si>
  <si>
    <t>PLYMOUTH</t>
  </si>
  <si>
    <t>NH</t>
  </si>
  <si>
    <t xml:space="preserve">03264     </t>
  </si>
  <si>
    <t xml:space="preserve">300510          </t>
  </si>
  <si>
    <t>PLYMOUTH REGIONAL HIGH SCHOOL</t>
  </si>
  <si>
    <t xml:space="preserve">3264      </t>
  </si>
  <si>
    <t xml:space="preserve">191036972 </t>
  </si>
  <si>
    <t>Gabriella</t>
  </si>
  <si>
    <t>Romero, Gabriella</t>
  </si>
  <si>
    <t>gabbie.rom11@gmail.com</t>
  </si>
  <si>
    <t>425 Broadway Ave.</t>
  </si>
  <si>
    <t>Pueblo</t>
  </si>
  <si>
    <t xml:space="preserve">81004     </t>
  </si>
  <si>
    <t xml:space="preserve">WSREQUESTEM </t>
  </si>
  <si>
    <t xml:space="preserve">061205          </t>
  </si>
  <si>
    <t>PUEBLO COUNTY HIGH SCHOOL</t>
  </si>
  <si>
    <t>PUEBLO</t>
  </si>
  <si>
    <t xml:space="preserve">81006     </t>
  </si>
  <si>
    <t xml:space="preserve">191138072 </t>
  </si>
  <si>
    <t>Starks</t>
  </si>
  <si>
    <t>Starks, Garrett</t>
  </si>
  <si>
    <t>gstarks7172@gmail.com</t>
  </si>
  <si>
    <t>2500 N FORT LANE TRLR 201, 92 PHILLIPS STREET</t>
  </si>
  <si>
    <t>LAYTON</t>
  </si>
  <si>
    <t xml:space="preserve">450338          </t>
  </si>
  <si>
    <t>Utah Military Academy</t>
  </si>
  <si>
    <t>Riverdale</t>
  </si>
  <si>
    <t xml:space="preserve">84405     </t>
  </si>
  <si>
    <t xml:space="preserve">191036607 </t>
  </si>
  <si>
    <t>Taplin</t>
  </si>
  <si>
    <t>Taplin, Moses</t>
  </si>
  <si>
    <t>moses.taplin@portsk12.com</t>
  </si>
  <si>
    <t>2325 ELLIOTT AVE APT 2C, 2C</t>
  </si>
  <si>
    <t>PORTSMOUTH</t>
  </si>
  <si>
    <t xml:space="preserve">23702     </t>
  </si>
  <si>
    <t xml:space="preserve">900     </t>
  </si>
  <si>
    <t xml:space="preserve">470840          </t>
  </si>
  <si>
    <t>WILSON MEMORIAL HIGH SCHOOL</t>
  </si>
  <si>
    <t>FISHERSVILLE</t>
  </si>
  <si>
    <t xml:space="preserve">22939     </t>
  </si>
  <si>
    <t xml:space="preserve">191137636 </t>
  </si>
  <si>
    <t>Thiboutot</t>
  </si>
  <si>
    <t>Haven</t>
  </si>
  <si>
    <t>Thiboutot, Haven</t>
  </si>
  <si>
    <t>hthiboutot@harpswellcoastalacademy.org</t>
  </si>
  <si>
    <t>42B LEDGEMERE RD</t>
  </si>
  <si>
    <t>HARPSWELL</t>
  </si>
  <si>
    <t xml:space="preserve">04066     </t>
  </si>
  <si>
    <t xml:space="preserve">200440          </t>
  </si>
  <si>
    <t>Harpswell Coastal Academy</t>
  </si>
  <si>
    <t xml:space="preserve">190936170 </t>
  </si>
  <si>
    <t>Torres</t>
  </si>
  <si>
    <t>Torres, Xavier</t>
  </si>
  <si>
    <t>xaviertorres1337@gmail.com</t>
  </si>
  <si>
    <t>6607 WALKER AVENUE</t>
  </si>
  <si>
    <t>BELL</t>
  </si>
  <si>
    <t xml:space="preserve">90201     </t>
  </si>
  <si>
    <t xml:space="preserve">053998          </t>
  </si>
  <si>
    <t>SOUTHEAST LEARNING CENTER</t>
  </si>
  <si>
    <t>SOUTH GATE</t>
  </si>
  <si>
    <t xml:space="preserve">90280     </t>
  </si>
  <si>
    <t xml:space="preserve">191037030 </t>
  </si>
  <si>
    <t>Yemaria</t>
  </si>
  <si>
    <t>Walker, Yemaria</t>
  </si>
  <si>
    <t>yem.walk@gmail.com</t>
  </si>
  <si>
    <t>1623 GARDENS PLACE</t>
  </si>
  <si>
    <t>VESATVIA</t>
  </si>
  <si>
    <t xml:space="preserve">35216     </t>
  </si>
  <si>
    <t xml:space="preserve">012768          </t>
  </si>
  <si>
    <t>VESTAVIA HILLS HIGH SCHOOL</t>
  </si>
  <si>
    <t>VESTAVIA HILLS</t>
  </si>
  <si>
    <t xml:space="preserve">190936061 </t>
  </si>
  <si>
    <t>Warren</t>
  </si>
  <si>
    <t>Chelsea</t>
  </si>
  <si>
    <t>Warren, Chelsea</t>
  </si>
  <si>
    <t>warrenchelsea546@gmail.com</t>
  </si>
  <si>
    <t>112 E 57TH STREET</t>
  </si>
  <si>
    <t xml:space="preserve">11203     </t>
  </si>
  <si>
    <t xml:space="preserve">330720          </t>
  </si>
  <si>
    <t>GEORGE WESTINGHOUSE VOC-TEC HS</t>
  </si>
  <si>
    <t xml:space="preserve">11201     </t>
  </si>
  <si>
    <t xml:space="preserve">190833908 </t>
  </si>
  <si>
    <t>Tristan</t>
  </si>
  <si>
    <t>Wright, Tristan</t>
  </si>
  <si>
    <t>wrighttristan02@gmail.com</t>
  </si>
  <si>
    <t>505 N Ocotillo St</t>
  </si>
  <si>
    <t>Cottonwood</t>
  </si>
  <si>
    <t xml:space="preserve">86326     </t>
  </si>
  <si>
    <t xml:space="preserve">030050          </t>
  </si>
  <si>
    <t>MINGUS UNION HIGH SCHOOL</t>
  </si>
  <si>
    <t>COTTONWOOD</t>
  </si>
  <si>
    <t>636782511CA04</t>
  </si>
  <si>
    <t>324029634CO04</t>
  </si>
  <si>
    <t>139117898DO01</t>
  </si>
  <si>
    <t>680388642FL02</t>
  </si>
  <si>
    <t>003140</t>
  </si>
  <si>
    <t>676033388FR01</t>
  </si>
  <si>
    <t>611293094GA01</t>
  </si>
  <si>
    <t>000184</t>
  </si>
  <si>
    <t>444175552HA03</t>
  </si>
  <si>
    <t>470411031JA01</t>
  </si>
  <si>
    <t>010730</t>
  </si>
  <si>
    <t>002470</t>
  </si>
  <si>
    <t>380270687JO03</t>
  </si>
  <si>
    <t>156856699KH03</t>
  </si>
  <si>
    <t>650243201MA01</t>
  </si>
  <si>
    <t>034703</t>
  </si>
  <si>
    <t>351986960PA01</t>
  </si>
  <si>
    <t>009130</t>
  </si>
  <si>
    <t>647622198PE01</t>
  </si>
  <si>
    <t>022219</t>
  </si>
  <si>
    <t>005487</t>
  </si>
  <si>
    <t>425910818PU03</t>
  </si>
  <si>
    <t>183801486RI01</t>
  </si>
  <si>
    <t>646669395ST01</t>
  </si>
  <si>
    <t>Austin Watson</t>
  </si>
  <si>
    <t>I:\__Incoming Students\ALEs\Fall 2020\Watson, Austin - ALE.pdf</t>
  </si>
  <si>
    <t>Neumont Achievement Scholarship</t>
  </si>
  <si>
    <t>Met at NeumontX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</si>
</sst>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6" formatCode="&quot;$&quot;#,##0_);[Red]\(&quot;$&quot;#,##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dd/yy;@"/>
    <numFmt numFmtId="165" formatCode="_(* #,##0_);_(* \(#,##0\);_(* &quot;-&quot;??_);_(@_)"/>
    <numFmt numFmtId="166" formatCode="[&lt;=9999999]###\-####;\(###\)\ ###\-####"/>
    <numFmt numFmtId="167" formatCode="mm/dd/yyyy"/>
    <numFmt numFmtId="168" formatCode="00000"/>
    <numFmt numFmtId="169" formatCode="[$-F400]h:mm:ss\ AM/PM"/>
    <numFmt numFmtId="170" formatCode="0_);[Red]\(0\)"/>
    <numFmt numFmtId="171" formatCode="m/d/yy;@"/>
  </numFmts>
  <fonts count="33" x14ac:knownFonts="1">
    <font>
      <sz val="11"/>
      <color theme="1"/>
      <name val="Calibri"/>
      <family val="2"/>
      <scheme val="minor"/>
    </font>
    <font>
      <sz val="11"/>
      <color theme="1"/>
      <name val="Calibri"/>
      <family val="2"/>
      <scheme val="minor"/>
    </font>
    <font>
      <sz val="8"/>
      <color theme="1"/>
      <name val="Calibri"/>
      <family val="2"/>
      <scheme val="minor"/>
    </font>
    <font>
      <sz val="10"/>
      <color theme="1"/>
      <name val="Calibri"/>
      <family val="2"/>
      <scheme val="minor"/>
    </font>
    <font>
      <sz val="8"/>
      <name val="Calibri"/>
      <family val="2"/>
      <scheme val="minor"/>
    </font>
    <font>
      <sz val="10"/>
      <color theme="1"/>
      <name val="Calibri"/>
      <family val="2"/>
    </font>
    <font>
      <b/>
      <sz val="10"/>
      <color theme="1"/>
      <name val="Calibri"/>
      <family val="2"/>
    </font>
    <font>
      <b/>
      <sz val="23"/>
      <color theme="1"/>
      <name val="Calibri"/>
      <family val="2"/>
    </font>
    <font>
      <b/>
      <sz val="11"/>
      <color theme="1"/>
      <name val="Calibri"/>
      <family val="2"/>
    </font>
    <font>
      <sz val="11"/>
      <color theme="1"/>
      <name val="Calibri"/>
      <family val="2"/>
    </font>
    <font>
      <b/>
      <sz val="12"/>
      <color theme="0"/>
      <name val="Calibri"/>
      <family val="2"/>
    </font>
    <font>
      <b/>
      <sz val="10"/>
      <color theme="0"/>
      <name val="Calibri"/>
      <family val="2"/>
    </font>
    <font>
      <sz val="10"/>
      <name val="Calibri"/>
      <family val="2"/>
    </font>
    <font>
      <sz val="10"/>
      <color theme="0"/>
      <name val="Calibri"/>
      <family val="2"/>
    </font>
    <font>
      <b/>
      <sz val="8"/>
      <color theme="0"/>
      <name val="Calibri"/>
      <family val="2"/>
    </font>
    <font>
      <b/>
      <sz val="8"/>
      <color rgb="FF2C2A2A"/>
      <name val="Calibri"/>
      <family val="2"/>
    </font>
    <font>
      <sz val="9"/>
      <color theme="1"/>
      <name val="Calibri"/>
      <family val="2"/>
    </font>
    <font>
      <sz val="8"/>
      <color theme="1"/>
      <name val="Calibri"/>
      <family val="2"/>
    </font>
    <font>
      <b/>
      <sz val="11"/>
      <color theme="0"/>
      <name val="Calibri"/>
      <family val="2"/>
    </font>
    <font>
      <b/>
      <sz val="10"/>
      <color theme="1"/>
      <name val="Calibri"/>
      <family val="2"/>
      <scheme val="minor"/>
    </font>
    <font>
      <sz val="10"/>
      <name val="Calibri"/>
      <family val="2"/>
      <scheme val="minor"/>
    </font>
    <font>
      <sz val="7"/>
      <color theme="0"/>
      <name val="Calibri"/>
      <family val="2"/>
    </font>
    <font>
      <i/>
      <sz val="9"/>
      <color theme="1"/>
      <name val="Calibri"/>
      <family val="2"/>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b/>
      <sz val="10"/>
      <name val="Calibri"/>
      <family val="2"/>
      <scheme val="minor"/>
    </font>
    <font>
      <u/>
      <sz val="10"/>
      <color theme="10"/>
      <name val="Calibri"/>
      <family val="2"/>
      <scheme val="minor"/>
    </font>
    <font>
      <u/>
      <sz val="10"/>
      <name val="Calibri"/>
      <family val="2"/>
      <scheme val="minor"/>
    </font>
    <font>
      <b/>
      <sz val="9"/>
      <color rgb="FF008000"/>
      <name val="Calibri"/>
      <family val="2"/>
    </font>
    <font>
      <b/>
      <sz val="9"/>
      <color rgb="FFFF6600"/>
      <name val="Calibri"/>
      <family val="2"/>
    </font>
    <font>
      <b/>
      <sz val="9"/>
      <color rgb="FF0000FF"/>
      <name val="Calibri"/>
      <family val="2"/>
    </font>
  </fonts>
  <fills count="22">
    <fill>
      <patternFill patternType="none"/>
    </fill>
    <fill>
      <patternFill patternType="gray125"/>
    </fill>
    <fill>
      <patternFill patternType="solid">
        <fgColor rgb="FFFFC000"/>
        <bgColor indexed="64"/>
      </patternFill>
    </fill>
    <fill>
      <patternFill patternType="solid">
        <fgColor rgb="FF00FF00"/>
        <bgColor indexed="64"/>
      </patternFill>
    </fill>
    <fill>
      <patternFill patternType="solid">
        <fgColor rgb="FF2C2A2A"/>
        <bgColor indexed="64"/>
      </patternFill>
    </fill>
    <fill>
      <patternFill patternType="solid">
        <fgColor theme="0"/>
        <bgColor indexed="64"/>
      </patternFill>
    </fill>
    <fill>
      <patternFill patternType="solid">
        <fgColor rgb="FFFF0000"/>
        <bgColor indexed="64"/>
      </patternFill>
    </fill>
    <fill>
      <patternFill patternType="solid">
        <fgColor theme="9" tint="-0.249977111117893"/>
        <bgColor indexed="64"/>
      </patternFill>
    </fill>
    <fill>
      <patternFill patternType="solid">
        <fgColor rgb="FF92D050"/>
        <bgColor indexed="64"/>
      </patternFill>
    </fill>
    <fill>
      <patternFill patternType="solid">
        <fgColor rgb="FF7030A0"/>
        <bgColor indexed="64"/>
      </patternFill>
    </fill>
    <fill>
      <patternFill patternType="solid">
        <fgColor rgb="FF00B0F0"/>
        <bgColor indexed="64"/>
      </patternFill>
    </fill>
    <fill>
      <patternFill patternType="solid">
        <fgColor rgb="FFFFFF00"/>
        <bgColor indexed="64"/>
      </patternFill>
    </fill>
    <fill>
      <patternFill patternType="solid">
        <fgColor rgb="FFFF5050"/>
        <bgColor indexed="64"/>
      </patternFill>
    </fill>
    <fill>
      <patternFill patternType="solid">
        <fgColor rgb="FFFF7171"/>
        <bgColor indexed="64"/>
      </patternFill>
    </fill>
    <fill>
      <patternFill patternType="solid">
        <fgColor rgb="FFFFE989"/>
        <bgColor indexed="64"/>
      </patternFill>
    </fill>
    <fill>
      <patternFill patternType="solid">
        <fgColor rgb="FFA3FFA3"/>
        <bgColor indexed="64"/>
      </patternFill>
    </fill>
    <fill>
      <patternFill patternType="solid">
        <fgColor rgb="FF61FF61"/>
        <bgColor indexed="64"/>
      </patternFill>
    </fill>
    <fill>
      <patternFill patternType="solid">
        <fgColor rgb="FFCCFFCC"/>
        <bgColor indexed="64"/>
      </patternFill>
    </fill>
    <fill>
      <patternFill patternType="solid">
        <fgColor rgb="FFCCCCFF"/>
        <bgColor indexed="64"/>
      </patternFill>
    </fill>
    <fill>
      <gradientFill degree="45">
        <stop position="0">
          <color rgb="FFFFE989"/>
        </stop>
        <stop position="1">
          <color rgb="FFCCFFCC"/>
        </stop>
      </gradientFill>
    </fill>
    <fill>
      <patternFill patternType="solid">
        <fgColor rgb="FFC3E4E7"/>
        <bgColor indexed="64"/>
      </patternFill>
    </fill>
    <fill>
      <patternFill patternType="solid">
        <fgColor theme="5" tint="0.39997558519241921"/>
        <bgColor indexed="64"/>
      </patternFill>
    </fill>
  </fills>
  <borders count="15">
    <border>
      <left/>
      <right/>
      <top/>
      <bottom/>
      <diagonal/>
    </border>
    <border>
      <left style="medium">
        <color auto="1"/>
      </left>
      <right/>
      <top/>
      <bottom/>
      <diagonal/>
    </border>
    <border>
      <left/>
      <right style="medium">
        <color auto="1"/>
      </right>
      <top/>
      <bottom/>
      <diagonal/>
    </border>
    <border>
      <left/>
      <right/>
      <top style="medium">
        <color theme="1"/>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thick">
        <color auto="1"/>
      </left>
      <right/>
      <top/>
      <bottom/>
      <diagonal/>
    </border>
    <border>
      <left/>
      <right style="thick">
        <color auto="1"/>
      </right>
      <top/>
      <bottom/>
      <diagonal/>
    </border>
    <border>
      <left style="thick">
        <color auto="1"/>
      </left>
      <right style="thick">
        <color auto="1"/>
      </right>
      <top/>
      <bottom/>
      <diagonal/>
    </border>
    <border>
      <left style="medium">
        <color auto="1"/>
      </left>
      <right style="medium">
        <color auto="1"/>
      </right>
      <top/>
      <bottom/>
      <diagonal/>
    </border>
    <border>
      <left/>
      <right style="medium">
        <color auto="1"/>
      </right>
      <top/>
      <bottom style="hair">
        <color auto="1"/>
      </bottom>
      <diagonal/>
    </border>
  </borders>
  <cellStyleXfs count="5">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26" fillId="0" borderId="0" applyNumberFormat="0" applyFill="0" applyBorder="0" applyAlignment="0" applyProtection="0"/>
  </cellStyleXfs>
  <cellXfs count="360">
    <xf numFmtId="0" fontId="0" fillId="0" borderId="0" xfId="0"/>
    <xf numFmtId="0" fontId="3" fillId="0" borderId="0" xfId="0" applyFont="1"/>
    <xf numFmtId="38" fontId="21" fillId="4" borderId="7" xfId="3" applyNumberFormat="1" applyFont="1" applyFill="1" applyBorder="1" applyAlignment="1">
      <alignment horizontal="right" vertical="center"/>
    </xf>
    <xf numFmtId="38" fontId="21" fillId="4" borderId="7" xfId="3" applyNumberFormat="1" applyFont="1" applyFill="1" applyBorder="1" applyAlignment="1">
      <alignment horizontal="left" vertical="center"/>
    </xf>
    <xf numFmtId="0" fontId="5" fillId="0" borderId="0" xfId="0" applyFont="1"/>
    <xf numFmtId="0" fontId="6" fillId="0" borderId="0" xfId="0" applyFont="1"/>
    <xf numFmtId="41" fontId="5" fillId="0" borderId="0" xfId="0" applyNumberFormat="1" applyFont="1"/>
    <xf numFmtId="0" fontId="6" fillId="0" borderId="0" xfId="0" applyFont="1" applyAlignment="1">
      <alignment horizontal="right"/>
    </xf>
    <xf numFmtId="0" fontId="5" fillId="0" borderId="0" xfId="0" applyFont="1" applyAlignment="1">
      <alignment horizontal="right"/>
    </xf>
    <xf numFmtId="0" fontId="7" fillId="0" borderId="0" xfId="0" applyFont="1" applyAlignment="1">
      <alignment vertical="center"/>
    </xf>
    <xf numFmtId="0" fontId="8" fillId="0" borderId="0" xfId="0" applyFont="1" applyAlignment="1">
      <alignment horizontal="left"/>
    </xf>
    <xf numFmtId="0" fontId="9" fillId="0" borderId="0" xfId="0" applyFont="1"/>
    <xf numFmtId="0" fontId="13" fillId="5" borderId="0" xfId="0" applyFont="1" applyFill="1"/>
    <xf numFmtId="0" fontId="18" fillId="5" borderId="0" xfId="0" applyFont="1" applyFill="1" applyAlignment="1">
      <alignment horizontal="left"/>
    </xf>
    <xf numFmtId="0" fontId="10" fillId="4" borderId="8" xfId="0" applyFont="1" applyFill="1" applyBorder="1" applyAlignment="1">
      <alignment vertical="center"/>
    </xf>
    <xf numFmtId="0" fontId="11" fillId="4" borderId="7" xfId="0" applyFont="1" applyFill="1" applyBorder="1" applyAlignment="1">
      <alignment vertical="center"/>
    </xf>
    <xf numFmtId="0" fontId="11" fillId="4" borderId="7" xfId="0" applyFont="1" applyFill="1" applyBorder="1" applyAlignment="1">
      <alignment horizontal="center" vertical="center"/>
    </xf>
    <xf numFmtId="0" fontId="6" fillId="0" borderId="1" xfId="0" applyFont="1" applyBorder="1"/>
    <xf numFmtId="41" fontId="5" fillId="0" borderId="0" xfId="0" applyNumberFormat="1" applyFont="1" applyAlignment="1">
      <alignment horizontal="center"/>
    </xf>
    <xf numFmtId="41" fontId="6" fillId="0" borderId="0" xfId="0" applyNumberFormat="1" applyFont="1"/>
    <xf numFmtId="0" fontId="5" fillId="0" borderId="2" xfId="0" applyFont="1" applyBorder="1"/>
    <xf numFmtId="0" fontId="12" fillId="0" borderId="0" xfId="0" applyFont="1"/>
    <xf numFmtId="0" fontId="4" fillId="0" borderId="0" xfId="0" applyFont="1" applyAlignment="1">
      <alignment horizontal="left"/>
    </xf>
    <xf numFmtId="0" fontId="6" fillId="0" borderId="4" xfId="0" applyFont="1" applyBorder="1"/>
    <xf numFmtId="0" fontId="5" fillId="0" borderId="5" xfId="0" applyFont="1" applyBorder="1"/>
    <xf numFmtId="41" fontId="5" fillId="0" borderId="5" xfId="0" applyNumberFormat="1" applyFont="1" applyBorder="1"/>
    <xf numFmtId="0" fontId="5" fillId="0" borderId="6" xfId="0" applyFont="1" applyBorder="1"/>
    <xf numFmtId="0" fontId="10" fillId="4" borderId="7" xfId="0" applyFont="1" applyFill="1" applyBorder="1" applyAlignment="1">
      <alignment vertical="center"/>
    </xf>
    <xf numFmtId="0" fontId="13" fillId="0" borderId="0" xfId="0" applyFont="1"/>
    <xf numFmtId="0" fontId="17" fillId="0" borderId="0" xfId="0" applyFont="1"/>
    <xf numFmtId="0" fontId="14" fillId="4" borderId="7" xfId="0" applyFont="1" applyFill="1" applyBorder="1" applyAlignment="1">
      <alignment vertical="center"/>
    </xf>
    <xf numFmtId="41" fontId="22" fillId="0" borderId="0" xfId="0" applyNumberFormat="1" applyFont="1" applyAlignment="1">
      <alignment horizontal="center"/>
    </xf>
    <xf numFmtId="165" fontId="17" fillId="0" borderId="2" xfId="2" applyNumberFormat="1" applyFont="1" applyBorder="1"/>
    <xf numFmtId="0" fontId="17" fillId="0" borderId="0" xfId="0" applyFont="1" applyAlignment="1">
      <alignment horizontal="left"/>
    </xf>
    <xf numFmtId="0" fontId="15" fillId="4" borderId="7" xfId="0" applyFont="1" applyFill="1" applyBorder="1" applyAlignment="1">
      <alignment horizontal="right" vertical="center" wrapText="1"/>
    </xf>
    <xf numFmtId="41" fontId="15" fillId="4" borderId="7" xfId="0" applyNumberFormat="1" applyFont="1" applyFill="1" applyBorder="1" applyAlignment="1">
      <alignment horizontal="left" vertical="center"/>
    </xf>
    <xf numFmtId="41" fontId="15" fillId="4" borderId="7" xfId="0" applyNumberFormat="1" applyFont="1" applyFill="1" applyBorder="1" applyAlignment="1">
      <alignment vertical="center"/>
    </xf>
    <xf numFmtId="0" fontId="2" fillId="0" borderId="0" xfId="0" applyFont="1"/>
    <xf numFmtId="0" fontId="2" fillId="0" borderId="0" xfId="0" applyFont="1" applyAlignment="1">
      <alignment horizontal="right"/>
    </xf>
    <xf numFmtId="0" fontId="24" fillId="0" borderId="0" xfId="0" applyFont="1"/>
    <xf numFmtId="0" fontId="25" fillId="0" borderId="0" xfId="0" applyFont="1"/>
    <xf numFmtId="168" fontId="25" fillId="0" borderId="0" xfId="0" applyNumberFormat="1" applyFont="1"/>
    <xf numFmtId="0" fontId="26" fillId="0" borderId="0" xfId="4"/>
    <xf numFmtId="0" fontId="19" fillId="0" borderId="0" xfId="0" applyFont="1"/>
    <xf numFmtId="168" fontId="19" fillId="0" borderId="0" xfId="0" applyNumberFormat="1" applyFont="1"/>
    <xf numFmtId="2" fontId="19" fillId="0" borderId="0" xfId="0" applyNumberFormat="1" applyFont="1"/>
    <xf numFmtId="164" fontId="19" fillId="0" borderId="0" xfId="0" applyNumberFormat="1" applyFont="1"/>
    <xf numFmtId="0" fontId="19" fillId="0" borderId="13" xfId="0" applyFont="1" applyBorder="1"/>
    <xf numFmtId="164" fontId="3" fillId="0" borderId="10" xfId="0" applyNumberFormat="1" applyFont="1" applyBorder="1"/>
    <xf numFmtId="164" fontId="3" fillId="0" borderId="11" xfId="0" applyNumberFormat="1" applyFont="1" applyBorder="1"/>
    <xf numFmtId="0" fontId="3" fillId="6" borderId="0" xfId="0" applyFont="1" applyFill="1"/>
    <xf numFmtId="0" fontId="3" fillId="3" borderId="0" xfId="0" applyFont="1" applyFill="1"/>
    <xf numFmtId="0" fontId="3" fillId="3" borderId="12" xfId="0" applyFont="1" applyFill="1" applyBorder="1"/>
    <xf numFmtId="0" fontId="20" fillId="2" borderId="0" xfId="0" applyFont="1" applyFill="1"/>
    <xf numFmtId="2" fontId="3" fillId="0" borderId="0" xfId="0" applyNumberFormat="1" applyFont="1"/>
    <xf numFmtId="164" fontId="3" fillId="0" borderId="0" xfId="0" applyNumberFormat="1" applyFont="1"/>
    <xf numFmtId="0" fontId="28" fillId="0" borderId="0" xfId="4" applyFont="1"/>
    <xf numFmtId="168" fontId="3" fillId="0" borderId="0" xfId="0" applyNumberFormat="1" applyFont="1"/>
    <xf numFmtId="0" fontId="3" fillId="0" borderId="0" xfId="0" applyFont="1" applyProtection="1">
      <protection locked="0"/>
    </xf>
    <xf numFmtId="0" fontId="19" fillId="0" borderId="2" xfId="0" applyFont="1" applyBorder="1"/>
    <xf numFmtId="0" fontId="3" fillId="0" borderId="2" xfId="0" applyFont="1" applyBorder="1"/>
    <xf numFmtId="10" fontId="19" fillId="9" borderId="12" xfId="1" applyNumberFormat="1" applyFont="1" applyFill="1" applyBorder="1"/>
    <xf numFmtId="10" fontId="3" fillId="0" borderId="12" xfId="1" applyNumberFormat="1" applyFont="1" applyBorder="1"/>
    <xf numFmtId="10" fontId="3" fillId="0" borderId="0" xfId="1" applyNumberFormat="1" applyFont="1"/>
    <xf numFmtId="170" fontId="3" fillId="0" borderId="0" xfId="0" applyNumberFormat="1" applyFont="1"/>
    <xf numFmtId="170" fontId="3" fillId="0" borderId="3" xfId="0" applyNumberFormat="1" applyFont="1" applyBorder="1"/>
    <xf numFmtId="170" fontId="19" fillId="0" borderId="0" xfId="0" applyNumberFormat="1" applyFont="1"/>
    <xf numFmtId="0" fontId="3" fillId="3" borderId="10" xfId="0" applyFont="1" applyFill="1" applyBorder="1"/>
    <xf numFmtId="0" fontId="19" fillId="0" borderId="0" xfId="0" applyFont="1" applyProtection="1">
      <protection locked="0"/>
    </xf>
    <xf numFmtId="164" fontId="27" fillId="2" borderId="0" xfId="0" applyNumberFormat="1" applyFont="1" applyFill="1" applyAlignment="1" applyProtection="1">
      <alignment horizontal="left"/>
      <protection locked="0"/>
    </xf>
    <xf numFmtId="164" fontId="27" fillId="2" borderId="2" xfId="0" applyNumberFormat="1" applyFont="1" applyFill="1" applyBorder="1" applyAlignment="1" applyProtection="1">
      <alignment horizontal="left"/>
      <protection locked="0"/>
    </xf>
    <xf numFmtId="0" fontId="19" fillId="8" borderId="0" xfId="0" applyFont="1" applyFill="1" applyAlignment="1" applyProtection="1">
      <alignment horizontal="left"/>
      <protection locked="0"/>
    </xf>
    <xf numFmtId="164" fontId="3" fillId="0" borderId="0" xfId="0" applyNumberFormat="1" applyFont="1" applyAlignment="1" applyProtection="1">
      <alignment horizontal="center"/>
      <protection locked="0"/>
    </xf>
    <xf numFmtId="164" fontId="3" fillId="0" borderId="2" xfId="0" applyNumberFormat="1" applyFont="1" applyBorder="1" applyAlignment="1" applyProtection="1">
      <alignment horizontal="center"/>
      <protection locked="0"/>
    </xf>
    <xf numFmtId="0" fontId="3" fillId="0" borderId="0" xfId="0" applyFont="1" applyAlignment="1" applyProtection="1">
      <alignment horizontal="center"/>
      <protection locked="0"/>
    </xf>
    <xf numFmtId="0" fontId="3" fillId="6" borderId="0" xfId="0" applyFont="1" applyFill="1" applyProtection="1">
      <protection locked="0"/>
    </xf>
    <xf numFmtId="0" fontId="3" fillId="3" borderId="12" xfId="0" applyFont="1" applyFill="1" applyBorder="1" applyProtection="1">
      <protection locked="0"/>
    </xf>
    <xf numFmtId="0" fontId="20" fillId="2" borderId="10" xfId="0" applyFont="1" applyFill="1" applyBorder="1" applyProtection="1">
      <protection locked="0"/>
    </xf>
    <xf numFmtId="0" fontId="20" fillId="2" borderId="0" xfId="0" applyFont="1" applyFill="1" applyProtection="1">
      <protection locked="0"/>
    </xf>
    <xf numFmtId="0" fontId="13" fillId="0" borderId="2" xfId="0" applyFont="1" applyBorder="1"/>
    <xf numFmtId="1" fontId="3" fillId="0" borderId="0" xfId="0" applyNumberFormat="1" applyFont="1"/>
    <xf numFmtId="1" fontId="20" fillId="2" borderId="0" xfId="0" applyNumberFormat="1" applyFont="1" applyFill="1"/>
    <xf numFmtId="1" fontId="3" fillId="7" borderId="0" xfId="0" applyNumberFormat="1" applyFont="1" applyFill="1"/>
    <xf numFmtId="0" fontId="3" fillId="10" borderId="12" xfId="0" applyFont="1" applyFill="1" applyBorder="1"/>
    <xf numFmtId="164" fontId="19" fillId="0" borderId="0" xfId="0" applyNumberFormat="1" applyFont="1" applyProtection="1">
      <protection locked="0"/>
    </xf>
    <xf numFmtId="164" fontId="3" fillId="0" borderId="0" xfId="0" applyNumberFormat="1" applyFont="1" applyProtection="1">
      <protection locked="0"/>
    </xf>
    <xf numFmtId="0" fontId="19" fillId="0" borderId="0" xfId="0" applyFont="1" applyAlignment="1" applyProtection="1">
      <alignment horizontal="left"/>
      <protection locked="0"/>
    </xf>
    <xf numFmtId="0" fontId="3" fillId="0" borderId="0" xfId="4" applyFont="1"/>
    <xf numFmtId="10" fontId="3" fillId="0" borderId="11" xfId="1" applyNumberFormat="1" applyFont="1" applyBorder="1"/>
    <xf numFmtId="0" fontId="19" fillId="0" borderId="0" xfId="0" applyFont="1" applyAlignment="1" applyProtection="1">
      <alignment wrapText="1"/>
      <protection locked="0"/>
    </xf>
    <xf numFmtId="0" fontId="3" fillId="0" borderId="0" xfId="0" applyFont="1" applyAlignment="1" applyProtection="1">
      <alignment wrapText="1"/>
      <protection locked="0"/>
    </xf>
    <xf numFmtId="0" fontId="25" fillId="11" borderId="0" xfId="0" applyFont="1" applyFill="1"/>
    <xf numFmtId="0" fontId="3" fillId="0" borderId="13" xfId="0" applyFont="1" applyBorder="1"/>
    <xf numFmtId="0" fontId="3" fillId="0" borderId="12" xfId="0" applyFont="1" applyBorder="1"/>
    <xf numFmtId="0" fontId="3" fillId="0" borderId="10" xfId="0" applyFont="1" applyBorder="1" applyProtection="1">
      <protection locked="0"/>
    </xf>
    <xf numFmtId="0" fontId="3" fillId="0" borderId="12" xfId="0" applyFont="1" applyBorder="1" applyProtection="1">
      <protection locked="0"/>
    </xf>
    <xf numFmtId="0" fontId="3" fillId="0" borderId="10" xfId="0" applyFont="1" applyBorder="1"/>
    <xf numFmtId="1" fontId="3" fillId="0" borderId="12" xfId="0" applyNumberFormat="1" applyFont="1" applyBorder="1"/>
    <xf numFmtId="1" fontId="3" fillId="0" borderId="10" xfId="0" applyNumberFormat="1" applyFont="1" applyBorder="1"/>
    <xf numFmtId="164" fontId="27" fillId="10" borderId="0" xfId="0" applyNumberFormat="1" applyFont="1" applyFill="1" applyAlignment="1" applyProtection="1">
      <alignment horizontal="left"/>
      <protection locked="0"/>
    </xf>
    <xf numFmtId="164" fontId="27" fillId="12" borderId="0" xfId="0" applyNumberFormat="1" applyFont="1" applyFill="1" applyAlignment="1" applyProtection="1">
      <alignment horizontal="left"/>
      <protection locked="0"/>
    </xf>
    <xf numFmtId="49" fontId="0" fillId="0" borderId="0" xfId="0" applyNumberFormat="1"/>
    <xf numFmtId="14" fontId="0" fillId="0" borderId="0" xfId="0" applyNumberFormat="1"/>
    <xf numFmtId="14" fontId="25" fillId="0" borderId="0" xfId="0" applyNumberFormat="1" applyFont="1"/>
    <xf numFmtId="0" fontId="0" fillId="0" borderId="0" xfId="0" applyNumberFormat="1"/>
    <xf numFmtId="0" fontId="0" fillId="0" borderId="0" xfId="0"/>
    <xf numFmtId="49" fontId="0" fillId="0" borderId="0" xfId="0" applyNumberFormat="1"/>
    <xf numFmtId="0" fontId="3" fillId="0" borderId="0" xfId="0" applyFont="1" applyBorder="1"/>
    <xf numFmtId="0" fontId="3" fillId="0" borderId="0" xfId="0" applyFont="1" applyBorder="1" applyProtection="1">
      <protection locked="0"/>
    </xf>
    <xf numFmtId="164" fontId="3" fillId="0" borderId="0" xfId="0" applyNumberFormat="1" applyFont="1" applyBorder="1"/>
    <xf numFmtId="164" fontId="3" fillId="0" borderId="0" xfId="0" applyNumberFormat="1" applyFont="1" applyBorder="1" applyAlignment="1" applyProtection="1">
      <alignment horizontal="center"/>
      <protection locked="0"/>
    </xf>
    <xf numFmtId="0" fontId="0" fillId="0" borderId="0" xfId="0"/>
    <xf numFmtId="0" fontId="3" fillId="0" borderId="0" xfId="0" applyNumberFormat="1" applyFont="1" applyFill="1" applyProtection="1">
      <protection locked="0"/>
    </xf>
    <xf numFmtId="0" fontId="3" fillId="0" borderId="0" xfId="0" applyNumberFormat="1" applyFont="1" applyFill="1" applyProtection="1"/>
    <xf numFmtId="164" fontId="3" fillId="0" borderId="0" xfId="0" applyNumberFormat="1" applyFont="1" applyFill="1" applyProtection="1">
      <protection locked="0"/>
    </xf>
    <xf numFmtId="0" fontId="3" fillId="0" borderId="0" xfId="0" applyNumberFormat="1" applyFont="1" applyFill="1" applyAlignment="1" applyProtection="1">
      <alignment wrapText="1"/>
      <protection locked="0"/>
    </xf>
    <xf numFmtId="0" fontId="3" fillId="0" borderId="0" xfId="0" applyNumberFormat="1" applyFont="1" applyFill="1" applyAlignment="1" applyProtection="1">
      <alignment horizontal="center"/>
      <protection locked="0"/>
    </xf>
    <xf numFmtId="168" fontId="3" fillId="0" borderId="0" xfId="0" applyNumberFormat="1" applyFont="1" applyFill="1" applyProtection="1"/>
    <xf numFmtId="2" fontId="3" fillId="0" borderId="0" xfId="0" applyNumberFormat="1" applyFont="1" applyFill="1" applyProtection="1"/>
    <xf numFmtId="164" fontId="3" fillId="0" borderId="0" xfId="0" applyNumberFormat="1" applyFont="1" applyFill="1" applyProtection="1"/>
    <xf numFmtId="0" fontId="3" fillId="0" borderId="13" xfId="0" applyNumberFormat="1" applyFont="1" applyFill="1" applyBorder="1" applyProtection="1"/>
    <xf numFmtId="170" fontId="3" fillId="0" borderId="0" xfId="0" applyNumberFormat="1" applyFont="1" applyFill="1" applyProtection="1"/>
    <xf numFmtId="164" fontId="3" fillId="0" borderId="0" xfId="0" applyNumberFormat="1" applyFont="1" applyFill="1" applyAlignment="1" applyProtection="1">
      <alignment horizontal="center"/>
      <protection locked="0"/>
    </xf>
    <xf numFmtId="10" fontId="3" fillId="0" borderId="11" xfId="1" applyNumberFormat="1" applyFont="1" applyFill="1" applyBorder="1" applyProtection="1"/>
    <xf numFmtId="164" fontId="3" fillId="0" borderId="11" xfId="0" applyNumberFormat="1" applyFont="1" applyFill="1" applyBorder="1" applyProtection="1"/>
    <xf numFmtId="0" fontId="3" fillId="0" borderId="12" xfId="0" applyNumberFormat="1" applyFont="1" applyFill="1" applyBorder="1" applyProtection="1"/>
    <xf numFmtId="0" fontId="3" fillId="0" borderId="10" xfId="0" applyNumberFormat="1" applyFont="1" applyFill="1" applyBorder="1" applyProtection="1">
      <protection locked="0"/>
    </xf>
    <xf numFmtId="0" fontId="3" fillId="0" borderId="12" xfId="0" applyNumberFormat="1" applyFont="1" applyFill="1" applyBorder="1" applyProtection="1">
      <protection locked="0"/>
    </xf>
    <xf numFmtId="0" fontId="3" fillId="0" borderId="10" xfId="0" applyNumberFormat="1" applyFont="1" applyFill="1" applyBorder="1" applyProtection="1"/>
    <xf numFmtId="1" fontId="3" fillId="0" borderId="12" xfId="0" applyNumberFormat="1" applyFont="1" applyFill="1" applyBorder="1" applyProtection="1"/>
    <xf numFmtId="1" fontId="3" fillId="0" borderId="10" xfId="0" applyNumberFormat="1" applyFont="1" applyFill="1" applyBorder="1" applyProtection="1"/>
    <xf numFmtId="1" fontId="3" fillId="0" borderId="0" xfId="0" applyNumberFormat="1" applyFont="1" applyFill="1" applyProtection="1"/>
    <xf numFmtId="0" fontId="3" fillId="0" borderId="2" xfId="0" applyNumberFormat="1" applyFont="1" applyFill="1" applyBorder="1" applyProtection="1"/>
    <xf numFmtId="164" fontId="3" fillId="0" borderId="2" xfId="0" applyNumberFormat="1" applyFont="1" applyFill="1" applyBorder="1" applyAlignment="1" applyProtection="1">
      <alignment horizontal="center"/>
      <protection locked="0"/>
    </xf>
    <xf numFmtId="10" fontId="3" fillId="0" borderId="12" xfId="1" applyNumberFormat="1" applyFont="1" applyFill="1" applyBorder="1" applyProtection="1"/>
    <xf numFmtId="10" fontId="3" fillId="0" borderId="0" xfId="1" applyNumberFormat="1" applyFont="1" applyBorder="1"/>
    <xf numFmtId="164" fontId="3" fillId="0" borderId="10" xfId="0" applyNumberFormat="1" applyFont="1" applyFill="1" applyBorder="1" applyProtection="1"/>
    <xf numFmtId="0" fontId="3" fillId="0" borderId="0" xfId="0" applyNumberFormat="1" applyFont="1" applyFill="1" applyBorder="1" applyProtection="1">
      <protection locked="0"/>
    </xf>
    <xf numFmtId="1" fontId="3" fillId="0" borderId="0" xfId="0" applyNumberFormat="1" applyFont="1" applyBorder="1"/>
    <xf numFmtId="1" fontId="3" fillId="0" borderId="0" xfId="0" applyNumberFormat="1" applyFont="1" applyFill="1" applyBorder="1" applyProtection="1"/>
    <xf numFmtId="171" fontId="3" fillId="0" borderId="0" xfId="0" applyNumberFormat="1" applyFont="1" applyFill="1" applyAlignment="1" applyProtection="1">
      <alignment horizontal="center"/>
      <protection locked="0"/>
    </xf>
    <xf numFmtId="0" fontId="3" fillId="2" borderId="0" xfId="0" applyNumberFormat="1" applyFont="1" applyFill="1" applyProtection="1"/>
    <xf numFmtId="0" fontId="0" fillId="0" borderId="0" xfId="0"/>
    <xf numFmtId="49" fontId="0" fillId="0" borderId="0" xfId="0" applyNumberFormat="1"/>
    <xf numFmtId="14" fontId="0" fillId="0" borderId="0" xfId="0" applyNumberFormat="1"/>
    <xf numFmtId="14" fontId="19" fillId="0" borderId="2" xfId="0" applyNumberFormat="1" applyFont="1" applyBorder="1"/>
    <xf numFmtId="14" fontId="3" fillId="0" borderId="0" xfId="0" applyNumberFormat="1" applyFont="1"/>
    <xf numFmtId="41" fontId="5" fillId="0" borderId="0" xfId="0" applyNumberFormat="1" applyFont="1" applyFill="1"/>
    <xf numFmtId="164" fontId="3" fillId="0" borderId="0" xfId="0" applyNumberFormat="1" applyFont="1" applyFill="1" applyBorder="1" applyAlignment="1" applyProtection="1">
      <alignment horizontal="center"/>
      <protection locked="0"/>
    </xf>
    <xf numFmtId="0" fontId="3" fillId="0" borderId="0" xfId="4" applyNumberFormat="1" applyFont="1" applyFill="1" applyProtection="1"/>
    <xf numFmtId="164" fontId="3" fillId="0" borderId="0" xfId="0" applyNumberFormat="1" applyFont="1" applyFill="1" applyBorder="1" applyProtection="1"/>
    <xf numFmtId="0" fontId="3" fillId="2" borderId="1" xfId="0" applyNumberFormat="1" applyFont="1" applyFill="1" applyBorder="1" applyProtection="1"/>
    <xf numFmtId="0" fontId="0" fillId="0" borderId="0" xfId="0"/>
    <xf numFmtId="49" fontId="0" fillId="0" borderId="0" xfId="0" applyNumberFormat="1"/>
    <xf numFmtId="49" fontId="23" fillId="0" borderId="0" xfId="0" applyNumberFormat="1" applyFont="1"/>
    <xf numFmtId="0" fontId="23" fillId="0" borderId="0" xfId="0" applyFont="1"/>
    <xf numFmtId="0" fontId="3" fillId="0" borderId="0" xfId="0" applyNumberFormat="1" applyFont="1" applyFill="1" applyBorder="1" applyProtection="1"/>
    <xf numFmtId="0" fontId="0" fillId="0" borderId="0" xfId="0" applyFill="1"/>
    <xf numFmtId="0" fontId="3" fillId="0" borderId="0" xfId="0" applyFont="1" applyFill="1" applyProtection="1">
      <protection locked="0"/>
    </xf>
    <xf numFmtId="0" fontId="3" fillId="0" borderId="12" xfId="0" applyFont="1" applyFill="1" applyBorder="1"/>
    <xf numFmtId="0" fontId="3" fillId="0" borderId="0" xfId="0" applyFont="1" applyFill="1"/>
    <xf numFmtId="0" fontId="3" fillId="0" borderId="1" xfId="0" applyNumberFormat="1" applyFont="1" applyFill="1" applyBorder="1" applyProtection="1"/>
    <xf numFmtId="14" fontId="3" fillId="0" borderId="0" xfId="0" applyNumberFormat="1" applyFont="1" applyFill="1" applyProtection="1"/>
    <xf numFmtId="0" fontId="3" fillId="0" borderId="0" xfId="0" applyFont="1" applyFill="1" applyAlignment="1" applyProtection="1">
      <alignment wrapText="1"/>
      <protection locked="0"/>
    </xf>
    <xf numFmtId="0" fontId="3" fillId="0" borderId="0" xfId="0" applyFont="1" applyFill="1" applyAlignment="1" applyProtection="1">
      <alignment horizontal="center"/>
      <protection locked="0"/>
    </xf>
    <xf numFmtId="168" fontId="3" fillId="0" borderId="0" xfId="0" applyNumberFormat="1" applyFont="1" applyFill="1"/>
    <xf numFmtId="2" fontId="3" fillId="0" borderId="0" xfId="0" applyNumberFormat="1" applyFont="1" applyFill="1"/>
    <xf numFmtId="164" fontId="3" fillId="0" borderId="0" xfId="0" applyNumberFormat="1" applyFont="1" applyFill="1"/>
    <xf numFmtId="0" fontId="28" fillId="0" borderId="0" xfId="4" applyFont="1" applyFill="1"/>
    <xf numFmtId="0" fontId="3" fillId="0" borderId="13" xfId="0" applyFont="1" applyFill="1" applyBorder="1"/>
    <xf numFmtId="170" fontId="3" fillId="0" borderId="0" xfId="0" applyNumberFormat="1" applyFont="1" applyFill="1"/>
    <xf numFmtId="0" fontId="3" fillId="0" borderId="2" xfId="0" applyFont="1" applyFill="1" applyBorder="1"/>
    <xf numFmtId="164" fontId="3" fillId="0" borderId="10" xfId="0" applyNumberFormat="1" applyFont="1" applyFill="1" applyBorder="1"/>
    <xf numFmtId="164" fontId="3" fillId="0" borderId="11" xfId="0" applyNumberFormat="1" applyFont="1" applyFill="1" applyBorder="1"/>
    <xf numFmtId="1" fontId="3" fillId="0" borderId="10" xfId="0" applyNumberFormat="1" applyFont="1" applyFill="1" applyBorder="1"/>
    <xf numFmtId="1" fontId="3" fillId="0" borderId="0" xfId="0" applyNumberFormat="1" applyFont="1" applyFill="1" applyBorder="1"/>
    <xf numFmtId="1" fontId="3" fillId="0" borderId="0" xfId="0" applyNumberFormat="1" applyFont="1" applyFill="1"/>
    <xf numFmtId="14" fontId="3" fillId="0" borderId="1" xfId="0" applyNumberFormat="1" applyFont="1" applyFill="1" applyBorder="1" applyProtection="1"/>
    <xf numFmtId="14" fontId="3" fillId="0" borderId="2" xfId="0" applyNumberFormat="1" applyFont="1" applyFill="1" applyBorder="1"/>
    <xf numFmtId="0" fontId="3" fillId="0" borderId="0" xfId="4" applyFont="1" applyFill="1"/>
    <xf numFmtId="0" fontId="20" fillId="0" borderId="0" xfId="0" applyFont="1" applyFill="1"/>
    <xf numFmtId="10" fontId="3" fillId="0" borderId="11" xfId="1" applyNumberFormat="1" applyFont="1" applyFill="1" applyBorder="1"/>
    <xf numFmtId="0" fontId="20" fillId="0" borderId="0" xfId="0" applyNumberFormat="1" applyFont="1" applyFill="1" applyProtection="1"/>
    <xf numFmtId="0" fontId="20" fillId="0" borderId="0" xfId="0" applyNumberFormat="1" applyFont="1" applyFill="1" applyProtection="1">
      <protection locked="0"/>
    </xf>
    <xf numFmtId="164" fontId="20" fillId="0" borderId="0" xfId="0" applyNumberFormat="1" applyFont="1" applyFill="1" applyProtection="1">
      <protection locked="0"/>
    </xf>
    <xf numFmtId="0" fontId="20" fillId="0" borderId="0" xfId="0" applyNumberFormat="1" applyFont="1" applyFill="1" applyAlignment="1" applyProtection="1">
      <alignment wrapText="1"/>
      <protection locked="0"/>
    </xf>
    <xf numFmtId="0" fontId="20" fillId="0" borderId="0" xfId="0" applyNumberFormat="1" applyFont="1" applyFill="1" applyAlignment="1" applyProtection="1">
      <alignment horizontal="center"/>
      <protection locked="0"/>
    </xf>
    <xf numFmtId="168" fontId="20" fillId="0" borderId="0" xfId="0" applyNumberFormat="1" applyFont="1" applyFill="1" applyProtection="1"/>
    <xf numFmtId="2" fontId="20" fillId="0" borderId="0" xfId="0" applyNumberFormat="1" applyFont="1" applyFill="1" applyProtection="1"/>
    <xf numFmtId="164" fontId="20" fillId="0" borderId="0" xfId="0" applyNumberFormat="1" applyFont="1" applyFill="1" applyProtection="1"/>
    <xf numFmtId="0" fontId="20" fillId="0" borderId="0" xfId="4" applyNumberFormat="1" applyFont="1" applyFill="1" applyProtection="1"/>
    <xf numFmtId="0" fontId="20" fillId="0" borderId="13" xfId="0" applyNumberFormat="1" applyFont="1" applyFill="1" applyBorder="1" applyProtection="1"/>
    <xf numFmtId="170" fontId="20" fillId="0" borderId="0" xfId="0" applyNumberFormat="1" applyFont="1" applyFill="1" applyProtection="1"/>
    <xf numFmtId="164" fontId="20" fillId="0" borderId="0" xfId="0" applyNumberFormat="1" applyFont="1" applyFill="1" applyAlignment="1" applyProtection="1">
      <alignment horizontal="center"/>
      <protection locked="0"/>
    </xf>
    <xf numFmtId="10" fontId="20" fillId="0" borderId="11" xfId="1" applyNumberFormat="1" applyFont="1" applyFill="1" applyBorder="1" applyProtection="1"/>
    <xf numFmtId="0" fontId="20" fillId="0" borderId="12" xfId="0" applyNumberFormat="1" applyFont="1" applyFill="1" applyBorder="1" applyProtection="1"/>
    <xf numFmtId="1" fontId="20" fillId="0" borderId="10" xfId="0" applyNumberFormat="1" applyFont="1" applyFill="1" applyBorder="1" applyProtection="1"/>
    <xf numFmtId="1" fontId="20" fillId="0" borderId="0" xfId="0" applyNumberFormat="1" applyFont="1" applyFill="1" applyProtection="1"/>
    <xf numFmtId="16" fontId="3" fillId="0" borderId="0" xfId="0" applyNumberFormat="1" applyFont="1" applyFill="1" applyAlignment="1" applyProtection="1">
      <alignment wrapText="1"/>
      <protection locked="0"/>
    </xf>
    <xf numFmtId="0" fontId="20" fillId="0" borderId="0" xfId="0" applyFont="1" applyFill="1" applyProtection="1">
      <protection locked="0"/>
    </xf>
    <xf numFmtId="0" fontId="20" fillId="0" borderId="0" xfId="0" applyFont="1" applyFill="1" applyAlignment="1" applyProtection="1">
      <alignment wrapText="1"/>
      <protection locked="0"/>
    </xf>
    <xf numFmtId="0" fontId="20" fillId="0" borderId="0" xfId="0" applyFont="1" applyFill="1" applyAlignment="1" applyProtection="1">
      <alignment horizontal="center"/>
      <protection locked="0"/>
    </xf>
    <xf numFmtId="168" fontId="20" fillId="0" borderId="0" xfId="0" applyNumberFormat="1" applyFont="1" applyFill="1"/>
    <xf numFmtId="2" fontId="20" fillId="0" borderId="0" xfId="0" applyNumberFormat="1" applyFont="1" applyFill="1"/>
    <xf numFmtId="164" fontId="20" fillId="0" borderId="0" xfId="0" applyNumberFormat="1" applyFont="1" applyFill="1"/>
    <xf numFmtId="0" fontId="20" fillId="0" borderId="0" xfId="4" applyFont="1" applyFill="1"/>
    <xf numFmtId="0" fontId="20" fillId="0" borderId="13" xfId="0" applyFont="1" applyFill="1" applyBorder="1"/>
    <xf numFmtId="170" fontId="20" fillId="0" borderId="0" xfId="0" applyNumberFormat="1" applyFont="1" applyFill="1"/>
    <xf numFmtId="0" fontId="20" fillId="0" borderId="2" xfId="0" applyFont="1" applyFill="1" applyBorder="1"/>
    <xf numFmtId="10" fontId="20" fillId="0" borderId="11" xfId="1" applyNumberFormat="1" applyFont="1" applyFill="1" applyBorder="1"/>
    <xf numFmtId="164" fontId="20" fillId="0" borderId="11" xfId="0" applyNumberFormat="1" applyFont="1" applyFill="1" applyBorder="1"/>
    <xf numFmtId="0" fontId="20" fillId="0" borderId="12" xfId="0" applyFont="1" applyFill="1" applyBorder="1"/>
    <xf numFmtId="1" fontId="20" fillId="0" borderId="10" xfId="0" applyNumberFormat="1" applyFont="1" applyFill="1" applyBorder="1"/>
    <xf numFmtId="1" fontId="20" fillId="0" borderId="0" xfId="0" applyNumberFormat="1" applyFont="1" applyFill="1"/>
    <xf numFmtId="0" fontId="29" fillId="0" borderId="0" xfId="4" applyFont="1" applyFill="1"/>
    <xf numFmtId="0" fontId="3" fillId="0" borderId="0" xfId="0" applyFont="1" applyFill="1" applyBorder="1"/>
    <xf numFmtId="164" fontId="3" fillId="0" borderId="0" xfId="0" applyNumberFormat="1" applyFont="1" applyFill="1" applyBorder="1"/>
    <xf numFmtId="14" fontId="3" fillId="0" borderId="0" xfId="0" applyNumberFormat="1" applyFont="1" applyFill="1" applyBorder="1" applyProtection="1"/>
    <xf numFmtId="14" fontId="3" fillId="0" borderId="2" xfId="0" applyNumberFormat="1" applyFont="1" applyFill="1" applyBorder="1" applyProtection="1"/>
    <xf numFmtId="0" fontId="3" fillId="13" borderId="0" xfId="0" applyNumberFormat="1" applyFont="1" applyFill="1" applyProtection="1">
      <protection locked="0"/>
    </xf>
    <xf numFmtId="0" fontId="3" fillId="13" borderId="12" xfId="0" applyNumberFormat="1" applyFont="1" applyFill="1" applyBorder="1" applyProtection="1"/>
    <xf numFmtId="0" fontId="3" fillId="13" borderId="10" xfId="0" applyNumberFormat="1" applyFont="1" applyFill="1" applyBorder="1" applyProtection="1">
      <protection locked="0"/>
    </xf>
    <xf numFmtId="0" fontId="3" fillId="13" borderId="12" xfId="0" applyFont="1" applyFill="1" applyBorder="1"/>
    <xf numFmtId="0" fontId="3" fillId="13" borderId="0" xfId="0" applyFont="1" applyFill="1" applyBorder="1" applyProtection="1">
      <protection locked="0"/>
    </xf>
    <xf numFmtId="0" fontId="20" fillId="13" borderId="12" xfId="0" applyNumberFormat="1" applyFont="1" applyFill="1" applyBorder="1" applyProtection="1"/>
    <xf numFmtId="0" fontId="20" fillId="13" borderId="12" xfId="0" applyFont="1" applyFill="1" applyBorder="1"/>
    <xf numFmtId="0" fontId="3" fillId="14" borderId="10" xfId="0" applyFont="1" applyFill="1" applyBorder="1" applyProtection="1">
      <protection locked="0"/>
    </xf>
    <xf numFmtId="0" fontId="3" fillId="14" borderId="0" xfId="0" applyFont="1" applyFill="1" applyProtection="1">
      <protection locked="0"/>
    </xf>
    <xf numFmtId="0" fontId="3" fillId="14" borderId="12" xfId="0" applyFont="1" applyFill="1" applyBorder="1"/>
    <xf numFmtId="0" fontId="3" fillId="14" borderId="10" xfId="0" applyFont="1" applyFill="1" applyBorder="1"/>
    <xf numFmtId="0" fontId="3" fillId="14" borderId="0" xfId="0" applyFont="1" applyFill="1"/>
    <xf numFmtId="0" fontId="3" fillId="14" borderId="12" xfId="0" applyFont="1" applyFill="1" applyBorder="1" applyProtection="1">
      <protection locked="0"/>
    </xf>
    <xf numFmtId="0" fontId="3" fillId="14" borderId="12" xfId="0" applyNumberFormat="1" applyFont="1" applyFill="1" applyBorder="1" applyProtection="1"/>
    <xf numFmtId="2" fontId="3" fillId="14" borderId="12" xfId="0" applyNumberFormat="1" applyFont="1" applyFill="1" applyBorder="1"/>
    <xf numFmtId="0" fontId="3" fillId="14" borderId="0" xfId="0" applyNumberFormat="1" applyFont="1" applyFill="1" applyProtection="1"/>
    <xf numFmtId="0" fontId="3" fillId="14" borderId="12" xfId="0" applyNumberFormat="1" applyFont="1" applyFill="1" applyBorder="1" applyProtection="1">
      <protection locked="0"/>
    </xf>
    <xf numFmtId="1" fontId="3" fillId="14" borderId="12" xfId="0" applyNumberFormat="1" applyFont="1" applyFill="1" applyBorder="1"/>
    <xf numFmtId="0" fontId="3" fillId="14" borderId="0" xfId="0" applyNumberFormat="1" applyFont="1" applyFill="1" applyProtection="1">
      <protection locked="0"/>
    </xf>
    <xf numFmtId="1" fontId="3" fillId="14" borderId="10" xfId="0" applyNumberFormat="1" applyFont="1" applyFill="1" applyBorder="1" applyProtection="1"/>
    <xf numFmtId="1" fontId="3" fillId="14" borderId="12" xfId="0" applyNumberFormat="1" applyFont="1" applyFill="1" applyBorder="1" applyProtection="1"/>
    <xf numFmtId="2" fontId="3" fillId="14" borderId="12" xfId="0" applyNumberFormat="1" applyFont="1" applyFill="1" applyBorder="1" applyProtection="1"/>
    <xf numFmtId="2" fontId="20" fillId="14" borderId="12" xfId="0" applyNumberFormat="1" applyFont="1" applyFill="1" applyBorder="1" applyProtection="1"/>
    <xf numFmtId="1" fontId="20" fillId="14" borderId="12" xfId="0" applyNumberFormat="1" applyFont="1" applyFill="1" applyBorder="1" applyProtection="1"/>
    <xf numFmtId="0" fontId="20" fillId="14" borderId="0" xfId="0" applyNumberFormat="1" applyFont="1" applyFill="1" applyProtection="1">
      <protection locked="0"/>
    </xf>
    <xf numFmtId="0" fontId="20" fillId="14" borderId="12" xfId="0" applyNumberFormat="1" applyFont="1" applyFill="1" applyBorder="1" applyProtection="1"/>
    <xf numFmtId="2" fontId="20" fillId="14" borderId="12" xfId="0" applyNumberFormat="1" applyFont="1" applyFill="1" applyBorder="1"/>
    <xf numFmtId="1" fontId="20" fillId="14" borderId="12" xfId="0" applyNumberFormat="1" applyFont="1" applyFill="1" applyBorder="1"/>
    <xf numFmtId="0" fontId="20" fillId="14" borderId="0" xfId="0" applyFont="1" applyFill="1" applyProtection="1">
      <protection locked="0"/>
    </xf>
    <xf numFmtId="0" fontId="20" fillId="14" borderId="12" xfId="0" applyFont="1" applyFill="1" applyBorder="1"/>
    <xf numFmtId="0" fontId="3" fillId="14" borderId="10" xfId="0" applyNumberFormat="1" applyFont="1" applyFill="1" applyBorder="1" applyProtection="1">
      <protection locked="0"/>
    </xf>
    <xf numFmtId="0" fontId="3" fillId="15" borderId="0" xfId="0" applyNumberFormat="1" applyFont="1" applyFill="1" applyProtection="1"/>
    <xf numFmtId="0" fontId="3" fillId="15" borderId="12" xfId="0" applyNumberFormat="1" applyFont="1" applyFill="1" applyBorder="1" applyProtection="1"/>
    <xf numFmtId="0" fontId="3" fillId="15" borderId="12" xfId="0" applyNumberFormat="1" applyFont="1" applyFill="1" applyBorder="1" applyProtection="1">
      <protection locked="0"/>
    </xf>
    <xf numFmtId="0" fontId="3" fillId="15" borderId="0" xfId="0" applyFont="1" applyFill="1"/>
    <xf numFmtId="0" fontId="3" fillId="15" borderId="12" xfId="0" applyFont="1" applyFill="1" applyBorder="1"/>
    <xf numFmtId="0" fontId="3" fillId="15" borderId="12" xfId="0" applyFont="1" applyFill="1" applyBorder="1" applyProtection="1">
      <protection locked="0"/>
    </xf>
    <xf numFmtId="0" fontId="20" fillId="15" borderId="0" xfId="0" applyNumberFormat="1" applyFont="1" applyFill="1" applyProtection="1"/>
    <xf numFmtId="0" fontId="20" fillId="15" borderId="12" xfId="0" applyNumberFormat="1" applyFont="1" applyFill="1" applyBorder="1" applyProtection="1"/>
    <xf numFmtId="0" fontId="20" fillId="15" borderId="12" xfId="0" applyNumberFormat="1" applyFont="1" applyFill="1" applyBorder="1" applyProtection="1">
      <protection locked="0"/>
    </xf>
    <xf numFmtId="0" fontId="20" fillId="15" borderId="0" xfId="0" applyFont="1" applyFill="1"/>
    <xf numFmtId="0" fontId="20" fillId="15" borderId="12" xfId="0" applyFont="1" applyFill="1" applyBorder="1"/>
    <xf numFmtId="0" fontId="20" fillId="15" borderId="12" xfId="0" applyFont="1" applyFill="1" applyBorder="1" applyProtection="1">
      <protection locked="0"/>
    </xf>
    <xf numFmtId="0" fontId="3" fillId="15" borderId="0" xfId="0" applyFont="1" applyFill="1" applyBorder="1" applyProtection="1">
      <protection locked="0"/>
    </xf>
    <xf numFmtId="0" fontId="3" fillId="16" borderId="0" xfId="0" applyNumberFormat="1" applyFont="1" applyFill="1" applyProtection="1"/>
    <xf numFmtId="0" fontId="3" fillId="16" borderId="0" xfId="0" applyFont="1" applyFill="1"/>
    <xf numFmtId="0" fontId="20" fillId="16" borderId="0" xfId="0" applyNumberFormat="1" applyFont="1" applyFill="1" applyProtection="1"/>
    <xf numFmtId="0" fontId="20" fillId="16" borderId="0" xfId="0" applyFont="1" applyFill="1"/>
    <xf numFmtId="0" fontId="0" fillId="0" borderId="0" xfId="0"/>
    <xf numFmtId="0" fontId="26" fillId="0" borderId="0" xfId="4" applyNumberFormat="1" applyFill="1" applyProtection="1"/>
    <xf numFmtId="0" fontId="3" fillId="13" borderId="12" xfId="0" applyNumberFormat="1" applyFont="1" applyFill="1" applyBorder="1" applyProtection="1">
      <protection locked="0"/>
    </xf>
    <xf numFmtId="0" fontId="3" fillId="15" borderId="10" xfId="0" applyNumberFormat="1" applyFont="1" applyFill="1" applyBorder="1" applyProtection="1">
      <protection locked="0"/>
    </xf>
    <xf numFmtId="0" fontId="3" fillId="14" borderId="10" xfId="0" applyNumberFormat="1" applyFont="1" applyFill="1" applyBorder="1" applyProtection="1"/>
    <xf numFmtId="164" fontId="20" fillId="0" borderId="0" xfId="0" applyNumberFormat="1" applyFont="1" applyFill="1" applyBorder="1" applyAlignment="1" applyProtection="1">
      <alignment horizontal="center"/>
      <protection locked="0"/>
    </xf>
    <xf numFmtId="164" fontId="20" fillId="0" borderId="0" xfId="0" applyNumberFormat="1" applyFont="1" applyFill="1" applyBorder="1" applyProtection="1"/>
    <xf numFmtId="164" fontId="20" fillId="0" borderId="0" xfId="0" applyNumberFormat="1" applyFont="1" applyFill="1" applyBorder="1"/>
    <xf numFmtId="0" fontId="3" fillId="13" borderId="0" xfId="0" applyNumberFormat="1" applyFont="1" applyFill="1" applyBorder="1" applyProtection="1">
      <protection locked="0"/>
    </xf>
    <xf numFmtId="0" fontId="3" fillId="13" borderId="12" xfId="0" applyFont="1" applyFill="1" applyBorder="1" applyProtection="1">
      <protection locked="0"/>
    </xf>
    <xf numFmtId="0" fontId="3" fillId="15" borderId="0" xfId="0" applyNumberFormat="1" applyFont="1" applyFill="1" applyBorder="1" applyProtection="1">
      <protection locked="0"/>
    </xf>
    <xf numFmtId="0" fontId="3" fillId="15" borderId="10" xfId="0" applyFont="1" applyFill="1" applyBorder="1" applyProtection="1">
      <protection locked="0"/>
    </xf>
    <xf numFmtId="0" fontId="20" fillId="15" borderId="10" xfId="0" applyNumberFormat="1" applyFont="1" applyFill="1" applyBorder="1" applyProtection="1">
      <protection locked="0"/>
    </xf>
    <xf numFmtId="0" fontId="20" fillId="15" borderId="10" xfId="0" applyFont="1" applyFill="1" applyBorder="1" applyProtection="1">
      <protection locked="0"/>
    </xf>
    <xf numFmtId="0" fontId="0" fillId="0" borderId="0" xfId="0"/>
    <xf numFmtId="0" fontId="3" fillId="14" borderId="0" xfId="0" applyNumberFormat="1" applyFont="1" applyFill="1" applyBorder="1" applyProtection="1">
      <protection locked="0"/>
    </xf>
    <xf numFmtId="0" fontId="3" fillId="11" borderId="0" xfId="0" applyNumberFormat="1" applyFont="1" applyFill="1" applyProtection="1"/>
    <xf numFmtId="170" fontId="3" fillId="11" borderId="0" xfId="0" applyNumberFormat="1" applyFont="1" applyFill="1" applyProtection="1"/>
    <xf numFmtId="0" fontId="3" fillId="11" borderId="0" xfId="0" applyFont="1" applyFill="1"/>
    <xf numFmtId="170" fontId="3" fillId="11" borderId="0" xfId="0" applyNumberFormat="1" applyFont="1" applyFill="1"/>
    <xf numFmtId="0" fontId="0" fillId="0" borderId="0" xfId="0"/>
    <xf numFmtId="0" fontId="23" fillId="0" borderId="0" xfId="0" applyNumberFormat="1" applyFont="1"/>
    <xf numFmtId="0" fontId="0" fillId="0" borderId="0" xfId="0"/>
    <xf numFmtId="0" fontId="3" fillId="17" borderId="0" xfId="0" applyNumberFormat="1" applyFont="1" applyFill="1" applyProtection="1"/>
    <xf numFmtId="0" fontId="3" fillId="17" borderId="0" xfId="0" applyFont="1" applyFill="1" applyProtection="1">
      <protection locked="0"/>
    </xf>
    <xf numFmtId="0" fontId="3" fillId="18" borderId="0" xfId="0" applyNumberFormat="1" applyFont="1" applyFill="1" applyProtection="1"/>
    <xf numFmtId="0" fontId="3" fillId="18" borderId="0" xfId="0" applyFont="1" applyFill="1" applyProtection="1">
      <protection locked="0"/>
    </xf>
    <xf numFmtId="0" fontId="3" fillId="18" borderId="0" xfId="0" applyFont="1" applyFill="1"/>
    <xf numFmtId="0" fontId="3" fillId="19" borderId="0" xfId="0" applyFont="1" applyFill="1"/>
    <xf numFmtId="0" fontId="0" fillId="0" borderId="0" xfId="0"/>
    <xf numFmtId="10" fontId="3" fillId="0" borderId="12" xfId="1" applyNumberFormat="1" applyFont="1" applyFill="1" applyBorder="1"/>
    <xf numFmtId="0" fontId="3" fillId="14" borderId="0" xfId="0" applyFont="1" applyFill="1" applyBorder="1" applyProtection="1">
      <protection locked="0"/>
    </xf>
    <xf numFmtId="1" fontId="3" fillId="14" borderId="10" xfId="0" applyNumberFormat="1" applyFont="1" applyFill="1" applyBorder="1"/>
    <xf numFmtId="0" fontId="3" fillId="17" borderId="0" xfId="0" applyFont="1" applyFill="1"/>
    <xf numFmtId="14" fontId="3" fillId="0" borderId="0" xfId="0" applyNumberFormat="1" applyFont="1" applyBorder="1"/>
    <xf numFmtId="0" fontId="20" fillId="18" borderId="0" xfId="0" applyFont="1" applyFill="1"/>
    <xf numFmtId="0" fontId="3" fillId="20" borderId="0" xfId="0" applyNumberFormat="1" applyFont="1" applyFill="1" applyProtection="1"/>
    <xf numFmtId="0" fontId="3" fillId="20" borderId="0" xfId="0" applyFont="1" applyFill="1"/>
    <xf numFmtId="0" fontId="3" fillId="20" borderId="0" xfId="0" applyFont="1" applyFill="1" applyProtection="1">
      <protection locked="0"/>
    </xf>
    <xf numFmtId="0" fontId="20" fillId="20" borderId="0" xfId="0" applyNumberFormat="1" applyFont="1" applyFill="1" applyProtection="1"/>
    <xf numFmtId="0" fontId="20" fillId="20" borderId="0" xfId="0" applyFont="1" applyFill="1"/>
    <xf numFmtId="0" fontId="0" fillId="0" borderId="0" xfId="0"/>
    <xf numFmtId="0" fontId="0" fillId="0" borderId="0" xfId="0"/>
    <xf numFmtId="0" fontId="0" fillId="0" borderId="0" xfId="0"/>
    <xf numFmtId="0" fontId="0" fillId="0" borderId="0" xfId="0"/>
    <xf numFmtId="0" fontId="3" fillId="21" borderId="0" xfId="0" applyNumberFormat="1" applyFont="1" applyFill="1" applyProtection="1"/>
    <xf numFmtId="0" fontId="3" fillId="21" borderId="0" xfId="0" applyFont="1" applyFill="1"/>
    <xf numFmtId="0" fontId="3" fillId="11" borderId="0" xfId="0" applyNumberFormat="1" applyFont="1" applyFill="1" applyAlignment="1" applyProtection="1">
      <alignment wrapText="1"/>
      <protection locked="0"/>
    </xf>
    <xf numFmtId="0" fontId="0" fillId="0" borderId="0" xfId="0"/>
    <xf numFmtId="0" fontId="0" fillId="0" borderId="0" xfId="0"/>
    <xf numFmtId="0" fontId="20" fillId="21" borderId="0" xfId="0" applyFont="1" applyFill="1"/>
    <xf numFmtId="0" fontId="20" fillId="0" borderId="2" xfId="0" applyNumberFormat="1" applyFont="1" applyFill="1" applyBorder="1" applyProtection="1"/>
    <xf numFmtId="0" fontId="3" fillId="0" borderId="14" xfId="0" applyFont="1" applyFill="1" applyBorder="1"/>
    <xf numFmtId="10" fontId="3" fillId="0" borderId="0" xfId="1" applyNumberFormat="1" applyFont="1" applyFill="1" applyBorder="1" applyProtection="1"/>
    <xf numFmtId="0" fontId="3" fillId="13" borderId="0" xfId="0" applyNumberFormat="1" applyFont="1" applyFill="1" applyBorder="1" applyProtection="1"/>
    <xf numFmtId="0" fontId="3" fillId="15" borderId="0" xfId="0" applyNumberFormat="1" applyFont="1" applyFill="1" applyBorder="1" applyProtection="1"/>
    <xf numFmtId="2" fontId="3" fillId="14" borderId="0" xfId="0" applyNumberFormat="1" applyFont="1" applyFill="1" applyBorder="1" applyProtection="1"/>
    <xf numFmtId="1" fontId="3" fillId="14" borderId="0" xfId="0" applyNumberFormat="1" applyFont="1" applyFill="1" applyBorder="1" applyProtection="1"/>
    <xf numFmtId="0" fontId="3" fillId="14" borderId="0" xfId="0" applyNumberFormat="1" applyFont="1" applyFill="1" applyBorder="1" applyProtection="1"/>
    <xf numFmtId="171" fontId="3" fillId="11" borderId="0" xfId="0" applyNumberFormat="1" applyFont="1" applyFill="1" applyAlignment="1" applyProtection="1">
      <alignment horizontal="center"/>
      <protection locked="0"/>
    </xf>
    <xf numFmtId="0" fontId="0" fillId="0" borderId="0" xfId="0"/>
    <xf numFmtId="41" fontId="22" fillId="0" borderId="0" xfId="0" applyNumberFormat="1" applyFont="1" applyAlignment="1">
      <alignment horizontal="center"/>
    </xf>
    <xf numFmtId="0" fontId="0" fillId="0" borderId="0" xfId="0"/>
    <xf numFmtId="0" fontId="23" fillId="0" borderId="0" xfId="0" applyFont="1"/>
    <xf numFmtId="49" fontId="0" fillId="0" borderId="0" xfId="0" applyNumberFormat="1"/>
    <xf numFmtId="49" fontId="23" fillId="0" borderId="0" xfId="0" applyNumberFormat="1" applyFont="1"/>
    <xf numFmtId="14" fontId="0" fillId="0" borderId="0" xfId="0" applyNumberFormat="1"/>
    <xf numFmtId="169" fontId="23" fillId="0" borderId="0" xfId="0" applyNumberFormat="1" applyFont="1"/>
    <xf numFmtId="169" fontId="0" fillId="0" borderId="0" xfId="0" applyNumberFormat="1"/>
    <xf numFmtId="0" fontId="0" fillId="0" borderId="0" xfId="0"/>
    <xf numFmtId="49" fontId="0" fillId="0" borderId="0" xfId="0" applyNumberFormat="1"/>
    <xf numFmtId="49" fontId="23" fillId="0" borderId="0" xfId="0" applyNumberFormat="1" applyFont="1"/>
    <xf numFmtId="0" fontId="23" fillId="0" borderId="0" xfId="0" applyFont="1"/>
    <xf numFmtId="14" fontId="0" fillId="0" borderId="0" xfId="0" applyNumberFormat="1"/>
    <xf numFmtId="0" fontId="7" fillId="0" borderId="0" xfId="0" applyFont="1" applyAlignment="1">
      <alignment horizontal="center"/>
    </xf>
    <xf numFmtId="49" fontId="8" fillId="0" borderId="0" xfId="0" applyNumberFormat="1" applyFont="1" applyAlignment="1" applyProtection="1">
      <alignment horizontal="left"/>
      <protection locked="0"/>
    </xf>
    <xf numFmtId="0" fontId="8" fillId="0" borderId="0" xfId="0" applyFont="1" applyAlignment="1" applyProtection="1">
      <alignment horizontal="left"/>
      <protection locked="0"/>
    </xf>
    <xf numFmtId="167" fontId="8" fillId="0" borderId="0" xfId="0" applyNumberFormat="1" applyFont="1" applyAlignment="1">
      <alignment horizontal="left"/>
    </xf>
    <xf numFmtId="164" fontId="10" fillId="4" borderId="7" xfId="0" applyNumberFormat="1" applyFont="1" applyFill="1" applyBorder="1" applyAlignment="1">
      <alignment horizontal="right" vertical="center"/>
    </xf>
    <xf numFmtId="164" fontId="10" fillId="4" borderId="7" xfId="0" applyNumberFormat="1" applyFont="1" applyFill="1" applyBorder="1" applyAlignment="1">
      <alignment horizontal="left" vertical="center"/>
    </xf>
    <xf numFmtId="166" fontId="8" fillId="0" borderId="0" xfId="0" applyNumberFormat="1" applyFont="1" applyAlignment="1">
      <alignment horizontal="left"/>
    </xf>
    <xf numFmtId="6" fontId="10" fillId="4" borderId="7" xfId="0" applyNumberFormat="1" applyFont="1" applyFill="1" applyBorder="1" applyAlignment="1">
      <alignment horizontal="right" vertical="center"/>
    </xf>
    <xf numFmtId="6" fontId="10" fillId="4" borderId="9" xfId="0" applyNumberFormat="1" applyFont="1" applyFill="1" applyBorder="1" applyAlignment="1">
      <alignment horizontal="right" vertical="center"/>
    </xf>
    <xf numFmtId="0" fontId="17" fillId="0" borderId="2" xfId="0" applyFont="1" applyBorder="1" applyAlignment="1">
      <alignment horizontal="center" wrapText="1"/>
    </xf>
    <xf numFmtId="41" fontId="22" fillId="0" borderId="0" xfId="0" applyNumberFormat="1" applyFont="1" applyAlignment="1">
      <alignment horizontal="center"/>
    </xf>
    <xf numFmtId="0" fontId="16" fillId="0" borderId="1" xfId="0" applyFont="1" applyBorder="1" applyAlignment="1">
      <alignment horizontal="left" vertical="center" wrapText="1"/>
    </xf>
    <xf numFmtId="0" fontId="16" fillId="0" borderId="0" xfId="0" applyFont="1" applyAlignment="1">
      <alignment horizontal="left" vertical="center" wrapText="1"/>
    </xf>
    <xf numFmtId="0" fontId="16" fillId="0" borderId="2" xfId="0" applyFont="1" applyBorder="1" applyAlignment="1">
      <alignment horizontal="left" vertical="center" wrapText="1"/>
    </xf>
    <xf numFmtId="0" fontId="16" fillId="0" borderId="4" xfId="0" applyFont="1" applyBorder="1" applyAlignment="1">
      <alignment horizontal="left" vertical="center" wrapText="1"/>
    </xf>
    <xf numFmtId="0" fontId="16" fillId="0" borderId="5" xfId="0" applyFont="1" applyBorder="1" applyAlignment="1">
      <alignment horizontal="left" vertical="center" wrapText="1"/>
    </xf>
    <xf numFmtId="0" fontId="16" fillId="0" borderId="6" xfId="0" applyFont="1" applyBorder="1" applyAlignment="1">
      <alignment horizontal="left" vertical="center" wrapText="1"/>
    </xf>
    <xf numFmtId="42" fontId="14" fillId="4" borderId="7" xfId="0" applyNumberFormat="1" applyFont="1" applyFill="1" applyBorder="1" applyAlignment="1">
      <alignment horizontal="right" vertical="center"/>
    </xf>
    <xf numFmtId="42" fontId="14" fillId="4" borderId="9" xfId="0" applyNumberFormat="1" applyFont="1" applyFill="1" applyBorder="1" applyAlignment="1">
      <alignment horizontal="right" vertical="center"/>
    </xf>
  </cellXfs>
  <cellStyles count="5">
    <cellStyle name="Comma" xfId="2" builtinId="3"/>
    <cellStyle name="Currency" xfId="3" builtinId="4"/>
    <cellStyle name="Hyperlink" xfId="4" builtinId="8"/>
    <cellStyle name="Normal" xfId="0" builtinId="0"/>
    <cellStyle name="Percent" xfId="1" builtinId="5"/>
  </cellStyles>
  <dxfs count="43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b val="0"/>
        <i val="0"/>
        <strike val="0"/>
        <condense val="0"/>
        <extend val="0"/>
        <outline val="0"/>
        <shadow val="0"/>
        <u val="none"/>
        <vertAlign val="baseline"/>
        <sz val="10"/>
        <color theme="1"/>
        <name val="Calibri"/>
        <family val="2"/>
        <scheme val="minor"/>
      </font>
      <numFmt numFmtId="170" formatCode="0_);[Red]\(0\)"/>
      <fill>
        <patternFill patternType="none">
          <fgColor indexed="64"/>
          <bgColor auto="1"/>
        </patternFill>
      </fill>
    </dxf>
    <dxf>
      <font>
        <b val="0"/>
        <i val="0"/>
        <strike val="0"/>
        <condense val="0"/>
        <extend val="0"/>
        <outline val="0"/>
        <shadow val="0"/>
        <u val="none"/>
        <vertAlign val="baseline"/>
        <sz val="10"/>
        <color theme="1"/>
        <name val="Calibri"/>
        <family val="2"/>
        <scheme val="minor"/>
      </font>
      <numFmt numFmtId="170" formatCode="0_);[Red]\(0\)"/>
      <fill>
        <patternFill patternType="none">
          <fgColor indexed="64"/>
          <bgColor auto="1"/>
        </patternFill>
      </fill>
    </dxf>
    <dxf>
      <font>
        <b val="0"/>
        <i val="0"/>
        <strike val="0"/>
        <condense val="0"/>
        <extend val="0"/>
        <outline val="0"/>
        <shadow val="0"/>
        <u val="none"/>
        <vertAlign val="baseline"/>
        <sz val="10"/>
        <color theme="1"/>
        <name val="Calibri"/>
        <family val="2"/>
        <scheme val="minor"/>
      </font>
      <numFmt numFmtId="170" formatCode="0_);[Red]\(0\)"/>
      <fill>
        <patternFill patternType="none">
          <fgColor indexed="64"/>
          <bgColor auto="1"/>
        </patternFill>
      </fill>
    </dxf>
    <dxf>
      <border outline="0">
        <top style="medium">
          <color theme="1"/>
        </top>
        <bottom style="medium">
          <color theme="1"/>
        </bottom>
      </border>
    </dxf>
    <dxf>
      <font>
        <b val="0"/>
        <i val="0"/>
        <strike val="0"/>
        <condense val="0"/>
        <extend val="0"/>
        <outline val="0"/>
        <shadow val="0"/>
        <u val="none"/>
        <vertAlign val="baseline"/>
        <sz val="10"/>
        <color theme="1"/>
        <name val="Calibri"/>
        <family val="2"/>
        <scheme val="minor"/>
      </font>
      <numFmt numFmtId="170" formatCode="0_);[Red]\(0\)"/>
      <fill>
        <patternFill patternType="none">
          <fgColor indexed="64"/>
          <bgColor auto="1"/>
        </patternFill>
      </fill>
    </dxf>
    <dxf>
      <font>
        <b val="0"/>
        <i val="0"/>
        <strike val="0"/>
        <condense val="0"/>
        <extend val="0"/>
        <outline val="0"/>
        <shadow val="0"/>
        <u val="none"/>
        <vertAlign val="baseline"/>
        <sz val="10"/>
        <color theme="1"/>
        <name val="Calibri"/>
        <family val="2"/>
        <scheme val="minor"/>
      </font>
      <numFmt numFmtId="170" formatCode="0_);[Red]\(0\)"/>
      <fill>
        <patternFill patternType="none">
          <fgColor indexed="64"/>
          <bgColor auto="1"/>
        </patternFill>
      </fill>
    </dxf>
    <dxf>
      <font>
        <b val="0"/>
        <i val="0"/>
        <strike val="0"/>
        <condense val="0"/>
        <extend val="0"/>
        <outline val="0"/>
        <shadow val="0"/>
        <u val="none"/>
        <vertAlign val="baseline"/>
        <sz val="10"/>
        <color theme="1"/>
        <name val="Calibri"/>
        <family val="2"/>
        <scheme val="minor"/>
      </font>
      <numFmt numFmtId="1" formatCode="0"/>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1" formatCode="0"/>
      <fill>
        <patternFill patternType="none">
          <fgColor indexed="64"/>
          <bgColor auto="1"/>
        </patternFill>
      </fill>
      <border outline="0">
        <left style="thick">
          <color auto="1"/>
        </left>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1" formatCode="0"/>
      <fill>
        <patternFill patternType="none">
          <fgColor indexed="64"/>
          <bgColor auto="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1" formatCode="0"/>
      <fill>
        <patternFill patternType="none">
          <fgColor indexed="64"/>
          <bgColor auto="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outline="0">
        <left style="thick">
          <color auto="1"/>
        </left>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outline="0">
        <left style="thick">
          <color auto="1"/>
        </left>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border diagonalUp="0" diagonalDown="0" outline="0">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14" formatCode="0.00%"/>
      <fill>
        <patternFill patternType="none">
          <fgColor indexed="64"/>
          <bgColor auto="1"/>
        </patternFill>
      </fill>
      <border diagonalUp="0" diagonalDown="0" outline="0">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170" formatCode="0_);[Red]\(0\)"/>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medium">
          <color auto="1"/>
        </left>
        <right style="medium">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2" formatCode="0.00"/>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168" formatCode="00000"/>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general" textRotation="0" wrapText="1"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border outline="0">
        <right style="thick">
          <color auto="1"/>
        </right>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C000"/>
        </patternFill>
      </fill>
      <protection locked="1" hidden="0"/>
    </dxf>
    <dxf>
      <font>
        <color auto="1"/>
      </font>
      <fill>
        <patternFill>
          <bgColor rgb="FFFFFF00"/>
        </patternFill>
      </fill>
    </dxf>
    <dxf>
      <font>
        <color theme="0"/>
      </font>
      <fill>
        <patternFill>
          <bgColor rgb="FFFF0000"/>
        </patternFill>
      </fill>
    </dxf>
    <dxf>
      <font>
        <color theme="0"/>
      </font>
      <fill>
        <patternFill>
          <bgColor rgb="FFFF0000"/>
        </patternFill>
      </fill>
    </dxf>
    <dxf>
      <font>
        <color auto="1"/>
      </font>
      <fill>
        <patternFill>
          <bgColor rgb="FFFF00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theme="0"/>
      </font>
      <fill>
        <patternFill>
          <bgColor rgb="FFFF0000"/>
        </patternFill>
      </fill>
    </dxf>
    <dxf>
      <font>
        <color theme="0"/>
      </font>
      <fill>
        <patternFill>
          <bgColor rgb="FFFF0000"/>
        </patternFill>
      </fill>
    </dxf>
    <dxf>
      <font>
        <color auto="1"/>
      </font>
      <fill>
        <patternFill>
          <bgColor rgb="FFFF00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1" formatCode="0"/>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1" formatCode="0"/>
      <fill>
        <patternFill patternType="none">
          <fgColor indexed="64"/>
          <bgColor auto="1"/>
        </patternFill>
      </fill>
      <border outline="0">
        <left style="thick">
          <color auto="1"/>
        </left>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1" formatCode="0"/>
      <fill>
        <patternFill patternType="solid">
          <fgColor indexed="64"/>
          <bgColor rgb="FFFFE989"/>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protection locked="0" hidden="0"/>
    </dxf>
    <dxf>
      <font>
        <b val="0"/>
        <i val="0"/>
        <strike val="0"/>
        <condense val="0"/>
        <extend val="0"/>
        <outline val="0"/>
        <shadow val="0"/>
        <u val="none"/>
        <vertAlign val="baseline"/>
        <sz val="10"/>
        <color theme="1"/>
        <name val="Calibri"/>
        <family val="2"/>
        <scheme val="minor"/>
      </font>
      <numFmt numFmtId="1" formatCode="0"/>
      <fill>
        <patternFill patternType="solid">
          <fgColor indexed="64"/>
          <bgColor rgb="FFFFE989"/>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protection locked="1" hidden="0"/>
    </dxf>
    <dxf>
      <font>
        <b val="0"/>
        <i val="0"/>
        <strike val="0"/>
        <condense val="0"/>
        <extend val="0"/>
        <outline val="0"/>
        <shadow val="0"/>
        <u val="none"/>
        <vertAlign val="baseline"/>
        <sz val="10"/>
        <color theme="1"/>
        <name val="Calibri"/>
        <family val="2"/>
        <scheme val="minor"/>
      </font>
      <numFmt numFmtId="2" formatCode="0.00"/>
      <fill>
        <patternFill patternType="solid">
          <fgColor indexed="64"/>
          <bgColor rgb="FFFFE989"/>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protection locked="1" hidden="0"/>
    </dxf>
    <dxf>
      <font>
        <b val="0"/>
        <i val="0"/>
        <strike val="0"/>
        <condense val="0"/>
        <extend val="0"/>
        <outline val="0"/>
        <shadow val="0"/>
        <u val="none"/>
        <vertAlign val="baseline"/>
        <sz val="10"/>
        <color theme="1"/>
        <name val="Calibri"/>
        <family val="2"/>
        <scheme val="minor"/>
      </font>
      <numFmt numFmtId="2" formatCode="0.00"/>
      <fill>
        <patternFill patternType="solid">
          <fgColor indexed="64"/>
          <bgColor rgb="FFFFE989"/>
        </patternFill>
      </fill>
      <border diagonalUp="0" diagonalDown="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border diagonalUp="0" diagonalDown="0" outline="0">
        <left style="thick">
          <color auto="1"/>
        </left>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E989"/>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61FF6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border diagonalUp="0" diagonalDown="0" outline="0">
        <left style="thick">
          <color auto="1"/>
        </left>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A3FFA3"/>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717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717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717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717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717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717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717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717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7171"/>
        </patternFill>
      </fill>
      <border diagonalUp="0" diagonalDown="0" outline="0">
        <left style="thick">
          <color auto="1"/>
        </left>
        <right style="thick">
          <color auto="1"/>
        </right>
        <top/>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7171"/>
        </patternFill>
      </fill>
      <border diagonalUp="0" diagonalDown="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717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717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717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7171"/>
        </patternFill>
      </fill>
      <border diagonalUp="0" diagonalDown="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717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717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7171"/>
        </patternFill>
      </fill>
      <border outline="0">
        <left style="thick">
          <color auto="1"/>
        </left>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7171"/>
        </patternFill>
      </fill>
      <border diagonalUp="0" diagonalDown="0" outline="0">
        <left style="thick">
          <color auto="1"/>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717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717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7171"/>
        </patternFill>
      </fill>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14" formatCode="0.00%"/>
      <fill>
        <patternFill patternType="none">
          <fgColor indexed="64"/>
          <bgColor auto="1"/>
        </patternFill>
      </fill>
      <border diagonalUp="0" diagonalDown="0" outline="0">
        <left/>
        <right style="thick">
          <color auto="1"/>
        </right>
        <top/>
        <bottom/>
      </border>
      <protection locked="1" hidden="0"/>
    </dxf>
    <dxf>
      <font>
        <b val="0"/>
        <i val="0"/>
        <strike val="0"/>
        <condense val="0"/>
        <extend val="0"/>
        <outline val="0"/>
        <shadow val="0"/>
        <u val="none"/>
        <vertAlign val="baseline"/>
        <sz val="10"/>
        <color theme="1"/>
        <name val="Calibri"/>
        <family val="2"/>
        <scheme val="minor"/>
      </font>
      <numFmt numFmtId="171" formatCode="m/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71" formatCode="m/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71" formatCode="m/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71" formatCode="m/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71" formatCode="m/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71" formatCode="m/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170" formatCode="0_);[Red]\(0\)"/>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border diagonalUp="0" diagonalDown="0" outline="0">
        <left style="medium">
          <color auto="1"/>
        </left>
        <right style="medium">
          <color auto="1"/>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2" formatCode="0.00"/>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168" formatCode="00000"/>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general" textRotation="0" wrapText="1"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164" formatCode="mm/dd/yy;@"/>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0" hidden="0"/>
    </dxf>
    <dxf>
      <border outline="0">
        <right style="thick">
          <color auto="1"/>
        </right>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rgb="FFFFC000"/>
        </patternFill>
      </fill>
      <protection locked="1" hidden="0"/>
    </dxf>
    <dxf>
      <fill>
        <patternFill>
          <bgColor rgb="FFFFFF00"/>
        </patternFill>
      </fill>
    </dxf>
    <dxf>
      <fill>
        <gradientFill degree="45">
          <stop position="0">
            <color rgb="FFFFE989"/>
          </stop>
          <stop position="1">
            <color rgb="FFCCFFCC"/>
          </stop>
        </gradient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C00000"/>
        </patternFill>
      </fill>
    </dxf>
    <dxf>
      <fill>
        <patternFill>
          <bgColor rgb="FF00FF00"/>
        </patternFill>
      </fill>
    </dxf>
    <dxf>
      <font>
        <color auto="1"/>
      </font>
      <fill>
        <patternFill>
          <bgColor rgb="FFFFFF00"/>
        </patternFill>
      </fill>
    </dxf>
    <dxf>
      <font>
        <color theme="0"/>
      </font>
      <fill>
        <patternFill>
          <bgColor rgb="FFFF0000"/>
        </patternFill>
      </fill>
    </dxf>
    <dxf>
      <font>
        <color theme="0"/>
      </font>
      <fill>
        <patternFill>
          <bgColor rgb="FFFF0000"/>
        </patternFill>
      </fill>
    </dxf>
    <dxf>
      <font>
        <color auto="1"/>
      </font>
      <fill>
        <patternFill>
          <bgColor rgb="FFFF00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theme="0"/>
      </font>
      <fill>
        <patternFill>
          <bgColor rgb="FFFF0000"/>
        </patternFill>
      </fill>
    </dxf>
    <dxf>
      <font>
        <color theme="0"/>
      </font>
      <fill>
        <patternFill>
          <bgColor rgb="FFFF0000"/>
        </patternFill>
      </fill>
    </dxf>
    <dxf>
      <font>
        <color auto="1"/>
      </font>
      <fill>
        <patternFill>
          <bgColor rgb="FFFF00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theme="0"/>
      </font>
      <fill>
        <patternFill>
          <bgColor rgb="FFFF0000"/>
        </patternFill>
      </fill>
    </dxf>
    <dxf>
      <font>
        <color theme="0"/>
      </font>
      <fill>
        <patternFill>
          <bgColor rgb="FFFF0000"/>
        </patternFill>
      </fill>
    </dxf>
    <dxf>
      <font>
        <color auto="1"/>
      </font>
      <fill>
        <patternFill>
          <bgColor rgb="FFFF00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00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theme="0"/>
      </font>
      <fill>
        <patternFill>
          <bgColor rgb="FFFF0000"/>
        </patternFill>
      </fill>
    </dxf>
    <dxf>
      <font>
        <color theme="0"/>
      </font>
      <fill>
        <patternFill>
          <bgColor rgb="FFFF0000"/>
        </patternFill>
      </fill>
    </dxf>
    <dxf>
      <font>
        <color auto="1"/>
      </font>
      <fill>
        <patternFill>
          <bgColor rgb="FFFF00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theme="0"/>
      </font>
      <fill>
        <patternFill>
          <bgColor rgb="FFFF0000"/>
        </patternFill>
      </fill>
    </dxf>
    <dxf>
      <font>
        <color theme="0"/>
      </font>
      <fill>
        <patternFill>
          <bgColor rgb="FFFF0000"/>
        </patternFill>
      </fill>
    </dxf>
    <dxf>
      <font>
        <color auto="1"/>
      </font>
      <fill>
        <patternFill>
          <bgColor rgb="FFFF00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CCCCFF"/>
      <color rgb="FFCCFFCC"/>
      <color rgb="FFFFE989"/>
      <color rgb="FFC3E4E7"/>
      <color rgb="FFFFFFCC"/>
      <color rgb="FFCCFFFF"/>
      <color rgb="FFDAEEF0"/>
      <color rgb="FFA3FFA3"/>
      <color rgb="FFC0E3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3</xdr:col>
      <xdr:colOff>425052</xdr:colOff>
      <xdr:row>4</xdr:row>
      <xdr:rowOff>155783</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20352" cy="803483"/>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28575</xdr:colOff>
          <xdr:row>6</xdr:row>
          <xdr:rowOff>142875</xdr:rowOff>
        </xdr:from>
        <xdr:to>
          <xdr:col>8</xdr:col>
          <xdr:colOff>409575</xdr:colOff>
          <xdr:row>7</xdr:row>
          <xdr:rowOff>114300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8000"/>
                  </a:solidFill>
                  <a:latin typeface="Calibri"/>
                  <a:cs typeface="Calibri"/>
                </a:rPr>
                <a:t>Create PDFs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7</xdr:row>
          <xdr:rowOff>161925</xdr:rowOff>
        </xdr:from>
        <xdr:to>
          <xdr:col>8</xdr:col>
          <xdr:colOff>409575</xdr:colOff>
          <xdr:row>8</xdr:row>
          <xdr:rowOff>142875</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FF6600"/>
                  </a:solidFill>
                  <a:latin typeface="Calibri"/>
                  <a:cs typeface="Calibri"/>
                </a:rPr>
                <a:t>Email PDFs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4</xdr:row>
          <xdr:rowOff>123825</xdr:rowOff>
        </xdr:from>
        <xdr:to>
          <xdr:col>8</xdr:col>
          <xdr:colOff>409575</xdr:colOff>
          <xdr:row>5</xdr:row>
          <xdr:rowOff>142875</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FF"/>
                  </a:solidFill>
                  <a:latin typeface="Calibri"/>
                  <a:cs typeface="Calibri"/>
                </a:rPr>
                <a:t>Create Current ALE</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3</xdr:col>
      <xdr:colOff>425052</xdr:colOff>
      <xdr:row>4</xdr:row>
      <xdr:rowOff>155783</xdr:rowOff>
    </xdr:to>
    <xdr:pic>
      <xdr:nvPicPr>
        <xdr:cNvPr id="2" name="Picture 1">
          <a:extLst>
            <a:ext uri="{FF2B5EF4-FFF2-40B4-BE49-F238E27FC236}">
              <a16:creationId xmlns:a16="http://schemas.microsoft.com/office/drawing/2014/main" id="{7A417CA3-B80F-4999-8193-CD2327D9092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75" y="0"/>
          <a:ext cx="901302" cy="803483"/>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28575</xdr:colOff>
          <xdr:row>6</xdr:row>
          <xdr:rowOff>142875</xdr:rowOff>
        </xdr:from>
        <xdr:to>
          <xdr:col>8</xdr:col>
          <xdr:colOff>409575</xdr:colOff>
          <xdr:row>7</xdr:row>
          <xdr:rowOff>114300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643C3FF4-E0B7-41CD-A690-7D6EC63B93E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8000"/>
                  </a:solidFill>
                  <a:latin typeface="Calibri"/>
                  <a:cs typeface="Calibri"/>
                </a:rPr>
                <a:t>Create PDFs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7</xdr:row>
          <xdr:rowOff>161925</xdr:rowOff>
        </xdr:from>
        <xdr:to>
          <xdr:col>8</xdr:col>
          <xdr:colOff>409575</xdr:colOff>
          <xdr:row>8</xdr:row>
          <xdr:rowOff>142875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E7976FE9-F36A-4A2F-9029-C71927B950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FF6600"/>
                  </a:solidFill>
                  <a:latin typeface="Calibri"/>
                  <a:cs typeface="Calibri"/>
                </a:rPr>
                <a:t>Email PDFs</a:t>
              </a:r>
            </a:p>
          </xdr:txBody>
        </xdr:sp>
        <xdr:clientData fLocksWithSheet="0"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5FA948C-B54F-4A8B-9FA6-83EA290A8C3D}" name="Table1" displayName="Table1" ref="A1:FP247" totalsRowShown="0" headerRowDxfId="372" dataDxfId="371" tableBorderDxfId="370">
  <autoFilter ref="A1:FP247" xr:uid="{384260E5-42FB-4719-8468-FB693914F970}"/>
  <sortState xmlns:xlrd2="http://schemas.microsoft.com/office/spreadsheetml/2017/richdata2" ref="A2:FP227">
    <sortCondition ref="D1:D227"/>
  </sortState>
  <tableColumns count="172">
    <tableColumn id="1" xr3:uid="{C7536561-0520-4A77-9AB5-233000FD725F}" name="SyStudentId" dataDxfId="369"/>
    <tableColumn id="4" xr3:uid="{F6D4B3EC-F339-48FF-A8C9-5710E9C1049A}" name="LastName" dataDxfId="368">
      <calculatedColumnFormula>VLOOKUP(Table1[[#This Row],[SyStudentId]],SSR!$A$2:$CC$4982,4,FALSE)</calculatedColumnFormula>
    </tableColumn>
    <tableColumn id="5" xr3:uid="{77B47849-A91F-49A6-B709-3B01C9381D2A}" name="FirstName" dataDxfId="367">
      <calculatedColumnFormula>VLOOKUP(Table1[[#This Row],[SyStudentId]],SSR!$A$2:$CC$4982,5,FALSE)</calculatedColumnFormula>
    </tableColumn>
    <tableColumn id="6" xr3:uid="{C9E60675-9558-41F8-BDC1-557DA8D70418}" name="StudentName" dataDxfId="366">
      <calculatedColumnFormula>VLOOKUP(Table1[[#This Row],[SyStudentId]],SSR!$A$2:$CC$4982,6,FALSE)</calculatedColumnFormula>
    </tableColumn>
    <tableColumn id="214" xr3:uid="{FD4F00A9-4188-41DA-9EF5-1DEB92283721}" name="StudentNameConCat" dataDxfId="365"/>
    <tableColumn id="7" xr3:uid="{D7B2C790-DE08-4ACC-AAFB-5DA00DE80F6A}" name="#Atmpts" dataDxfId="364"/>
    <tableColumn id="8" xr3:uid="{8261ED97-9BAE-4219-99CC-A63AC1603357}" name="1stCon" dataDxfId="363"/>
    <tableColumn id="9" xr3:uid="{420CE4F9-FD5D-4A69-8030-6987302ECF75}" name="LstCon" dataDxfId="362"/>
    <tableColumn id="10" xr3:uid="{70BDC053-9279-4879-8509-7105F392E655}" name="LstAtmpt" dataDxfId="361"/>
    <tableColumn id="11" xr3:uid="{6851B19C-99AE-4BD9-9D22-8E33116B1E73}" name="Notes" dataDxfId="360"/>
    <tableColumn id="12" xr3:uid="{83DD1E75-ACCE-4FAA-B76C-01D438A839F5}" name="Color" dataDxfId="359"/>
    <tableColumn id="2" xr3:uid="{25701523-16C2-45DB-BBAE-3402D66270D9}" name="D/I" dataDxfId="358">
      <calculatedColumnFormula>IFERROR(VLOOKUP(Table1[[#This Row],[SyStudentId]],ISIR!$A$2:$X$999,11,FALSE),"")</calculatedColumnFormula>
    </tableColumn>
    <tableColumn id="13" xr3:uid="{C30287FD-F727-4FE6-9374-4DB633F07B64}" name="email" dataDxfId="357">
      <calculatedColumnFormula>VLOOKUP(Table1[[#This Row],[SyStudentId]],SSR!$A$2:$CC$4982,7,FALSE)</calculatedColumnFormula>
    </tableColumn>
    <tableColumn id="14" xr3:uid="{5709F4E5-4FDD-4955-B043-7515D1AFC6F2}" name="Address" dataDxfId="356">
      <calculatedColumnFormula>VLOOKUP(Table1[[#This Row],[SyStudentId]],SSR!$A$2:$CC$4982,8,FALSE)</calculatedColumnFormula>
    </tableColumn>
    <tableColumn id="15" xr3:uid="{15FDBF73-E0DE-4EC6-A0AC-2978753127BB}" name="City" dataDxfId="355">
      <calculatedColumnFormula>VLOOKUP(Table1[[#This Row],[SyStudentId]],SSR!$A$2:$CC$4982,9,FALSE)</calculatedColumnFormula>
    </tableColumn>
    <tableColumn id="16" xr3:uid="{8BFAA98D-94A3-470B-AB17-E3B845C6C442}" name="State" dataDxfId="354">
      <calculatedColumnFormula>VLOOKUP(Table1[[#This Row],[SyStudentId]],SSR!$A$2:$CC$4982,10,FALSE)</calculatedColumnFormula>
    </tableColumn>
    <tableColumn id="17" xr3:uid="{3DD7945D-6C2B-4C6A-A5EB-D37FE32F2B52}" name="Zip" dataDxfId="353">
      <calculatedColumnFormula>VLOOKUP(Table1[[#This Row],[SyStudentId]],SSR!$A$2:$CC$4982,11,FALSE)</calculatedColumnFormula>
    </tableColumn>
    <tableColumn id="21" xr3:uid="{38252D48-67A1-4F32-BB39-9440E44438A1}" name="HSGPA" dataDxfId="352">
      <calculatedColumnFormula>VLOOKUP(Table1[[#This Row],[SyStudentId]],SSR!$A$2:$CC$4982,15,FALSE)</calculatedColumnFormula>
    </tableColumn>
    <tableColumn id="28" xr3:uid="{571BD76D-2326-4287-A60C-F6B84B3CC7DC}" name="ExpStartDate" dataDxfId="351">
      <calculatedColumnFormula>VLOOKUP(Table1[[#This Row],[SyStudentId]],SSR!$A$2:$CC$4982,22,FALSE)</calculatedColumnFormula>
    </tableColumn>
    <tableColumn id="30" xr3:uid="{5E43D961-510D-43D6-B062-9ED9EFAD1D40}" name="Rep" dataDxfId="350">
      <calculatedColumnFormula>VLOOKUP(Table1[[#This Row],[SyStudentId]],SSR!$A$2:$CC$4982,24,FALSE)</calculatedColumnFormula>
    </tableColumn>
    <tableColumn id="32" xr3:uid="{85B12DA0-6161-48B1-9AD0-E0E0CB40EAA1}" name="Gender" dataDxfId="349">
      <calculatedColumnFormula>IF(VLOOKUP(Table1[[#This Row],[SyStudentId]],SSR!$A$2:$CC$4982,26,FALSE)=0,"Not Selected",VLOOKUP(Table1[[#This Row],[SyStudentId]],SSR!$A$2:$CC$4982,26,FALSE))</calculatedColumnFormula>
    </tableColumn>
    <tableColumn id="33" xr3:uid="{48CEC500-93DE-4A9B-8211-79B7C5BA168C}" name="Code" dataDxfId="348">
      <calculatedColumnFormula>VLOOKUP(Table1[[#This Row],[SyStudentId]],SSR!$A$2:$CC$4982,27,FALSE)</calculatedColumnFormula>
    </tableColumn>
    <tableColumn id="34" xr3:uid="{8A7EF696-FD1F-4784-8DF8-2481ECBED206}" name="FAA" dataDxfId="347">
      <calculatedColumnFormula>VLOOKUP(LEFT(Table1[[#This Row],[LastName]],1),Alpha!$A$1:$B$26,2,FALSE)</calculatedColumnFormula>
    </tableColumn>
    <tableColumn id="35" xr3:uid="{7D551C4B-1932-441C-8F0C-020BEFDC5DD3}" name="FAAEmail" dataDxfId="346">
      <calculatedColumnFormula>VLOOKUP(Table1[[#This Row],[FAA]],Alpha!$B$1:$D$26,2,FALSE)</calculatedColumnFormula>
    </tableColumn>
    <tableColumn id="36" xr3:uid="{F2228698-91C4-4797-BBDC-B5DBD1336B87}" name="FAAPhone" dataDxfId="345">
      <calculatedColumnFormula>VLOOKUP(Table1[[#This Row],[FAA]],Alpha!$B$1:$D$26,3,FALSE)</calculatedColumnFormula>
    </tableColumn>
    <tableColumn id="39" xr3:uid="{2E748633-0D4D-48C6-8039-4E38858ECF4C}" name="Status" dataDxfId="344">
      <calculatedColumnFormula>VLOOKUP(Table1[[#This Row],[SyStudentId]],SSR!$A$2:$CC$4982,30,FALSE)</calculatedColumnFormula>
    </tableColumn>
    <tableColumn id="44" xr3:uid="{85DEDF2B-AE42-4C45-B050-D5B59A0A6DE6}" name="IntProg" dataDxfId="343">
      <calculatedColumnFormula>IF(VLOOKUP(Table1[[#This Row],[SyStudentId]],SSR!$A$2:$CC$4982,36,FALSE)="Bachelor of Science","BS Computer Science","Check Program")</calculatedColumnFormula>
    </tableColumn>
    <tableColumn id="46" xr3:uid="{4E57F8CD-1C04-4D24-9437-463ECE4742D1}" name="Act" dataDxfId="342">
      <calculatedColumnFormula>VLOOKUP(Table1[[#This Row],[SyStudentId]],SSR!$A$2:$CC$4982,37,FALSE)</calculatedColumnFormula>
    </tableColumn>
    <tableColumn id="51" xr3:uid="{A4CDEF1A-1DF1-4D3F-9A39-AFEF38F47655}" name="Sat" dataDxfId="341">
      <calculatedColumnFormula>VLOOKUP(Table1[[#This Row],[SyStudentId]],SSR!$A$2:$CC$4982,42,FALSE)</calculatedColumnFormula>
    </tableColumn>
    <tableColumn id="55" xr3:uid="{79CB0A26-0C84-44B5-B5DC-C8EE4207C2B9}" name="IndexScore" dataDxfId="340">
      <calculatedColumnFormula>VLOOKUP(Table1[[#This Row],[SyStudentId]],SSR!$A$2:$CC$4982,46,FALSE)</calculatedColumnFormula>
    </tableColumn>
    <tableColumn id="74" xr3:uid="{D95F3EDA-F42A-49BF-AB22-9E927C0E692B}" name="AccRating" dataDxfId="339">
      <calculatedColumnFormula>VLOOKUP(Table1[[#This Row],[SyStudentId]],SSR!$A$2:$CC$4982,65,FALSE)</calculatedColumnFormula>
    </tableColumn>
    <tableColumn id="208" xr3:uid="{B6B0BCF8-DD30-4397-85C4-320AFFE97FDF}" name="Rank" dataDxfId="338">
      <calculatedColumnFormula>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calculatedColumnFormula>
    </tableColumn>
    <tableColumn id="75" xr3:uid="{037153CE-A12F-4646-92CF-D21FB71BBAD8}" name="AccCom" dataDxfId="337">
      <calculatedColumnFormula>VLOOKUP(Table1[[#This Row],[SyStudentId]],SSR!$A$2:$CC$4982,66,FALSE)</calculatedColumnFormula>
    </tableColumn>
    <tableColumn id="210" xr3:uid="{CAE26E06-4CB1-47F6-BF17-61E6C3B2D625}" name="EFCRaw" dataDxfId="336">
      <calculatedColumnFormula>IFERROR(VLOOKUP(Table1[[#This Row],[SyStudentId]],ISIR!$A$2:$X$999,7,FALSE),"")</calculatedColumnFormula>
    </tableColumn>
    <tableColumn id="19" xr3:uid="{849EA88F-94A9-4879-B4EB-F4E35FD0AC61}" name="EFC" dataDxfId="335">
      <calculatedColumnFormula>IF(Table1[[#This Row],[EFCRaw]]="","",IF(Table1[[#This Row],[EFCRaw]]="No EFC","No EFC",_xlfn.NUMBERVALUE(Table1[[#This Row],[EFCRaw]])))</calculatedColumnFormula>
    </tableColumn>
    <tableColumn id="209" xr3:uid="{AF39E617-D611-4855-9BAA-99074D272E70}" name="EFCDate" dataDxfId="334">
      <calculatedColumnFormula>IFERROR(VLOOKUP(Table1[[#This Row],[SyStudentId]],ISIR!$A$2:$X$4999,19,FALSE),"")</calculatedColumnFormula>
    </tableColumn>
    <tableColumn id="211" xr3:uid="{482E5E4C-3D7A-4060-A46D-A68EC202658D}" name="VerReq" dataDxfId="333">
      <calculatedColumnFormula>IFERROR(VLOOKUP(Table1[[#This Row],[SyStudentId]],ISIR!$A$2:$X$4999,8,FALSE),"")</calculatedColumnFormula>
    </tableColumn>
    <tableColumn id="212" xr3:uid="{A832AE71-4E11-4605-8E7C-BFF0C8E25A14}" name="VerCom" dataDxfId="332">
      <calculatedColumnFormula>IF(Table1[[#This Row],[VerReq]]="N","n/a","")</calculatedColumnFormula>
    </tableColumn>
    <tableColumn id="3" xr3:uid="{C2E6A2EF-52A2-4590-93B1-6DF991E38375}" name="ALESent" dataDxfId="331"/>
    <tableColumn id="25" xr3:uid="{AFF8FE38-6C6E-4E15-B540-5F7CFBC40B79}" name="Interview" dataDxfId="330"/>
    <tableColumn id="26" xr3:uid="{71A79CED-CF5E-4327-B2F8-9457216D9FFE}" name="FAQ" dataDxfId="329"/>
    <tableColumn id="27" xr3:uid="{EFCFC318-A077-4D20-BE17-718125021EAB}" name="FERPA" dataDxfId="328"/>
    <tableColumn id="29" xr3:uid="{5DF37E80-A7F2-4E74-837B-6A49386834F1}" name="SCB" dataDxfId="327"/>
    <tableColumn id="31" xr3:uid="{3B03D0C4-8C8B-4A19-88C6-4780042BFCC4}" name="EC" dataDxfId="326"/>
    <tableColumn id="37" xr3:uid="{4A09521C-DE76-4379-9AB1-F9830ED19EAD}" name="SMPN" dataDxfId="325"/>
    <tableColumn id="38" xr3:uid="{7EC945FA-A9E3-4D10-A6E8-B9DD92714C02}" name="PCC" dataDxfId="324"/>
    <tableColumn id="40" xr3:uid="{F397725C-3EEB-482F-B247-F0617C4AA5FA}" name="PCB" dataDxfId="323"/>
    <tableColumn id="41" xr3:uid="{6D93BBAD-86AC-4BC9-81E7-8026C0AFE74F}" name="PlusApp" dataDxfId="322"/>
    <tableColumn id="42" xr3:uid="{18D2D07F-C11C-4DE0-AD39-C53FAC3CC6C9}" name="PMPN" dataDxfId="321"/>
    <tableColumn id="43" xr3:uid="{B033DFC5-9ACE-485A-B784-3F3D5BD197C8}" name="PrivApp" dataDxfId="320"/>
    <tableColumn id="45" xr3:uid="{1B3FC672-61F2-45E6-8F46-C53F364C9043}" name="TPP" dataDxfId="319"/>
    <tableColumn id="47" xr3:uid="{AB2222E2-FF5F-47E1-879A-8EA7B1CAE934}" name="TOApp" dataDxfId="318"/>
    <tableColumn id="48" xr3:uid="{ECCF2309-2754-484F-A949-ECC086D1D059}" name="TO_E-Sign" dataDxfId="317"/>
    <tableColumn id="49" xr3:uid="{30B4F65F-FD23-4F50-91EA-1096693E476D}" name="VACert" dataDxfId="316"/>
    <tableColumn id="50" xr3:uid="{F94579C9-DA2F-418C-AC2E-D0BCADD24042}" name="DD214" dataDxfId="315"/>
    <tableColumn id="54" xr3:uid="{496A02A8-B100-45B0-A471-34EDF4E71D2D}" name="V-HHSNIC" dataDxfId="314">
      <calculatedColumnFormula>IF(Table1[[#This Row],[VerReq]]="N","x","")</calculatedColumnFormula>
    </tableColumn>
    <tableColumn id="56" xr3:uid="{2CDD1649-62B6-4E64-8C25-B332908B58D5}" name="V-SNonFiler" dataDxfId="313">
      <calculatedColumnFormula>IF(Table1[[#This Row],[VerReq]]="N","x","")</calculatedColumnFormula>
    </tableColumn>
    <tableColumn id="57" xr3:uid="{5B1889D2-1C50-4EC9-9788-AC0F13B8574E}" name="V-PNonFiler" dataDxfId="312">
      <calculatedColumnFormula>IF(Table1[[#This Row],[VerReq]]="N","x","")</calculatedColumnFormula>
    </tableColumn>
    <tableColumn id="58" xr3:uid="{37FAD3D2-B4DA-4707-9D4D-303741EA2548}" name="V-ID" dataDxfId="311">
      <calculatedColumnFormula>IF(Table1[[#This Row],[VerReq]]="N","x","")</calculatedColumnFormula>
    </tableColumn>
    <tableColumn id="59" xr3:uid="{6001410C-72D3-4913-BEEE-B45159E4A2E6}" name="DRT" dataDxfId="310">
      <calculatedColumnFormula>IF(Table1[[#This Row],[VerReq]]="N","x","")</calculatedColumnFormula>
    </tableColumn>
    <tableColumn id="60" xr3:uid="{C109484E-E4D4-4F33-BF97-CD891F6A7B0F}" name="TaxTran" dataDxfId="309">
      <calculatedColumnFormula>IF(Table1[[#This Row],[VerReq]]="N","x","")</calculatedColumnFormula>
    </tableColumn>
    <tableColumn id="77" xr3:uid="{6B234E19-FF44-4DF9-BF3B-3A0CA2D3CB8F}" name="%Complete" dataDxfId="308" dataCellStyle="Percent">
      <calculatedColumnFormula>1-((COUNTBLANK(Table1[[#This Row],[ALESent]:[TaxTran]]))/(COUNT(Table1[[#This Row],[ALESent]:[TaxTran]])+COUNTBLANK(Table1[[#This Row],[ALESent]:[TaxTran]])))</calculatedColumnFormula>
    </tableColumn>
    <tableColumn id="91" xr3:uid="{2EFE4B1D-F19B-4A44-B642-00E684055388}" name="AYStart" dataDxfId="307">
      <calculatedColumnFormula>IF(VLOOKUP(Table1[[#This Row],[SyStudentId]],SSR!$A$2:$CC$4982,22,FALSE)=44109,44109,"Check Program")</calculatedColumnFormula>
    </tableColumn>
    <tableColumn id="92" xr3:uid="{37C6BD0A-2759-49F1-B7F5-43B10A9F8C9E}" name="AYEnd" dataDxfId="306">
      <calculatedColumnFormula>IF(Table1[[#This Row],[AYStart]]=44109,44356,"Check Program")</calculatedColumnFormula>
    </tableColumn>
    <tableColumn id="93" xr3:uid="{927D5BD5-527A-43C5-96C3-3A005EE2223A}" name="T&amp;FQ1" dataDxfId="305"/>
    <tableColumn id="94" xr3:uid="{55E7229C-EAB1-4755-B6BA-E4FB5231DD0F}" name="T&amp;FQ2" dataDxfId="304"/>
    <tableColumn id="95" xr3:uid="{34F4FDB8-77EC-4EB8-8E40-7EFB232D762C}" name="T&amp;FQ3" dataDxfId="303"/>
    <tableColumn id="96" xr3:uid="{48970C1E-1A8F-4A05-B445-B14A0FF2C480}" name="T&amp;FTot" dataDxfId="302">
      <calculatedColumnFormula>SUM(BM2:BO2)</calculatedColumnFormula>
    </tableColumn>
    <tableColumn id="97" xr3:uid="{AE221BF3-179E-4A61-8425-5065E91556FA}" name="B&amp;SQ1" dataDxfId="301"/>
    <tableColumn id="98" xr3:uid="{386FBA0C-0661-4372-95D7-9FF1406BE940}" name="B&amp;SQ2" dataDxfId="300"/>
    <tableColumn id="99" xr3:uid="{8BFCD28D-DAB3-4A1F-B9AA-EF4B36682DA8}" name="B&amp;SQ3" dataDxfId="299"/>
    <tableColumn id="100" xr3:uid="{E7158648-AB25-4529-8892-52128581ABF4}" name="B&amp;STot" dataDxfId="298">
      <calculatedColumnFormula>SUM(BQ2:BS2)</calculatedColumnFormula>
    </tableColumn>
    <tableColumn id="109" xr3:uid="{88622267-AC8D-43A7-B1D7-4C93F7217CF6}" name="HousQ1" dataDxfId="297"/>
    <tableColumn id="110" xr3:uid="{BFEE6599-EFD5-4E96-839F-7BE2CD39C9DD}" name="HousQ2" dataDxfId="296"/>
    <tableColumn id="111" xr3:uid="{EDA24178-F317-4BE7-BAEE-D88C7A8F9539}" name="HousQ3" dataDxfId="295"/>
    <tableColumn id="112" xr3:uid="{EA49A0B2-F830-4AD8-8170-0DDFEFE6F9DB}" name="HousTot" dataDxfId="294">
      <calculatedColumnFormula>SUM(BU2:BW2)</calculatedColumnFormula>
    </tableColumn>
    <tableColumn id="78" xr3:uid="{590E25F2-178A-43CD-B216-8FD8AE3F5C62}" name="LEQ1" dataDxfId="293"/>
    <tableColumn id="79" xr3:uid="{C8C26D9D-C941-4864-81E7-9D50CEEF8D5A}" name="LEQ2" dataDxfId="292"/>
    <tableColumn id="80" xr3:uid="{33A4B5A6-60CE-4E1D-A11E-A0E94AD3D7CD}" name="LEQ3" dataDxfId="291"/>
    <tableColumn id="81" xr3:uid="{2BA2A25B-99B3-4050-ABA7-DFAD4D78A28D}" name="LETot" dataDxfId="290">
      <calculatedColumnFormula>SUM(Table1[[#This Row],[LEQ1]:[LEQ3]])</calculatedColumnFormula>
    </tableColumn>
    <tableColumn id="82" xr3:uid="{2F898005-7B0D-47FE-BED4-DE9ECFD5CE97}" name="OthCostQ1" dataDxfId="289"/>
    <tableColumn id="83" xr3:uid="{3EAC28B7-BFC2-4D99-BA42-72B76B2E3D81}" name="OthCostQ2" dataDxfId="288"/>
    <tableColumn id="84" xr3:uid="{04E67206-01EB-48F4-BDAA-A60619F701D5}" name="OthCostQ3" dataDxfId="287"/>
    <tableColumn id="85" xr3:uid="{4C3DA3A7-6966-44BA-95E4-3AE5967A22B7}" name="OthCostTot" dataDxfId="286">
      <calculatedColumnFormula>SUM(Table1[[#This Row],[OthCostQ1]:[OthCostQ3]])</calculatedColumnFormula>
    </tableColumn>
    <tableColumn id="18" xr3:uid="{E13CF172-9D3E-4F06-9660-9310908AB7B5}" name="CostTot" dataDxfId="285">
      <calculatedColumnFormula>(Table1[[#This Row],[T&amp;FTot]]+Table1[[#This Row],[B&amp;STot]]+Table1[[#This Row],[HousTot]]+Table1[[#This Row],[LETot]]+Table1[[#This Row],[OthCostTot]])</calculatedColumnFormula>
    </tableColumn>
    <tableColumn id="113" xr3:uid="{38F2BC57-8C15-423C-813B-DBC1BC1227A6}" name="SEOGQ1" dataDxfId="284"/>
    <tableColumn id="114" xr3:uid="{8B6B3EEF-DB2B-4481-9483-E6754FC03910}" name="SEOGQ2" dataDxfId="283"/>
    <tableColumn id="115" xr3:uid="{C6B30A91-D2BB-47BF-83E9-15A9DDFA1A3C}" name="SEOGQ3" dataDxfId="282"/>
    <tableColumn id="116" xr3:uid="{CCDE299D-89AE-4DAA-9133-089EBDC78866}" name="SEOGTot" dataDxfId="281">
      <calculatedColumnFormula>SUM(Table1[[#This Row],[SEOGQ1]:[SEOGQ3]])</calculatedColumnFormula>
    </tableColumn>
    <tableColumn id="102" xr3:uid="{0DE5F233-8976-4A22-A51B-8C8BA37E10C1}" name="PellQ1" dataDxfId="280">
      <calculatedColumnFormula>IFERROR(ROUNDUP(Table1[[#This Row],[PellTot]]/3,0),0)</calculatedColumnFormula>
    </tableColumn>
    <tableColumn id="103" xr3:uid="{035E7EF7-A492-416E-BA6F-FD9F9572DA97}" name="PellQ2" dataDxfId="279">
      <calculatedColumnFormula>IFERROR(ROUND(Table1[[#This Row],[PellTot]]/3,0),0)</calculatedColumnFormula>
    </tableColumn>
    <tableColumn id="104" xr3:uid="{4B9E98E4-B686-47E8-96BC-AE914B6EA51C}" name="PellQ3" dataDxfId="278">
      <calculatedColumnFormula>IFERROR(ROUNDDOWN(Table1[[#This Row],[PellTot]]/3,0),0)</calculatedColumnFormula>
    </tableColumn>
    <tableColumn id="105" xr3:uid="{B42DD105-FD94-411C-92D9-E310F19EB9BA}" name="PellTot" dataDxfId="277">
      <calculatedColumnFormula>IFERROR(LOOKUP(Table1[EFC],Pell_Table[#Data],Pell_Table[Pell Amt]),0)</calculatedColumnFormula>
    </tableColumn>
    <tableColumn id="53" xr3:uid="{EA86DF8A-E5E3-48DA-A437-BB0F0184138A}" name="AccessQ1" dataDxfId="276">
      <calculatedColumnFormula>Table1[[#This Row],[AccessTot]]/3</calculatedColumnFormula>
    </tableColumn>
    <tableColumn id="61" xr3:uid="{0786D40D-B2BC-4852-B0C4-EC3D43C1E913}" name="AccessQ2" dataDxfId="275">
      <calculatedColumnFormula>Table1[[#This Row],[AccessTot]]/3</calculatedColumnFormula>
    </tableColumn>
    <tableColumn id="62" xr3:uid="{9A065644-30EE-4ABA-B6DB-1929091903AE}" name="AccessQ3" dataDxfId="274">
      <calculatedColumnFormula>Table1[[#This Row],[AccessTot]]/3</calculatedColumnFormula>
    </tableColumn>
    <tableColumn id="63" xr3:uid="{8ABBF49E-A437-4DEC-8BA1-F8DA093FD313}" name="AccessTot" dataDxfId="273">
      <calculatedColumnFormula>IF(Table1[[#This Row],[PellTot]]&gt;0,1500,0)</calculatedColumnFormula>
    </tableColumn>
    <tableColumn id="64" xr3:uid="{9A88608F-5817-4F63-93D9-9CCD6D4F016B}" name="AchiQ1" dataDxfId="272">
      <calculatedColumnFormula>Table1[[#This Row],[AchiTot]]/3</calculatedColumnFormula>
    </tableColumn>
    <tableColumn id="65" xr3:uid="{F9C8CFA1-7879-4083-B042-3D9A5ED09226}" name="AchiQ2" dataDxfId="271">
      <calculatedColumnFormula>Table1[[#This Row],[AchiTot]]/3</calculatedColumnFormula>
    </tableColumn>
    <tableColumn id="66" xr3:uid="{C5FB826A-174C-44AA-BB48-96F403DBBFDD}" name="AchiQ3" dataDxfId="270">
      <calculatedColumnFormula>Table1[[#This Row],[AchiTot]]/3</calculatedColumnFormula>
    </tableColumn>
    <tableColumn id="67" xr3:uid="{F2FD23D9-1734-44D8-8A3F-B8506A187ED1}" name="AchiTot" dataDxfId="269">
      <calculatedColumnFormula>IF(Table1[[#This Row],[Rank]]="","",IF(Table1[[#This Row],[Rank]]=1,5100,IF(Table1[[#This Row],[Rank]]=2,4500,IF(Table1[[#This Row],[Rank]]=3,3900,IF(Table1[[#This Row],[Rank]]=4,3750,IF(Table1[[#This Row],[Rank]]=5,3000,IF(Table1[[#This Row],[Rank]]=6,2250,0)))))))</calculatedColumnFormula>
    </tableColumn>
    <tableColumn id="68" xr3:uid="{15101BA1-225E-4D4B-9EA3-AAC539873F58}" name="UTQ1" dataDxfId="268">
      <calculatedColumnFormula>Table1[[#This Row],[UTTot]]/3</calculatedColumnFormula>
    </tableColumn>
    <tableColumn id="69" xr3:uid="{AC720955-5C5A-46B1-8089-0B757C9CC698}" name="UTQ2" dataDxfId="267">
      <calculatedColumnFormula>Table1[[#This Row],[UTTot]]/3</calculatedColumnFormula>
    </tableColumn>
    <tableColumn id="70" xr3:uid="{934E186E-B72A-4400-8F1E-805A85E96123}" name="UTQ3" dataDxfId="266">
      <calculatedColumnFormula>Table1[[#This Row],[UTTot]]/3</calculatedColumnFormula>
    </tableColumn>
    <tableColumn id="71" xr3:uid="{4711F434-9893-4D8E-A352-51785147CEA1}" name="UTTot" dataDxfId="265">
      <calculatedColumnFormula>IF(Table1[[#This Row],[State]]="UT",9000,0)</calculatedColumnFormula>
    </tableColumn>
    <tableColumn id="72" xr3:uid="{47F7AA21-ED1F-42C2-9094-55CC3284C161}" name="WITQ1" dataDxfId="264">
      <calculatedColumnFormula>Table1[[#This Row],[WITTot]]/3</calculatedColumnFormula>
    </tableColumn>
    <tableColumn id="73" xr3:uid="{7F1D3E68-1244-48D1-AC0E-9D26F576B379}" name="WITQ2" dataDxfId="263">
      <calculatedColumnFormula>Table1[[#This Row],[WITTot]]/3</calculatedColumnFormula>
    </tableColumn>
    <tableColumn id="76" xr3:uid="{6070C085-9AB5-4929-A7A3-303EF4955299}" name="WITQ3" dataDxfId="262">
      <calculatedColumnFormula>Table1[[#This Row],[WITTot]]/3</calculatedColumnFormula>
    </tableColumn>
    <tableColumn id="86" xr3:uid="{F2B5A202-525C-433E-8C39-7736D375D5C9}" name="WITTot" dataDxfId="261">
      <calculatedColumnFormula>IF(Table1[[#This Row],[Gender]]="Female",3000,0)</calculatedColumnFormula>
    </tableColumn>
    <tableColumn id="87" xr3:uid="{51DC0E11-7A4D-4E2A-A7B2-285E42C57458}" name="SerQ1" dataDxfId="260">
      <calculatedColumnFormula>Table1[[#This Row],[SerTot]]/3</calculatedColumnFormula>
    </tableColumn>
    <tableColumn id="88" xr3:uid="{C61D001F-DA1E-451C-A6D5-2B9257C2DCD4}" name="SerQ2" dataDxfId="259">
      <calculatedColumnFormula>Table1[[#This Row],[SerTot]]/3</calculatedColumnFormula>
    </tableColumn>
    <tableColumn id="89" xr3:uid="{E418A470-5CD1-4FC9-8CEE-AD7FE46E72BA}" name="SerQ3" dataDxfId="258">
      <calculatedColumnFormula>Table1[[#This Row],[SerTot]]/3</calculatedColumnFormula>
    </tableColumn>
    <tableColumn id="90" xr3:uid="{5F948433-5739-4AE7-8421-1F447B642B0A}" name="SerTot" dataDxfId="257"/>
    <tableColumn id="117" xr3:uid="{C8F04189-4CAB-40A2-BD6E-5430D47F281B}" name="TranQ1" dataDxfId="256"/>
    <tableColumn id="118" xr3:uid="{95BC8C37-14D4-48CA-AE33-6B4C7EC37662}" name="TranQ2" dataDxfId="255"/>
    <tableColumn id="119" xr3:uid="{FF4ACC85-C64E-4738-A98F-8935D6FF666C}" name="TranQ3" dataDxfId="254"/>
    <tableColumn id="120" xr3:uid="{5FA8DB38-0121-4990-A9B0-CBA75E9B4DB0}" name="TranTot" dataDxfId="253"/>
    <tableColumn id="106" xr3:uid="{3A890B1E-067E-4046-AC42-B6D7A7848EE1}" name="MatQ1" dataDxfId="252">
      <calculatedColumnFormula>Table1[[#This Row],[MatTot]]/3</calculatedColumnFormula>
    </tableColumn>
    <tableColumn id="107" xr3:uid="{EA4233C7-9CA9-4ED2-9367-4370163AE2F1}" name="MatQ2" dataDxfId="251">
      <calculatedColumnFormula>Table1[[#This Row],[MatTot]]/3</calculatedColumnFormula>
    </tableColumn>
    <tableColumn id="108" xr3:uid="{7C96A12F-F9D1-4A1C-9EFF-44559B63FAFA}" name="MatQ3" dataDxfId="250">
      <calculatedColumnFormula>Table1[[#This Row],[MatTot]]/3</calculatedColumnFormula>
    </tableColumn>
    <tableColumn id="121" xr3:uid="{86695AD8-FCBF-4110-A3EB-9DC111240AEA}" name="MatTot" dataDxfId="249"/>
    <tableColumn id="122" xr3:uid="{A4ACB26C-A886-4CB9-B059-B1A748E71B6A}" name="OutQ1" dataDxfId="248">
      <calculatedColumnFormula>Table1[[#This Row],[OutTot]]/3</calculatedColumnFormula>
    </tableColumn>
    <tableColumn id="123" xr3:uid="{801C2C52-7DA1-4D05-BE9D-BCBB8088B7D2}" name="OutQ2" dataDxfId="247">
      <calculatedColumnFormula>Table1[[#This Row],[OutTot]]/3</calculatedColumnFormula>
    </tableColumn>
    <tableColumn id="124" xr3:uid="{DF31E6BE-0AE2-4322-98D2-172B2AA52701}" name="OutQ3" dataDxfId="246">
      <calculatedColumnFormula>Table1[[#This Row],[OutTot]]/3</calculatedColumnFormula>
    </tableColumn>
    <tableColumn id="125" xr3:uid="{E06D53AD-01D6-44CE-9842-C5EAEEE7708B}" name="OutTot" dataDxfId="245"/>
    <tableColumn id="157" xr3:uid="{BBBF2498-1F8E-4852-9560-9E316F62B57B}" name="VAQ1" dataDxfId="244"/>
    <tableColumn id="158" xr3:uid="{CA5535A5-BFEA-4075-AB60-5B585830681B}" name="VAQ2" dataDxfId="243"/>
    <tableColumn id="159" xr3:uid="{9553CF90-5988-4521-858F-30422C5EEFB9}" name="VAQ3" dataDxfId="242"/>
    <tableColumn id="160" xr3:uid="{419941DA-4364-4FDE-8693-264269A656A7}" name="VATot" dataDxfId="241">
      <calculatedColumnFormula>SUM(Table1[[#This Row],[VAQ1]:[VAQ3]])</calculatedColumnFormula>
    </tableColumn>
    <tableColumn id="173" xr3:uid="{A81FD222-C07E-47E6-BE08-4D2FC38F0537}" name="OthGrantQ1" dataDxfId="240"/>
    <tableColumn id="174" xr3:uid="{6B43947A-E256-4077-BD14-75BE5549AD0D}" name="OthGrantQ2" dataDxfId="239"/>
    <tableColumn id="175" xr3:uid="{06B8552F-F118-4B74-A40E-32FC877C990F}" name="OthGrantQ3" dataDxfId="238"/>
    <tableColumn id="176" xr3:uid="{AFFE32FC-B237-41D9-A94E-8EBDEECA3035}" name="OthGrantTot" dataDxfId="237">
      <calculatedColumnFormula>SUM(Table1[[#This Row],[OthGrantQ1]:[OthGrantQ3]])</calculatedColumnFormula>
    </tableColumn>
    <tableColumn id="126" xr3:uid="{38AC6C6F-7544-40D0-AF2A-2276F9EAA361}" name="GiftTot" dataDxfId="236">
      <calculatedColumnFormula>Table1[[#This Row],[SEOGTot]]+Table1[[#This Row],[PellTot]]+Table1[[#This Row],[AccessTot]]+Table1[[#This Row],[AchiTot]]+Table1[[#This Row],[UTTot]]+Table1[[#This Row],[WITTot]]+Table1[[#This Row],[SerTot]]+Table1[[#This Row],[TranTot]]+Table1[[#This Row],[MatTot]]+Table1[[#This Row],[OutTot]]+Table1[[#This Row],[VATot]]+Table1[[#This Row],[OthGrantTot]]</calculatedColumnFormula>
    </tableColumn>
    <tableColumn id="177" xr3:uid="{955E4418-17FE-4380-8000-6ED419EE9A69}" name="CashQ1" dataDxfId="235"/>
    <tableColumn id="178" xr3:uid="{2E53B6FC-C9D1-4649-BDA3-F6D810EBFD7E}" name="CashQ2" dataDxfId="234"/>
    <tableColumn id="179" xr3:uid="{2DE27026-DE91-4EB3-A155-36953BE85736}" name="CashQ3" dataDxfId="233"/>
    <tableColumn id="180" xr3:uid="{087BF85D-6029-40F8-890C-CE43E233CE18}" name="CashTot" dataDxfId="232">
      <calculatedColumnFormula>SUM(Table1[[#This Row],[CashQ1]]:Table1[[#This Row],[CashQ3]])</calculatedColumnFormula>
    </tableColumn>
    <tableColumn id="181" xr3:uid="{1FFDF3F3-6255-4883-A5E0-E76058F38C93}" name="SubQ1" dataDxfId="231">
      <calculatedColumnFormula>ROUND((Table1[[#This Row],[SubTot]]/3)/1.01059,0)</calculatedColumnFormula>
    </tableColumn>
    <tableColumn id="182" xr3:uid="{D7FE98F4-4FBA-4DF6-B0F8-657E22A82A1F}" name="SubQ2" dataDxfId="230">
      <calculatedColumnFormula>ROUND((Table1[[#This Row],[SubTot]]/3)/1.01059,0)</calculatedColumnFormula>
    </tableColumn>
    <tableColumn id="183" xr3:uid="{4CFF6578-314F-450E-99ED-AACB55F405AE}" name="SubQ3" dataDxfId="229">
      <calculatedColumnFormula>ROUNDUP((Table1[[#This Row],[SubTot]]/3)/1.01059,0)</calculatedColumnFormula>
    </tableColumn>
    <tableColumn id="184" xr3:uid="{155D6D46-2218-4F64-A911-D98428BE1843}" name="SubTot" dataDxfId="228"/>
    <tableColumn id="185" xr3:uid="{3D93F78D-5143-4BC0-BDCD-A28B2B63CAA1}" name="SubFee" dataDxfId="227">
      <calculatedColumnFormula>Table1[[#This Row],[SubTot]]*0.01059</calculatedColumnFormula>
    </tableColumn>
    <tableColumn id="186" xr3:uid="{6D90A5DA-FA92-4632-A8CE-CFB6C08690CA}" name="UnsubQ1" dataDxfId="226">
      <calculatedColumnFormula>ROUND((Table1[[#This Row],[UnsubTot]]/3)/1.01062,0)</calculatedColumnFormula>
    </tableColumn>
    <tableColumn id="187" xr3:uid="{CD43DF3C-879C-494D-BDA7-64E2B1A38B2D}" name="UnsubQ2" dataDxfId="225">
      <calculatedColumnFormula>ROUND((Table1[[#This Row],[UnsubTot]]/3)/1.01062,0)</calculatedColumnFormula>
    </tableColumn>
    <tableColumn id="188" xr3:uid="{C71DAA40-7FB0-49E7-9C2A-396457F2C6C3}" name="UnsubQ3" dataDxfId="224">
      <calculatedColumnFormula>ROUNDDOWN((Table1[[#This Row],[UnsubTot]]/3)/1.01062,0)</calculatedColumnFormula>
    </tableColumn>
    <tableColumn id="189" xr3:uid="{969E6433-5C52-47CE-AE65-4155E6821D40}" name="UnsubTot" dataDxfId="223">
      <calculatedColumnFormula>IF(Table1[D/I]="I",6000,2000)</calculatedColumnFormula>
    </tableColumn>
    <tableColumn id="190" xr3:uid="{D532BF10-369D-4266-B0CA-FA703CA94A42}" name="UnsubFee" dataDxfId="222">
      <calculatedColumnFormula>Table1[[#This Row],[UnsubTot]]*0.01062</calculatedColumnFormula>
    </tableColumn>
    <tableColumn id="191" xr3:uid="{DE6529A0-209F-4328-85FB-5BF59EB2A21F}" name="PLUSQ1" dataDxfId="221">
      <calculatedColumnFormula>ROUND((Table1[[#This Row],[PLUSTot]]/3)/1.04248,0)</calculatedColumnFormula>
    </tableColumn>
    <tableColumn id="192" xr3:uid="{71C7A7D6-B852-412F-82F1-5A5514B1F054}" name="PLUSQ2" dataDxfId="220">
      <calculatedColumnFormula>ROUND((Table1[[#This Row],[PLUSTot]]/3)/1.04248,0)</calculatedColumnFormula>
    </tableColumn>
    <tableColumn id="193" xr3:uid="{897FC1C8-9FEA-43BC-8CB2-D19E585C9504}" name="PLUSQ3" dataDxfId="219">
      <calculatedColumnFormula>ROUND((Table1[[#This Row],[PLUSTot]]/3)/1.04248,0)</calculatedColumnFormula>
    </tableColumn>
    <tableColumn id="194" xr3:uid="{97BDE576-7721-4690-95C0-F23ECE41A4D4}" name="PLUSTot" dataDxfId="218"/>
    <tableColumn id="195" xr3:uid="{6D15B9AB-4C8F-4CD1-AFA4-6DE974F5A655}" name="PLUSFee" dataDxfId="217">
      <calculatedColumnFormula>Table1[[#This Row],[PLUSTot]]*0.04248</calculatedColumnFormula>
    </tableColumn>
    <tableColumn id="196" xr3:uid="{F0021FA0-C81C-4990-80C3-6C44C2AD2606}" name="PrivQ1" dataDxfId="216"/>
    <tableColumn id="197" xr3:uid="{6289E968-78E6-4DEA-9E19-DA1EBC3B1F7E}" name="PrivQ2" dataDxfId="215"/>
    <tableColumn id="198" xr3:uid="{DA0B0C05-7747-470A-8208-A017A2E524CD}" name="PrivQ3" dataDxfId="214"/>
    <tableColumn id="199" xr3:uid="{3F310497-B736-4BB5-BBD3-F823A25443D0}" name="PrivTot" dataDxfId="213">
      <calculatedColumnFormula>SUM(Table1[[#This Row],[PrivQ1]:[PrivQ3]])</calculatedColumnFormula>
    </tableColumn>
    <tableColumn id="200" xr3:uid="{24D5D7B2-342F-4EBA-8428-CDE95C098D8D}" name="TOQ1" dataDxfId="212"/>
    <tableColumn id="201" xr3:uid="{054381CA-1A0F-4659-97A2-32E1A1E0D282}" name="TOQ2" dataDxfId="211"/>
    <tableColumn id="202" xr3:uid="{526B0C78-955E-4EA1-AC39-B4AFE35FD439}" name="TOQ3" dataDxfId="210"/>
    <tableColumn id="203" xr3:uid="{B02446BD-393B-4109-94BB-32954786F46E}" name="TOTot" dataDxfId="209">
      <calculatedColumnFormula>SUM(Table1[[#This Row],[TOQ1]:[TOQ3]])</calculatedColumnFormula>
    </tableColumn>
    <tableColumn id="204" xr3:uid="{38FB876E-FAAA-4BC4-A1E7-3C40D4C35413}" name="OFundQ1" dataDxfId="208"/>
    <tableColumn id="205" xr3:uid="{F64810DD-000C-4D65-B6DB-FC4C502EBA69}" name="OFundQ2" dataDxfId="207"/>
    <tableColumn id="206" xr3:uid="{66461E0B-1EB9-4AF9-BF28-454E3386B20A}" name="OFundQ3" dataDxfId="206"/>
    <tableColumn id="207" xr3:uid="{F777CFAA-C276-48E2-9D4A-18C1138152E3}" name="OFundTot" dataDxfId="205">
      <calculatedColumnFormula>SUM(Table1[[#This Row],[OFundQ1]:[OFundQ3]])</calculatedColumnFormula>
    </tableColumn>
    <tableColumn id="24" xr3:uid="{21FB8CC8-CB3C-490B-96C9-DD82B023721A}" name="SelfHelpTot" dataDxfId="204">
      <calculatedColumnFormula>(Table1[[#This Row],[SubTot]]-Table1[[#This Row],[SubFee]])+(Table1[[#This Row],[UnsubTot]]-Table1[[#This Row],[UnsubFee]])+(Table1[[#This Row],[PLUSTot]]-Table1[[#This Row],[PLUSFee]])+Table1[[#This Row],[PrivTot]]+Table1[[#This Row],[TOTot]]+Table1[[#This Row],[OFundTot]]</calculatedColumnFormula>
    </tableColumn>
    <tableColumn id="127" xr3:uid="{612A8A63-5488-40C5-BCE5-453470480C92}" name="NetCost" dataDxfId="203">
      <calculatedColumnFormula>Table1[[#This Row],[CostTot]]-Table1[[#This Row],[GiftTot]]</calculatedColumnFormula>
    </tableColumn>
    <tableColumn id="20" xr3:uid="{049773E3-F241-49EC-BCE3-6CAF870C7C7B}" name="GrossNeed" dataDxfId="202">
      <calculatedColumnFormula>Table1[[#This Row],[NetNeed]]/(1-0.04248)</calculatedColumnFormula>
    </tableColumn>
    <tableColumn id="22" xr3:uid="{5B93A59A-FBD6-4FE7-8373-9C0F72078ACD}" name="NetNeed" dataDxfId="201">
      <calculatedColumnFormula>Table1[[#This Row],[NetCost]]-Table1[[#This Row],[CashTot]]-(Table1[[#This Row],[SubTot]]-Table1[[#This Row],[SubFee]])-(Table1[[#This Row],[UnsubTot]]-Table1[[#This Row],[UnsubFee]])-(Table1[[#This Row],[PLUSTot]]-Table1[[#This Row],[PLUSFee]])-Table1[[#This Row],[PrivTot]]-Table1[[#This Row],[TOTot]]-Table1[[#This Row],[OFundTot]]</calculatedColumnFormula>
    </tableColumn>
    <tableColumn id="23" xr3:uid="{3F6C0BB1-AB89-442D-B162-4637B95AD3FC}" name="Global Submitted" dataDxfId="200"/>
    <tableColumn id="52" xr3:uid="{47E5531F-182A-4009-85C3-4309EAF19710}" name="Global Confirmed" dataDxfId="199"/>
    <tableColumn id="101" xr3:uid="{3554A63D-51F5-4E1D-90F9-947721A5D080}" name="Cvue Complete" dataDxfId="198"/>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234DF29-6971-4737-AE31-EE2B16723177}" name="Table13" displayName="Table13" ref="A1:FM170" totalsRowShown="0" headerRowDxfId="183" dataDxfId="182" tableBorderDxfId="181">
  <autoFilter ref="A1:FM170" xr:uid="{D6C47FDB-D0BB-4B5B-A92A-EAB05D96E99D}"/>
  <sortState xmlns:xlrd2="http://schemas.microsoft.com/office/spreadsheetml/2017/richdata2" ref="A2:FM170">
    <sortCondition ref="B2:B170"/>
  </sortState>
  <tableColumns count="169">
    <tableColumn id="1" xr3:uid="{04EAA0EC-F953-412C-912A-9D93F088C226}" name="SyStudentId" dataDxfId="180"/>
    <tableColumn id="4" xr3:uid="{EFF70876-E245-466F-B62F-8F245C5EA972}" name="LastName" dataDxfId="179"/>
    <tableColumn id="5" xr3:uid="{53D492B2-5D58-44D2-99EA-932ADE217AA8}" name="FirstName" dataDxfId="178"/>
    <tableColumn id="6" xr3:uid="{6208B980-26F9-4189-8CC3-8A6F347D31A0}" name="StudentName" dataDxfId="177"/>
    <tableColumn id="214" xr3:uid="{9C95081C-9BD3-4F47-A1F7-8867C043968B}" name="StudentNameConCat" dataDxfId="176"/>
    <tableColumn id="7" xr3:uid="{17738FA0-1716-40AF-B64E-B815B0693B93}" name="#Atmpts" dataDxfId="175"/>
    <tableColumn id="8" xr3:uid="{55726F87-AAF5-4739-88F8-3DD5E080B311}" name="1stCon" dataDxfId="174"/>
    <tableColumn id="9" xr3:uid="{6628AA35-8224-479E-884F-A4D0913FB716}" name="LstCon" dataDxfId="173"/>
    <tableColumn id="10" xr3:uid="{6D924B57-0D12-4FBA-8973-3C942F8B6FCC}" name="LstAtmpt" dataDxfId="172"/>
    <tableColumn id="11" xr3:uid="{8769E4F8-D4B4-4876-9C6E-3062BC828548}" name="Notes" dataDxfId="171"/>
    <tableColumn id="12" xr3:uid="{E24999F8-0DDA-4698-B7AD-79BA37A2D86F}" name="Color" dataDxfId="170"/>
    <tableColumn id="2" xr3:uid="{93892938-0747-4082-BF4F-9007969A4D7F}" name="D/I" dataDxfId="169"/>
    <tableColumn id="13" xr3:uid="{1C623669-D475-4A4B-9F5A-778AF90A6894}" name="email" dataDxfId="168"/>
    <tableColumn id="14" xr3:uid="{DBF39DB1-61B0-48A2-8EA5-BF2F52024086}" name="Address" dataDxfId="167"/>
    <tableColumn id="15" xr3:uid="{632581B3-DE60-4222-9A4B-6CE679D0DFCE}" name="City" dataDxfId="166"/>
    <tableColumn id="16" xr3:uid="{4DD8CA3E-D6E9-49F4-97D0-F5D2038F4955}" name="State" dataDxfId="165"/>
    <tableColumn id="17" xr3:uid="{17E652CA-27F1-4FF2-9CA1-D229CA13869E}" name="Zip" dataDxfId="164"/>
    <tableColumn id="21" xr3:uid="{BF2238E7-C16D-44A4-992B-9DAA046D60C2}" name="HSGPA" dataDxfId="163"/>
    <tableColumn id="28" xr3:uid="{17F2F841-5A9B-4C67-85B4-A2302E60C389}" name="ExpStartDate" dataDxfId="162"/>
    <tableColumn id="30" xr3:uid="{A7AA0E93-1813-4EDD-82FC-ECE58810944A}" name="Rep" dataDxfId="161"/>
    <tableColumn id="32" xr3:uid="{1FEA2B99-5248-4253-8F84-5C2805820F35}" name="Gender" dataDxfId="160"/>
    <tableColumn id="33" xr3:uid="{5BDC246D-4E88-4A2A-B7E4-B9CE4B322BE6}" name="Code" dataDxfId="159"/>
    <tableColumn id="34" xr3:uid="{C9EE8085-C4CB-4EFA-984A-D62E348900E1}" name="FAA" dataDxfId="158"/>
    <tableColumn id="35" xr3:uid="{1BE0A6BD-6110-454C-A268-0E045B6517FA}" name="FAAEmail" dataDxfId="157"/>
    <tableColumn id="36" xr3:uid="{D685688B-FD8D-41EE-AD6F-6933522ACDC6}" name="FAAPhone" dataDxfId="156"/>
    <tableColumn id="39" xr3:uid="{1689C063-B31E-45E4-B071-5CD8D2684DB0}" name="Status" dataDxfId="155"/>
    <tableColumn id="44" xr3:uid="{241D1A19-7968-4FED-9041-6DE76F856A7B}" name="IntProg" dataDxfId="154"/>
    <tableColumn id="46" xr3:uid="{07051474-D8BC-4A0F-8AA6-50558B67B8D0}" name="Act" dataDxfId="153"/>
    <tableColumn id="51" xr3:uid="{0D7C6231-9606-40DA-8485-59925462A9C5}" name="Sat" dataDxfId="152"/>
    <tableColumn id="55" xr3:uid="{0250C1F2-57BF-4F95-B8C8-3FCF93EE6ABA}" name="IndexScore" dataDxfId="151"/>
    <tableColumn id="74" xr3:uid="{FC3DA603-C70F-4ADF-B998-BA63781547F1}" name="AccRating" dataDxfId="150"/>
    <tableColumn id="208" xr3:uid="{20F1EC5C-E98D-45DC-8A98-0BE29B68EF54}" name="Rank" dataDxfId="149"/>
    <tableColumn id="75" xr3:uid="{B5BA8D50-5987-4DD5-9CC5-DA5C11555B28}" name="AccCom" dataDxfId="148"/>
    <tableColumn id="210" xr3:uid="{123534B3-0526-43E8-8134-361A04E8BB50}" name="EFCRaw" dataDxfId="147"/>
    <tableColumn id="19" xr3:uid="{15B96344-8D91-46EA-9E9C-7F8BBB941FF9}" name="EFC" dataDxfId="146"/>
    <tableColumn id="209" xr3:uid="{DA506E25-96B0-4EB2-B757-D418DC8FFDA3}" name="EFCDate" dataDxfId="145"/>
    <tableColumn id="211" xr3:uid="{EFEFA4F5-E0D4-4470-9D90-745DEE9CCDC8}" name="VerReq" dataDxfId="144"/>
    <tableColumn id="212" xr3:uid="{9F16D00D-10A8-422D-90DF-A7FDFA0A2322}" name="VerCom" dataDxfId="143"/>
    <tableColumn id="3" xr3:uid="{80146ED7-3910-478E-B03A-C672A69C21B9}" name="ALESent" dataDxfId="142"/>
    <tableColumn id="25" xr3:uid="{4411AADB-8FF2-435B-9B63-43FA1C673BC9}" name="Interview" dataDxfId="141"/>
    <tableColumn id="26" xr3:uid="{B0950A96-E7D9-40DA-AC9C-23CBF3A6EA8A}" name="FAApp" dataDxfId="140"/>
    <tableColumn id="27" xr3:uid="{07881BDF-7B8A-4600-B25C-A997F8723168}" name="FERPA" dataDxfId="139"/>
    <tableColumn id="29" xr3:uid="{FE05A488-225B-4D73-B365-5FF031D07306}" name="SCB" dataDxfId="138"/>
    <tableColumn id="31" xr3:uid="{929D0206-966A-4F2B-B26C-9D22BB29E4C2}" name="EC" dataDxfId="137"/>
    <tableColumn id="37" xr3:uid="{600CA39C-C174-4399-8C92-0002FC3C3AA3}" name="SMPN" dataDxfId="136"/>
    <tableColumn id="38" xr3:uid="{F9FD7B81-0081-4684-B0A7-20073D70E3DA}" name="PCC" dataDxfId="135"/>
    <tableColumn id="40" xr3:uid="{2BA2D05C-87EF-4625-B039-37DEC757CA77}" name="PCB" dataDxfId="134"/>
    <tableColumn id="41" xr3:uid="{A3E204B1-0172-43C4-B210-545BDB03E65D}" name="PlusApp" dataDxfId="133"/>
    <tableColumn id="42" xr3:uid="{C2B8CDB6-0FE2-41F6-AC95-8A28D978BFB7}" name="PMPN" dataDxfId="132"/>
    <tableColumn id="43" xr3:uid="{598BB6A0-31DD-4E1F-93CF-BD3162EF0F07}" name="PrivApp" dataDxfId="131"/>
    <tableColumn id="45" xr3:uid="{7B1B72BF-C947-4005-93D6-FE0352065AE6}" name="TPP" dataDxfId="130"/>
    <tableColumn id="47" xr3:uid="{461B3384-BE19-4771-B97F-2AAEE6FA02FA}" name="TOApp" dataDxfId="129"/>
    <tableColumn id="48" xr3:uid="{58362EBE-E4D8-4FA0-9A2C-93165FA0A5E7}" name="TO_E-Sign" dataDxfId="128"/>
    <tableColumn id="49" xr3:uid="{4FB4DD78-6EED-4EDB-8A4C-895F36FB6459}" name="VACert" dataDxfId="127"/>
    <tableColumn id="50" xr3:uid="{0BCB6D67-B419-476C-B656-54343F9FFD2C}" name="DD214" dataDxfId="126"/>
    <tableColumn id="54" xr3:uid="{AFAF2ED9-242B-4BA2-8B49-27FA8309AC8C}" name="V-HHSNIC" dataDxfId="125"/>
    <tableColumn id="56" xr3:uid="{7F779095-15DA-4522-8DAD-72F2707C617E}" name="V-SNonFiler" dataDxfId="124"/>
    <tableColumn id="57" xr3:uid="{5F1D0E42-75D0-428F-A905-BACAFEC73953}" name="V-PNonFiler" dataDxfId="123"/>
    <tableColumn id="58" xr3:uid="{E3B65FC3-33B4-4D68-814F-E6C32C37B4AB}" name="V-ID" dataDxfId="122"/>
    <tableColumn id="59" xr3:uid="{8E31A9DB-22EC-45D5-A5FA-F9D5A688D596}" name="DRT" dataDxfId="121"/>
    <tableColumn id="60" xr3:uid="{B1947AAE-E36B-4875-9D93-99361EE9264F}" name="TaxTran" dataDxfId="120"/>
    <tableColumn id="77" xr3:uid="{42965ADF-8299-41C8-9D29-CC9745545CF5}" name="%Complete" dataDxfId="119" dataCellStyle="Percent"/>
    <tableColumn id="91" xr3:uid="{86407E1C-0D54-42A5-8CBD-1DF60A31DC27}" name="AYStart" dataDxfId="118"/>
    <tableColumn id="92" xr3:uid="{46EE5C37-EB9A-416C-958D-16CBC89A7857}" name="AYEnd" dataDxfId="117"/>
    <tableColumn id="93" xr3:uid="{E8FA0B51-1DA7-474C-8091-14E74884430F}" name="T&amp;FQ1" dataDxfId="116"/>
    <tableColumn id="94" xr3:uid="{77C5077C-F766-4D65-9ADE-7856932AB71B}" name="T&amp;FQ2" dataDxfId="115"/>
    <tableColumn id="95" xr3:uid="{4101CD39-F992-45D7-958C-6FDD26F5F02C}" name="T&amp;FQ3" dataDxfId="114"/>
    <tableColumn id="96" xr3:uid="{8B11C920-182D-4281-9788-C77885003D99}" name="T&amp;FTot" dataDxfId="113"/>
    <tableColumn id="97" xr3:uid="{4C03A519-68E8-4B09-ACD2-6730CC21720E}" name="B&amp;SQ1" dataDxfId="112"/>
    <tableColumn id="98" xr3:uid="{454F9A56-61B4-498B-A541-1D83F58486DB}" name="B&amp;SQ2" dataDxfId="111"/>
    <tableColumn id="99" xr3:uid="{8CFD5335-6A79-4940-9643-8BD182F62F7A}" name="B&amp;SQ3" dataDxfId="110"/>
    <tableColumn id="100" xr3:uid="{9EA20AD7-891E-4910-BAA0-453705F3E651}" name="B&amp;STot" dataDxfId="109"/>
    <tableColumn id="109" xr3:uid="{48689981-A388-433F-AB05-B486C668077A}" name="HousQ1" dataDxfId="108"/>
    <tableColumn id="110" xr3:uid="{BB667AA7-FD25-461A-949C-80275081590D}" name="HousQ2" dataDxfId="107"/>
    <tableColumn id="111" xr3:uid="{44F29226-CB5E-4593-9FB0-268340C00E38}" name="HousQ3" dataDxfId="106"/>
    <tableColumn id="112" xr3:uid="{4695C4F0-8B8D-4C2A-A353-7615295EAB9E}" name="HousTot" dataDxfId="105"/>
    <tableColumn id="78" xr3:uid="{A15F1A2F-D132-48E0-B7AE-6AD08473401E}" name="LEQ1" dataDxfId="104"/>
    <tableColumn id="79" xr3:uid="{AD4D5C8C-050F-4BAF-86FE-97E4486BF46B}" name="LEQ2" dataDxfId="103"/>
    <tableColumn id="80" xr3:uid="{7467F6CE-D9E8-4C15-8876-A8B72FC74991}" name="LEQ3" dataDxfId="102"/>
    <tableColumn id="81" xr3:uid="{A1F5783B-6BCA-4385-86BA-79522A80075C}" name="LETot" dataDxfId="101"/>
    <tableColumn id="82" xr3:uid="{40F7881B-8BC9-453B-BBC0-5588C7C1B51F}" name="OthCostQ1" dataDxfId="100"/>
    <tableColumn id="83" xr3:uid="{E3A47F45-492E-4AC4-BBC1-2820716E0917}" name="OthCostQ2" dataDxfId="99"/>
    <tableColumn id="84" xr3:uid="{D91255E1-8851-49CB-BA43-E1C1201F127E}" name="OthCostQ3" dataDxfId="98"/>
    <tableColumn id="85" xr3:uid="{88E8F8DF-D8CC-4C06-A576-C7AC57619A2F}" name="OthCostTot" dataDxfId="97"/>
    <tableColumn id="18" xr3:uid="{7D28F579-5A25-4F74-A8D5-5614818EF092}" name="CostTot" dataDxfId="96"/>
    <tableColumn id="113" xr3:uid="{707087E2-30BD-41FC-B0BF-CC4DB7B4947F}" name="SEOGQ1" dataDxfId="95"/>
    <tableColumn id="114" xr3:uid="{B3AADEFA-A504-4FA2-9BFC-4A75E5E6D90B}" name="SEOGQ2" dataDxfId="94"/>
    <tableColumn id="115" xr3:uid="{6959F91D-D63D-405C-8A43-5C7D78AA7B5B}" name="SEOGQ3" dataDxfId="93"/>
    <tableColumn id="116" xr3:uid="{9FA84605-EFEB-4A79-873C-50FF7102DED6}" name="SEOGTot" dataDxfId="92"/>
    <tableColumn id="102" xr3:uid="{4BB3A088-0F93-4ED7-BA7C-852DF67D47F2}" name="PellQ1" dataDxfId="91"/>
    <tableColumn id="103" xr3:uid="{634BB03E-07D7-4C12-87C5-532855ABC9BB}" name="PellQ2" dataDxfId="90"/>
    <tableColumn id="104" xr3:uid="{704CAE35-A8D5-4DA5-907D-30C49BFB9517}" name="PellQ3" dataDxfId="89"/>
    <tableColumn id="105" xr3:uid="{331ACC1C-1695-40A9-B0F2-3A8BA5EFE2B8}" name="PellTot" dataDxfId="88"/>
    <tableColumn id="53" xr3:uid="{31942332-635A-48CB-9BE8-831062478472}" name="AccessQ1" dataDxfId="87"/>
    <tableColumn id="61" xr3:uid="{2EBD2223-B05B-4239-BFE8-8E36379DAFB5}" name="AccessQ2" dataDxfId="86"/>
    <tableColumn id="62" xr3:uid="{A6582EB3-C957-4BBC-B86B-C2477B25153A}" name="AccessQ3" dataDxfId="85"/>
    <tableColumn id="63" xr3:uid="{643B0E9E-68E6-44BA-B928-6A446ED705D2}" name="AccessTot" dataDxfId="84"/>
    <tableColumn id="64" xr3:uid="{1272226E-CEBA-4D8B-B6EB-7274D04D1079}" name="AchiQ1" dataDxfId="83"/>
    <tableColumn id="65" xr3:uid="{73F2CA03-4146-4B34-9F8B-57AF7299910D}" name="AchiQ2" dataDxfId="82"/>
    <tableColumn id="66" xr3:uid="{211871EC-B91B-43FA-AC03-B0D0DCA47931}" name="AchiQ3" dataDxfId="81"/>
    <tableColumn id="67" xr3:uid="{6187A06E-40D7-451D-B1C7-09825A365BDA}" name="AchiTot" dataDxfId="80"/>
    <tableColumn id="68" xr3:uid="{3036C627-A234-40A4-B459-C64F8B6E12EB}" name="UTQ1" dataDxfId="79"/>
    <tableColumn id="69" xr3:uid="{4B9B8234-1DC8-4CE1-88AD-9C4B7AD9D322}" name="UTQ2" dataDxfId="78"/>
    <tableColumn id="70" xr3:uid="{5A39302F-D4BE-4326-BDB2-F9C3FD0B6172}" name="UTQ3" dataDxfId="77"/>
    <tableColumn id="71" xr3:uid="{5A758870-3AB1-4873-8755-0C648CF331CA}" name="UTTot" dataDxfId="76"/>
    <tableColumn id="72" xr3:uid="{2B29C7F2-5FA2-4767-9D34-10679BCBF2B4}" name="WITQ1" dataDxfId="75"/>
    <tableColumn id="73" xr3:uid="{8DE0DB20-7C2F-47A0-9494-53AA59EFD859}" name="WITQ2" dataDxfId="74"/>
    <tableColumn id="76" xr3:uid="{F29BBD2D-B879-4395-8E46-AFFD3366951E}" name="WITQ3" dataDxfId="73"/>
    <tableColumn id="86" xr3:uid="{89E5FD86-9DD2-4CA9-BE84-D0511FA41648}" name="WITTot" dataDxfId="72"/>
    <tableColumn id="87" xr3:uid="{D483E96E-BCFF-4485-8B94-E4479AD5513D}" name="SerQ1" dataDxfId="71"/>
    <tableColumn id="88" xr3:uid="{10CE829A-6170-4744-A032-67A6069D754B}" name="SerQ2" dataDxfId="70"/>
    <tableColumn id="89" xr3:uid="{3B8818FC-FAEC-4A46-A658-07BCBB17939D}" name="SerQ3" dataDxfId="69"/>
    <tableColumn id="90" xr3:uid="{4880471C-03F9-495C-BBC7-4A5D981ABEE3}" name="SerTot" dataDxfId="68"/>
    <tableColumn id="117" xr3:uid="{9C16EAAB-1B9F-4520-9E97-A5695CDAB995}" name="TranQ1" dataDxfId="67"/>
    <tableColumn id="118" xr3:uid="{CF6FED6C-1364-4AB4-9531-294A7963F2EA}" name="TranQ2" dataDxfId="66"/>
    <tableColumn id="119" xr3:uid="{126B9E1B-B500-43CF-B719-41617FBCDC97}" name="TranQ3" dataDxfId="65"/>
    <tableColumn id="120" xr3:uid="{FF9C50E7-D75D-41C6-9DE7-6A3B67E5D509}" name="TranTot" dataDxfId="64"/>
    <tableColumn id="106" xr3:uid="{408E2F2D-FB24-4B0E-A4B3-BD7EDBEA5FB2}" name="MatQ1" dataDxfId="63"/>
    <tableColumn id="107" xr3:uid="{8365FC3C-1808-4531-A7E7-1615ABE7CAB1}" name="MatQ2" dataDxfId="62"/>
    <tableColumn id="108" xr3:uid="{D9D9121E-E5B7-46AE-8FFE-D3B19B601B41}" name="MatQ3" dataDxfId="61"/>
    <tableColumn id="121" xr3:uid="{F5988D12-2371-4119-A80E-5120188AE20D}" name="MatTot" dataDxfId="60"/>
    <tableColumn id="122" xr3:uid="{E6CF800D-EBB2-4C44-83FE-59B9BBECFDA5}" name="OutQ1" dataDxfId="59"/>
    <tableColumn id="123" xr3:uid="{ECC2F118-006C-42DA-85A0-DF5067194C31}" name="OutQ2" dataDxfId="58"/>
    <tableColumn id="124" xr3:uid="{4AE38A41-6D23-4FAE-8796-D1725B4EEA24}" name="OutQ3" dataDxfId="57"/>
    <tableColumn id="125" xr3:uid="{0DE89C50-89AD-4882-9259-504FDA8AC51F}" name="OutTot" dataDxfId="56"/>
    <tableColumn id="157" xr3:uid="{7216AA87-7BE4-469B-AFC7-87F02152B4C9}" name="VAQ1" dataDxfId="55"/>
    <tableColumn id="158" xr3:uid="{5805DACD-3AF3-41AA-9BBD-BDED10AC4667}" name="VAQ2" dataDxfId="54"/>
    <tableColumn id="159" xr3:uid="{0ED6015F-6F59-4FAD-ABE9-8AC6DC0124ED}" name="VAQ3" dataDxfId="53"/>
    <tableColumn id="160" xr3:uid="{53298367-9AFE-44FB-A19E-BFE65C3EACF2}" name="VATot" dataDxfId="52"/>
    <tableColumn id="173" xr3:uid="{7867EDAD-D17B-4F1D-B8C3-6059F468935E}" name="OthGrantQ1" dataDxfId="51"/>
    <tableColumn id="174" xr3:uid="{A1A97B2E-C378-4567-99DE-ABB49465BF8C}" name="OthGrantQ2" dataDxfId="50"/>
    <tableColumn id="175" xr3:uid="{1B6BBA70-67AC-43D9-8A3E-D6DCD95C8CA7}" name="OthGrantQ3" dataDxfId="49"/>
    <tableColumn id="176" xr3:uid="{E60BE58A-8D26-4BFA-B615-87DDAF932BFE}" name="OthGrantTot" dataDxfId="48"/>
    <tableColumn id="126" xr3:uid="{A1E1057E-FF2A-42B5-BEA7-B36F810C96CB}" name="GiftTot" dataDxfId="47"/>
    <tableColumn id="177" xr3:uid="{7417CA08-F39C-4F6C-9247-9A343DB35943}" name="CashQ1" dataDxfId="46"/>
    <tableColumn id="178" xr3:uid="{F6CA301F-EFDE-419B-AC71-67A40EE167F2}" name="CashQ2" dataDxfId="45"/>
    <tableColumn id="179" xr3:uid="{B3BE90FE-A220-43D2-960E-2260591A004F}" name="CashQ3" dataDxfId="44"/>
    <tableColumn id="180" xr3:uid="{BD5C2612-63DA-41F8-852A-9AE76B95655E}" name="CashTot" dataDxfId="43"/>
    <tableColumn id="181" xr3:uid="{B4EE6680-ED47-474D-9029-36538B05D031}" name="SubQ1" dataDxfId="42"/>
    <tableColumn id="182" xr3:uid="{616CC198-55D3-4958-81DF-EA51529508CD}" name="SubQ2" dataDxfId="41"/>
    <tableColumn id="183" xr3:uid="{96BF0DB1-54CB-41CD-BA30-6BC00660AE69}" name="SubQ3" dataDxfId="40"/>
    <tableColumn id="184" xr3:uid="{C16B38B0-B4DC-43FF-B547-E2B3E6828483}" name="SubTot" dataDxfId="39"/>
    <tableColumn id="185" xr3:uid="{D218A43C-B5BE-4C7C-98F8-466621126A6B}" name="SubFee" dataDxfId="38"/>
    <tableColumn id="186" xr3:uid="{C19D1023-6973-4CCC-969B-D5E950F42444}" name="UnsubQ1" dataDxfId="37"/>
    <tableColumn id="187" xr3:uid="{CB499E34-6412-4001-8E90-0209DF32F31B}" name="UnsubQ2" dataDxfId="36"/>
    <tableColumn id="188" xr3:uid="{2673E318-6ECD-460E-99B6-E0DAA271ACD4}" name="UnsubQ3" dataDxfId="35"/>
    <tableColumn id="189" xr3:uid="{495DA2C1-03F1-47AF-93A8-9BBE37CC8C76}" name="UnsubTot" dataDxfId="34"/>
    <tableColumn id="190" xr3:uid="{426619B1-1A26-4856-936F-96E24303E2EE}" name="UnsubFee" dataDxfId="33"/>
    <tableColumn id="191" xr3:uid="{D641BCB0-380F-4046-987B-8339EEB86167}" name="PLUSQ1" dataDxfId="32"/>
    <tableColumn id="192" xr3:uid="{36BD55FE-86B9-4EC9-B04B-6984BCB1FACC}" name="PLUSQ2" dataDxfId="31"/>
    <tableColumn id="193" xr3:uid="{886CD674-272C-4A00-9B50-51C10B6C896B}" name="PLUSQ3" dataDxfId="30"/>
    <tableColumn id="194" xr3:uid="{60A73F61-1B30-4A71-B8E2-E72937790307}" name="PLUSTot" dataDxfId="29"/>
    <tableColumn id="195" xr3:uid="{7E575F5F-C53B-418D-844F-992205C26A28}" name="PLUSFee" dataDxfId="28"/>
    <tableColumn id="196" xr3:uid="{DA26CB19-C4BD-45FB-A46A-A7299DC1086B}" name="PrivQ1" dataDxfId="27"/>
    <tableColumn id="197" xr3:uid="{4A7CC057-E046-4820-ACBB-1575BC943F88}" name="PrivQ2" dataDxfId="26"/>
    <tableColumn id="198" xr3:uid="{47EB7DBB-9731-4655-A82E-53E95EAB1DBF}" name="PrivQ3" dataDxfId="25"/>
    <tableColumn id="199" xr3:uid="{6C256983-1560-491F-97DC-417617642A5C}" name="PrivTot" dataDxfId="24"/>
    <tableColumn id="200" xr3:uid="{5E6EACBB-F983-4734-9B1B-4B611E2A790E}" name="TOQ1" dataDxfId="23"/>
    <tableColumn id="201" xr3:uid="{375737D8-8BC0-4F43-A734-BDFEEE56ECAE}" name="TOQ2" dataDxfId="22"/>
    <tableColumn id="202" xr3:uid="{252F7A44-4B31-454A-87A3-4FAF13C86BF9}" name="TOQ3" dataDxfId="21"/>
    <tableColumn id="203" xr3:uid="{F3098F2A-ED67-4593-A5D9-B711F0A78A1B}" name="TOTot" dataDxfId="20"/>
    <tableColumn id="204" xr3:uid="{3642870E-2F02-4371-BD71-DF6A8E67FE10}" name="OFundQ1" dataDxfId="19"/>
    <tableColumn id="205" xr3:uid="{F7B0736F-68AB-417B-9087-2E6FA064C86E}" name="OFundQ2" dataDxfId="18"/>
    <tableColumn id="206" xr3:uid="{41F8FEEC-71A3-448C-985E-26B84E1D03EC}" name="OFundQ3" dataDxfId="17"/>
    <tableColumn id="207" xr3:uid="{4CFD48EC-B0A3-4FE8-8413-FED8490A2BE6}" name="OFundTot" dataDxfId="16"/>
    <tableColumn id="24" xr3:uid="{E583F8F9-FA30-4A8F-BE46-98CDA4722551}" name="SelfHelpTot" dataDxfId="15"/>
    <tableColumn id="127" xr3:uid="{E668E530-94CF-4E94-B4A5-DC66154F586C}" name="NetCost" dataDxfId="14"/>
    <tableColumn id="20" xr3:uid="{4CEC3040-29F1-4743-B124-3E725EFB17C5}" name="GrossNeed" dataDxfId="13"/>
    <tableColumn id="22" xr3:uid="{1927F567-0141-4E16-95B3-B5BE388F3EB2}" name="NetNeed"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Pell_Table" displayName="Pell_Table" ref="A1:C59" totalsRowShown="0" headerRowDxfId="11" dataDxfId="10" tableBorderDxfId="9">
  <autoFilter ref="A1:C59" xr:uid="{00000000-0009-0000-0100-000006000000}"/>
  <tableColumns count="3">
    <tableColumn id="1" xr3:uid="{00000000-0010-0000-0200-000001000000}" name="EFC Min" dataDxfId="8"/>
    <tableColumn id="2" xr3:uid="{00000000-0010-0000-0200-000002000000}" name="EFC Max" dataDxfId="7"/>
    <tableColumn id="3" xr3:uid="{00000000-0010-0000-0200-000003000000}" name="Pell Amt" dataDxfId="6"/>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mailto:bmorris@neumont.edu" TargetMode="External"/><Relationship Id="rId13" Type="http://schemas.openxmlformats.org/officeDocument/2006/relationships/hyperlink" Target="mailto:bmorris@neumont.edu" TargetMode="External"/><Relationship Id="rId18" Type="http://schemas.openxmlformats.org/officeDocument/2006/relationships/hyperlink" Target="mailto:bmorris@neumont.edu" TargetMode="External"/><Relationship Id="rId26" Type="http://schemas.openxmlformats.org/officeDocument/2006/relationships/hyperlink" Target="mailto:bmorris@neumont.edu" TargetMode="External"/><Relationship Id="rId39" Type="http://schemas.openxmlformats.org/officeDocument/2006/relationships/hyperlink" Target="mailto:bmorris@neumont.edu" TargetMode="External"/><Relationship Id="rId3" Type="http://schemas.openxmlformats.org/officeDocument/2006/relationships/hyperlink" Target="mailto:bmorris@neumont.edu" TargetMode="External"/><Relationship Id="rId21" Type="http://schemas.openxmlformats.org/officeDocument/2006/relationships/hyperlink" Target="mailto:bmorris@neumont.edu" TargetMode="External"/><Relationship Id="rId34" Type="http://schemas.openxmlformats.org/officeDocument/2006/relationships/hyperlink" Target="mailto:bmorris@neumont.edu" TargetMode="External"/><Relationship Id="rId42" Type="http://schemas.openxmlformats.org/officeDocument/2006/relationships/hyperlink" Target="mailto:mranks@neumont.edu" TargetMode="External"/><Relationship Id="rId7" Type="http://schemas.openxmlformats.org/officeDocument/2006/relationships/hyperlink" Target="mailto:bmorris@neumont.edu" TargetMode="External"/><Relationship Id="rId12" Type="http://schemas.openxmlformats.org/officeDocument/2006/relationships/hyperlink" Target="mailto:bmorris@neumont.edu" TargetMode="External"/><Relationship Id="rId17" Type="http://schemas.openxmlformats.org/officeDocument/2006/relationships/hyperlink" Target="mailto:bmorris@neumont.edu" TargetMode="External"/><Relationship Id="rId25" Type="http://schemas.openxmlformats.org/officeDocument/2006/relationships/hyperlink" Target="mailto:bmorris@neumont.edu" TargetMode="External"/><Relationship Id="rId33" Type="http://schemas.openxmlformats.org/officeDocument/2006/relationships/hyperlink" Target="mailto:bmorris@neumont.edu" TargetMode="External"/><Relationship Id="rId38" Type="http://schemas.openxmlformats.org/officeDocument/2006/relationships/hyperlink" Target="mailto:bmorris@neumont.edu" TargetMode="External"/><Relationship Id="rId2" Type="http://schemas.openxmlformats.org/officeDocument/2006/relationships/hyperlink" Target="mailto:bmorris@neumont.edu" TargetMode="External"/><Relationship Id="rId16" Type="http://schemas.openxmlformats.org/officeDocument/2006/relationships/hyperlink" Target="mailto:bmorris@neumont.edu" TargetMode="External"/><Relationship Id="rId20" Type="http://schemas.openxmlformats.org/officeDocument/2006/relationships/hyperlink" Target="mailto:bmorris@neumont.edu" TargetMode="External"/><Relationship Id="rId29" Type="http://schemas.openxmlformats.org/officeDocument/2006/relationships/hyperlink" Target="mailto:bmorris@neumont.edu" TargetMode="External"/><Relationship Id="rId41" Type="http://schemas.openxmlformats.org/officeDocument/2006/relationships/hyperlink" Target="mailto:bmorris@neumont.edu" TargetMode="External"/><Relationship Id="rId1" Type="http://schemas.openxmlformats.org/officeDocument/2006/relationships/hyperlink" Target="mailto:bmorris@neumont.edu" TargetMode="External"/><Relationship Id="rId6" Type="http://schemas.openxmlformats.org/officeDocument/2006/relationships/hyperlink" Target="mailto:bmorris@neumont.edu" TargetMode="External"/><Relationship Id="rId11" Type="http://schemas.openxmlformats.org/officeDocument/2006/relationships/hyperlink" Target="mailto:bmorris@neumont.edu" TargetMode="External"/><Relationship Id="rId24" Type="http://schemas.openxmlformats.org/officeDocument/2006/relationships/hyperlink" Target="mailto:bmorris@neumont.edu" TargetMode="External"/><Relationship Id="rId32" Type="http://schemas.openxmlformats.org/officeDocument/2006/relationships/hyperlink" Target="mailto:bmorris@neumont.edu" TargetMode="External"/><Relationship Id="rId37" Type="http://schemas.openxmlformats.org/officeDocument/2006/relationships/hyperlink" Target="mailto:bmorris@neumont.edu" TargetMode="External"/><Relationship Id="rId40" Type="http://schemas.openxmlformats.org/officeDocument/2006/relationships/hyperlink" Target="mailto:bmorris@neumont.edu" TargetMode="External"/><Relationship Id="rId45" Type="http://schemas.openxmlformats.org/officeDocument/2006/relationships/table" Target="../tables/table1.xml"/><Relationship Id="rId5" Type="http://schemas.openxmlformats.org/officeDocument/2006/relationships/hyperlink" Target="mailto:bmorris@neumont.edu" TargetMode="External"/><Relationship Id="rId15" Type="http://schemas.openxmlformats.org/officeDocument/2006/relationships/hyperlink" Target="mailto:bmorris@neumont.edu" TargetMode="External"/><Relationship Id="rId23" Type="http://schemas.openxmlformats.org/officeDocument/2006/relationships/hyperlink" Target="mailto:bmorris@neumont.edu" TargetMode="External"/><Relationship Id="rId28" Type="http://schemas.openxmlformats.org/officeDocument/2006/relationships/hyperlink" Target="mailto:bmorris@neumont.edu" TargetMode="External"/><Relationship Id="rId36" Type="http://schemas.openxmlformats.org/officeDocument/2006/relationships/hyperlink" Target="mailto:bmorris@neumont.edu" TargetMode="External"/><Relationship Id="rId10" Type="http://schemas.openxmlformats.org/officeDocument/2006/relationships/hyperlink" Target="mailto:bmorris@neumont.edu" TargetMode="External"/><Relationship Id="rId19" Type="http://schemas.openxmlformats.org/officeDocument/2006/relationships/hyperlink" Target="mailto:bmorris@neumont.edu" TargetMode="External"/><Relationship Id="rId31" Type="http://schemas.openxmlformats.org/officeDocument/2006/relationships/hyperlink" Target="mailto:bmorris@neumont.edu" TargetMode="External"/><Relationship Id="rId44" Type="http://schemas.openxmlformats.org/officeDocument/2006/relationships/printerSettings" Target="../printerSettings/printerSettings2.bin"/><Relationship Id="rId4" Type="http://schemas.openxmlformats.org/officeDocument/2006/relationships/hyperlink" Target="mailto:bmorris@neumont.edu" TargetMode="External"/><Relationship Id="rId9" Type="http://schemas.openxmlformats.org/officeDocument/2006/relationships/hyperlink" Target="mailto:bmorris@neumont.edu" TargetMode="External"/><Relationship Id="rId14" Type="http://schemas.openxmlformats.org/officeDocument/2006/relationships/hyperlink" Target="mailto:bmorris@neumont.edu" TargetMode="External"/><Relationship Id="rId22" Type="http://schemas.openxmlformats.org/officeDocument/2006/relationships/hyperlink" Target="mailto:bmorris@neumont.edu" TargetMode="External"/><Relationship Id="rId27" Type="http://schemas.openxmlformats.org/officeDocument/2006/relationships/hyperlink" Target="mailto:bmorris@neumont.edu" TargetMode="External"/><Relationship Id="rId30" Type="http://schemas.openxmlformats.org/officeDocument/2006/relationships/hyperlink" Target="mailto:bmorris@neumont.edu" TargetMode="External"/><Relationship Id="rId35" Type="http://schemas.openxmlformats.org/officeDocument/2006/relationships/hyperlink" Target="mailto:bmorris@neumont.edu" TargetMode="External"/><Relationship Id="rId43" Type="http://schemas.openxmlformats.org/officeDocument/2006/relationships/hyperlink" Target="mailto:mranks@neumont.edu"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mailto:mranks@neumont.edu" TargetMode="External"/><Relationship Id="rId13" Type="http://schemas.openxmlformats.org/officeDocument/2006/relationships/hyperlink" Target="mailto:mranks@neumont.edu" TargetMode="External"/><Relationship Id="rId18" Type="http://schemas.openxmlformats.org/officeDocument/2006/relationships/hyperlink" Target="mailto:ltippets@neumont.edu" TargetMode="External"/><Relationship Id="rId26" Type="http://schemas.openxmlformats.org/officeDocument/2006/relationships/hyperlink" Target="mailto:ltippets@neumont.edu" TargetMode="External"/><Relationship Id="rId3" Type="http://schemas.openxmlformats.org/officeDocument/2006/relationships/hyperlink" Target="mailto:mranks@neumont.edu" TargetMode="External"/><Relationship Id="rId21" Type="http://schemas.openxmlformats.org/officeDocument/2006/relationships/hyperlink" Target="mailto:ltippets@neumont.edu" TargetMode="External"/><Relationship Id="rId7" Type="http://schemas.openxmlformats.org/officeDocument/2006/relationships/hyperlink" Target="mailto:mranks@neumont.edu" TargetMode="External"/><Relationship Id="rId12" Type="http://schemas.openxmlformats.org/officeDocument/2006/relationships/hyperlink" Target="mailto:mranks@neumont.edu" TargetMode="External"/><Relationship Id="rId17" Type="http://schemas.openxmlformats.org/officeDocument/2006/relationships/hyperlink" Target="mailto:ltippets@neumont.edu" TargetMode="External"/><Relationship Id="rId25" Type="http://schemas.openxmlformats.org/officeDocument/2006/relationships/hyperlink" Target="mailto:ltippets@neumont.edu" TargetMode="External"/><Relationship Id="rId2" Type="http://schemas.openxmlformats.org/officeDocument/2006/relationships/hyperlink" Target="mailto:mranks@neumont.edu" TargetMode="External"/><Relationship Id="rId16" Type="http://schemas.openxmlformats.org/officeDocument/2006/relationships/hyperlink" Target="mailto:ltippets@neumont.edu" TargetMode="External"/><Relationship Id="rId20" Type="http://schemas.openxmlformats.org/officeDocument/2006/relationships/hyperlink" Target="mailto:ltippets@neumont.edu" TargetMode="External"/><Relationship Id="rId1" Type="http://schemas.openxmlformats.org/officeDocument/2006/relationships/hyperlink" Target="mailto:ltippets@neumont.edu" TargetMode="External"/><Relationship Id="rId6" Type="http://schemas.openxmlformats.org/officeDocument/2006/relationships/hyperlink" Target="mailto:mranks@neumont.edu" TargetMode="External"/><Relationship Id="rId11" Type="http://schemas.openxmlformats.org/officeDocument/2006/relationships/hyperlink" Target="mailto:mranks@neumont.edu" TargetMode="External"/><Relationship Id="rId24" Type="http://schemas.openxmlformats.org/officeDocument/2006/relationships/hyperlink" Target="mailto:ltippets@neumont.edu" TargetMode="External"/><Relationship Id="rId5" Type="http://schemas.openxmlformats.org/officeDocument/2006/relationships/hyperlink" Target="mailto:mranks@neumont.edu" TargetMode="External"/><Relationship Id="rId15" Type="http://schemas.openxmlformats.org/officeDocument/2006/relationships/hyperlink" Target="mailto:mranks@neumont.edu" TargetMode="External"/><Relationship Id="rId23" Type="http://schemas.openxmlformats.org/officeDocument/2006/relationships/hyperlink" Target="mailto:ltippets@neumont.edu" TargetMode="External"/><Relationship Id="rId10" Type="http://schemas.openxmlformats.org/officeDocument/2006/relationships/hyperlink" Target="mailto:mranks@neumont.edu" TargetMode="External"/><Relationship Id="rId19" Type="http://schemas.openxmlformats.org/officeDocument/2006/relationships/hyperlink" Target="mailto:ltippets@neumont.edu" TargetMode="External"/><Relationship Id="rId4" Type="http://schemas.openxmlformats.org/officeDocument/2006/relationships/hyperlink" Target="mailto:mranks@neumont.edu" TargetMode="External"/><Relationship Id="rId9" Type="http://schemas.openxmlformats.org/officeDocument/2006/relationships/hyperlink" Target="mailto:mranks@neumont.edu" TargetMode="External"/><Relationship Id="rId14" Type="http://schemas.openxmlformats.org/officeDocument/2006/relationships/hyperlink" Target="mailto:mranks@neumont.edu" TargetMode="External"/><Relationship Id="rId22" Type="http://schemas.openxmlformats.org/officeDocument/2006/relationships/hyperlink" Target="mailto:ltippets@neumont.edu"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9182D-8CF9-4025-B796-EC910C68DDD8}">
  <sheetPr codeName="Sheet4">
    <pageSetUpPr fitToPage="1"/>
  </sheetPr>
  <dimension ref="A1:P62"/>
  <sheetViews>
    <sheetView showGridLines="0" zoomScaleNormal="100" workbookViewId="0">
      <selection activeCell="G7" sqref="G7"/>
    </sheetView>
  </sheetViews>
  <sheetFormatPr defaultColWidth="0" defaultRowHeight="15" zeroHeight="1" x14ac:dyDescent="0.25"/>
  <cols>
    <col min="1" max="1" width="1.5703125" customWidth="1"/>
    <col min="2" max="3" width="3.5703125" customWidth="1"/>
    <col min="4" max="5" width="10" customWidth="1"/>
    <col min="6" max="6" width="6.42578125" customWidth="1"/>
    <col min="7" max="8" width="8.42578125" customWidth="1"/>
    <col min="9" max="9" width="9.5703125" customWidth="1"/>
    <col min="10" max="10" width="9" customWidth="1"/>
    <col min="11" max="13" width="7.5703125" customWidth="1"/>
    <col min="14" max="14" width="6" customWidth="1"/>
    <col min="15" max="15" width="1.5703125" customWidth="1"/>
    <col min="16" max="16" width="3.5703125" hidden="1" customWidth="1"/>
    <col min="17" max="16384" width="9" hidden="1"/>
  </cols>
  <sheetData>
    <row r="1" spans="1:14" ht="12.75" customHeight="1" x14ac:dyDescent="0.25">
      <c r="A1" s="4"/>
      <c r="B1" s="5"/>
      <c r="C1" s="4"/>
      <c r="D1" s="4"/>
      <c r="E1" s="341" t="s">
        <v>39</v>
      </c>
      <c r="F1" s="341"/>
      <c r="G1" s="341"/>
      <c r="H1" s="341"/>
      <c r="I1" s="341"/>
      <c r="J1" s="341"/>
      <c r="K1" s="6"/>
      <c r="L1" s="6"/>
      <c r="M1" s="6"/>
      <c r="N1" s="7" t="s">
        <v>40</v>
      </c>
    </row>
    <row r="2" spans="1:14" ht="12.75" customHeight="1" x14ac:dyDescent="0.25">
      <c r="A2" s="4"/>
      <c r="B2" s="5"/>
      <c r="C2" s="4"/>
      <c r="D2" s="4"/>
      <c r="E2" s="341"/>
      <c r="F2" s="341"/>
      <c r="G2" s="341"/>
      <c r="H2" s="341"/>
      <c r="I2" s="341"/>
      <c r="J2" s="341"/>
      <c r="K2" s="6"/>
      <c r="L2" s="6"/>
      <c r="M2" s="6"/>
      <c r="N2" s="7" t="s">
        <v>41</v>
      </c>
    </row>
    <row r="3" spans="1:14" ht="12.75" customHeight="1" x14ac:dyDescent="0.25">
      <c r="A3" s="4"/>
      <c r="B3" s="5"/>
      <c r="C3" s="4"/>
      <c r="D3" s="4"/>
      <c r="E3" s="341"/>
      <c r="F3" s="341"/>
      <c r="G3" s="341"/>
      <c r="H3" s="341"/>
      <c r="I3" s="341"/>
      <c r="J3" s="341"/>
      <c r="K3" s="6"/>
      <c r="L3" s="6"/>
      <c r="M3" s="6"/>
      <c r="N3" s="8" t="s">
        <v>42</v>
      </c>
    </row>
    <row r="4" spans="1:14" ht="12.75" customHeight="1" x14ac:dyDescent="0.25">
      <c r="A4" s="4"/>
      <c r="B4" s="5"/>
      <c r="C4" s="4"/>
      <c r="D4" s="4"/>
      <c r="E4" s="9"/>
      <c r="F4" s="9"/>
      <c r="G4" s="9"/>
      <c r="H4" s="9"/>
      <c r="I4" s="9"/>
      <c r="J4" s="9"/>
      <c r="K4" s="6"/>
      <c r="L4" s="6"/>
      <c r="M4" s="6"/>
      <c r="N4" s="8" t="s">
        <v>43</v>
      </c>
    </row>
    <row r="5" spans="1:14" ht="12.75" customHeight="1" x14ac:dyDescent="0.25">
      <c r="A5" s="4"/>
      <c r="B5" s="5"/>
      <c r="C5" s="4"/>
      <c r="D5" s="4"/>
      <c r="E5" s="9"/>
      <c r="F5" s="4"/>
      <c r="G5" s="4"/>
      <c r="H5" s="9"/>
      <c r="I5" s="9"/>
      <c r="J5" s="9"/>
      <c r="K5" s="6"/>
      <c r="L5" s="6"/>
      <c r="M5" s="6"/>
      <c r="N5" s="8" t="s">
        <v>44</v>
      </c>
    </row>
    <row r="6" spans="1:14" ht="19.5" customHeight="1" x14ac:dyDescent="0.25">
      <c r="A6" s="4"/>
      <c r="B6" s="5"/>
      <c r="C6" s="4"/>
      <c r="D6" s="4"/>
      <c r="E6" s="28">
        <f>INDEX(Table1[SyStudentId],MATCH($E$7,Table1[StudentNameConCat],0))</f>
        <v>198105</v>
      </c>
      <c r="F6" s="28" t="str">
        <f>VLOOKUP($E$6,Table1[[SyStudentId]:[StudentNameConCat]],4,FALSE)</f>
        <v>Watson, Austin</v>
      </c>
      <c r="G6" s="28"/>
      <c r="H6" s="28" t="str">
        <f>VLOOKUP($E$6,Table1[[SyStudentId]:[email]],13,FALSE)</f>
        <v>austin.watson91102@gmail.com</v>
      </c>
      <c r="I6" s="28"/>
      <c r="J6" s="147"/>
      <c r="K6" s="6"/>
      <c r="L6" s="6"/>
      <c r="M6" s="6"/>
      <c r="N6" s="8"/>
    </row>
    <row r="7" spans="1:14" x14ac:dyDescent="0.25">
      <c r="A7" s="4"/>
      <c r="B7" s="4"/>
      <c r="C7" s="4" t="s">
        <v>45</v>
      </c>
      <c r="D7" s="4"/>
      <c r="E7" s="342" t="s">
        <v>6583</v>
      </c>
      <c r="F7" s="343"/>
      <c r="G7" s="4"/>
      <c r="H7" s="4"/>
      <c r="I7" s="4"/>
      <c r="J7" s="4" t="s">
        <v>46</v>
      </c>
      <c r="K7" s="10" t="str">
        <f>VLOOKUP($E$6,Table1[#All],23,FALSE)</f>
        <v>Maureen Ranks</v>
      </c>
      <c r="L7" s="6"/>
      <c r="M7" s="6"/>
      <c r="N7" s="8"/>
    </row>
    <row r="8" spans="1:14" x14ac:dyDescent="0.25">
      <c r="A8" s="4"/>
      <c r="B8" s="4"/>
      <c r="C8" s="4" t="s">
        <v>47</v>
      </c>
      <c r="D8" s="4"/>
      <c r="E8" s="10" t="str">
        <f>VLOOKUP($E$6,Table1[#All],27,FALSE)</f>
        <v>BS Computer Science</v>
      </c>
      <c r="F8" s="11"/>
      <c r="G8" s="4"/>
      <c r="H8" s="4"/>
      <c r="I8" s="4"/>
      <c r="J8" s="4" t="s">
        <v>48</v>
      </c>
      <c r="K8" s="347">
        <f>VLOOKUP($E$6,Table1[#All],25,FALSE)</f>
        <v>8883022894</v>
      </c>
      <c r="L8" s="347"/>
      <c r="M8" s="6"/>
      <c r="N8" s="8"/>
    </row>
    <row r="9" spans="1:14" x14ac:dyDescent="0.25">
      <c r="A9" s="4"/>
      <c r="B9" s="4"/>
      <c r="C9" s="4" t="s">
        <v>49</v>
      </c>
      <c r="D9" s="4"/>
      <c r="E9" s="344">
        <f ca="1">TODAY()</f>
        <v>43805</v>
      </c>
      <c r="F9" s="344"/>
      <c r="G9" s="4"/>
      <c r="H9" s="4"/>
      <c r="I9" s="4"/>
      <c r="J9" s="4" t="s">
        <v>50</v>
      </c>
      <c r="K9" s="10" t="str">
        <f>VLOOKUP($E$6,Table1[#All],24,FALSE)</f>
        <v>mranks@neumont.edu</v>
      </c>
      <c r="L9" s="6"/>
      <c r="M9" s="6"/>
      <c r="N9" s="4"/>
    </row>
    <row r="10" spans="1:14" ht="9.75" customHeight="1" x14ac:dyDescent="0.25">
      <c r="A10" s="4"/>
      <c r="B10" s="4"/>
      <c r="C10" s="4"/>
      <c r="D10" s="4"/>
      <c r="E10" s="39" t="str">
        <f>"I:\__Incoming Students\ALEs\Fall 2020\"&amp;F6&amp;" - ALE.pdf"</f>
        <v>I:\__Incoming Students\ALEs\Fall 2020\Watson, Austin - ALE.pdf</v>
      </c>
      <c r="F10" s="4"/>
      <c r="G10" s="4"/>
      <c r="H10" s="4"/>
      <c r="I10" s="4"/>
      <c r="J10" s="12"/>
      <c r="K10" s="13"/>
      <c r="L10" s="6"/>
      <c r="M10" s="6"/>
      <c r="N10" s="4"/>
    </row>
    <row r="11" spans="1:14" ht="9.75" customHeight="1" thickBot="1" x14ac:dyDescent="0.3">
      <c r="A11" s="4"/>
      <c r="B11" s="5"/>
      <c r="C11" s="4"/>
      <c r="D11" s="4"/>
      <c r="E11" s="4"/>
      <c r="F11" s="4"/>
      <c r="G11" s="4"/>
      <c r="H11" s="4"/>
      <c r="I11" s="4"/>
      <c r="J11" s="6"/>
      <c r="K11" s="6"/>
      <c r="L11" s="6"/>
      <c r="M11" s="6"/>
      <c r="N11" s="28">
        <f>VLOOKUP($E$6,Table1[#All],85,FALSE)</f>
        <v>39515</v>
      </c>
    </row>
    <row r="12" spans="1:14" ht="18.75" customHeight="1" x14ac:dyDescent="0.25">
      <c r="A12" s="4"/>
      <c r="B12" s="14" t="s">
        <v>51</v>
      </c>
      <c r="C12" s="15"/>
      <c r="D12" s="15"/>
      <c r="E12" s="15"/>
      <c r="F12" s="15"/>
      <c r="G12" s="345">
        <f>VLOOKUP($E$6,Table1[#All],63,FALSE)</f>
        <v>44109</v>
      </c>
      <c r="H12" s="345"/>
      <c r="I12" s="16" t="s">
        <v>52</v>
      </c>
      <c r="J12" s="346">
        <f>VLOOKUP($E$6,Table1[#All],64,FALSE)</f>
        <v>44356</v>
      </c>
      <c r="K12" s="346"/>
      <c r="L12" s="15"/>
      <c r="M12" s="348">
        <f>SUM(M14:M20)</f>
        <v>39515</v>
      </c>
      <c r="N12" s="349"/>
    </row>
    <row r="13" spans="1:14" ht="15" customHeight="1" x14ac:dyDescent="0.25">
      <c r="A13" s="4"/>
      <c r="B13" s="17"/>
      <c r="C13" s="5" t="s">
        <v>91</v>
      </c>
      <c r="D13" s="4"/>
      <c r="E13" s="4"/>
      <c r="F13" s="4"/>
      <c r="G13" s="4"/>
      <c r="H13" s="4"/>
      <c r="I13" s="4"/>
      <c r="J13" s="18" t="s">
        <v>53</v>
      </c>
      <c r="K13" s="18" t="s">
        <v>54</v>
      </c>
      <c r="L13" s="18" t="s">
        <v>55</v>
      </c>
      <c r="M13" s="19" t="s">
        <v>56</v>
      </c>
      <c r="N13" s="20"/>
    </row>
    <row r="14" spans="1:14" ht="15" customHeight="1" x14ac:dyDescent="0.25">
      <c r="A14" s="4"/>
      <c r="B14" s="17"/>
      <c r="C14" s="4"/>
      <c r="D14" s="4" t="s">
        <v>36</v>
      </c>
      <c r="E14" s="4"/>
      <c r="F14" s="4"/>
      <c r="G14" s="4"/>
      <c r="H14" s="4"/>
      <c r="I14" s="21"/>
      <c r="J14" s="6">
        <f>VLOOKUP($E$6,Table1[#All],65,FALSE)</f>
        <v>8505</v>
      </c>
      <c r="K14" s="6">
        <f>VLOOKUP($E$6,Table1[#All],66,FALSE)</f>
        <v>8505</v>
      </c>
      <c r="L14" s="6">
        <f>VLOOKUP($E$6,Table1[#All],67,FALSE)</f>
        <v>8505</v>
      </c>
      <c r="M14" s="19">
        <f>SUM(J14:L14)</f>
        <v>25515</v>
      </c>
      <c r="N14" s="79">
        <f>VLOOKUP($E$6,Table1[#All],68,FALSE)</f>
        <v>25515</v>
      </c>
    </row>
    <row r="15" spans="1:14" ht="6.75" customHeight="1" x14ac:dyDescent="0.25">
      <c r="A15" s="4"/>
      <c r="B15" s="17"/>
      <c r="C15" s="4"/>
      <c r="D15" s="4"/>
      <c r="E15" s="4"/>
      <c r="F15" s="4"/>
      <c r="G15" s="4"/>
      <c r="H15" s="4"/>
      <c r="I15" s="21"/>
      <c r="J15" s="6"/>
      <c r="K15" s="6"/>
      <c r="L15" s="6"/>
      <c r="M15" s="19"/>
      <c r="N15" s="20"/>
    </row>
    <row r="16" spans="1:14" ht="15" customHeight="1" x14ac:dyDescent="0.25">
      <c r="A16" s="4"/>
      <c r="B16" s="17"/>
      <c r="C16" s="5" t="s">
        <v>92</v>
      </c>
      <c r="D16" s="4"/>
      <c r="E16" s="4"/>
      <c r="F16" s="4"/>
      <c r="G16" s="4"/>
      <c r="H16" s="4"/>
      <c r="I16" s="21"/>
      <c r="J16" s="6"/>
      <c r="K16" s="6"/>
      <c r="L16" s="6"/>
      <c r="M16" s="19"/>
      <c r="N16" s="20"/>
    </row>
    <row r="17" spans="1:16" ht="15" customHeight="1" x14ac:dyDescent="0.25">
      <c r="A17" s="4"/>
      <c r="B17" s="17"/>
      <c r="C17" s="4"/>
      <c r="D17" s="4" t="s">
        <v>37</v>
      </c>
      <c r="E17" s="4"/>
      <c r="F17" s="4"/>
      <c r="G17" s="4"/>
      <c r="H17" s="4"/>
      <c r="I17" s="21"/>
      <c r="J17" s="6">
        <f>VLOOKUP($E$6,Table1[#All],69,FALSE)</f>
        <v>3300</v>
      </c>
      <c r="K17" s="6">
        <f>VLOOKUP($E$6,Table1[#All],70,FALSE)</f>
        <v>400</v>
      </c>
      <c r="L17" s="6">
        <f>VLOOKUP($E$6,Table1[#All],71,FALSE)</f>
        <v>400</v>
      </c>
      <c r="M17" s="19">
        <f>SUM(J17:L17)</f>
        <v>4100</v>
      </c>
      <c r="N17" s="79">
        <f>VLOOKUP($E$6,Table1[#All],72,FALSE)</f>
        <v>4100</v>
      </c>
      <c r="O17" s="22"/>
    </row>
    <row r="18" spans="1:16" ht="15" customHeight="1" x14ac:dyDescent="0.25">
      <c r="A18" s="4"/>
      <c r="B18" s="17"/>
      <c r="C18" s="4"/>
      <c r="D18" s="4" t="s">
        <v>38</v>
      </c>
      <c r="E18" s="4"/>
      <c r="F18" s="4"/>
      <c r="G18" s="4"/>
      <c r="H18" s="4"/>
      <c r="I18" s="21"/>
      <c r="J18" s="6">
        <f>VLOOKUP($E$6,Table1[#All],73,FALSE)</f>
        <v>2100</v>
      </c>
      <c r="K18" s="6">
        <f>VLOOKUP($E$6,Table1[#All],74,FALSE)</f>
        <v>2100</v>
      </c>
      <c r="L18" s="6">
        <f>VLOOKUP($E$6,Table1[#All],75,FALSE)</f>
        <v>2100</v>
      </c>
      <c r="M18" s="19">
        <f>SUM(J18:L18)</f>
        <v>6300</v>
      </c>
      <c r="N18" s="79">
        <f>VLOOKUP($E$6,Table1[#All],76,FALSE)</f>
        <v>6300</v>
      </c>
      <c r="O18" s="22"/>
    </row>
    <row r="19" spans="1:16" ht="15" customHeight="1" x14ac:dyDescent="0.25">
      <c r="A19" s="4"/>
      <c r="B19" s="17"/>
      <c r="C19" s="4"/>
      <c r="D19" s="4" t="s">
        <v>57</v>
      </c>
      <c r="E19" s="4"/>
      <c r="F19" s="4"/>
      <c r="G19" s="4"/>
      <c r="H19" s="4"/>
      <c r="I19" s="21"/>
      <c r="J19" s="6">
        <f>VLOOKUP($E$6,Table1[#All],77,FALSE)</f>
        <v>1200</v>
      </c>
      <c r="K19" s="6">
        <f>VLOOKUP($E$6,Table1[#All],78,FALSE)</f>
        <v>1200</v>
      </c>
      <c r="L19" s="6">
        <f>VLOOKUP($E$6,Table1[#All],79,FALSE)</f>
        <v>1200</v>
      </c>
      <c r="M19" s="19">
        <f>SUM(J19:L19)</f>
        <v>3600</v>
      </c>
      <c r="N19" s="79">
        <f>VLOOKUP($E$6,Table1[#All],80,FALSE)</f>
        <v>3600</v>
      </c>
    </row>
    <row r="20" spans="1:16" x14ac:dyDescent="0.25">
      <c r="A20" s="4"/>
      <c r="B20" s="17"/>
      <c r="C20" s="4"/>
      <c r="D20" s="4" t="s">
        <v>58</v>
      </c>
      <c r="E20" s="4"/>
      <c r="F20" s="4"/>
      <c r="G20" s="4"/>
      <c r="H20" s="4"/>
      <c r="I20" s="21"/>
      <c r="J20" s="6">
        <f>VLOOKUP($E$6,Table1[#All],81,FALSE)</f>
        <v>0</v>
      </c>
      <c r="K20" s="6">
        <f>VLOOKUP($E$6,Table1[#All],82,FALSE)</f>
        <v>0</v>
      </c>
      <c r="L20" s="6">
        <f>VLOOKUP($E$6,Table1[#All],83,FALSE)</f>
        <v>0</v>
      </c>
      <c r="M20" s="19">
        <f>SUM(J20:L20)</f>
        <v>0</v>
      </c>
      <c r="N20" s="79">
        <f>VLOOKUP($E$6,Table1[#All],84,FALSE)</f>
        <v>0</v>
      </c>
    </row>
    <row r="21" spans="1:16" ht="6.75" customHeight="1" thickBot="1" x14ac:dyDescent="0.3">
      <c r="A21" s="4"/>
      <c r="B21" s="23"/>
      <c r="C21" s="24"/>
      <c r="D21" s="24"/>
      <c r="E21" s="24"/>
      <c r="F21" s="24"/>
      <c r="G21" s="24"/>
      <c r="H21" s="24"/>
      <c r="I21" s="24"/>
      <c r="J21" s="25"/>
      <c r="K21" s="25"/>
      <c r="L21" s="25"/>
      <c r="M21" s="25"/>
      <c r="N21" s="26"/>
    </row>
    <row r="22" spans="1:16" ht="15" customHeight="1" thickBot="1" x14ac:dyDescent="0.3">
      <c r="A22" s="4"/>
      <c r="B22" s="5"/>
      <c r="C22" s="4"/>
      <c r="D22" s="4"/>
      <c r="E22" s="4"/>
      <c r="F22" s="4"/>
      <c r="G22" s="4"/>
      <c r="H22" s="4"/>
      <c r="I22" s="4"/>
      <c r="J22" s="6"/>
      <c r="K22" s="6"/>
      <c r="L22" s="6"/>
      <c r="M22" s="6"/>
      <c r="N22" s="28">
        <f>VLOOKUP($E$6,Table1[#All],134,FALSE)</f>
        <v>10695</v>
      </c>
    </row>
    <row r="23" spans="1:16" ht="18.75" customHeight="1" x14ac:dyDescent="0.25">
      <c r="A23" s="4"/>
      <c r="B23" s="14" t="s">
        <v>59</v>
      </c>
      <c r="C23" s="27"/>
      <c r="D23" s="27"/>
      <c r="E23" s="27"/>
      <c r="F23" s="27"/>
      <c r="G23" s="27"/>
      <c r="H23" s="27"/>
      <c r="I23" s="27"/>
      <c r="J23" s="27"/>
      <c r="K23" s="27"/>
      <c r="L23" s="27"/>
      <c r="M23" s="348">
        <f>SUM(M25:M36)</f>
        <v>10695</v>
      </c>
      <c r="N23" s="349"/>
    </row>
    <row r="24" spans="1:16" ht="15" customHeight="1" x14ac:dyDescent="0.25">
      <c r="A24" s="4"/>
      <c r="B24" s="17"/>
      <c r="C24" s="5" t="s">
        <v>60</v>
      </c>
      <c r="D24" s="4"/>
      <c r="E24" s="4"/>
      <c r="F24" s="4"/>
      <c r="G24" s="4"/>
      <c r="H24" s="4"/>
      <c r="I24" s="4"/>
      <c r="J24" s="18" t="s">
        <v>53</v>
      </c>
      <c r="K24" s="18" t="s">
        <v>54</v>
      </c>
      <c r="L24" s="18" t="s">
        <v>55</v>
      </c>
      <c r="M24" s="19" t="s">
        <v>56</v>
      </c>
      <c r="N24" s="20"/>
    </row>
    <row r="25" spans="1:16" x14ac:dyDescent="0.25">
      <c r="A25" s="4"/>
      <c r="B25" s="17"/>
      <c r="C25" s="28"/>
      <c r="D25" s="4" t="s">
        <v>61</v>
      </c>
      <c r="E25" s="4"/>
      <c r="F25" s="4"/>
      <c r="G25" s="4"/>
      <c r="H25" s="4"/>
      <c r="I25" s="4"/>
      <c r="J25" s="6">
        <f>VLOOKUP($E$6,Table1[#All],90,FALSE)</f>
        <v>2065</v>
      </c>
      <c r="K25" s="6">
        <f>VLOOKUP($E$6,Table1[#All],91,FALSE)</f>
        <v>2065</v>
      </c>
      <c r="L25" s="6">
        <f>VLOOKUP($E$6,Table1[#All],92,FALSE)</f>
        <v>2065</v>
      </c>
      <c r="M25" s="19">
        <f t="shared" ref="M25:M36" si="0">SUM(J25:L25)</f>
        <v>6195</v>
      </c>
      <c r="N25" s="79">
        <f>VLOOKUP($E$6,Table1[#All],93,FALSE)</f>
        <v>6195</v>
      </c>
      <c r="P25" s="22"/>
    </row>
    <row r="26" spans="1:16" collapsed="1" x14ac:dyDescent="0.25">
      <c r="A26" s="4"/>
      <c r="B26" s="17"/>
      <c r="C26" s="28"/>
      <c r="D26" s="4" t="s">
        <v>93</v>
      </c>
      <c r="E26" s="4"/>
      <c r="F26" s="4"/>
      <c r="G26" s="4"/>
      <c r="H26" s="4"/>
      <c r="I26" s="4"/>
      <c r="J26" s="6">
        <f>VLOOKUP($E$6,Table1[#All],86,FALSE)</f>
        <v>0</v>
      </c>
      <c r="K26" s="6">
        <f>VLOOKUP($E$6,Table1[#All],87,FALSE)</f>
        <v>0</v>
      </c>
      <c r="L26" s="6">
        <f>VLOOKUP($E$6,Table1[#All],88,FALSE)</f>
        <v>0</v>
      </c>
      <c r="M26" s="19">
        <f t="shared" si="0"/>
        <v>0</v>
      </c>
      <c r="N26" s="79">
        <f>VLOOKUP($E$6,Table1[#All],89,FALSE)</f>
        <v>0</v>
      </c>
      <c r="P26" s="22"/>
    </row>
    <row r="27" spans="1:16" x14ac:dyDescent="0.25">
      <c r="A27" s="4"/>
      <c r="B27" s="17"/>
      <c r="C27" s="28"/>
      <c r="D27" s="4" t="s">
        <v>62</v>
      </c>
      <c r="E27" s="4"/>
      <c r="F27" s="4"/>
      <c r="G27" s="29" t="s">
        <v>95</v>
      </c>
      <c r="H27" s="4"/>
      <c r="I27" s="4"/>
      <c r="J27" s="6">
        <f>VLOOKUP($E$6,Table1[#All],94,FALSE)</f>
        <v>500</v>
      </c>
      <c r="K27" s="6">
        <f>VLOOKUP($E$6,Table1[#All],95,FALSE)</f>
        <v>500</v>
      </c>
      <c r="L27" s="6">
        <f>VLOOKUP($E$6,Table1[#All],96,FALSE)</f>
        <v>500</v>
      </c>
      <c r="M27" s="19">
        <f t="shared" si="0"/>
        <v>1500</v>
      </c>
      <c r="N27" s="79">
        <f>VLOOKUP($E$6,Table1[#All],97,FALSE)</f>
        <v>1500</v>
      </c>
    </row>
    <row r="28" spans="1:16" ht="15" customHeight="1" x14ac:dyDescent="0.25">
      <c r="A28" s="4"/>
      <c r="B28" s="17"/>
      <c r="C28" s="28"/>
      <c r="D28" s="4" t="str">
        <f>IF($M28&gt;5100,"Neumont Presidential Scholarship","Neumont Achievement Scholarship")</f>
        <v>Neumont Achievement Scholarship</v>
      </c>
      <c r="E28" s="4"/>
      <c r="F28" s="4"/>
      <c r="G28" s="29" t="s">
        <v>94</v>
      </c>
      <c r="H28" s="29"/>
      <c r="I28" s="4"/>
      <c r="J28" s="6">
        <f>VLOOKUP($E$6,Table1[#All],98,FALSE)</f>
        <v>1000</v>
      </c>
      <c r="K28" s="6">
        <f>VLOOKUP($E$6,Table1[#All],99,FALSE)</f>
        <v>1000</v>
      </c>
      <c r="L28" s="6">
        <f>VLOOKUP($E$6,Table1[#All],100,FALSE)</f>
        <v>1000</v>
      </c>
      <c r="M28" s="19">
        <f t="shared" si="0"/>
        <v>3000</v>
      </c>
      <c r="N28" s="79">
        <f>VLOOKUP($E$6,Table1[#All],101,FALSE)</f>
        <v>3000</v>
      </c>
    </row>
    <row r="29" spans="1:16" ht="15" customHeight="1" x14ac:dyDescent="0.25">
      <c r="A29" s="4"/>
      <c r="B29" s="17"/>
      <c r="C29" s="28"/>
      <c r="D29" s="4" t="s">
        <v>63</v>
      </c>
      <c r="E29" s="4"/>
      <c r="F29" s="4"/>
      <c r="G29" s="4"/>
      <c r="H29" s="4"/>
      <c r="I29" s="4"/>
      <c r="J29" s="6">
        <f>VLOOKUP($E$6,Table1[#All],102,FALSE)</f>
        <v>0</v>
      </c>
      <c r="K29" s="6">
        <f>VLOOKUP($E$6,Table1[#All],103,FALSE)</f>
        <v>0</v>
      </c>
      <c r="L29" s="6">
        <f>VLOOKUP($E$6,Table1[#All],104,FALSE)</f>
        <v>0</v>
      </c>
      <c r="M29" s="19">
        <f t="shared" si="0"/>
        <v>0</v>
      </c>
      <c r="N29" s="79">
        <f>VLOOKUP($E$6,Table1[#All],105,FALSE)</f>
        <v>0</v>
      </c>
    </row>
    <row r="30" spans="1:16" x14ac:dyDescent="0.25">
      <c r="A30" s="4"/>
      <c r="B30" s="17"/>
      <c r="C30" s="28"/>
      <c r="D30" s="4" t="s">
        <v>67</v>
      </c>
      <c r="E30" s="4"/>
      <c r="F30" s="4"/>
      <c r="G30" s="4"/>
      <c r="H30" s="4"/>
      <c r="I30" s="4"/>
      <c r="J30" s="6">
        <f>VLOOKUP($E$6,Table1[#All],106,FALSE)</f>
        <v>0</v>
      </c>
      <c r="K30" s="6">
        <f>VLOOKUP($E$6,Table1[#All],107,FALSE)</f>
        <v>0</v>
      </c>
      <c r="L30" s="6">
        <f>VLOOKUP($E$6,Table1[#All],108,FALSE)</f>
        <v>0</v>
      </c>
      <c r="M30" s="19">
        <f t="shared" si="0"/>
        <v>0</v>
      </c>
      <c r="N30" s="79">
        <f>VLOOKUP($E$6,Table1[#All],109,FALSE)</f>
        <v>0</v>
      </c>
    </row>
    <row r="31" spans="1:16" x14ac:dyDescent="0.25">
      <c r="A31" s="4"/>
      <c r="B31" s="17"/>
      <c r="C31" s="28"/>
      <c r="D31" s="4" t="s">
        <v>68</v>
      </c>
      <c r="E31" s="4"/>
      <c r="F31" s="4"/>
      <c r="G31" s="4"/>
      <c r="H31" s="4"/>
      <c r="I31" s="4"/>
      <c r="J31" s="6">
        <f>VLOOKUP($E$6,Table1[#All],110,FALSE)</f>
        <v>0</v>
      </c>
      <c r="K31" s="6">
        <f>VLOOKUP($E$6,Table1[#All],111,FALSE)</f>
        <v>0</v>
      </c>
      <c r="L31" s="6">
        <f>VLOOKUP($E$6,Table1[#All],112,FALSE)</f>
        <v>0</v>
      </c>
      <c r="M31" s="19">
        <f t="shared" si="0"/>
        <v>0</v>
      </c>
      <c r="N31" s="79">
        <f>VLOOKUP($E$6,Table1[#All],113,FALSE)</f>
        <v>0</v>
      </c>
    </row>
    <row r="32" spans="1:16" x14ac:dyDescent="0.25">
      <c r="A32" s="4"/>
      <c r="B32" s="17"/>
      <c r="C32" s="28"/>
      <c r="D32" s="4" t="s">
        <v>69</v>
      </c>
      <c r="E32" s="4"/>
      <c r="F32" s="4"/>
      <c r="G32" s="4"/>
      <c r="H32" s="4"/>
      <c r="I32" s="4"/>
      <c r="J32" s="6">
        <f>VLOOKUP($E$6,Table1[#All],114,FALSE)</f>
        <v>0</v>
      </c>
      <c r="K32" s="6">
        <f>VLOOKUP($E$6,Table1[#All],115,FALSE)</f>
        <v>0</v>
      </c>
      <c r="L32" s="6">
        <f>VLOOKUP($E$6,Table1[#All],116,FALSE)</f>
        <v>0</v>
      </c>
      <c r="M32" s="19">
        <f t="shared" si="0"/>
        <v>0</v>
      </c>
      <c r="N32" s="79">
        <f>VLOOKUP($E$6,Table1[#All],117,FALSE)</f>
        <v>0</v>
      </c>
    </row>
    <row r="33" spans="1:14" x14ac:dyDescent="0.25">
      <c r="A33" s="4"/>
      <c r="B33" s="17"/>
      <c r="C33" s="28"/>
      <c r="D33" s="4" t="s">
        <v>70</v>
      </c>
      <c r="E33" s="4"/>
      <c r="F33" s="4"/>
      <c r="G33" s="29" t="s">
        <v>96</v>
      </c>
      <c r="H33" s="4"/>
      <c r="I33" s="4"/>
      <c r="J33" s="6">
        <f>VLOOKUP($E$6,Table1[#All],118,FALSE)</f>
        <v>0</v>
      </c>
      <c r="K33" s="6">
        <f>VLOOKUP($E$6,Table1[#All],119,FALSE)</f>
        <v>0</v>
      </c>
      <c r="L33" s="6">
        <f>VLOOKUP($E$6,Table1[#All],120,FALSE)</f>
        <v>0</v>
      </c>
      <c r="M33" s="19">
        <f t="shared" si="0"/>
        <v>0</v>
      </c>
      <c r="N33" s="79">
        <f>VLOOKUP($E$6,Table1[#All],121,FALSE)</f>
        <v>0</v>
      </c>
    </row>
    <row r="34" spans="1:14" x14ac:dyDescent="0.25">
      <c r="A34" s="4"/>
      <c r="B34" s="17"/>
      <c r="C34" s="28"/>
      <c r="D34" s="4" t="s">
        <v>71</v>
      </c>
      <c r="E34" s="4"/>
      <c r="F34" s="4"/>
      <c r="G34" s="4"/>
      <c r="H34" s="4"/>
      <c r="I34" s="4"/>
      <c r="J34" s="6">
        <f>VLOOKUP($E$6,Table1[#All],122,FALSE)</f>
        <v>0</v>
      </c>
      <c r="K34" s="6">
        <f>VLOOKUP($E$6,Table1[#All],123,FALSE)</f>
        <v>0</v>
      </c>
      <c r="L34" s="6">
        <f>VLOOKUP($E$6,Table1[#All],124,FALSE)</f>
        <v>0</v>
      </c>
      <c r="M34" s="19">
        <f t="shared" si="0"/>
        <v>0</v>
      </c>
      <c r="N34" s="79">
        <f>VLOOKUP($E$6,Table1[#All],125,FALSE)</f>
        <v>0</v>
      </c>
    </row>
    <row r="35" spans="1:14" x14ac:dyDescent="0.25">
      <c r="A35" s="4"/>
      <c r="B35" s="17"/>
      <c r="C35" s="28"/>
      <c r="D35" s="4" t="s">
        <v>72</v>
      </c>
      <c r="E35" s="4"/>
      <c r="F35" s="4"/>
      <c r="G35" s="4"/>
      <c r="H35" s="4"/>
      <c r="I35" s="4"/>
      <c r="J35" s="6">
        <f>VLOOKUP($E$6,Table1[#All],126,FALSE)</f>
        <v>0</v>
      </c>
      <c r="K35" s="6">
        <f>VLOOKUP($E$6,Table1[#All],127,FALSE)</f>
        <v>0</v>
      </c>
      <c r="L35" s="6">
        <f>VLOOKUP($E$6,Table1[#All],128,FALSE)</f>
        <v>0</v>
      </c>
      <c r="M35" s="19">
        <f t="shared" si="0"/>
        <v>0</v>
      </c>
      <c r="N35" s="79">
        <f>VLOOKUP($E$6,Table1[#All],129,FALSE)</f>
        <v>0</v>
      </c>
    </row>
    <row r="36" spans="1:14" x14ac:dyDescent="0.25">
      <c r="A36" s="4"/>
      <c r="B36" s="17"/>
      <c r="C36" s="28"/>
      <c r="D36" s="4" t="s">
        <v>73</v>
      </c>
      <c r="E36" s="4"/>
      <c r="F36" s="4"/>
      <c r="G36" s="4"/>
      <c r="H36" s="4"/>
      <c r="I36" s="4"/>
      <c r="J36" s="6">
        <f>VLOOKUP($E$6,Table1[#All],130,FALSE)</f>
        <v>0</v>
      </c>
      <c r="K36" s="6">
        <f>VLOOKUP($E$6,Table1[#All],131,FALSE)</f>
        <v>0</v>
      </c>
      <c r="L36" s="6">
        <f>VLOOKUP($E$6,Table1[#All],132,FALSE)</f>
        <v>0</v>
      </c>
      <c r="M36" s="19">
        <f t="shared" si="0"/>
        <v>0</v>
      </c>
      <c r="N36" s="79">
        <f>VLOOKUP($E$6,Table1[#All],133,FALSE)</f>
        <v>0</v>
      </c>
    </row>
    <row r="37" spans="1:14" ht="6.75" customHeight="1" thickBot="1" x14ac:dyDescent="0.3">
      <c r="A37" s="4"/>
      <c r="B37" s="23"/>
      <c r="C37" s="24"/>
      <c r="D37" s="24"/>
      <c r="E37" s="24"/>
      <c r="F37" s="24"/>
      <c r="G37" s="24"/>
      <c r="H37" s="24"/>
      <c r="I37" s="24"/>
      <c r="J37" s="25"/>
      <c r="K37" s="25"/>
      <c r="L37" s="25"/>
      <c r="M37" s="25"/>
      <c r="N37" s="26"/>
    </row>
    <row r="38" spans="1:14" ht="15" customHeight="1" thickBot="1" x14ac:dyDescent="0.3">
      <c r="A38" s="4"/>
      <c r="B38" s="5"/>
      <c r="C38" s="4"/>
      <c r="D38" s="4"/>
      <c r="E38" s="4"/>
      <c r="F38" s="4"/>
      <c r="G38" s="4"/>
      <c r="H38" s="4"/>
      <c r="I38" s="4"/>
      <c r="J38" s="6"/>
      <c r="K38" s="6"/>
      <c r="L38" s="6"/>
      <c r="M38" s="6"/>
      <c r="N38" s="4"/>
    </row>
    <row r="39" spans="1:14" ht="18.75" customHeight="1" x14ac:dyDescent="0.25">
      <c r="A39" s="4"/>
      <c r="B39" s="14" t="s">
        <v>64</v>
      </c>
      <c r="C39" s="27"/>
      <c r="D39" s="27"/>
      <c r="E39" s="27"/>
      <c r="F39" s="27"/>
      <c r="G39" s="27"/>
      <c r="H39" s="27"/>
      <c r="I39" s="27"/>
      <c r="J39" s="27"/>
      <c r="K39" s="27"/>
      <c r="L39" s="27"/>
      <c r="M39" s="348">
        <f>M41</f>
        <v>28820</v>
      </c>
      <c r="N39" s="349"/>
    </row>
    <row r="40" spans="1:14" ht="15" customHeight="1" x14ac:dyDescent="0.25">
      <c r="A40" s="4"/>
      <c r="B40" s="17"/>
      <c r="C40" s="5" t="s">
        <v>65</v>
      </c>
      <c r="D40" s="4"/>
      <c r="E40" s="4"/>
      <c r="F40" s="4"/>
      <c r="G40" s="4"/>
      <c r="H40" s="4"/>
      <c r="I40" s="4"/>
      <c r="J40" s="18" t="s">
        <v>53</v>
      </c>
      <c r="K40" s="18" t="s">
        <v>54</v>
      </c>
      <c r="L40" s="18" t="s">
        <v>55</v>
      </c>
      <c r="M40" s="19" t="s">
        <v>56</v>
      </c>
      <c r="N40" s="20"/>
    </row>
    <row r="41" spans="1:14" ht="15" customHeight="1" x14ac:dyDescent="0.25">
      <c r="A41" s="4"/>
      <c r="B41" s="17"/>
      <c r="C41" s="4"/>
      <c r="D41" s="4" t="s">
        <v>66</v>
      </c>
      <c r="E41" s="4"/>
      <c r="F41" s="4"/>
      <c r="G41" s="4"/>
      <c r="H41" s="4"/>
      <c r="I41" s="4"/>
      <c r="J41" s="6">
        <f>SUM(J14:J20)-SUM(J25:J36)</f>
        <v>11540</v>
      </c>
      <c r="K41" s="6">
        <f>SUM(K14:K20)-SUM(K25:K36)</f>
        <v>8640</v>
      </c>
      <c r="L41" s="6">
        <f>SUM(L14:L20)-SUM(L25:L36)</f>
        <v>8640</v>
      </c>
      <c r="M41" s="19">
        <f>SUM(J41:L41)</f>
        <v>28820</v>
      </c>
      <c r="N41" s="20"/>
    </row>
    <row r="42" spans="1:14" ht="6.75" customHeight="1" thickBot="1" x14ac:dyDescent="0.3">
      <c r="A42" s="4"/>
      <c r="B42" s="23"/>
      <c r="C42" s="24"/>
      <c r="D42" s="24"/>
      <c r="E42" s="24"/>
      <c r="F42" s="24"/>
      <c r="G42" s="24"/>
      <c r="H42" s="24"/>
      <c r="I42" s="24"/>
      <c r="J42" s="25"/>
      <c r="K42" s="25"/>
      <c r="L42" s="25"/>
      <c r="M42" s="25"/>
      <c r="N42" s="26"/>
    </row>
    <row r="43" spans="1:14" ht="15" customHeight="1" thickBot="1" x14ac:dyDescent="0.3"/>
    <row r="44" spans="1:14" ht="18.75" customHeight="1" x14ac:dyDescent="0.25">
      <c r="B44" s="14" t="s">
        <v>74</v>
      </c>
      <c r="C44" s="27"/>
      <c r="D44" s="27"/>
      <c r="E44" s="27"/>
      <c r="F44" s="27"/>
      <c r="G44" s="27"/>
      <c r="H44" s="30"/>
      <c r="I44" s="2" t="s">
        <v>87</v>
      </c>
      <c r="J44" s="3">
        <f>L44/(1-0.04248)</f>
        <v>3.4116885286976899</v>
      </c>
      <c r="K44" s="2" t="s">
        <v>88</v>
      </c>
      <c r="L44" s="3">
        <f>M39-M47-(M48+N48)-(M49+N49)-(M50+N50)-M51-M52-M53</f>
        <v>3.2667599999986123</v>
      </c>
      <c r="M44" s="348">
        <f>SUM(M47:M53)</f>
        <v>29912</v>
      </c>
      <c r="N44" s="349"/>
    </row>
    <row r="45" spans="1:14" ht="15" customHeight="1" x14ac:dyDescent="0.25">
      <c r="B45" s="17"/>
      <c r="C45" s="5"/>
      <c r="D45" s="4"/>
      <c r="E45" s="4"/>
      <c r="F45" s="4"/>
      <c r="G45" s="4"/>
      <c r="H45" s="4"/>
      <c r="I45" s="4"/>
      <c r="J45" s="351" t="s">
        <v>897</v>
      </c>
      <c r="K45" s="351"/>
      <c r="L45" s="351"/>
      <c r="M45" s="31" t="s">
        <v>89</v>
      </c>
      <c r="N45" s="350" t="s">
        <v>178</v>
      </c>
    </row>
    <row r="46" spans="1:14" ht="15" customHeight="1" x14ac:dyDescent="0.25">
      <c r="B46" s="17"/>
      <c r="C46" s="5" t="s">
        <v>75</v>
      </c>
      <c r="D46" s="4"/>
      <c r="E46" s="4"/>
      <c r="F46" s="4"/>
      <c r="G46" s="4"/>
      <c r="H46" s="4"/>
      <c r="I46" s="4"/>
      <c r="J46" s="18" t="s">
        <v>53</v>
      </c>
      <c r="K46" s="18" t="s">
        <v>54</v>
      </c>
      <c r="L46" s="18" t="s">
        <v>55</v>
      </c>
      <c r="M46" s="19" t="s">
        <v>56</v>
      </c>
      <c r="N46" s="350"/>
    </row>
    <row r="47" spans="1:14" ht="15" customHeight="1" x14ac:dyDescent="0.25">
      <c r="B47" s="17"/>
      <c r="C47" s="4" t="s">
        <v>78</v>
      </c>
      <c r="D47" s="4"/>
      <c r="E47" s="4"/>
      <c r="G47" s="29" t="s">
        <v>81</v>
      </c>
      <c r="H47" s="4"/>
      <c r="I47" s="4"/>
      <c r="J47" s="6">
        <f>VLOOKUP($E$6,Table1[#All],135,FALSE)</f>
        <v>0</v>
      </c>
      <c r="K47" s="6">
        <f>VLOOKUP($E$6,Table1[#All],136,FALSE)</f>
        <v>0</v>
      </c>
      <c r="L47" s="6">
        <f>VLOOKUP($E$6,Table1[#All],137,FALSE)</f>
        <v>0</v>
      </c>
      <c r="M47" s="19">
        <f t="shared" ref="M47:M53" si="1">SUM(J47:L47)</f>
        <v>0</v>
      </c>
      <c r="N47" s="20"/>
    </row>
    <row r="48" spans="1:14" ht="15" customHeight="1" x14ac:dyDescent="0.25">
      <c r="B48" s="17"/>
      <c r="C48" s="4" t="s">
        <v>79</v>
      </c>
      <c r="D48" s="4"/>
      <c r="E48" s="4"/>
      <c r="G48" s="29" t="s">
        <v>815</v>
      </c>
      <c r="H48" s="4"/>
      <c r="I48" s="4"/>
      <c r="J48" s="6">
        <f>VLOOKUP($E$6,Table1[#All],139,FALSE)</f>
        <v>1154</v>
      </c>
      <c r="K48" s="6">
        <f>VLOOKUP($E$6,Table1[#All],140,FALSE)</f>
        <v>1154</v>
      </c>
      <c r="L48" s="6">
        <f>VLOOKUP($E$6,Table1[#All],141,FALSE)</f>
        <v>1155</v>
      </c>
      <c r="M48" s="19">
        <f>VLOOKUP($E$6,Table1[#All],142,FALSE)</f>
        <v>3500</v>
      </c>
      <c r="N48" s="32">
        <f>-M48*0.01059</f>
        <v>-37.065000000000005</v>
      </c>
    </row>
    <row r="49" spans="2:14" ht="15" customHeight="1" x14ac:dyDescent="0.25">
      <c r="B49" s="17"/>
      <c r="C49" s="4" t="s">
        <v>80</v>
      </c>
      <c r="D49" s="4"/>
      <c r="E49" s="4"/>
      <c r="G49" s="29" t="s">
        <v>893</v>
      </c>
      <c r="H49" s="4"/>
      <c r="I49" s="4"/>
      <c r="J49" s="6">
        <f>VLOOKUP($E$6,Table1[#All],144,FALSE)</f>
        <v>660</v>
      </c>
      <c r="K49" s="6">
        <f>VLOOKUP($E$6,Table1[#All],145,FALSE)</f>
        <v>660</v>
      </c>
      <c r="L49" s="6">
        <f>VLOOKUP($E$6,Table1[#All],146,FALSE)</f>
        <v>659</v>
      </c>
      <c r="M49" s="19">
        <f>VLOOKUP($E$6,Table1[#All],147,FALSE)</f>
        <v>2000</v>
      </c>
      <c r="N49" s="32">
        <f>-M49*0.01059</f>
        <v>-21.18</v>
      </c>
    </row>
    <row r="50" spans="2:14" ht="15" customHeight="1" x14ac:dyDescent="0.25">
      <c r="B50" s="17"/>
      <c r="C50" s="4" t="s">
        <v>82</v>
      </c>
      <c r="D50" s="4"/>
      <c r="E50" s="4"/>
      <c r="G50" s="29" t="s">
        <v>894</v>
      </c>
      <c r="H50" s="4"/>
      <c r="I50" s="4"/>
      <c r="J50" s="6">
        <f>VLOOKUP($E$6,Table1[#All],149,FALSE)</f>
        <v>7807</v>
      </c>
      <c r="K50" s="6">
        <f>VLOOKUP($E$6,Table1[#All],150,FALSE)</f>
        <v>7807</v>
      </c>
      <c r="L50" s="6">
        <f>VLOOKUP($E$6,Table1[#All],151,FALSE)</f>
        <v>7807</v>
      </c>
      <c r="M50" s="19">
        <f>VLOOKUP($E$6,Table1[#All],152,FALSE)</f>
        <v>24412</v>
      </c>
      <c r="N50" s="32">
        <f>-M50*0.04248</f>
        <v>-1037.0217599999999</v>
      </c>
    </row>
    <row r="51" spans="2:14" x14ac:dyDescent="0.25">
      <c r="B51" s="17"/>
      <c r="C51" s="4" t="s">
        <v>83</v>
      </c>
      <c r="D51" s="4"/>
      <c r="E51" s="4"/>
      <c r="G51" s="33" t="s">
        <v>84</v>
      </c>
      <c r="H51" s="4"/>
      <c r="I51" s="4"/>
      <c r="J51" s="6">
        <f>VLOOKUP($E$6,Table1[#All],154,FALSE)</f>
        <v>0</v>
      </c>
      <c r="K51" s="6">
        <f>VLOOKUP($E$6,Table1[#All],155,FALSE)</f>
        <v>0</v>
      </c>
      <c r="L51" s="6">
        <f>VLOOKUP($E$6,Table1[#All],156,FALSE)</f>
        <v>0</v>
      </c>
      <c r="M51" s="19">
        <f t="shared" si="1"/>
        <v>0</v>
      </c>
      <c r="N51" s="20"/>
    </row>
    <row r="52" spans="2:14" x14ac:dyDescent="0.25">
      <c r="B52" s="17"/>
      <c r="C52" s="4" t="s">
        <v>85</v>
      </c>
      <c r="D52" s="4"/>
      <c r="E52" s="4"/>
      <c r="G52" s="33" t="s">
        <v>895</v>
      </c>
      <c r="H52" s="4"/>
      <c r="I52" s="4"/>
      <c r="J52" s="6">
        <f>VLOOKUP($E$6,Table1[#All],158,FALSE)</f>
        <v>0</v>
      </c>
      <c r="K52" s="6">
        <f>VLOOKUP($E$6,Table1[#All],159,FALSE)</f>
        <v>0</v>
      </c>
      <c r="L52" s="6">
        <f>VLOOKUP($E$6,Table1[#All],160,FALSE)</f>
        <v>0</v>
      </c>
      <c r="M52" s="19">
        <f t="shared" si="1"/>
        <v>0</v>
      </c>
      <c r="N52" s="20"/>
    </row>
    <row r="53" spans="2:14" x14ac:dyDescent="0.25">
      <c r="B53" s="17"/>
      <c r="C53" s="4" t="s">
        <v>86</v>
      </c>
      <c r="D53" s="4"/>
      <c r="E53" s="4"/>
      <c r="F53" s="4"/>
      <c r="G53" s="4"/>
      <c r="H53" s="4"/>
      <c r="I53" s="4"/>
      <c r="J53" s="6">
        <f>VLOOKUP($E$6,Table1[#All],162,FALSE)</f>
        <v>0</v>
      </c>
      <c r="K53" s="6">
        <f>VLOOKUP($E$6,Table1[#All],163,FALSE)</f>
        <v>0</v>
      </c>
      <c r="L53" s="6">
        <f>VLOOKUP($E$6,Table1[#All],164,FALSE)</f>
        <v>0</v>
      </c>
      <c r="M53" s="19">
        <f t="shared" si="1"/>
        <v>0</v>
      </c>
      <c r="N53" s="20"/>
    </row>
    <row r="54" spans="2:14" ht="6.75" customHeight="1" thickBot="1" x14ac:dyDescent="0.3">
      <c r="B54" s="23"/>
      <c r="C54" s="24"/>
      <c r="D54" s="24"/>
      <c r="E54" s="24"/>
      <c r="F54" s="24"/>
      <c r="G54" s="24"/>
      <c r="H54" s="24"/>
      <c r="I54" s="24"/>
      <c r="J54" s="25"/>
      <c r="K54" s="25"/>
      <c r="L54" s="25"/>
      <c r="M54" s="25"/>
      <c r="N54" s="26"/>
    </row>
    <row r="55" spans="2:14" ht="15" customHeight="1" thickBot="1" x14ac:dyDescent="0.3"/>
    <row r="56" spans="2:14" ht="18.75" customHeight="1" x14ac:dyDescent="0.25">
      <c r="B56" s="14" t="s">
        <v>76</v>
      </c>
      <c r="C56" s="15"/>
      <c r="D56" s="15"/>
      <c r="E56" s="30"/>
      <c r="F56" s="34"/>
      <c r="G56" s="35"/>
      <c r="H56" s="34"/>
      <c r="I56" s="35"/>
      <c r="J56" s="36"/>
      <c r="K56" s="36"/>
      <c r="L56" s="36"/>
      <c r="M56" s="358"/>
      <c r="N56" s="359"/>
    </row>
    <row r="57" spans="2:14" ht="15" customHeight="1" x14ac:dyDescent="0.25">
      <c r="B57" s="352" t="s">
        <v>77</v>
      </c>
      <c r="C57" s="353"/>
      <c r="D57" s="353"/>
      <c r="E57" s="353"/>
      <c r="F57" s="353"/>
      <c r="G57" s="353"/>
      <c r="H57" s="353"/>
      <c r="I57" s="353"/>
      <c r="J57" s="353"/>
      <c r="K57" s="353"/>
      <c r="L57" s="353"/>
      <c r="M57" s="353"/>
      <c r="N57" s="354"/>
    </row>
    <row r="58" spans="2:14" ht="15" customHeight="1" x14ac:dyDescent="0.25">
      <c r="B58" s="352"/>
      <c r="C58" s="353"/>
      <c r="D58" s="353"/>
      <c r="E58" s="353"/>
      <c r="F58" s="353"/>
      <c r="G58" s="353"/>
      <c r="H58" s="353"/>
      <c r="I58" s="353"/>
      <c r="J58" s="353"/>
      <c r="K58" s="353"/>
      <c r="L58" s="353"/>
      <c r="M58" s="353"/>
      <c r="N58" s="354"/>
    </row>
    <row r="59" spans="2:14" ht="15" customHeight="1" x14ac:dyDescent="0.25">
      <c r="B59" s="352"/>
      <c r="C59" s="353"/>
      <c r="D59" s="353"/>
      <c r="E59" s="353"/>
      <c r="F59" s="353"/>
      <c r="G59" s="353"/>
      <c r="H59" s="353"/>
      <c r="I59" s="353"/>
      <c r="J59" s="353"/>
      <c r="K59" s="353"/>
      <c r="L59" s="353"/>
      <c r="M59" s="353"/>
      <c r="N59" s="354"/>
    </row>
    <row r="60" spans="2:14" ht="15" customHeight="1" x14ac:dyDescent="0.25">
      <c r="B60" s="352"/>
      <c r="C60" s="353"/>
      <c r="D60" s="353"/>
      <c r="E60" s="353"/>
      <c r="F60" s="353"/>
      <c r="G60" s="353"/>
      <c r="H60" s="353"/>
      <c r="I60" s="353"/>
      <c r="J60" s="353"/>
      <c r="K60" s="353"/>
      <c r="L60" s="353"/>
      <c r="M60" s="353"/>
      <c r="N60" s="354"/>
    </row>
    <row r="61" spans="2:14" ht="15" customHeight="1" thickBot="1" x14ac:dyDescent="0.3">
      <c r="B61" s="355"/>
      <c r="C61" s="356"/>
      <c r="D61" s="356"/>
      <c r="E61" s="356"/>
      <c r="F61" s="356"/>
      <c r="G61" s="356"/>
      <c r="H61" s="356"/>
      <c r="I61" s="356"/>
      <c r="J61" s="356"/>
      <c r="K61" s="356"/>
      <c r="L61" s="356"/>
      <c r="M61" s="356"/>
      <c r="N61" s="357"/>
    </row>
    <row r="62" spans="2:14" ht="12.75" customHeight="1" x14ac:dyDescent="0.25">
      <c r="B62" s="37" t="s">
        <v>692</v>
      </c>
      <c r="N62" s="38" t="s">
        <v>90</v>
      </c>
    </row>
  </sheetData>
  <sheetProtection selectLockedCells="1"/>
  <mergeCells count="14">
    <mergeCell ref="M12:N12"/>
    <mergeCell ref="N45:N46"/>
    <mergeCell ref="J45:L45"/>
    <mergeCell ref="B57:N61"/>
    <mergeCell ref="M44:N44"/>
    <mergeCell ref="M56:N56"/>
    <mergeCell ref="M23:N23"/>
    <mergeCell ref="M39:N39"/>
    <mergeCell ref="E1:J3"/>
    <mergeCell ref="E7:F7"/>
    <mergeCell ref="E9:F9"/>
    <mergeCell ref="G12:H12"/>
    <mergeCell ref="J12:K12"/>
    <mergeCell ref="K8:L8"/>
  </mergeCells>
  <conditionalFormatting sqref="M14">
    <cfRule type="cellIs" dxfId="430" priority="6" operator="notEqual">
      <formula>$N$14</formula>
    </cfRule>
  </conditionalFormatting>
  <conditionalFormatting sqref="M17">
    <cfRule type="cellIs" dxfId="429" priority="4" operator="notEqual">
      <formula>$N$17</formula>
    </cfRule>
  </conditionalFormatting>
  <conditionalFormatting sqref="M18">
    <cfRule type="cellIs" dxfId="428" priority="3" operator="notEqual">
      <formula>$N$18</formula>
    </cfRule>
  </conditionalFormatting>
  <conditionalFormatting sqref="M19">
    <cfRule type="cellIs" dxfId="427" priority="2" operator="notEqual">
      <formula>$N$19</formula>
    </cfRule>
  </conditionalFormatting>
  <conditionalFormatting sqref="M20">
    <cfRule type="cellIs" dxfId="426" priority="1" operator="notEqual">
      <formula>$N$20</formula>
    </cfRule>
  </conditionalFormatting>
  <printOptions horizontalCentered="1"/>
  <pageMargins left="0.7" right="0.7" top="0.75" bottom="0.75" header="0.3" footer="0.3"/>
  <pageSetup scale="89" fitToHeight="0" orientation="portrait" r:id="rId1"/>
  <ignoredErrors>
    <ignoredError sqref="E9 H12:I12 M21:N21 M26 M29 M30:M36 M47 M28 K12 M51 M52:M53 M19 M20 M24:N24 N23 M25 M27 M2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locked="0" defaultSize="0" print="0" autoFill="0" autoPict="0" macro="[0]!Create_PDFs">
                <anchor moveWithCells="1" sizeWithCells="1">
                  <from>
                    <xdr:col>7</xdr:col>
                    <xdr:colOff>28575</xdr:colOff>
                    <xdr:row>6</xdr:row>
                    <xdr:rowOff>142875</xdr:rowOff>
                  </from>
                  <to>
                    <xdr:col>8</xdr:col>
                    <xdr:colOff>409575</xdr:colOff>
                    <xdr:row>7</xdr:row>
                    <xdr:rowOff>114300</xdr:rowOff>
                  </to>
                </anchor>
              </controlPr>
            </control>
          </mc:Choice>
        </mc:AlternateContent>
        <mc:AlternateContent xmlns:mc="http://schemas.openxmlformats.org/markup-compatibility/2006">
          <mc:Choice Requires="x14">
            <control shapeId="3084" r:id="rId5" name="Button 12">
              <controlPr locked="0" defaultSize="0" print="0" autoFill="0" autoPict="0" macro="[0]!Email_PDFs">
                <anchor moveWithCells="1" sizeWithCells="1">
                  <from>
                    <xdr:col>7</xdr:col>
                    <xdr:colOff>28575</xdr:colOff>
                    <xdr:row>7</xdr:row>
                    <xdr:rowOff>161925</xdr:rowOff>
                  </from>
                  <to>
                    <xdr:col>8</xdr:col>
                    <xdr:colOff>409575</xdr:colOff>
                    <xdr:row>8</xdr:row>
                    <xdr:rowOff>142875</xdr:rowOff>
                  </to>
                </anchor>
              </controlPr>
            </control>
          </mc:Choice>
        </mc:AlternateContent>
        <mc:AlternateContent xmlns:mc="http://schemas.openxmlformats.org/markup-compatibility/2006">
          <mc:Choice Requires="x14">
            <control shapeId="3087" r:id="rId6" name="Button 15">
              <controlPr locked="0" defaultSize="0" print="0" autoFill="0" autoPict="0" macro="[0]!Create_Current_ALE">
                <anchor moveWithCells="1" sizeWithCells="1">
                  <from>
                    <xdr:col>7</xdr:col>
                    <xdr:colOff>28575</xdr:colOff>
                    <xdr:row>4</xdr:row>
                    <xdr:rowOff>123825</xdr:rowOff>
                  </from>
                  <to>
                    <xdr:col>8</xdr:col>
                    <xdr:colOff>409575</xdr:colOff>
                    <xdr:row>5</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A2228-4265-444A-830F-005A09CD78F0}">
  <sheetPr codeName="Sheet5"/>
  <dimension ref="A1:FP253"/>
  <sheetViews>
    <sheetView tabSelected="1" zoomScale="90" zoomScaleNormal="90" workbookViewId="0">
      <pane xSplit="4" ySplit="1" topLeftCell="K191" activePane="bottomRight" state="frozen"/>
      <selection pane="topRight" activeCell="E1" sqref="E1"/>
      <selection pane="bottomLeft" activeCell="A2" sqref="A2"/>
      <selection pane="bottomRight" activeCell="D210" sqref="D210"/>
    </sheetView>
  </sheetViews>
  <sheetFormatPr defaultColWidth="9" defaultRowHeight="12.75" outlineLevelCol="1" x14ac:dyDescent="0.2"/>
  <cols>
    <col min="1" max="1" width="13" style="58" bestFit="1" customWidth="1"/>
    <col min="2" max="2" width="16.85546875" style="1" hidden="1" customWidth="1" outlineLevel="1"/>
    <col min="3" max="3" width="11.85546875" style="1" hidden="1" customWidth="1" outlineLevel="1"/>
    <col min="4" max="4" width="23.140625" style="1" bestFit="1" customWidth="1" collapsed="1"/>
    <col min="5" max="5" width="21.42578125" style="1" hidden="1" customWidth="1" outlineLevel="1"/>
    <col min="6" max="6" width="10.42578125" style="58" customWidth="1" collapsed="1"/>
    <col min="7" max="7" width="8.85546875" style="85" customWidth="1"/>
    <col min="8" max="8" width="8.5703125" style="85" customWidth="1"/>
    <col min="9" max="9" width="10.42578125" style="85" customWidth="1"/>
    <col min="10" max="10" width="68.42578125" style="90" customWidth="1"/>
    <col min="11" max="11" width="7.5703125" style="74" customWidth="1"/>
    <col min="12" max="12" width="6.140625" style="58" hidden="1" customWidth="1" outlineLevel="1"/>
    <col min="13" max="13" width="41.5703125" style="1" hidden="1" customWidth="1" outlineLevel="1"/>
    <col min="14" max="14" width="32.140625" style="1" hidden="1" customWidth="1" outlineLevel="1"/>
    <col min="15" max="15" width="17.42578125" style="1" hidden="1" customWidth="1" outlineLevel="1"/>
    <col min="16" max="16" width="7.5703125" style="1" customWidth="1" collapsed="1"/>
    <col min="17" max="17" width="10.5703125" style="57" hidden="1" customWidth="1" outlineLevel="1"/>
    <col min="18" max="18" width="9.140625" style="54" hidden="1" customWidth="1" outlineLevel="1"/>
    <col min="19" max="19" width="11.42578125" style="55" hidden="1" customWidth="1" outlineLevel="1"/>
    <col min="20" max="20" width="6.5703125" style="1" customWidth="1" collapsed="1"/>
    <col min="21" max="21" width="12.7109375" style="1" bestFit="1" customWidth="1"/>
    <col min="22" max="22" width="7.85546875" style="1" customWidth="1"/>
    <col min="23" max="23" width="14.5703125" style="1" hidden="1" customWidth="1" outlineLevel="1"/>
    <col min="24" max="24" width="21.140625" style="1" hidden="1" customWidth="1" outlineLevel="1"/>
    <col min="25" max="25" width="11" style="1" hidden="1" customWidth="1" outlineLevel="1"/>
    <col min="26" max="26" width="24" style="1" customWidth="1" collapsed="1"/>
    <col min="27" max="27" width="19.140625" style="1" hidden="1" customWidth="1" outlineLevel="1"/>
    <col min="28" max="28" width="6.140625" style="1" hidden="1" customWidth="1" outlineLevel="1"/>
    <col min="29" max="29" width="6.85546875" style="1" hidden="1" customWidth="1" outlineLevel="1"/>
    <col min="30" max="30" width="12.140625" style="1" hidden="1" customWidth="1" outlineLevel="1"/>
    <col min="31" max="31" width="11.42578125" style="1" hidden="1" customWidth="1" outlineLevel="1"/>
    <col min="32" max="32" width="7.5703125" style="1" customWidth="1" collapsed="1"/>
    <col min="33" max="33" width="9.85546875" style="1" hidden="1" customWidth="1" outlineLevel="1"/>
    <col min="34" max="34" width="10" style="1" customWidth="1" collapsed="1"/>
    <col min="35" max="35" width="8.140625" style="64" customWidth="1"/>
    <col min="36" max="36" width="10.42578125" style="55" customWidth="1"/>
    <col min="37" max="37" width="9.42578125" style="1" customWidth="1"/>
    <col min="38" max="38" width="9.85546875" style="146" customWidth="1"/>
    <col min="39" max="39" width="10" style="72" customWidth="1"/>
    <col min="40" max="40" width="11.140625" style="72" customWidth="1"/>
    <col min="41" max="42" width="8.5703125" style="72" customWidth="1"/>
    <col min="43" max="43" width="9.140625" style="72" customWidth="1"/>
    <col min="44" max="46" width="8.85546875" style="72" customWidth="1"/>
    <col min="47" max="47" width="9.5703125" style="72" customWidth="1"/>
    <col min="48" max="48" width="9.85546875" style="72" customWidth="1"/>
    <col min="49" max="49" width="8.85546875" style="72" customWidth="1"/>
    <col min="50" max="50" width="9.5703125" style="72" customWidth="1"/>
    <col min="51" max="52" width="8.85546875" style="72" customWidth="1"/>
    <col min="53" max="53" width="11.5703125" style="72" customWidth="1"/>
    <col min="54" max="55" width="9" style="72" customWidth="1"/>
    <col min="56" max="56" width="11.5703125" style="74" customWidth="1"/>
    <col min="57" max="58" width="13" style="74" customWidth="1"/>
    <col min="59" max="59" width="7.85546875" style="74" customWidth="1"/>
    <col min="60" max="60" width="9.140625" style="74" customWidth="1"/>
    <col min="61" max="61" width="10" style="74" customWidth="1"/>
    <col min="62" max="62" width="12.5703125" style="63" customWidth="1"/>
    <col min="63" max="63" width="9.5703125" style="55" customWidth="1" outlineLevel="1"/>
    <col min="64" max="64" width="9.42578125" style="55" customWidth="1" outlineLevel="1"/>
    <col min="65" max="67" width="9" style="58" customWidth="1" outlineLevel="1"/>
    <col min="68" max="68" width="9.42578125" style="1" customWidth="1" outlineLevel="1"/>
    <col min="69" max="71" width="9.140625" style="58" customWidth="1" outlineLevel="1"/>
    <col min="72" max="72" width="9.5703125" style="1" customWidth="1" outlineLevel="1"/>
    <col min="73" max="75" width="9.85546875" style="58" customWidth="1" outlineLevel="1"/>
    <col min="76" max="76" width="10.140625" style="1" customWidth="1" outlineLevel="1"/>
    <col min="77" max="79" width="7.5703125" style="58" customWidth="1" outlineLevel="1"/>
    <col min="80" max="80" width="7.85546875" style="1" customWidth="1" outlineLevel="1"/>
    <col min="81" max="83" width="12" style="58" customWidth="1" outlineLevel="1"/>
    <col min="84" max="84" width="12.42578125" style="1" customWidth="1" outlineLevel="1"/>
    <col min="85" max="85" width="9.5703125" style="1" bestFit="1" customWidth="1"/>
    <col min="86" max="88" width="10.42578125" style="1" customWidth="1" outlineLevel="1"/>
    <col min="89" max="89" width="10.5703125" style="1" customWidth="1" outlineLevel="1"/>
    <col min="90" max="92" width="8.5703125" style="1" customWidth="1" outlineLevel="1"/>
    <col min="93" max="93" width="9" style="1" customWidth="1" outlineLevel="1"/>
    <col min="94" max="96" width="11.140625" style="1" customWidth="1" outlineLevel="1"/>
    <col min="97" max="97" width="11.42578125" style="1" customWidth="1" outlineLevel="1"/>
    <col min="98" max="100" width="9.140625" style="1" customWidth="1" outlineLevel="1"/>
    <col min="101" max="101" width="9.5703125" style="58" customWidth="1" outlineLevel="1"/>
    <col min="102" max="104" width="8.140625" style="1" customWidth="1" outlineLevel="1"/>
    <col min="105" max="105" width="8.42578125" style="1" customWidth="1" outlineLevel="1"/>
    <col min="106" max="108" width="9" style="1" customWidth="1" outlineLevel="1"/>
    <col min="109" max="109" width="9.42578125" style="1" customWidth="1" outlineLevel="1"/>
    <col min="110" max="112" width="8.42578125" style="1" customWidth="1" outlineLevel="1"/>
    <col min="113" max="113" width="8.5703125" style="58" customWidth="1" outlineLevel="1"/>
    <col min="114" max="116" width="9.42578125" style="1" customWidth="1" outlineLevel="1"/>
    <col min="117" max="117" width="9.5703125" style="58" customWidth="1" outlineLevel="1"/>
    <col min="118" max="120" width="9" style="1" customWidth="1" outlineLevel="1"/>
    <col min="121" max="121" width="9.42578125" style="58" customWidth="1" outlineLevel="1"/>
    <col min="122" max="124" width="8.5703125" style="1" customWidth="1" outlineLevel="1"/>
    <col min="125" max="125" width="9" style="58" customWidth="1" outlineLevel="1"/>
    <col min="126" max="128" width="8.140625" style="1" customWidth="1" outlineLevel="1"/>
    <col min="129" max="129" width="8.42578125" style="58" customWidth="1" outlineLevel="1"/>
    <col min="130" max="132" width="13.140625" style="1" customWidth="1" outlineLevel="1"/>
    <col min="133" max="133" width="13.42578125" style="58" customWidth="1" outlineLevel="1"/>
    <col min="134" max="134" width="9.140625" style="1" bestFit="1" customWidth="1"/>
    <col min="135" max="137" width="9.5703125" style="58" customWidth="1" outlineLevel="1"/>
    <col min="138" max="138" width="9.85546875" style="1" customWidth="1" outlineLevel="1"/>
    <col min="139" max="139" width="8.5703125" style="1" customWidth="1" outlineLevel="1" collapsed="1"/>
    <col min="140" max="141" width="8.5703125" style="1" customWidth="1" outlineLevel="1"/>
    <col min="142" max="142" width="9" style="58" customWidth="1" outlineLevel="1"/>
    <col min="143" max="143" width="9.42578125" style="1" customWidth="1" outlineLevel="1"/>
    <col min="144" max="146" width="10.5703125" style="1" customWidth="1" outlineLevel="1"/>
    <col min="147" max="147" width="11.140625" style="58" customWidth="1" outlineLevel="1"/>
    <col min="148" max="148" width="11.42578125" style="1" customWidth="1" outlineLevel="1"/>
    <col min="149" max="151" width="9.85546875" style="1" customWidth="1" outlineLevel="1"/>
    <col min="152" max="152" width="10.140625" style="58" customWidth="1" outlineLevel="1"/>
    <col min="153" max="153" width="10.42578125" style="80" customWidth="1" outlineLevel="1"/>
    <col min="154" max="156" width="8.85546875" style="58" customWidth="1" outlineLevel="1"/>
    <col min="157" max="157" width="9.140625" style="1" customWidth="1" outlineLevel="1"/>
    <col min="158" max="160" width="8.140625" style="58" customWidth="1" outlineLevel="1"/>
    <col min="161" max="161" width="8.42578125" style="1" customWidth="1" outlineLevel="1"/>
    <col min="162" max="164" width="11" style="58" customWidth="1" outlineLevel="1"/>
    <col min="165" max="165" width="11.42578125" style="1" customWidth="1" outlineLevel="1"/>
    <col min="166" max="166" width="12.85546875" style="80" bestFit="1" customWidth="1"/>
    <col min="167" max="167" width="9.85546875" style="1" bestFit="1" customWidth="1"/>
    <col min="168" max="168" width="12.140625" style="80" bestFit="1" customWidth="1"/>
    <col min="169" max="169" width="10.5703125" style="80" bestFit="1" customWidth="1"/>
    <col min="170" max="170" width="10.5703125" style="1" customWidth="1"/>
    <col min="171" max="171" width="10" style="1" customWidth="1"/>
    <col min="172" max="172" width="9.42578125" style="1" bestFit="1" customWidth="1"/>
    <col min="173" max="16384" width="9" style="1"/>
  </cols>
  <sheetData>
    <row r="1" spans="1:172" x14ac:dyDescent="0.2">
      <c r="A1" s="68" t="s">
        <v>99</v>
      </c>
      <c r="B1" s="43" t="s">
        <v>100</v>
      </c>
      <c r="C1" s="43" t="s">
        <v>101</v>
      </c>
      <c r="D1" s="43" t="s">
        <v>35</v>
      </c>
      <c r="E1" s="43" t="s">
        <v>173</v>
      </c>
      <c r="F1" s="68" t="s">
        <v>112</v>
      </c>
      <c r="G1" s="84" t="s">
        <v>113</v>
      </c>
      <c r="H1" s="84" t="s">
        <v>98</v>
      </c>
      <c r="I1" s="84" t="s">
        <v>97</v>
      </c>
      <c r="J1" s="89" t="s">
        <v>29</v>
      </c>
      <c r="K1" s="86" t="s">
        <v>0</v>
      </c>
      <c r="L1" s="68" t="s">
        <v>174</v>
      </c>
      <c r="M1" s="43" t="s">
        <v>102</v>
      </c>
      <c r="N1" s="43" t="s">
        <v>103</v>
      </c>
      <c r="O1" s="43" t="s">
        <v>104</v>
      </c>
      <c r="P1" s="43" t="s">
        <v>1</v>
      </c>
      <c r="Q1" s="44" t="s">
        <v>105</v>
      </c>
      <c r="R1" s="45" t="s">
        <v>33</v>
      </c>
      <c r="S1" s="46" t="s">
        <v>106</v>
      </c>
      <c r="T1" s="43" t="s">
        <v>2</v>
      </c>
      <c r="U1" s="43" t="s">
        <v>3</v>
      </c>
      <c r="V1" s="43" t="s">
        <v>4</v>
      </c>
      <c r="W1" s="43" t="s">
        <v>114</v>
      </c>
      <c r="X1" s="43" t="s">
        <v>643</v>
      </c>
      <c r="Y1" s="43" t="s">
        <v>115</v>
      </c>
      <c r="Z1" s="43" t="s">
        <v>5</v>
      </c>
      <c r="AA1" s="43" t="s">
        <v>607</v>
      </c>
      <c r="AB1" s="43" t="s">
        <v>108</v>
      </c>
      <c r="AC1" s="43" t="s">
        <v>109</v>
      </c>
      <c r="AD1" s="43" t="s">
        <v>110</v>
      </c>
      <c r="AE1" s="43" t="s">
        <v>111</v>
      </c>
      <c r="AF1" s="47" t="s">
        <v>169</v>
      </c>
      <c r="AG1" s="43" t="s">
        <v>181</v>
      </c>
      <c r="AH1" s="43" t="s">
        <v>712</v>
      </c>
      <c r="AI1" s="66" t="s">
        <v>6</v>
      </c>
      <c r="AJ1" s="46" t="s">
        <v>170</v>
      </c>
      <c r="AK1" s="43" t="s">
        <v>171</v>
      </c>
      <c r="AL1" s="145" t="s">
        <v>172</v>
      </c>
      <c r="AM1" s="69" t="s">
        <v>634</v>
      </c>
      <c r="AN1" s="69" t="s">
        <v>234</v>
      </c>
      <c r="AO1" s="69" t="s">
        <v>4672</v>
      </c>
      <c r="AP1" s="100" t="s">
        <v>8</v>
      </c>
      <c r="AQ1" s="100" t="s">
        <v>9</v>
      </c>
      <c r="AR1" s="99" t="s">
        <v>10</v>
      </c>
      <c r="AS1" s="99" t="s">
        <v>11</v>
      </c>
      <c r="AT1" s="99" t="s">
        <v>12</v>
      </c>
      <c r="AU1" s="99" t="s">
        <v>13</v>
      </c>
      <c r="AV1" s="99" t="s">
        <v>635</v>
      </c>
      <c r="AW1" s="99" t="s">
        <v>14</v>
      </c>
      <c r="AX1" s="99" t="s">
        <v>15</v>
      </c>
      <c r="AY1" s="99" t="s">
        <v>16</v>
      </c>
      <c r="AZ1" s="99" t="s">
        <v>17</v>
      </c>
      <c r="BA1" s="99" t="s">
        <v>636</v>
      </c>
      <c r="BB1" s="69" t="s">
        <v>18</v>
      </c>
      <c r="BC1" s="70" t="s">
        <v>19</v>
      </c>
      <c r="BD1" s="71" t="s">
        <v>637</v>
      </c>
      <c r="BE1" s="71" t="s">
        <v>638</v>
      </c>
      <c r="BF1" s="71" t="s">
        <v>639</v>
      </c>
      <c r="BG1" s="71" t="s">
        <v>640</v>
      </c>
      <c r="BH1" s="71" t="s">
        <v>641</v>
      </c>
      <c r="BI1" s="71" t="s">
        <v>34</v>
      </c>
      <c r="BJ1" s="61" t="s">
        <v>642</v>
      </c>
      <c r="BK1" s="48" t="s">
        <v>116</v>
      </c>
      <c r="BL1" s="49" t="s">
        <v>117</v>
      </c>
      <c r="BM1" s="75" t="s">
        <v>118</v>
      </c>
      <c r="BN1" s="75" t="s">
        <v>119</v>
      </c>
      <c r="BO1" s="75" t="s">
        <v>120</v>
      </c>
      <c r="BP1" s="50" t="s">
        <v>121</v>
      </c>
      <c r="BQ1" s="75" t="s">
        <v>122</v>
      </c>
      <c r="BR1" s="75" t="s">
        <v>123</v>
      </c>
      <c r="BS1" s="75" t="s">
        <v>124</v>
      </c>
      <c r="BT1" s="50" t="s">
        <v>125</v>
      </c>
      <c r="BU1" s="75" t="s">
        <v>644</v>
      </c>
      <c r="BV1" s="75" t="s">
        <v>645</v>
      </c>
      <c r="BW1" s="75" t="s">
        <v>646</v>
      </c>
      <c r="BX1" s="50" t="s">
        <v>647</v>
      </c>
      <c r="BY1" s="75" t="s">
        <v>648</v>
      </c>
      <c r="BZ1" s="75" t="s">
        <v>649</v>
      </c>
      <c r="CA1" s="75" t="s">
        <v>650</v>
      </c>
      <c r="CB1" s="50" t="s">
        <v>651</v>
      </c>
      <c r="CC1" s="75" t="s">
        <v>652</v>
      </c>
      <c r="CD1" s="75" t="s">
        <v>653</v>
      </c>
      <c r="CE1" s="75" t="s">
        <v>654</v>
      </c>
      <c r="CF1" s="50" t="s">
        <v>655</v>
      </c>
      <c r="CG1" s="50" t="s">
        <v>175</v>
      </c>
      <c r="CH1" s="51" t="s">
        <v>126</v>
      </c>
      <c r="CI1" s="51" t="s">
        <v>127</v>
      </c>
      <c r="CJ1" s="51" t="s">
        <v>128</v>
      </c>
      <c r="CK1" s="52" t="s">
        <v>129</v>
      </c>
      <c r="CL1" s="51" t="s">
        <v>130</v>
      </c>
      <c r="CM1" s="51" t="s">
        <v>131</v>
      </c>
      <c r="CN1" s="51" t="s">
        <v>132</v>
      </c>
      <c r="CO1" s="52" t="s">
        <v>133</v>
      </c>
      <c r="CP1" s="51" t="s">
        <v>656</v>
      </c>
      <c r="CQ1" s="51" t="s">
        <v>657</v>
      </c>
      <c r="CR1" s="51" t="s">
        <v>658</v>
      </c>
      <c r="CS1" s="52" t="s">
        <v>659</v>
      </c>
      <c r="CT1" s="51" t="s">
        <v>660</v>
      </c>
      <c r="CU1" s="51" t="s">
        <v>661</v>
      </c>
      <c r="CV1" s="51" t="s">
        <v>662</v>
      </c>
      <c r="CW1" s="76" t="s">
        <v>663</v>
      </c>
      <c r="CX1" s="51" t="s">
        <v>664</v>
      </c>
      <c r="CY1" s="51" t="s">
        <v>665</v>
      </c>
      <c r="CZ1" s="51" t="s">
        <v>666</v>
      </c>
      <c r="DA1" s="52" t="s">
        <v>667</v>
      </c>
      <c r="DB1" s="51" t="s">
        <v>668</v>
      </c>
      <c r="DC1" s="51" t="s">
        <v>669</v>
      </c>
      <c r="DD1" s="51" t="s">
        <v>670</v>
      </c>
      <c r="DE1" s="52" t="s">
        <v>671</v>
      </c>
      <c r="DF1" s="51" t="s">
        <v>672</v>
      </c>
      <c r="DG1" s="51" t="s">
        <v>673</v>
      </c>
      <c r="DH1" s="51" t="s">
        <v>674</v>
      </c>
      <c r="DI1" s="76" t="s">
        <v>675</v>
      </c>
      <c r="DJ1" s="51" t="s">
        <v>676</v>
      </c>
      <c r="DK1" s="51" t="s">
        <v>677</v>
      </c>
      <c r="DL1" s="51" t="s">
        <v>678</v>
      </c>
      <c r="DM1" s="76" t="s">
        <v>679</v>
      </c>
      <c r="DN1" s="51" t="s">
        <v>688</v>
      </c>
      <c r="DO1" s="51" t="s">
        <v>689</v>
      </c>
      <c r="DP1" s="51" t="s">
        <v>690</v>
      </c>
      <c r="DQ1" s="76" t="s">
        <v>691</v>
      </c>
      <c r="DR1" s="51" t="s">
        <v>684</v>
      </c>
      <c r="DS1" s="51" t="s">
        <v>685</v>
      </c>
      <c r="DT1" s="51" t="s">
        <v>686</v>
      </c>
      <c r="DU1" s="76" t="s">
        <v>687</v>
      </c>
      <c r="DV1" s="51" t="s">
        <v>134</v>
      </c>
      <c r="DW1" s="51" t="s">
        <v>135</v>
      </c>
      <c r="DX1" s="51" t="s">
        <v>136</v>
      </c>
      <c r="DY1" s="76" t="s">
        <v>137</v>
      </c>
      <c r="DZ1" s="51" t="s">
        <v>680</v>
      </c>
      <c r="EA1" s="51" t="s">
        <v>681</v>
      </c>
      <c r="EB1" s="51" t="s">
        <v>682</v>
      </c>
      <c r="EC1" s="76" t="s">
        <v>683</v>
      </c>
      <c r="ED1" s="67" t="s">
        <v>176</v>
      </c>
      <c r="EE1" s="77" t="s">
        <v>138</v>
      </c>
      <c r="EF1" s="78" t="s">
        <v>139</v>
      </c>
      <c r="EG1" s="78" t="s">
        <v>140</v>
      </c>
      <c r="EH1" s="53" t="s">
        <v>141</v>
      </c>
      <c r="EI1" s="53" t="s">
        <v>142</v>
      </c>
      <c r="EJ1" s="53" t="s">
        <v>143</v>
      </c>
      <c r="EK1" s="53" t="s">
        <v>144</v>
      </c>
      <c r="EL1" s="78" t="s">
        <v>145</v>
      </c>
      <c r="EM1" s="53" t="s">
        <v>150</v>
      </c>
      <c r="EN1" s="53" t="s">
        <v>146</v>
      </c>
      <c r="EO1" s="53" t="s">
        <v>147</v>
      </c>
      <c r="EP1" s="53" t="s">
        <v>148</v>
      </c>
      <c r="EQ1" s="78" t="s">
        <v>149</v>
      </c>
      <c r="ER1" s="53" t="s">
        <v>151</v>
      </c>
      <c r="ES1" s="53" t="s">
        <v>152</v>
      </c>
      <c r="ET1" s="53" t="s">
        <v>153</v>
      </c>
      <c r="EU1" s="53" t="s">
        <v>154</v>
      </c>
      <c r="EV1" s="78" t="s">
        <v>155</v>
      </c>
      <c r="EW1" s="81" t="s">
        <v>156</v>
      </c>
      <c r="EX1" s="78" t="s">
        <v>157</v>
      </c>
      <c r="EY1" s="78" t="s">
        <v>158</v>
      </c>
      <c r="EZ1" s="78" t="s">
        <v>159</v>
      </c>
      <c r="FA1" s="53" t="s">
        <v>160</v>
      </c>
      <c r="FB1" s="78" t="s">
        <v>161</v>
      </c>
      <c r="FC1" s="78" t="s">
        <v>162</v>
      </c>
      <c r="FD1" s="78" t="s">
        <v>163</v>
      </c>
      <c r="FE1" s="53" t="s">
        <v>164</v>
      </c>
      <c r="FF1" s="78" t="s">
        <v>165</v>
      </c>
      <c r="FG1" s="78" t="s">
        <v>166</v>
      </c>
      <c r="FH1" s="78" t="s">
        <v>167</v>
      </c>
      <c r="FI1" s="53" t="s">
        <v>168</v>
      </c>
      <c r="FJ1" s="81" t="s">
        <v>177</v>
      </c>
      <c r="FK1" s="83" t="s">
        <v>693</v>
      </c>
      <c r="FL1" s="82" t="s">
        <v>180</v>
      </c>
      <c r="FM1" s="82" t="s">
        <v>179</v>
      </c>
      <c r="FN1" s="151" t="s">
        <v>910</v>
      </c>
      <c r="FO1" s="141" t="s">
        <v>911</v>
      </c>
      <c r="FP1" s="141" t="s">
        <v>912</v>
      </c>
    </row>
    <row r="2" spans="1:172" s="160" customFormat="1" ht="15" x14ac:dyDescent="0.25">
      <c r="A2" s="267">
        <v>196448</v>
      </c>
      <c r="B2" s="113" t="str">
        <f>VLOOKUP(Table1[[#This Row],[SyStudentId]],SSR!$A$2:$CC$4982,4,FALSE)</f>
        <v>Mahan</v>
      </c>
      <c r="C2" s="113" t="str">
        <f>VLOOKUP(Table1[[#This Row],[SyStudentId]],SSR!$A$2:$CC$4982,5,FALSE)</f>
        <v>Jalen</v>
      </c>
      <c r="D2" s="113" t="str">
        <f>VLOOKUP(Table1[[#This Row],[SyStudentId]],SSR!$A$2:$CC$4982,6,FALSE)</f>
        <v>Mahan, Jalen</v>
      </c>
      <c r="E2" s="113" t="str">
        <f>CONCATENATE(Table1[[#This Row],[FirstName]]," ",Table1[[#This Row],[LastName]])</f>
        <v>Jalen Mahan</v>
      </c>
      <c r="F2" s="112">
        <v>1</v>
      </c>
      <c r="G2" s="114"/>
      <c r="H2" s="114"/>
      <c r="I2" s="114">
        <v>43775</v>
      </c>
      <c r="J2" s="115"/>
      <c r="K2" s="116"/>
      <c r="L2" s="112" t="str">
        <f>IFERROR(VLOOKUP(Table1[[#This Row],[SyStudentId]],ISIR!$A$2:$X$999,11,FALSE),"")</f>
        <v/>
      </c>
      <c r="M2" s="113" t="str">
        <f>VLOOKUP(Table1[[#This Row],[SyStudentId]],SSR!$A$2:$CC$4982,7,FALSE)</f>
        <v>jalenmahan16@gmail.com</v>
      </c>
      <c r="N2" s="113" t="str">
        <f>VLOOKUP(Table1[[#This Row],[SyStudentId]],SSR!$A$2:$CC$4982,8,FALSE)</f>
        <v>159 Salem Rd</v>
      </c>
      <c r="O2" s="113" t="str">
        <f>VLOOKUP(Table1[[#This Row],[SyStudentId]],SSR!$A$2:$CC$4982,9,FALSE)</f>
        <v>Alpine</v>
      </c>
      <c r="P2" s="113" t="str">
        <f>VLOOKUP(Table1[[#This Row],[SyStudentId]],SSR!$A$2:$CC$4982,10,FALSE)</f>
        <v>AL</v>
      </c>
      <c r="Q2" s="117" t="str">
        <f>VLOOKUP(Table1[[#This Row],[SyStudentId]],SSR!$A$2:$CC$4982,11,FALSE)</f>
        <v xml:space="preserve">35014     </v>
      </c>
      <c r="R2" s="118">
        <f>VLOOKUP(Table1[[#This Row],[SyStudentId]],SSR!$A$2:$CC$4982,15,FALSE)</f>
        <v>2.9</v>
      </c>
      <c r="S2" s="119">
        <f>VLOOKUP(Table1[[#This Row],[SyStudentId]],SSR!$A$2:$CC$4982,22,FALSE)</f>
        <v>44109</v>
      </c>
      <c r="T2" s="113" t="str">
        <f>VLOOKUP(Table1[[#This Row],[SyStudentId]],SSR!$A$2:$CC$4982,24,FALSE)</f>
        <v>MN</v>
      </c>
      <c r="U2" s="113" t="str">
        <f>IF(VLOOKUP(Table1[[#This Row],[SyStudentId]],SSR!$A$2:$CC$4982,26,FALSE)=0,"Not Selected",VLOOKUP(Table1[[#This Row],[SyStudentId]],SSR!$A$2:$CC$4982,26,FALSE))</f>
        <v>Male</v>
      </c>
      <c r="V2" s="113" t="str">
        <f>VLOOKUP(Table1[[#This Row],[SyStudentId]],SSR!$A$2:$CC$4982,27,FALSE)</f>
        <v xml:space="preserve">HS2020  </v>
      </c>
      <c r="W2" s="113" t="str">
        <f>VLOOKUP(LEFT(Table1[[#This Row],[LastName]],1),Alpha!$A$1:$B$26,2,FALSE)</f>
        <v>Maureen Ranks</v>
      </c>
      <c r="X2" s="149" t="str">
        <f>VLOOKUP(Table1[[#This Row],[FAA]],Alpha!$B$1:$D$26,2,FALSE)</f>
        <v>mranks@neumont.edu</v>
      </c>
      <c r="Y2" s="113">
        <f>VLOOKUP(Table1[[#This Row],[FAA]],Alpha!$B$1:$D$26,3,FALSE)</f>
        <v>8883022894</v>
      </c>
      <c r="Z2" s="113" t="str">
        <f>VLOOKUP(Table1[[#This Row],[SyStudentId]],SSR!$A$2:$CC$4982,30,FALSE)</f>
        <v>16-Accepted</v>
      </c>
      <c r="AA2" s="113" t="str">
        <f>IF(VLOOKUP(Table1[[#This Row],[SyStudentId]],SSR!$A$2:$CC$4982,36,FALSE)="Bachelor of Science","BS Computer Science","Check Program")</f>
        <v>BS Computer Science</v>
      </c>
      <c r="AB2" s="113" t="str">
        <f>VLOOKUP(Table1[[#This Row],[SyStudentId]],SSR!$A$2:$CC$4982,37,FALSE)</f>
        <v xml:space="preserve">17      </v>
      </c>
      <c r="AC2" s="113">
        <f>VLOOKUP(Table1[[#This Row],[SyStudentId]],SSR!$A$2:$CC$4982,42,FALSE)</f>
        <v>0</v>
      </c>
      <c r="AD2" s="113" t="str">
        <f>VLOOKUP(Table1[[#This Row],[SyStudentId]],SSR!$A$2:$CC$4982,46,FALSE)</f>
        <v>89</v>
      </c>
      <c r="AE2" s="113" t="str">
        <f>VLOOKUP(Table1[[#This Row],[SyStudentId]],SSR!$A$2:$CC$4982,65,FALSE)</f>
        <v>IX</v>
      </c>
      <c r="AF2"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2" s="113" t="str">
        <f>VLOOKUP(Table1[[#This Row],[SyStudentId]],SSR!$A$2:$CC$4982,66,FALSE)</f>
        <v>July-October</v>
      </c>
      <c r="AH2" s="113" t="str">
        <f>IFERROR(VLOOKUP(Table1[[#This Row],[SyStudentId]],ISIR!$A$2:$X$999,7,FALSE),"")</f>
        <v/>
      </c>
      <c r="AI2" s="121" t="str">
        <f>IF(Table1[[#This Row],[EFCRaw]]="","",IF(Table1[[#This Row],[EFCRaw]]="No EFC","No EFC",_xlfn.NUMBERVALUE(Table1[[#This Row],[EFCRaw]])))</f>
        <v/>
      </c>
      <c r="AJ2" s="119" t="str">
        <f>IFERROR(VLOOKUP(Table1[[#This Row],[SyStudentId]],ISIR!$A$2:$X$4999,19,FALSE),"")</f>
        <v/>
      </c>
      <c r="AK2" s="113" t="str">
        <f>IFERROR(VLOOKUP(Table1[[#This Row],[SyStudentId]],ISIR!$A$2:$X$4999,8,FALSE),"")</f>
        <v/>
      </c>
      <c r="AL2" s="132" t="str">
        <f>IF(Table1[[#This Row],[VerReq]]="N","n/a","")</f>
        <v/>
      </c>
      <c r="AM2" s="122"/>
      <c r="AN2" s="122"/>
      <c r="AO2" s="122"/>
      <c r="AP2" s="122"/>
      <c r="AQ2" s="122"/>
      <c r="AR2" s="122"/>
      <c r="AS2" s="122"/>
      <c r="AT2" s="122"/>
      <c r="AU2" s="122"/>
      <c r="AV2" s="122"/>
      <c r="AW2" s="122"/>
      <c r="AX2" s="122"/>
      <c r="AY2" s="122"/>
      <c r="AZ2" s="122"/>
      <c r="BA2" s="122"/>
      <c r="BB2" s="122"/>
      <c r="BC2" s="133"/>
      <c r="BD2" s="140" t="str">
        <f>IF(Table1[[#This Row],[VerReq]]="N","x","")</f>
        <v/>
      </c>
      <c r="BE2" s="140" t="str">
        <f>IF(Table1[[#This Row],[VerReq]]="N","x","")</f>
        <v/>
      </c>
      <c r="BF2" s="140" t="str">
        <f>IF(Table1[[#This Row],[VerReq]]="N","x","")</f>
        <v/>
      </c>
      <c r="BG2" s="140" t="str">
        <f>IF(Table1[[#This Row],[VerReq]]="N","x","")</f>
        <v/>
      </c>
      <c r="BH2" s="140" t="str">
        <f>IF(Table1[[#This Row],[VerReq]]="N","x","")</f>
        <v/>
      </c>
      <c r="BI2" s="140" t="str">
        <f>IF(Table1[[#This Row],[VerReq]]="N","x","")</f>
        <v/>
      </c>
      <c r="BJ2" s="134">
        <f>1-((COUNTBLANK(Table1[[#This Row],[ALESent]:[TaxTran]]))/(COUNT(Table1[[#This Row],[ALESent]:[TaxTran]])+COUNTBLANK(Table1[[#This Row],[ALESent]:[TaxTran]])))</f>
        <v>0</v>
      </c>
      <c r="BK2" s="136">
        <f>IF(VLOOKUP(Table1[[#This Row],[SyStudentId]],SSR!$A$2:$CC$4982,22,FALSE)=44109,44109,"Check Program")</f>
        <v>44109</v>
      </c>
      <c r="BL2" s="124">
        <f>IF(Table1[[#This Row],[AYStart]]=44109,44356,"Check Program")</f>
        <v>44356</v>
      </c>
      <c r="BM2" s="219">
        <v>8505</v>
      </c>
      <c r="BN2" s="219">
        <v>8505</v>
      </c>
      <c r="BO2" s="219">
        <v>8505</v>
      </c>
      <c r="BP2" s="220">
        <f t="shared" ref="BP2:BP65" si="0">SUM(BM2:BO2)</f>
        <v>25515</v>
      </c>
      <c r="BQ2" s="221">
        <v>3300</v>
      </c>
      <c r="BR2" s="219">
        <v>400</v>
      </c>
      <c r="BS2" s="219">
        <v>400</v>
      </c>
      <c r="BT2" s="220">
        <f t="shared" ref="BT2:BT65" si="1">SUM(BQ2:BS2)</f>
        <v>4100</v>
      </c>
      <c r="BU2" s="219">
        <v>2100</v>
      </c>
      <c r="BV2" s="219">
        <v>2100</v>
      </c>
      <c r="BW2" s="219">
        <v>2100</v>
      </c>
      <c r="BX2" s="220">
        <f t="shared" ref="BX2:BX65" si="2">SUM(BU2:BW2)</f>
        <v>6300</v>
      </c>
      <c r="BY2" s="275">
        <v>1200</v>
      </c>
      <c r="BZ2" s="275">
        <v>1200</v>
      </c>
      <c r="CA2" s="275">
        <v>1200</v>
      </c>
      <c r="CB2" s="220">
        <f>SUM(Table1[[#This Row],[LEQ1]:[LEQ3]])</f>
        <v>3600</v>
      </c>
      <c r="CC2" s="275">
        <v>0</v>
      </c>
      <c r="CD2" s="275">
        <v>0</v>
      </c>
      <c r="CE2" s="275">
        <v>0</v>
      </c>
      <c r="CF2" s="220">
        <f>SUM(Table1[[#This Row],[OthCostQ1]:[OthCostQ3]])</f>
        <v>0</v>
      </c>
      <c r="CG2" s="220">
        <f>(Table1[[#This Row],[T&amp;FTot]]+Table1[[#This Row],[B&amp;STot]]+Table1[[#This Row],[HousTot]]+Table1[[#This Row],[LETot]]+Table1[[#This Row],[OthCostTot]])</f>
        <v>39515</v>
      </c>
      <c r="CH2" s="250"/>
      <c r="CI2" s="250"/>
      <c r="CJ2" s="250"/>
      <c r="CK2" s="251">
        <f>SUM(Table1[[#This Row],[SEOGQ1]:[SEOGQ3]])</f>
        <v>0</v>
      </c>
      <c r="CL2" s="250">
        <f>IFERROR(ROUNDUP(Table1[[#This Row],[PellTot]]/3,0),0)</f>
        <v>0</v>
      </c>
      <c r="CM2" s="250">
        <f>IFERROR(ROUND(Table1[[#This Row],[PellTot]]/3,0),0)</f>
        <v>0</v>
      </c>
      <c r="CN2" s="250">
        <f>IFERROR(ROUNDDOWN(Table1[[#This Row],[PellTot]]/3,0),0)</f>
        <v>0</v>
      </c>
      <c r="CO2" s="251">
        <f>IFERROR(LOOKUP(Table1[EFC],Pell_Table[#Data],Pell_Table[Pell Amt]),0)</f>
        <v>0</v>
      </c>
      <c r="CP2" s="250">
        <f>Table1[[#This Row],[AccessTot]]/3</f>
        <v>0</v>
      </c>
      <c r="CQ2" s="250">
        <f>Table1[[#This Row],[AccessTot]]/3</f>
        <v>0</v>
      </c>
      <c r="CR2" s="250">
        <f>Table1[[#This Row],[AccessTot]]/3</f>
        <v>0</v>
      </c>
      <c r="CS2" s="251">
        <f>IF(Table1[[#This Row],[PellTot]]&gt;0,1500,0)</f>
        <v>0</v>
      </c>
      <c r="CT2" s="250">
        <f>Table1[[#This Row],[AchiTot]]/3</f>
        <v>0</v>
      </c>
      <c r="CU2" s="250">
        <f>Table1[[#This Row],[AchiTot]]/3</f>
        <v>0</v>
      </c>
      <c r="CV2" s="250">
        <f>Table1[[#This Row],[AchiTot]]/3</f>
        <v>0</v>
      </c>
      <c r="CW2" s="252">
        <f>IF(Table1[[#This Row],[Rank]]="","",IF(Table1[[#This Row],[Rank]]=1,5100,IF(Table1[[#This Row],[Rank]]=2,4500,IF(Table1[[#This Row],[Rank]]=3,3900,IF(Table1[[#This Row],[Rank]]=4,3750,IF(Table1[[#This Row],[Rank]]=5,3000,IF(Table1[[#This Row],[Rank]]=6,2250,0)))))))</f>
        <v>0</v>
      </c>
      <c r="CX2" s="250">
        <f>Table1[[#This Row],[UTTot]]/3</f>
        <v>0</v>
      </c>
      <c r="CY2" s="250">
        <f>Table1[[#This Row],[UTTot]]/3</f>
        <v>0</v>
      </c>
      <c r="CZ2" s="250">
        <f>Table1[[#This Row],[UTTot]]/3</f>
        <v>0</v>
      </c>
      <c r="DA2" s="251">
        <f>IF(Table1[[#This Row],[State]]="UT",9000,0)</f>
        <v>0</v>
      </c>
      <c r="DB2" s="250">
        <f>Table1[[#This Row],[WITTot]]/3</f>
        <v>0</v>
      </c>
      <c r="DC2" s="250">
        <f>Table1[[#This Row],[WITTot]]/3</f>
        <v>0</v>
      </c>
      <c r="DD2" s="250">
        <f>Table1[[#This Row],[WITTot]]/3</f>
        <v>0</v>
      </c>
      <c r="DE2" s="251">
        <f>IF(Table1[[#This Row],[Gender]]="Female",3000,0)</f>
        <v>0</v>
      </c>
      <c r="DF2" s="250">
        <f>Table1[[#This Row],[SerTot]]/3</f>
        <v>0</v>
      </c>
      <c r="DG2" s="250">
        <f>Table1[[#This Row],[SerTot]]/3</f>
        <v>0</v>
      </c>
      <c r="DH2" s="250">
        <f>Table1[[#This Row],[SerTot]]/3</f>
        <v>0</v>
      </c>
      <c r="DI2" s="252"/>
      <c r="DJ2" s="250"/>
      <c r="DK2" s="250"/>
      <c r="DL2" s="250"/>
      <c r="DM2" s="252"/>
      <c r="DN2" s="250">
        <f>Table1[[#This Row],[MatTot]]/3</f>
        <v>0</v>
      </c>
      <c r="DO2" s="250">
        <f>Table1[[#This Row],[MatTot]]/3</f>
        <v>0</v>
      </c>
      <c r="DP2" s="250">
        <f>Table1[[#This Row],[MatTot]]/3</f>
        <v>0</v>
      </c>
      <c r="DQ2" s="252">
        <v>0</v>
      </c>
      <c r="DR2" s="250">
        <f>Table1[[#This Row],[OutTot]]/3</f>
        <v>0</v>
      </c>
      <c r="DS2" s="250">
        <f>Table1[[#This Row],[OutTot]]/3</f>
        <v>0</v>
      </c>
      <c r="DT2" s="250">
        <f>Table1[[#This Row],[OutTot]]/3</f>
        <v>0</v>
      </c>
      <c r="DU2" s="252">
        <v>0</v>
      </c>
      <c r="DV2" s="250">
        <v>0</v>
      </c>
      <c r="DW2" s="250">
        <v>0</v>
      </c>
      <c r="DX2" s="250">
        <v>0</v>
      </c>
      <c r="DY2" s="252">
        <f>SUM(Table1[[#This Row],[VAQ1]:[VAQ3]])</f>
        <v>0</v>
      </c>
      <c r="DZ2" s="250">
        <v>0</v>
      </c>
      <c r="EA2" s="250">
        <v>0</v>
      </c>
      <c r="EB2" s="250">
        <v>0</v>
      </c>
      <c r="EC2" s="252">
        <f>SUM(Table1[[#This Row],[OthGrantQ1]:[OthGrantQ3]])</f>
        <v>0</v>
      </c>
      <c r="ED2" s="263">
        <f>Table1[[#This Row],[SEOGTot]]+Table1[[#This Row],[PellTot]]+Table1[[#This Row],[AccessTot]]+Table1[[#This Row],[AchiTot]]+Table1[[#This Row],[UTTot]]+Table1[[#This Row],[WITTot]]+Table1[[#This Row],[SerTot]]+Table1[[#This Row],[TranTot]]+Table1[[#This Row],[MatTot]]+Table1[[#This Row],[OutTot]]+Table1[[#This Row],[VATot]]+Table1[[#This Row],[OthGrantTot]]</f>
        <v>0</v>
      </c>
      <c r="EE2" s="249"/>
      <c r="EF2" s="237"/>
      <c r="EG2" s="237"/>
      <c r="EH2" s="232">
        <f>SUM(Table1[[#This Row],[CashQ1]]:Table1[[#This Row],[CashQ3]])</f>
        <v>0</v>
      </c>
      <c r="EI2" s="271">
        <f>ROUND((Table1[[#This Row],[SubTot]]/3)/1.01059,0)</f>
        <v>1154</v>
      </c>
      <c r="EJ2" s="234">
        <f>ROUND((Table1[[#This Row],[SubTot]]/3)/1.01059,0)</f>
        <v>1154</v>
      </c>
      <c r="EK2" s="234">
        <f>ROUNDUP((Table1[[#This Row],[SubTot]]/3)/1.01059,0)</f>
        <v>1155</v>
      </c>
      <c r="EL2" s="235">
        <v>3500</v>
      </c>
      <c r="EM2" s="240">
        <f>Table1[[#This Row],[SubTot]]*0.01059</f>
        <v>37.065000000000005</v>
      </c>
      <c r="EN2" s="234">
        <f>ROUND((Table1[[#This Row],[UnsubTot]]/3)/1.01062,0)</f>
        <v>660</v>
      </c>
      <c r="EO2" s="234">
        <f>ROUND((Table1[[#This Row],[UnsubTot]]/3)/1.01062,0)</f>
        <v>660</v>
      </c>
      <c r="EP2" s="234">
        <f>ROUNDDOWN((Table1[[#This Row],[UnsubTot]]/3)/1.01062,0)</f>
        <v>659</v>
      </c>
      <c r="EQ2" s="235">
        <f>IF(Table1[D/I]="I",6000,2000)</f>
        <v>2000</v>
      </c>
      <c r="ER2" s="240">
        <f>Table1[[#This Row],[UnsubTot]]*0.01059</f>
        <v>21.18</v>
      </c>
      <c r="ES2" s="234">
        <f>ROUND((Table1[[#This Row],[PLUSTot]]/3)/1.04236,0)</f>
        <v>0</v>
      </c>
      <c r="ET2" s="234">
        <f>ROUND((Table1[[#This Row],[PLUSTot]]/3)/1.04236,0)</f>
        <v>0</v>
      </c>
      <c r="EU2" s="234">
        <f>ROUND((Table1[[#This Row],[PLUSTot]]/3)/1.04236,0)</f>
        <v>0</v>
      </c>
      <c r="EV2" s="235">
        <v>0</v>
      </c>
      <c r="EW2" s="239">
        <f>Table1[[#This Row],[PLUSTot]]*0.04248</f>
        <v>0</v>
      </c>
      <c r="EX2" s="237"/>
      <c r="EY2" s="237"/>
      <c r="EZ2" s="237"/>
      <c r="FA2" s="232">
        <f>SUM(Table1[[#This Row],[PrivQ1]:[PrivQ3]])</f>
        <v>0</v>
      </c>
      <c r="FB2" s="237"/>
      <c r="FC2" s="237"/>
      <c r="FD2" s="237"/>
      <c r="FE2" s="232">
        <f>SUM(Table1[[#This Row],[TOQ1]:[TOQ3]])</f>
        <v>0</v>
      </c>
      <c r="FF2" s="237"/>
      <c r="FG2" s="237"/>
      <c r="FH2" s="237"/>
      <c r="FI2" s="232">
        <f>SUM(Table1[[#This Row],[OFundQ1]:[OFundQ3]])</f>
        <v>0</v>
      </c>
      <c r="FJ2" s="238">
        <f>(Table1[[#This Row],[SubTot]]-Table1[[#This Row],[SubFee]])+(Table1[[#This Row],[UnsubTot]]-Table1[[#This Row],[UnsubFee]])+(Table1[[#This Row],[PLUSTot]]-Table1[[#This Row],[PLUSFee]])+Table1[[#This Row],[PrivTot]]+Table1[[#This Row],[TOTot]]+Table1[[#This Row],[OFundTot]]</f>
        <v>5441.7550000000001</v>
      </c>
      <c r="FK2" s="125">
        <f>Table1[[#This Row],[CostTot]]-Table1[[#This Row],[GiftTot]]</f>
        <v>39515</v>
      </c>
      <c r="FL2" s="139">
        <f>Table1[[#This Row],[NetNeed]]/(1-0.04248)</f>
        <v>35584.891177207784</v>
      </c>
      <c r="FM2" s="131">
        <f>Table1[[#This Row],[NetCost]]-Table1[[#This Row],[CashTot]]-(Table1[[#This Row],[SubTot]]-Table1[[#This Row],[SubFee]])-(Table1[[#This Row],[UnsubTot]]-Table1[[#This Row],[UnsubFee]])-(Table1[[#This Row],[PLUSTot]]-Table1[[#This Row],[PLUSFee]])-Table1[[#This Row],[PrivTot]]-Table1[[#This Row],[TOTot]]-Table1[[#This Row],[OFundTot]]</f>
        <v>34073.245000000003</v>
      </c>
      <c r="FN2" s="161"/>
      <c r="FO2" s="113"/>
      <c r="FP2" s="113"/>
    </row>
    <row r="3" spans="1:172" s="160" customFormat="1" ht="15" x14ac:dyDescent="0.25">
      <c r="A3" s="267">
        <v>193448</v>
      </c>
      <c r="B3" s="113" t="str">
        <f>VLOOKUP(Table1[[#This Row],[SyStudentId]],SSR!$A$2:$CC$4982,4,FALSE)</f>
        <v>Maiden</v>
      </c>
      <c r="C3" s="113" t="str">
        <f>VLOOKUP(Table1[[#This Row],[SyStudentId]],SSR!$A$2:$CC$4982,5,FALSE)</f>
        <v>Emily</v>
      </c>
      <c r="D3" s="113" t="str">
        <f>VLOOKUP(Table1[[#This Row],[SyStudentId]],SSR!$A$2:$CC$4982,6,FALSE)</f>
        <v>Maiden, Emily</v>
      </c>
      <c r="E3" s="113" t="str">
        <f>CONCATENATE(Table1[[#This Row],[FirstName]]," ",Table1[[#This Row],[LastName]])</f>
        <v>Emily Maiden</v>
      </c>
      <c r="F3" s="112">
        <v>1</v>
      </c>
      <c r="G3" s="114"/>
      <c r="H3" s="114"/>
      <c r="I3" s="114">
        <v>43775</v>
      </c>
      <c r="J3" s="115"/>
      <c r="K3" s="116"/>
      <c r="L3" s="112" t="str">
        <f>IFERROR(VLOOKUP(Table1[[#This Row],[SyStudentId]],ISIR!$A$2:$X$999,11,FALSE),"")</f>
        <v/>
      </c>
      <c r="M3" s="113" t="str">
        <f>VLOOKUP(Table1[[#This Row],[SyStudentId]],SSR!$A$2:$CC$4982,7,FALSE)</f>
        <v>emilymaiden7@gmail.com</v>
      </c>
      <c r="N3" s="113" t="str">
        <f>VLOOKUP(Table1[[#This Row],[SyStudentId]],SSR!$A$2:$CC$4982,8,FALSE)</f>
        <v>150 S. Maple Creek Subd. Rd.</v>
      </c>
      <c r="O3" s="113" t="str">
        <f>VLOOKUP(Table1[[#This Row],[SyStudentId]],SSR!$A$2:$CC$4982,9,FALSE)</f>
        <v>Williamsburg</v>
      </c>
      <c r="P3" s="113" t="str">
        <f>VLOOKUP(Table1[[#This Row],[SyStudentId]],SSR!$A$2:$CC$4982,10,FALSE)</f>
        <v>KY</v>
      </c>
      <c r="Q3" s="117" t="str">
        <f>VLOOKUP(Table1[[#This Row],[SyStudentId]],SSR!$A$2:$CC$4982,11,FALSE)</f>
        <v xml:space="preserve">40769     </v>
      </c>
      <c r="R3" s="118">
        <f>VLOOKUP(Table1[[#This Row],[SyStudentId]],SSR!$A$2:$CC$4982,15,FALSE)</f>
        <v>3.62</v>
      </c>
      <c r="S3" s="119">
        <f>VLOOKUP(Table1[[#This Row],[SyStudentId]],SSR!$A$2:$CC$4982,22,FALSE)</f>
        <v>44109</v>
      </c>
      <c r="T3" s="113" t="str">
        <f>VLOOKUP(Table1[[#This Row],[SyStudentId]],SSR!$A$2:$CC$4982,24,FALSE)</f>
        <v>GM</v>
      </c>
      <c r="U3" s="113" t="str">
        <f>IF(VLOOKUP(Table1[[#This Row],[SyStudentId]],SSR!$A$2:$CC$4982,26,FALSE)=0,"Not Selected",VLOOKUP(Table1[[#This Row],[SyStudentId]],SSR!$A$2:$CC$4982,26,FALSE))</f>
        <v>Female</v>
      </c>
      <c r="V3" s="113" t="str">
        <f>VLOOKUP(Table1[[#This Row],[SyStudentId]],SSR!$A$2:$CC$4982,27,FALSE)</f>
        <v xml:space="preserve">HS2020  </v>
      </c>
      <c r="W3" s="113" t="str">
        <f>VLOOKUP(LEFT(Table1[[#This Row],[LastName]],1),Alpha!$A$1:$B$26,2,FALSE)</f>
        <v>Maureen Ranks</v>
      </c>
      <c r="X3" s="149" t="str">
        <f>VLOOKUP(Table1[[#This Row],[FAA]],Alpha!$B$1:$D$26,2,FALSE)</f>
        <v>mranks@neumont.edu</v>
      </c>
      <c r="Y3" s="113">
        <f>VLOOKUP(Table1[[#This Row],[FAA]],Alpha!$B$1:$D$26,3,FALSE)</f>
        <v>8883022894</v>
      </c>
      <c r="Z3" s="113" t="str">
        <f>VLOOKUP(Table1[[#This Row],[SyStudentId]],SSR!$A$2:$CC$4982,30,FALSE)</f>
        <v>16-Accepted</v>
      </c>
      <c r="AA3" s="113" t="str">
        <f>IF(VLOOKUP(Table1[[#This Row],[SyStudentId]],SSR!$A$2:$CC$4982,36,FALSE)="Bachelor of Science","BS Computer Science","Check Program")</f>
        <v>BS Computer Science</v>
      </c>
      <c r="AB3" s="113" t="str">
        <f>VLOOKUP(Table1[[#This Row],[SyStudentId]],SSR!$A$2:$CC$4982,37,FALSE)</f>
        <v xml:space="preserve">22      </v>
      </c>
      <c r="AC3" s="113">
        <f>VLOOKUP(Table1[[#This Row],[SyStudentId]],SSR!$A$2:$CC$4982,42,FALSE)</f>
        <v>0</v>
      </c>
      <c r="AD3" s="113" t="str">
        <f>VLOOKUP(Table1[[#This Row],[SyStudentId]],SSR!$A$2:$CC$4982,46,FALSE)</f>
        <v>110</v>
      </c>
      <c r="AE3" s="113" t="str">
        <f>VLOOKUP(Table1[[#This Row],[SyStudentId]],SSR!$A$2:$CC$4982,65,FALSE)</f>
        <v>II</v>
      </c>
      <c r="AF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2</v>
      </c>
      <c r="AG3" s="113" t="str">
        <f>VLOOKUP(Table1[[#This Row],[SyStudentId]],SSR!$A$2:$CC$4982,66,FALSE)</f>
        <v>July-October</v>
      </c>
      <c r="AH3" s="113" t="str">
        <f>IFERROR(VLOOKUP(Table1[[#This Row],[SyStudentId]],ISIR!$A$2:$X$999,7,FALSE),"")</f>
        <v/>
      </c>
      <c r="AI3" s="121" t="str">
        <f>IF(Table1[[#This Row],[EFCRaw]]="","",IF(Table1[[#This Row],[EFCRaw]]="No EFC","No EFC",_xlfn.NUMBERVALUE(Table1[[#This Row],[EFCRaw]])))</f>
        <v/>
      </c>
      <c r="AJ3" s="119" t="str">
        <f>IFERROR(VLOOKUP(Table1[[#This Row],[SyStudentId]],ISIR!$A$2:$X$4999,19,FALSE),"")</f>
        <v/>
      </c>
      <c r="AK3" s="113" t="str">
        <f>IFERROR(VLOOKUP(Table1[[#This Row],[SyStudentId]],ISIR!$A$2:$X$4999,8,FALSE),"")</f>
        <v/>
      </c>
      <c r="AL3" s="132" t="str">
        <f>IF(Table1[[#This Row],[VerReq]]="N","n/a","")</f>
        <v/>
      </c>
      <c r="AM3" s="122"/>
      <c r="AN3" s="122"/>
      <c r="AO3" s="122"/>
      <c r="AP3" s="122"/>
      <c r="AQ3" s="122"/>
      <c r="AR3" s="122"/>
      <c r="AS3" s="122"/>
      <c r="AT3" s="122"/>
      <c r="AU3" s="122"/>
      <c r="AV3" s="122"/>
      <c r="AW3" s="122"/>
      <c r="AX3" s="122"/>
      <c r="AY3" s="122"/>
      <c r="AZ3" s="122"/>
      <c r="BA3" s="122"/>
      <c r="BB3" s="122"/>
      <c r="BC3" s="133"/>
      <c r="BD3" s="140" t="str">
        <f>IF(Table1[[#This Row],[VerReq]]="N","x","")</f>
        <v/>
      </c>
      <c r="BE3" s="140" t="str">
        <f>IF(Table1[[#This Row],[VerReq]]="N","x","")</f>
        <v/>
      </c>
      <c r="BF3" s="140" t="str">
        <f>IF(Table1[[#This Row],[VerReq]]="N","x","")</f>
        <v/>
      </c>
      <c r="BG3" s="140" t="str">
        <f>IF(Table1[[#This Row],[VerReq]]="N","x","")</f>
        <v/>
      </c>
      <c r="BH3" s="140" t="str">
        <f>IF(Table1[[#This Row],[VerReq]]="N","x","")</f>
        <v/>
      </c>
      <c r="BI3" s="140" t="str">
        <f>IF(Table1[[#This Row],[VerReq]]="N","x","")</f>
        <v/>
      </c>
      <c r="BJ3" s="134">
        <f>1-((COUNTBLANK(Table1[[#This Row],[ALESent]:[TaxTran]]))/(COUNT(Table1[[#This Row],[ALESent]:[TaxTran]])+COUNTBLANK(Table1[[#This Row],[ALESent]:[TaxTran]])))</f>
        <v>0</v>
      </c>
      <c r="BK3" s="136">
        <f>IF(VLOOKUP(Table1[[#This Row],[SyStudentId]],SSR!$A$2:$CC$4982,22,FALSE)=44109,44109,"Check Program")</f>
        <v>44109</v>
      </c>
      <c r="BL3" s="124">
        <f>IF(Table1[[#This Row],[AYStart]]=44109,44356,"Check Program")</f>
        <v>44356</v>
      </c>
      <c r="BM3" s="219">
        <v>8505</v>
      </c>
      <c r="BN3" s="219">
        <v>8505</v>
      </c>
      <c r="BO3" s="219">
        <v>8505</v>
      </c>
      <c r="BP3" s="220">
        <f t="shared" si="0"/>
        <v>25515</v>
      </c>
      <c r="BQ3" s="221">
        <v>3300</v>
      </c>
      <c r="BR3" s="219">
        <v>400</v>
      </c>
      <c r="BS3" s="219">
        <v>400</v>
      </c>
      <c r="BT3" s="220">
        <f t="shared" si="1"/>
        <v>4100</v>
      </c>
      <c r="BU3" s="219">
        <v>2100</v>
      </c>
      <c r="BV3" s="219">
        <v>2100</v>
      </c>
      <c r="BW3" s="219">
        <v>2100</v>
      </c>
      <c r="BX3" s="220">
        <f t="shared" si="2"/>
        <v>6300</v>
      </c>
      <c r="BY3" s="275">
        <v>1200</v>
      </c>
      <c r="BZ3" s="275">
        <v>1200</v>
      </c>
      <c r="CA3" s="275">
        <v>1200</v>
      </c>
      <c r="CB3" s="220">
        <f>SUM(Table1[[#This Row],[LEQ1]:[LEQ3]])</f>
        <v>3600</v>
      </c>
      <c r="CC3" s="275">
        <v>0</v>
      </c>
      <c r="CD3" s="275">
        <v>0</v>
      </c>
      <c r="CE3" s="275">
        <v>0</v>
      </c>
      <c r="CF3" s="220">
        <f>SUM(Table1[[#This Row],[OthCostQ1]:[OthCostQ3]])</f>
        <v>0</v>
      </c>
      <c r="CG3" s="220">
        <f>(Table1[[#This Row],[T&amp;FTot]]+Table1[[#This Row],[B&amp;STot]]+Table1[[#This Row],[HousTot]]+Table1[[#This Row],[LETot]]+Table1[[#This Row],[OthCostTot]])</f>
        <v>39515</v>
      </c>
      <c r="CH3" s="250"/>
      <c r="CI3" s="250"/>
      <c r="CJ3" s="250"/>
      <c r="CK3" s="251">
        <f>SUM(Table1[[#This Row],[SEOGQ1]:[SEOGQ3]])</f>
        <v>0</v>
      </c>
      <c r="CL3" s="250">
        <f>IFERROR(ROUNDUP(Table1[[#This Row],[PellTot]]/3,0),0)</f>
        <v>0</v>
      </c>
      <c r="CM3" s="250">
        <f>IFERROR(ROUND(Table1[[#This Row],[PellTot]]/3,0),0)</f>
        <v>0</v>
      </c>
      <c r="CN3" s="250">
        <f>IFERROR(ROUNDDOWN(Table1[[#This Row],[PellTot]]/3,0),0)</f>
        <v>0</v>
      </c>
      <c r="CO3" s="251">
        <f>IFERROR(LOOKUP(Table1[EFC],Pell_Table[#Data],Pell_Table[Pell Amt]),0)</f>
        <v>0</v>
      </c>
      <c r="CP3" s="250">
        <f>Table1[[#This Row],[AccessTot]]/3</f>
        <v>0</v>
      </c>
      <c r="CQ3" s="250">
        <f>Table1[[#This Row],[AccessTot]]/3</f>
        <v>0</v>
      </c>
      <c r="CR3" s="250">
        <f>Table1[[#This Row],[AccessTot]]/3</f>
        <v>0</v>
      </c>
      <c r="CS3" s="251">
        <f>IF(Table1[[#This Row],[PellTot]]&gt;0,1500,0)</f>
        <v>0</v>
      </c>
      <c r="CT3" s="250">
        <f>Table1[[#This Row],[AchiTot]]/3</f>
        <v>1500</v>
      </c>
      <c r="CU3" s="250">
        <f>Table1[[#This Row],[AchiTot]]/3</f>
        <v>1500</v>
      </c>
      <c r="CV3" s="250">
        <f>Table1[[#This Row],[AchiTot]]/3</f>
        <v>1500</v>
      </c>
      <c r="CW3" s="252">
        <f>IF(Table1[[#This Row],[Rank]]="","",IF(Table1[[#This Row],[Rank]]=1,5100,IF(Table1[[#This Row],[Rank]]=2,4500,IF(Table1[[#This Row],[Rank]]=3,3900,IF(Table1[[#This Row],[Rank]]=4,3750,IF(Table1[[#This Row],[Rank]]=5,3000,IF(Table1[[#This Row],[Rank]]=6,2250,0)))))))</f>
        <v>4500</v>
      </c>
      <c r="CX3" s="250">
        <f>Table1[[#This Row],[UTTot]]/3</f>
        <v>0</v>
      </c>
      <c r="CY3" s="250">
        <f>Table1[[#This Row],[UTTot]]/3</f>
        <v>0</v>
      </c>
      <c r="CZ3" s="250">
        <f>Table1[[#This Row],[UTTot]]/3</f>
        <v>0</v>
      </c>
      <c r="DA3" s="251">
        <f>IF(Table1[[#This Row],[State]]="UT",9000,0)</f>
        <v>0</v>
      </c>
      <c r="DB3" s="250">
        <f>Table1[[#This Row],[WITTot]]/3</f>
        <v>1000</v>
      </c>
      <c r="DC3" s="250">
        <f>Table1[[#This Row],[WITTot]]/3</f>
        <v>1000</v>
      </c>
      <c r="DD3" s="250">
        <f>Table1[[#This Row],[WITTot]]/3</f>
        <v>1000</v>
      </c>
      <c r="DE3" s="251">
        <f>IF(Table1[[#This Row],[Gender]]="Female",3000,0)</f>
        <v>3000</v>
      </c>
      <c r="DF3" s="250">
        <f>Table1[[#This Row],[SerTot]]/3</f>
        <v>0</v>
      </c>
      <c r="DG3" s="250">
        <f>Table1[[#This Row],[SerTot]]/3</f>
        <v>0</v>
      </c>
      <c r="DH3" s="250">
        <f>Table1[[#This Row],[SerTot]]/3</f>
        <v>0</v>
      </c>
      <c r="DI3" s="252"/>
      <c r="DJ3" s="250"/>
      <c r="DK3" s="250"/>
      <c r="DL3" s="250"/>
      <c r="DM3" s="252"/>
      <c r="DN3" s="250">
        <f>Table1[[#This Row],[MatTot]]/3</f>
        <v>0</v>
      </c>
      <c r="DO3" s="250">
        <f>Table1[[#This Row],[MatTot]]/3</f>
        <v>0</v>
      </c>
      <c r="DP3" s="250">
        <f>Table1[[#This Row],[MatTot]]/3</f>
        <v>0</v>
      </c>
      <c r="DQ3" s="252">
        <v>0</v>
      </c>
      <c r="DR3" s="250">
        <f>Table1[[#This Row],[OutTot]]/3</f>
        <v>0</v>
      </c>
      <c r="DS3" s="250">
        <f>Table1[[#This Row],[OutTot]]/3</f>
        <v>0</v>
      </c>
      <c r="DT3" s="250">
        <f>Table1[[#This Row],[OutTot]]/3</f>
        <v>0</v>
      </c>
      <c r="DU3" s="252">
        <v>0</v>
      </c>
      <c r="DV3" s="250">
        <v>0</v>
      </c>
      <c r="DW3" s="250">
        <v>0</v>
      </c>
      <c r="DX3" s="250">
        <v>0</v>
      </c>
      <c r="DY3" s="252">
        <f>SUM(Table1[[#This Row],[VAQ1]:[VAQ3]])</f>
        <v>0</v>
      </c>
      <c r="DZ3" s="250">
        <v>0</v>
      </c>
      <c r="EA3" s="250">
        <v>0</v>
      </c>
      <c r="EB3" s="250">
        <v>0</v>
      </c>
      <c r="EC3" s="252">
        <f>SUM(Table1[[#This Row],[OthGrantQ1]:[OthGrantQ3]])</f>
        <v>0</v>
      </c>
      <c r="ED3" s="263">
        <f>Table1[[#This Row],[SEOGTot]]+Table1[[#This Row],[PellTot]]+Table1[[#This Row],[AccessTot]]+Table1[[#This Row],[AchiTot]]+Table1[[#This Row],[UTTot]]+Table1[[#This Row],[WITTot]]+Table1[[#This Row],[SerTot]]+Table1[[#This Row],[TranTot]]+Table1[[#This Row],[MatTot]]+Table1[[#This Row],[OutTot]]+Table1[[#This Row],[VATot]]+Table1[[#This Row],[OthGrantTot]]</f>
        <v>7500</v>
      </c>
      <c r="EE3" s="249"/>
      <c r="EF3" s="237"/>
      <c r="EG3" s="237"/>
      <c r="EH3" s="232">
        <f>SUM(Table1[[#This Row],[CashQ1]]:Table1[[#This Row],[CashQ3]])</f>
        <v>0</v>
      </c>
      <c r="EI3" s="271">
        <f>ROUND((Table1[[#This Row],[SubTot]]/3)/1.01059,0)</f>
        <v>1154</v>
      </c>
      <c r="EJ3" s="234">
        <f>ROUND((Table1[[#This Row],[SubTot]]/3)/1.01059,0)</f>
        <v>1154</v>
      </c>
      <c r="EK3" s="234">
        <f>ROUNDUP((Table1[[#This Row],[SubTot]]/3)/1.01059,0)</f>
        <v>1155</v>
      </c>
      <c r="EL3" s="235">
        <v>3500</v>
      </c>
      <c r="EM3" s="240">
        <f>Table1[[#This Row],[SubTot]]*0.01059</f>
        <v>37.065000000000005</v>
      </c>
      <c r="EN3" s="234">
        <f>ROUND((Table1[[#This Row],[UnsubTot]]/3)/1.01062,0)</f>
        <v>660</v>
      </c>
      <c r="EO3" s="234">
        <f>ROUND((Table1[[#This Row],[UnsubTot]]/3)/1.01062,0)</f>
        <v>660</v>
      </c>
      <c r="EP3" s="234">
        <f>ROUNDDOWN((Table1[[#This Row],[UnsubTot]]/3)/1.01062,0)</f>
        <v>659</v>
      </c>
      <c r="EQ3" s="235">
        <f>IF(Table1[D/I]="I",6000,2000)</f>
        <v>2000</v>
      </c>
      <c r="ER3" s="240">
        <f>Table1[[#This Row],[UnsubTot]]*0.01059</f>
        <v>21.18</v>
      </c>
      <c r="ES3" s="234">
        <f>ROUND((Table1[[#This Row],[PLUSTot]]/3)/1.04236,0)</f>
        <v>0</v>
      </c>
      <c r="ET3" s="234">
        <f>ROUND((Table1[[#This Row],[PLUSTot]]/3)/1.04236,0)</f>
        <v>0</v>
      </c>
      <c r="EU3" s="234">
        <f>ROUND((Table1[[#This Row],[PLUSTot]]/3)/1.04236,0)</f>
        <v>0</v>
      </c>
      <c r="EV3" s="235">
        <v>0</v>
      </c>
      <c r="EW3" s="239">
        <f>Table1[[#This Row],[PLUSTot]]*0.04248</f>
        <v>0</v>
      </c>
      <c r="EX3" s="237"/>
      <c r="EY3" s="237"/>
      <c r="EZ3" s="237"/>
      <c r="FA3" s="232">
        <f>SUM(Table1[[#This Row],[PrivQ1]:[PrivQ3]])</f>
        <v>0</v>
      </c>
      <c r="FB3" s="237"/>
      <c r="FC3" s="237"/>
      <c r="FD3" s="237"/>
      <c r="FE3" s="232">
        <f>SUM(Table1[[#This Row],[TOQ1]:[TOQ3]])</f>
        <v>0</v>
      </c>
      <c r="FF3" s="237"/>
      <c r="FG3" s="237"/>
      <c r="FH3" s="237"/>
      <c r="FI3" s="232">
        <f>SUM(Table1[[#This Row],[OFundQ1]:[OFundQ3]])</f>
        <v>0</v>
      </c>
      <c r="FJ3" s="238">
        <f>(Table1[[#This Row],[SubTot]]-Table1[[#This Row],[SubFee]])+(Table1[[#This Row],[UnsubTot]]-Table1[[#This Row],[UnsubFee]])+(Table1[[#This Row],[PLUSTot]]-Table1[[#This Row],[PLUSFee]])+Table1[[#This Row],[PrivTot]]+Table1[[#This Row],[TOTot]]+Table1[[#This Row],[OFundTot]]</f>
        <v>5441.7550000000001</v>
      </c>
      <c r="FK3" s="125">
        <f>Table1[[#This Row],[CostTot]]-Table1[[#This Row],[GiftTot]]</f>
        <v>32015</v>
      </c>
      <c r="FL3" s="139">
        <f>Table1[[#This Row],[NetNeed]]/(1-0.04248)</f>
        <v>27752.1566129167</v>
      </c>
      <c r="FM3" s="131">
        <f>Table1[[#This Row],[NetCost]]-Table1[[#This Row],[CashTot]]-(Table1[[#This Row],[SubTot]]-Table1[[#This Row],[SubFee]])-(Table1[[#This Row],[UnsubTot]]-Table1[[#This Row],[UnsubFee]])-(Table1[[#This Row],[PLUSTot]]-Table1[[#This Row],[PLUSFee]])-Table1[[#This Row],[PrivTot]]-Table1[[#This Row],[TOTot]]-Table1[[#This Row],[OFundTot]]</f>
        <v>26573.244999999999</v>
      </c>
      <c r="FN3" s="161"/>
      <c r="FO3" s="113"/>
      <c r="FP3" s="113"/>
    </row>
    <row r="4" spans="1:172" s="160" customFormat="1" ht="15" x14ac:dyDescent="0.25">
      <c r="A4" s="316">
        <v>195082</v>
      </c>
      <c r="B4" s="113" t="str">
        <f>VLOOKUP(Table1[[#This Row],[SyStudentId]],SSR!$A$2:$CC$4982,4,FALSE)</f>
        <v>Mancilla</v>
      </c>
      <c r="C4" s="113" t="str">
        <f>VLOOKUP(Table1[[#This Row],[SyStudentId]],SSR!$A$2:$CC$4982,5,FALSE)</f>
        <v>Carlos</v>
      </c>
      <c r="D4" s="113" t="str">
        <f>VLOOKUP(Table1[[#This Row],[SyStudentId]],SSR!$A$2:$CC$4982,6,FALSE)</f>
        <v>Mancilla, Carlos</v>
      </c>
      <c r="E4" s="113" t="str">
        <f>CONCATENATE(Table1[[#This Row],[FirstName]]," ",Table1[[#This Row],[LastName]])</f>
        <v>Carlos Mancilla</v>
      </c>
      <c r="F4" s="112">
        <v>1</v>
      </c>
      <c r="G4" s="114">
        <v>43775</v>
      </c>
      <c r="H4" s="114">
        <v>43775</v>
      </c>
      <c r="I4" s="114">
        <v>43775</v>
      </c>
      <c r="J4" s="115"/>
      <c r="K4" s="116" t="s">
        <v>605</v>
      </c>
      <c r="L4" s="112" t="str">
        <f>IFERROR(VLOOKUP(Table1[[#This Row],[SyStudentId]],ISIR!$A$2:$X$999,11,FALSE),"")</f>
        <v>D</v>
      </c>
      <c r="M4" s="113" t="str">
        <f>VLOOKUP(Table1[[#This Row],[SyStudentId]],SSR!$A$2:$CC$4982,7,FALSE)</f>
        <v>cgmancilla01@gmail.com</v>
      </c>
      <c r="N4" s="113" t="str">
        <f>VLOOKUP(Table1[[#This Row],[SyStudentId]],SSR!$A$2:$CC$4982,8,FALSE)</f>
        <v>2414 Larry Dr.</v>
      </c>
      <c r="O4" s="113" t="str">
        <f>VLOOKUP(Table1[[#This Row],[SyStudentId]],SSR!$A$2:$CC$4982,9,FALSE)</f>
        <v>Dallas</v>
      </c>
      <c r="P4" s="292" t="str">
        <f>VLOOKUP(Table1[[#This Row],[SyStudentId]],SSR!$A$2:$CC$4982,10,FALSE)</f>
        <v>TX</v>
      </c>
      <c r="Q4" s="117" t="str">
        <f>VLOOKUP(Table1[[#This Row],[SyStudentId]],SSR!$A$2:$CC$4982,11,FALSE)</f>
        <v xml:space="preserve">75228     </v>
      </c>
      <c r="R4" s="118">
        <f>VLOOKUP(Table1[[#This Row],[SyStudentId]],SSR!$A$2:$CC$4982,15,FALSE)</f>
        <v>3.2</v>
      </c>
      <c r="S4" s="119">
        <f>VLOOKUP(Table1[[#This Row],[SyStudentId]],SSR!$A$2:$CC$4982,22,FALSE)</f>
        <v>44109</v>
      </c>
      <c r="T4" s="113" t="str">
        <f>VLOOKUP(Table1[[#This Row],[SyStudentId]],SSR!$A$2:$CC$4982,24,FALSE)</f>
        <v>GM</v>
      </c>
      <c r="U4" s="113" t="str">
        <f>IF(VLOOKUP(Table1[[#This Row],[SyStudentId]],SSR!$A$2:$CC$4982,26,FALSE)=0,"Not Selected",VLOOKUP(Table1[[#This Row],[SyStudentId]],SSR!$A$2:$CC$4982,26,FALSE))</f>
        <v>Male</v>
      </c>
      <c r="V4" s="113" t="str">
        <f>VLOOKUP(Table1[[#This Row],[SyStudentId]],SSR!$A$2:$CC$4982,27,FALSE)</f>
        <v xml:space="preserve">HS2020  </v>
      </c>
      <c r="W4" s="113" t="str">
        <f>VLOOKUP(LEFT(Table1[[#This Row],[LastName]],1),Alpha!$A$1:$B$26,2,FALSE)</f>
        <v>Maureen Ranks</v>
      </c>
      <c r="X4" s="149" t="str">
        <f>VLOOKUP(Table1[[#This Row],[FAA]],Alpha!$B$1:$D$26,2,FALSE)</f>
        <v>mranks@neumont.edu</v>
      </c>
      <c r="Y4" s="113">
        <f>VLOOKUP(Table1[[#This Row],[FAA]],Alpha!$B$1:$D$26,3,FALSE)</f>
        <v>8883022894</v>
      </c>
      <c r="Z4" s="113" t="str">
        <f>VLOOKUP(Table1[[#This Row],[SyStudentId]],SSR!$A$2:$CC$4982,30,FALSE)</f>
        <v>16-Accepted</v>
      </c>
      <c r="AA4" s="113" t="str">
        <f>IF(VLOOKUP(Table1[[#This Row],[SyStudentId]],SSR!$A$2:$CC$4982,36,FALSE)="Bachelor of Science","BS Computer Science","Check Program")</f>
        <v>BS Computer Science</v>
      </c>
      <c r="AB4" s="113">
        <f>VLOOKUP(Table1[[#This Row],[SyStudentId]],SSR!$A$2:$CC$4982,37,FALSE)</f>
        <v>0</v>
      </c>
      <c r="AC4" s="113" t="str">
        <f>VLOOKUP(Table1[[#This Row],[SyStudentId]],SSR!$A$2:$CC$4982,42,FALSE)</f>
        <v xml:space="preserve">1270    </v>
      </c>
      <c r="AD4" s="113" t="str">
        <f>VLOOKUP(Table1[[#This Row],[SyStudentId]],SSR!$A$2:$CC$4982,46,FALSE)</f>
        <v>113</v>
      </c>
      <c r="AE4" s="113" t="str">
        <f>VLOOKUP(Table1[[#This Row],[SyStudentId]],SSR!$A$2:$CC$4982,65,FALSE)</f>
        <v>I</v>
      </c>
      <c r="AF4"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4" s="113" t="str">
        <f>VLOOKUP(Table1[[#This Row],[SyStudentId]],SSR!$A$2:$CC$4982,66,FALSE)</f>
        <v>July-October</v>
      </c>
      <c r="AH4" s="113" t="str">
        <f>IFERROR(VLOOKUP(Table1[[#This Row],[SyStudentId]],ISIR!$A$2:$X$999,7,FALSE),"")</f>
        <v>008166</v>
      </c>
      <c r="AI4" s="121">
        <f>IF(Table1[[#This Row],[EFCRaw]]="","",IF(Table1[[#This Row],[EFCRaw]]="No EFC","No EFC",_xlfn.NUMBERVALUE(Table1[[#This Row],[EFCRaw]])))</f>
        <v>8166</v>
      </c>
      <c r="AJ4" s="119">
        <f>IFERROR(VLOOKUP(Table1[[#This Row],[SyStudentId]],ISIR!$A$2:$X$4999,19,FALSE),"")</f>
        <v>43774</v>
      </c>
      <c r="AK4" s="113" t="str">
        <f>IFERROR(VLOOKUP(Table1[[#This Row],[SyStudentId]],ISIR!$A$2:$X$4999,8,FALSE),"")</f>
        <v>N</v>
      </c>
      <c r="AL4" s="132" t="str">
        <f>IF(Table1[[#This Row],[VerReq]]="N","n/a","")</f>
        <v>n/a</v>
      </c>
      <c r="AM4" s="122"/>
      <c r="AN4" s="122"/>
      <c r="AO4" s="122">
        <v>43763</v>
      </c>
      <c r="AP4" s="122"/>
      <c r="AQ4" s="122"/>
      <c r="AR4" s="122"/>
      <c r="AS4" s="122"/>
      <c r="AT4" s="122"/>
      <c r="AU4" s="122"/>
      <c r="AV4" s="122"/>
      <c r="AW4" s="122"/>
      <c r="AX4" s="122"/>
      <c r="AY4" s="122"/>
      <c r="AZ4" s="122"/>
      <c r="BA4" s="122"/>
      <c r="BB4" s="122"/>
      <c r="BC4" s="133"/>
      <c r="BD4" s="140" t="str">
        <f>IF(Table1[[#This Row],[VerReq]]="N","x","")</f>
        <v>x</v>
      </c>
      <c r="BE4" s="140" t="str">
        <f>IF(Table1[[#This Row],[VerReq]]="N","x","")</f>
        <v>x</v>
      </c>
      <c r="BF4" s="140" t="str">
        <f>IF(Table1[[#This Row],[VerReq]]="N","x","")</f>
        <v>x</v>
      </c>
      <c r="BG4" s="140" t="str">
        <f>IF(Table1[[#This Row],[VerReq]]="N","x","")</f>
        <v>x</v>
      </c>
      <c r="BH4" s="140" t="str">
        <f>IF(Table1[[#This Row],[VerReq]]="N","x","")</f>
        <v>x</v>
      </c>
      <c r="BI4" s="140" t="str">
        <f>IF(Table1[[#This Row],[VerReq]]="N","x","")</f>
        <v>x</v>
      </c>
      <c r="BJ4" s="134">
        <f>1-((COUNTBLANK(Table1[[#This Row],[ALESent]:[TaxTran]]))/(COUNT(Table1[[#This Row],[ALESent]:[TaxTran]])+COUNTBLANK(Table1[[#This Row],[ALESent]:[TaxTran]])))</f>
        <v>5.8823529411764719E-2</v>
      </c>
      <c r="BK4" s="136">
        <f>IF(VLOOKUP(Table1[[#This Row],[SyStudentId]],SSR!$A$2:$CC$4982,22,FALSE)=44109,44109,"Check Program")</f>
        <v>44109</v>
      </c>
      <c r="BL4" s="124">
        <f>IF(Table1[[#This Row],[AYStart]]=44109,44356,"Check Program")</f>
        <v>44356</v>
      </c>
      <c r="BM4" s="219">
        <v>8505</v>
      </c>
      <c r="BN4" s="219">
        <v>8505</v>
      </c>
      <c r="BO4" s="219">
        <v>8505</v>
      </c>
      <c r="BP4" s="220">
        <f t="shared" si="0"/>
        <v>25515</v>
      </c>
      <c r="BQ4" s="221">
        <v>3300</v>
      </c>
      <c r="BR4" s="219">
        <v>400</v>
      </c>
      <c r="BS4" s="219">
        <v>400</v>
      </c>
      <c r="BT4" s="220">
        <f t="shared" si="1"/>
        <v>4100</v>
      </c>
      <c r="BU4" s="219">
        <v>2100</v>
      </c>
      <c r="BV4" s="219">
        <v>2100</v>
      </c>
      <c r="BW4" s="219">
        <v>2100</v>
      </c>
      <c r="BX4" s="220">
        <f t="shared" si="2"/>
        <v>6300</v>
      </c>
      <c r="BY4" s="275">
        <v>1200</v>
      </c>
      <c r="BZ4" s="275">
        <v>1200</v>
      </c>
      <c r="CA4" s="275">
        <v>1200</v>
      </c>
      <c r="CB4" s="220">
        <f>SUM(Table1[[#This Row],[LEQ1]:[LEQ3]])</f>
        <v>3600</v>
      </c>
      <c r="CC4" s="275">
        <v>0</v>
      </c>
      <c r="CD4" s="275">
        <v>0</v>
      </c>
      <c r="CE4" s="275">
        <v>0</v>
      </c>
      <c r="CF4" s="220">
        <f>SUM(Table1[[#This Row],[OthCostQ1]:[OthCostQ3]])</f>
        <v>0</v>
      </c>
      <c r="CG4" s="220">
        <f>(Table1[[#This Row],[T&amp;FTot]]+Table1[[#This Row],[B&amp;STot]]+Table1[[#This Row],[HousTot]]+Table1[[#This Row],[LETot]]+Table1[[#This Row],[OthCostTot]])</f>
        <v>39515</v>
      </c>
      <c r="CH4" s="250"/>
      <c r="CI4" s="250"/>
      <c r="CJ4" s="250"/>
      <c r="CK4" s="251">
        <f>SUM(Table1[[#This Row],[SEOGQ1]:[SEOGQ3]])</f>
        <v>0</v>
      </c>
      <c r="CL4" s="250">
        <f>IFERROR(ROUNDUP(Table1[[#This Row],[PellTot]]/3,0),0)</f>
        <v>0</v>
      </c>
      <c r="CM4" s="250">
        <f>IFERROR(ROUND(Table1[[#This Row],[PellTot]]/3,0),0)</f>
        <v>0</v>
      </c>
      <c r="CN4" s="250">
        <f>IFERROR(ROUNDDOWN(Table1[[#This Row],[PellTot]]/3,0),0)</f>
        <v>0</v>
      </c>
      <c r="CO4" s="251">
        <f>IFERROR(LOOKUP(Table1[EFC],Pell_Table[#Data],Pell_Table[Pell Amt]),0)</f>
        <v>0</v>
      </c>
      <c r="CP4" s="250">
        <f>Table1[[#This Row],[AccessTot]]/3</f>
        <v>0</v>
      </c>
      <c r="CQ4" s="250">
        <f>Table1[[#This Row],[AccessTot]]/3</f>
        <v>0</v>
      </c>
      <c r="CR4" s="250">
        <f>Table1[[#This Row],[AccessTot]]/3</f>
        <v>0</v>
      </c>
      <c r="CS4" s="251">
        <f>IF(Table1[[#This Row],[PellTot]]&gt;0,1500,0)</f>
        <v>0</v>
      </c>
      <c r="CT4" s="250">
        <f>Table1[[#This Row],[AchiTot]]/3</f>
        <v>1700</v>
      </c>
      <c r="CU4" s="250">
        <f>Table1[[#This Row],[AchiTot]]/3</f>
        <v>1700</v>
      </c>
      <c r="CV4" s="250">
        <f>Table1[[#This Row],[AchiTot]]/3</f>
        <v>1700</v>
      </c>
      <c r="CW4" s="252">
        <f>IF(Table1[[#This Row],[Rank]]="","",IF(Table1[[#This Row],[Rank]]=1,5100,IF(Table1[[#This Row],[Rank]]=2,4500,IF(Table1[[#This Row],[Rank]]=3,3900,IF(Table1[[#This Row],[Rank]]=4,3750,IF(Table1[[#This Row],[Rank]]=5,3000,IF(Table1[[#This Row],[Rank]]=6,2250,0)))))))</f>
        <v>5100</v>
      </c>
      <c r="CX4" s="250">
        <f>Table1[[#This Row],[UTTot]]/3</f>
        <v>0</v>
      </c>
      <c r="CY4" s="250">
        <f>Table1[[#This Row],[UTTot]]/3</f>
        <v>0</v>
      </c>
      <c r="CZ4" s="250">
        <f>Table1[[#This Row],[UTTot]]/3</f>
        <v>0</v>
      </c>
      <c r="DA4" s="251">
        <f>IF(Table1[[#This Row],[State]]="UT",9000,0)</f>
        <v>0</v>
      </c>
      <c r="DB4" s="250">
        <f>Table1[[#This Row],[WITTot]]/3</f>
        <v>0</v>
      </c>
      <c r="DC4" s="250">
        <f>Table1[[#This Row],[WITTot]]/3</f>
        <v>0</v>
      </c>
      <c r="DD4" s="250">
        <f>Table1[[#This Row],[WITTot]]/3</f>
        <v>0</v>
      </c>
      <c r="DE4" s="251">
        <f>IF(Table1[[#This Row],[Gender]]="Female",3000,0)</f>
        <v>0</v>
      </c>
      <c r="DF4" s="250">
        <f>Table1[[#This Row],[SerTot]]/3</f>
        <v>0</v>
      </c>
      <c r="DG4" s="250">
        <f>Table1[[#This Row],[SerTot]]/3</f>
        <v>0</v>
      </c>
      <c r="DH4" s="250">
        <f>Table1[[#This Row],[SerTot]]/3</f>
        <v>0</v>
      </c>
      <c r="DI4" s="252"/>
      <c r="DJ4" s="250"/>
      <c r="DK4" s="250"/>
      <c r="DL4" s="250"/>
      <c r="DM4" s="252"/>
      <c r="DN4" s="250">
        <f>Table1[[#This Row],[MatTot]]/3</f>
        <v>0</v>
      </c>
      <c r="DO4" s="250">
        <f>Table1[[#This Row],[MatTot]]/3</f>
        <v>0</v>
      </c>
      <c r="DP4" s="250">
        <f>Table1[[#This Row],[MatTot]]/3</f>
        <v>0</v>
      </c>
      <c r="DQ4" s="252">
        <v>0</v>
      </c>
      <c r="DR4" s="250">
        <f>Table1[[#This Row],[OutTot]]/3</f>
        <v>0</v>
      </c>
      <c r="DS4" s="250">
        <f>Table1[[#This Row],[OutTot]]/3</f>
        <v>0</v>
      </c>
      <c r="DT4" s="250">
        <f>Table1[[#This Row],[OutTot]]/3</f>
        <v>0</v>
      </c>
      <c r="DU4" s="252">
        <v>0</v>
      </c>
      <c r="DV4" s="250">
        <v>0</v>
      </c>
      <c r="DW4" s="250">
        <v>0</v>
      </c>
      <c r="DX4" s="250">
        <v>0</v>
      </c>
      <c r="DY4" s="252">
        <f>SUM(Table1[[#This Row],[VAQ1]:[VAQ3]])</f>
        <v>0</v>
      </c>
      <c r="DZ4" s="250">
        <v>0</v>
      </c>
      <c r="EA4" s="250">
        <v>0</v>
      </c>
      <c r="EB4" s="250">
        <v>0</v>
      </c>
      <c r="EC4" s="252">
        <f>SUM(Table1[[#This Row],[OthGrantQ1]:[OthGrantQ3]])</f>
        <v>0</v>
      </c>
      <c r="ED4" s="263">
        <f>Table1[[#This Row],[SEOGTot]]+Table1[[#This Row],[PellTot]]+Table1[[#This Row],[AccessTot]]+Table1[[#This Row],[AchiTot]]+Table1[[#This Row],[UTTot]]+Table1[[#This Row],[WITTot]]+Table1[[#This Row],[SerTot]]+Table1[[#This Row],[TranTot]]+Table1[[#This Row],[MatTot]]+Table1[[#This Row],[OutTot]]+Table1[[#This Row],[VATot]]+Table1[[#This Row],[OthGrantTot]]</f>
        <v>5100</v>
      </c>
      <c r="EE4" s="249"/>
      <c r="EF4" s="237"/>
      <c r="EG4" s="237"/>
      <c r="EH4" s="232">
        <f>SUM(Table1[[#This Row],[CashQ1]]:Table1[[#This Row],[CashQ3]])</f>
        <v>0</v>
      </c>
      <c r="EI4" s="271">
        <f>ROUND((Table1[[#This Row],[SubTot]]/3)/1.01059,0)</f>
        <v>1154</v>
      </c>
      <c r="EJ4" s="234">
        <f>ROUND((Table1[[#This Row],[SubTot]]/3)/1.01059,0)</f>
        <v>1154</v>
      </c>
      <c r="EK4" s="234">
        <f>ROUNDUP((Table1[[#This Row],[SubTot]]/3)/1.01059,0)</f>
        <v>1155</v>
      </c>
      <c r="EL4" s="235">
        <v>3500</v>
      </c>
      <c r="EM4" s="240">
        <f>Table1[[#This Row],[SubTot]]*0.01059</f>
        <v>37.065000000000005</v>
      </c>
      <c r="EN4" s="234">
        <f>ROUND((Table1[[#This Row],[UnsubTot]]/3)/1.01062,0)</f>
        <v>660</v>
      </c>
      <c r="EO4" s="234">
        <f>ROUND((Table1[[#This Row],[UnsubTot]]/3)/1.01062,0)</f>
        <v>660</v>
      </c>
      <c r="EP4" s="234">
        <f>ROUNDDOWN((Table1[[#This Row],[UnsubTot]]/3)/1.01062,0)</f>
        <v>659</v>
      </c>
      <c r="EQ4" s="235">
        <f>IF(Table1[D/I]="I",6000,2000)</f>
        <v>2000</v>
      </c>
      <c r="ER4" s="240">
        <f>Table1[[#This Row],[UnsubTot]]*0.01059</f>
        <v>21.18</v>
      </c>
      <c r="ES4" s="234">
        <f>ROUND((Table1[[#This Row],[PLUSTot]]/3)/1.04236,0)</f>
        <v>0</v>
      </c>
      <c r="ET4" s="234">
        <f>ROUND((Table1[[#This Row],[PLUSTot]]/3)/1.04236,0)</f>
        <v>0</v>
      </c>
      <c r="EU4" s="234">
        <f>ROUND((Table1[[#This Row],[PLUSTot]]/3)/1.04236,0)</f>
        <v>0</v>
      </c>
      <c r="EV4" s="235">
        <v>0</v>
      </c>
      <c r="EW4" s="239">
        <f>Table1[[#This Row],[PLUSTot]]*0.04248</f>
        <v>0</v>
      </c>
      <c r="EX4" s="237"/>
      <c r="EY4" s="237"/>
      <c r="EZ4" s="237"/>
      <c r="FA4" s="232">
        <f>SUM(Table1[[#This Row],[PrivQ1]:[PrivQ3]])</f>
        <v>0</v>
      </c>
      <c r="FB4" s="237"/>
      <c r="FC4" s="237"/>
      <c r="FD4" s="237"/>
      <c r="FE4" s="232">
        <f>SUM(Table1[[#This Row],[TOQ1]:[TOQ3]])</f>
        <v>0</v>
      </c>
      <c r="FF4" s="237"/>
      <c r="FG4" s="237"/>
      <c r="FH4" s="237"/>
      <c r="FI4" s="232">
        <f>SUM(Table1[[#This Row],[OFundQ1]:[OFundQ3]])</f>
        <v>0</v>
      </c>
      <c r="FJ4" s="238">
        <f>(Table1[[#This Row],[SubTot]]-Table1[[#This Row],[SubFee]])+(Table1[[#This Row],[UnsubTot]]-Table1[[#This Row],[UnsubFee]])+(Table1[[#This Row],[PLUSTot]]-Table1[[#This Row],[PLUSFee]])+Table1[[#This Row],[PrivTot]]+Table1[[#This Row],[TOTot]]+Table1[[#This Row],[OFundTot]]</f>
        <v>5441.7550000000001</v>
      </c>
      <c r="FK4" s="125">
        <f>Table1[[#This Row],[CostTot]]-Table1[[#This Row],[GiftTot]]</f>
        <v>34415</v>
      </c>
      <c r="FL4" s="139">
        <f>Table1[[#This Row],[NetNeed]]/(1-0.04248)</f>
        <v>30258.631673489846</v>
      </c>
      <c r="FM4" s="131">
        <f>Table1[[#This Row],[NetCost]]-Table1[[#This Row],[CashTot]]-(Table1[[#This Row],[SubTot]]-Table1[[#This Row],[SubFee]])-(Table1[[#This Row],[UnsubTot]]-Table1[[#This Row],[UnsubFee]])-(Table1[[#This Row],[PLUSTot]]-Table1[[#This Row],[PLUSFee]])-Table1[[#This Row],[PrivTot]]-Table1[[#This Row],[TOTot]]-Table1[[#This Row],[OFundTot]]</f>
        <v>28973.244999999999</v>
      </c>
      <c r="FN4" s="161"/>
      <c r="FO4" s="113"/>
      <c r="FP4" s="113"/>
    </row>
    <row r="5" spans="1:172" s="160" customFormat="1" ht="15" x14ac:dyDescent="0.25">
      <c r="A5" s="267">
        <v>193332</v>
      </c>
      <c r="B5" s="113" t="str">
        <f>VLOOKUP(Table1[[#This Row],[SyStudentId]],SSR!$A$2:$CC$4982,4,FALSE)</f>
        <v>Marcial</v>
      </c>
      <c r="C5" s="113" t="str">
        <f>VLOOKUP(Table1[[#This Row],[SyStudentId]],SSR!$A$2:$CC$4982,5,FALSE)</f>
        <v>Christina</v>
      </c>
      <c r="D5" s="113" t="str">
        <f>VLOOKUP(Table1[[#This Row],[SyStudentId]],SSR!$A$2:$CC$4982,6,FALSE)</f>
        <v>Marcial, Christina</v>
      </c>
      <c r="E5" s="113" t="str">
        <f>CONCATENATE(Table1[[#This Row],[FirstName]]," ",Table1[[#This Row],[LastName]])</f>
        <v>Christina Marcial</v>
      </c>
      <c r="F5" s="112">
        <v>1</v>
      </c>
      <c r="G5" s="114"/>
      <c r="H5" s="114"/>
      <c r="I5" s="114">
        <v>43775</v>
      </c>
      <c r="J5" s="115"/>
      <c r="K5" s="116"/>
      <c r="L5" s="112" t="str">
        <f>IFERROR(VLOOKUP(Table1[[#This Row],[SyStudentId]],ISIR!$A$2:$X$999,11,FALSE),"")</f>
        <v>D</v>
      </c>
      <c r="M5" s="113" t="str">
        <f>VLOOKUP(Table1[[#This Row],[SyStudentId]],SSR!$A$2:$CC$4982,7,FALSE)</f>
        <v>kayleemarcial@gmail.com</v>
      </c>
      <c r="N5" s="113" t="str">
        <f>VLOOKUP(Table1[[#This Row],[SyStudentId]],SSR!$A$2:$CC$4982,8,FALSE)</f>
        <v>2851 Fenel Avenue</v>
      </c>
      <c r="O5" s="113" t="str">
        <f>VLOOKUP(Table1[[#This Row],[SyStudentId]],SSR!$A$2:$CC$4982,9,FALSE)</f>
        <v>Grand Junction</v>
      </c>
      <c r="P5" s="234" t="str">
        <f>VLOOKUP(Table1[[#This Row],[SyStudentId]],SSR!$A$2:$CC$4982,10,FALSE)</f>
        <v>CO</v>
      </c>
      <c r="Q5" s="117" t="str">
        <f>VLOOKUP(Table1[[#This Row],[SyStudentId]],SSR!$A$2:$CC$4982,11,FALSE)</f>
        <v xml:space="preserve">81501     </v>
      </c>
      <c r="R5" s="118">
        <f>VLOOKUP(Table1[[#This Row],[SyStudentId]],SSR!$A$2:$CC$4982,15,FALSE)</f>
        <v>3.93</v>
      </c>
      <c r="S5" s="119">
        <f>VLOOKUP(Table1[[#This Row],[SyStudentId]],SSR!$A$2:$CC$4982,22,FALSE)</f>
        <v>44109</v>
      </c>
      <c r="T5" s="113" t="str">
        <f>VLOOKUP(Table1[[#This Row],[SyStudentId]],SSR!$A$2:$CC$4982,24,FALSE)</f>
        <v>JT</v>
      </c>
      <c r="U5" s="113" t="str">
        <f>IF(VLOOKUP(Table1[[#This Row],[SyStudentId]],SSR!$A$2:$CC$4982,26,FALSE)=0,"Not Selected",VLOOKUP(Table1[[#This Row],[SyStudentId]],SSR!$A$2:$CC$4982,26,FALSE))</f>
        <v>Not specified</v>
      </c>
      <c r="V5" s="113" t="str">
        <f>VLOOKUP(Table1[[#This Row],[SyStudentId]],SSR!$A$2:$CC$4982,27,FALSE)</f>
        <v xml:space="preserve">HS2020  </v>
      </c>
      <c r="W5" s="113" t="str">
        <f>VLOOKUP(LEFT(Table1[[#This Row],[LastName]],1),Alpha!$A$1:$B$26,2,FALSE)</f>
        <v>Maureen Ranks</v>
      </c>
      <c r="X5" s="149" t="str">
        <f>VLOOKUP(Table1[[#This Row],[FAA]],Alpha!$B$1:$D$26,2,FALSE)</f>
        <v>mranks@neumont.edu</v>
      </c>
      <c r="Y5" s="113">
        <f>VLOOKUP(Table1[[#This Row],[FAA]],Alpha!$B$1:$D$26,3,FALSE)</f>
        <v>8883022894</v>
      </c>
      <c r="Z5" s="113" t="str">
        <f>VLOOKUP(Table1[[#This Row],[SyStudentId]],SSR!$A$2:$CC$4982,30,FALSE)</f>
        <v>16-Accepted</v>
      </c>
      <c r="AA5" s="113" t="str">
        <f>IF(VLOOKUP(Table1[[#This Row],[SyStudentId]],SSR!$A$2:$CC$4982,36,FALSE)="Bachelor of Science","BS Computer Science","Check Program")</f>
        <v>BS Computer Science</v>
      </c>
      <c r="AB5" s="113">
        <f>VLOOKUP(Table1[[#This Row],[SyStudentId]],SSR!$A$2:$CC$4982,37,FALSE)</f>
        <v>0</v>
      </c>
      <c r="AC5" s="113">
        <f>VLOOKUP(Table1[[#This Row],[SyStudentId]],SSR!$A$2:$CC$4982,42,FALSE)</f>
        <v>0</v>
      </c>
      <c r="AD5" s="113" t="str">
        <f>VLOOKUP(Table1[[#This Row],[SyStudentId]],SSR!$A$2:$CC$4982,46,FALSE)</f>
        <v>0</v>
      </c>
      <c r="AE5" s="113" t="str">
        <f>VLOOKUP(Table1[[#This Row],[SyStudentId]],SSR!$A$2:$CC$4982,65,FALSE)</f>
        <v>II</v>
      </c>
      <c r="AF5"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2</v>
      </c>
      <c r="AG5" s="113" t="str">
        <f>VLOOKUP(Table1[[#This Row],[SyStudentId]],SSR!$A$2:$CC$4982,66,FALSE)</f>
        <v>July-October</v>
      </c>
      <c r="AH5" s="113" t="str">
        <f>IFERROR(VLOOKUP(Table1[[#This Row],[SyStudentId]],ISIR!$A$2:$X$999,7,FALSE),"")</f>
        <v>020364</v>
      </c>
      <c r="AI5" s="121">
        <f>IF(Table1[[#This Row],[EFCRaw]]="","",IF(Table1[[#This Row],[EFCRaw]]="No EFC","No EFC",_xlfn.NUMBERVALUE(Table1[[#This Row],[EFCRaw]])))</f>
        <v>20364</v>
      </c>
      <c r="AJ5" s="119">
        <f>IFERROR(VLOOKUP(Table1[[#This Row],[SyStudentId]],ISIR!$A$2:$X$4999,19,FALSE),"")</f>
        <v>43774</v>
      </c>
      <c r="AK5" s="113" t="str">
        <f>IFERROR(VLOOKUP(Table1[[#This Row],[SyStudentId]],ISIR!$A$2:$X$4999,8,FALSE),"")</f>
        <v>N</v>
      </c>
      <c r="AL5" s="132" t="str">
        <f>IF(Table1[[#This Row],[VerReq]]="N","n/a","")</f>
        <v>n/a</v>
      </c>
      <c r="AM5" s="122"/>
      <c r="AN5" s="122"/>
      <c r="AO5" s="122"/>
      <c r="AP5" s="122"/>
      <c r="AQ5" s="122"/>
      <c r="AR5" s="122"/>
      <c r="AS5" s="122"/>
      <c r="AT5" s="122"/>
      <c r="AU5" s="122"/>
      <c r="AV5" s="122"/>
      <c r="AW5" s="122"/>
      <c r="AX5" s="122"/>
      <c r="AY5" s="122"/>
      <c r="AZ5" s="122"/>
      <c r="BA5" s="122"/>
      <c r="BB5" s="122"/>
      <c r="BC5" s="133"/>
      <c r="BD5" s="140" t="str">
        <f>IF(Table1[[#This Row],[VerReq]]="N","x","")</f>
        <v>x</v>
      </c>
      <c r="BE5" s="140" t="str">
        <f>IF(Table1[[#This Row],[VerReq]]="N","x","")</f>
        <v>x</v>
      </c>
      <c r="BF5" s="140" t="str">
        <f>IF(Table1[[#This Row],[VerReq]]="N","x","")</f>
        <v>x</v>
      </c>
      <c r="BG5" s="140" t="str">
        <f>IF(Table1[[#This Row],[VerReq]]="N","x","")</f>
        <v>x</v>
      </c>
      <c r="BH5" s="140" t="str">
        <f>IF(Table1[[#This Row],[VerReq]]="N","x","")</f>
        <v>x</v>
      </c>
      <c r="BI5" s="140" t="str">
        <f>IF(Table1[[#This Row],[VerReq]]="N","x","")</f>
        <v>x</v>
      </c>
      <c r="BJ5" s="134">
        <f>1-((COUNTBLANK(Table1[[#This Row],[ALESent]:[TaxTran]]))/(COUNT(Table1[[#This Row],[ALESent]:[TaxTran]])+COUNTBLANK(Table1[[#This Row],[ALESent]:[TaxTran]])))</f>
        <v>0</v>
      </c>
      <c r="BK5" s="136">
        <f>IF(VLOOKUP(Table1[[#This Row],[SyStudentId]],SSR!$A$2:$CC$4982,22,FALSE)=44109,44109,"Check Program")</f>
        <v>44109</v>
      </c>
      <c r="BL5" s="124">
        <f>IF(Table1[[#This Row],[AYStart]]=44109,44356,"Check Program")</f>
        <v>44356</v>
      </c>
      <c r="BM5" s="219">
        <v>8505</v>
      </c>
      <c r="BN5" s="219">
        <v>8505</v>
      </c>
      <c r="BO5" s="219">
        <v>8505</v>
      </c>
      <c r="BP5" s="220">
        <f t="shared" si="0"/>
        <v>25515</v>
      </c>
      <c r="BQ5" s="221">
        <v>3300</v>
      </c>
      <c r="BR5" s="219">
        <v>400</v>
      </c>
      <c r="BS5" s="219">
        <v>400</v>
      </c>
      <c r="BT5" s="220">
        <f t="shared" si="1"/>
        <v>4100</v>
      </c>
      <c r="BU5" s="219">
        <v>2100</v>
      </c>
      <c r="BV5" s="219">
        <v>2100</v>
      </c>
      <c r="BW5" s="219">
        <v>2100</v>
      </c>
      <c r="BX5" s="220">
        <f t="shared" si="2"/>
        <v>6300</v>
      </c>
      <c r="BY5" s="275">
        <v>1200</v>
      </c>
      <c r="BZ5" s="275">
        <v>1200</v>
      </c>
      <c r="CA5" s="275">
        <v>1200</v>
      </c>
      <c r="CB5" s="220">
        <f>SUM(Table1[[#This Row],[LEQ1]:[LEQ3]])</f>
        <v>3600</v>
      </c>
      <c r="CC5" s="275">
        <v>0</v>
      </c>
      <c r="CD5" s="275">
        <v>0</v>
      </c>
      <c r="CE5" s="275">
        <v>0</v>
      </c>
      <c r="CF5" s="220">
        <f>SUM(Table1[[#This Row],[OthCostQ1]:[OthCostQ3]])</f>
        <v>0</v>
      </c>
      <c r="CG5" s="220">
        <f>(Table1[[#This Row],[T&amp;FTot]]+Table1[[#This Row],[B&amp;STot]]+Table1[[#This Row],[HousTot]]+Table1[[#This Row],[LETot]]+Table1[[#This Row],[OthCostTot]])</f>
        <v>39515</v>
      </c>
      <c r="CH5" s="250"/>
      <c r="CI5" s="250"/>
      <c r="CJ5" s="250"/>
      <c r="CK5" s="251">
        <f>SUM(Table1[[#This Row],[SEOGQ1]:[SEOGQ3]])</f>
        <v>0</v>
      </c>
      <c r="CL5" s="250">
        <f>IFERROR(ROUNDUP(Table1[[#This Row],[PellTot]]/3,0),0)</f>
        <v>0</v>
      </c>
      <c r="CM5" s="250">
        <f>IFERROR(ROUND(Table1[[#This Row],[PellTot]]/3,0),0)</f>
        <v>0</v>
      </c>
      <c r="CN5" s="250">
        <f>IFERROR(ROUNDDOWN(Table1[[#This Row],[PellTot]]/3,0),0)</f>
        <v>0</v>
      </c>
      <c r="CO5" s="251">
        <f>IFERROR(LOOKUP(Table1[EFC],Pell_Table[#Data],Pell_Table[Pell Amt]),0)</f>
        <v>0</v>
      </c>
      <c r="CP5" s="250">
        <f>Table1[[#This Row],[AccessTot]]/3</f>
        <v>0</v>
      </c>
      <c r="CQ5" s="250">
        <f>Table1[[#This Row],[AccessTot]]/3</f>
        <v>0</v>
      </c>
      <c r="CR5" s="250">
        <f>Table1[[#This Row],[AccessTot]]/3</f>
        <v>0</v>
      </c>
      <c r="CS5" s="251">
        <f>IF(Table1[[#This Row],[PellTot]]&gt;0,1500,0)</f>
        <v>0</v>
      </c>
      <c r="CT5" s="250">
        <f>Table1[[#This Row],[AchiTot]]/3</f>
        <v>1500</v>
      </c>
      <c r="CU5" s="250">
        <f>Table1[[#This Row],[AchiTot]]/3</f>
        <v>1500</v>
      </c>
      <c r="CV5" s="250">
        <f>Table1[[#This Row],[AchiTot]]/3</f>
        <v>1500</v>
      </c>
      <c r="CW5" s="252">
        <f>IF(Table1[[#This Row],[Rank]]="","",IF(Table1[[#This Row],[Rank]]=1,5100,IF(Table1[[#This Row],[Rank]]=2,4500,IF(Table1[[#This Row],[Rank]]=3,3900,IF(Table1[[#This Row],[Rank]]=4,3750,IF(Table1[[#This Row],[Rank]]=5,3000,IF(Table1[[#This Row],[Rank]]=6,2250,0)))))))</f>
        <v>4500</v>
      </c>
      <c r="CX5" s="250">
        <f>Table1[[#This Row],[UTTot]]/3</f>
        <v>0</v>
      </c>
      <c r="CY5" s="250">
        <f>Table1[[#This Row],[UTTot]]/3</f>
        <v>0</v>
      </c>
      <c r="CZ5" s="250">
        <f>Table1[[#This Row],[UTTot]]/3</f>
        <v>0</v>
      </c>
      <c r="DA5" s="251">
        <f>IF(Table1[[#This Row],[State]]="UT",9000,0)</f>
        <v>0</v>
      </c>
      <c r="DB5" s="250">
        <f>Table1[[#This Row],[WITTot]]/3</f>
        <v>0</v>
      </c>
      <c r="DC5" s="250">
        <f>Table1[[#This Row],[WITTot]]/3</f>
        <v>0</v>
      </c>
      <c r="DD5" s="250">
        <f>Table1[[#This Row],[WITTot]]/3</f>
        <v>0</v>
      </c>
      <c r="DE5" s="251">
        <f>IF(Table1[[#This Row],[Gender]]="Female",3000,0)</f>
        <v>0</v>
      </c>
      <c r="DF5" s="250">
        <f>Table1[[#This Row],[SerTot]]/3</f>
        <v>0</v>
      </c>
      <c r="DG5" s="250">
        <f>Table1[[#This Row],[SerTot]]/3</f>
        <v>0</v>
      </c>
      <c r="DH5" s="250">
        <f>Table1[[#This Row],[SerTot]]/3</f>
        <v>0</v>
      </c>
      <c r="DI5" s="252"/>
      <c r="DJ5" s="250"/>
      <c r="DK5" s="250"/>
      <c r="DL5" s="250"/>
      <c r="DM5" s="252"/>
      <c r="DN5" s="250">
        <f>Table1[[#This Row],[MatTot]]/3</f>
        <v>0</v>
      </c>
      <c r="DO5" s="250">
        <f>Table1[[#This Row],[MatTot]]/3</f>
        <v>0</v>
      </c>
      <c r="DP5" s="250">
        <f>Table1[[#This Row],[MatTot]]/3</f>
        <v>0</v>
      </c>
      <c r="DQ5" s="252">
        <v>0</v>
      </c>
      <c r="DR5" s="250">
        <f>Table1[[#This Row],[OutTot]]/3</f>
        <v>0</v>
      </c>
      <c r="DS5" s="250">
        <f>Table1[[#This Row],[OutTot]]/3</f>
        <v>0</v>
      </c>
      <c r="DT5" s="250">
        <f>Table1[[#This Row],[OutTot]]/3</f>
        <v>0</v>
      </c>
      <c r="DU5" s="252">
        <v>0</v>
      </c>
      <c r="DV5" s="250">
        <v>0</v>
      </c>
      <c r="DW5" s="250">
        <v>0</v>
      </c>
      <c r="DX5" s="250">
        <v>0</v>
      </c>
      <c r="DY5" s="252">
        <f>SUM(Table1[[#This Row],[VAQ1]:[VAQ3]])</f>
        <v>0</v>
      </c>
      <c r="DZ5" s="250">
        <v>0</v>
      </c>
      <c r="EA5" s="250">
        <v>0</v>
      </c>
      <c r="EB5" s="250">
        <v>0</v>
      </c>
      <c r="EC5" s="252">
        <f>SUM(Table1[[#This Row],[OthGrantQ1]:[OthGrantQ3]])</f>
        <v>0</v>
      </c>
      <c r="ED5" s="263">
        <f>Table1[[#This Row],[SEOGTot]]+Table1[[#This Row],[PellTot]]+Table1[[#This Row],[AccessTot]]+Table1[[#This Row],[AchiTot]]+Table1[[#This Row],[UTTot]]+Table1[[#This Row],[WITTot]]+Table1[[#This Row],[SerTot]]+Table1[[#This Row],[TranTot]]+Table1[[#This Row],[MatTot]]+Table1[[#This Row],[OutTot]]+Table1[[#This Row],[VATot]]+Table1[[#This Row],[OthGrantTot]]</f>
        <v>4500</v>
      </c>
      <c r="EE5" s="249"/>
      <c r="EF5" s="237"/>
      <c r="EG5" s="237"/>
      <c r="EH5" s="232">
        <f>SUM(Table1[[#This Row],[CashQ1]]:Table1[[#This Row],[CashQ3]])</f>
        <v>0</v>
      </c>
      <c r="EI5" s="271">
        <f>ROUND((Table1[[#This Row],[SubTot]]/3)/1.01059,0)</f>
        <v>1154</v>
      </c>
      <c r="EJ5" s="234">
        <f>ROUND((Table1[[#This Row],[SubTot]]/3)/1.01059,0)</f>
        <v>1154</v>
      </c>
      <c r="EK5" s="234">
        <f>ROUNDUP((Table1[[#This Row],[SubTot]]/3)/1.01059,0)</f>
        <v>1155</v>
      </c>
      <c r="EL5" s="235">
        <v>3500</v>
      </c>
      <c r="EM5" s="240">
        <f>Table1[[#This Row],[SubTot]]*0.01059</f>
        <v>37.065000000000005</v>
      </c>
      <c r="EN5" s="234">
        <f>ROUND((Table1[[#This Row],[UnsubTot]]/3)/1.01062,0)</f>
        <v>660</v>
      </c>
      <c r="EO5" s="234">
        <f>ROUND((Table1[[#This Row],[UnsubTot]]/3)/1.01062,0)</f>
        <v>660</v>
      </c>
      <c r="EP5" s="234">
        <f>ROUNDDOWN((Table1[[#This Row],[UnsubTot]]/3)/1.01062,0)</f>
        <v>659</v>
      </c>
      <c r="EQ5" s="235">
        <f>IF(Table1[D/I]="I",6000,2000)</f>
        <v>2000</v>
      </c>
      <c r="ER5" s="240">
        <f>Table1[[#This Row],[UnsubTot]]*0.01059</f>
        <v>21.18</v>
      </c>
      <c r="ES5" s="234">
        <f>ROUND((Table1[[#This Row],[PLUSTot]]/3)/1.04236,0)</f>
        <v>0</v>
      </c>
      <c r="ET5" s="234">
        <f>ROUND((Table1[[#This Row],[PLUSTot]]/3)/1.04236,0)</f>
        <v>0</v>
      </c>
      <c r="EU5" s="234">
        <f>ROUND((Table1[[#This Row],[PLUSTot]]/3)/1.04236,0)</f>
        <v>0</v>
      </c>
      <c r="EV5" s="235">
        <v>0</v>
      </c>
      <c r="EW5" s="239">
        <f>Table1[[#This Row],[PLUSTot]]*0.04248</f>
        <v>0</v>
      </c>
      <c r="EX5" s="237"/>
      <c r="EY5" s="237"/>
      <c r="EZ5" s="237"/>
      <c r="FA5" s="232">
        <f>SUM(Table1[[#This Row],[PrivQ1]:[PrivQ3]])</f>
        <v>0</v>
      </c>
      <c r="FB5" s="237"/>
      <c r="FC5" s="237"/>
      <c r="FD5" s="237"/>
      <c r="FE5" s="232">
        <f>SUM(Table1[[#This Row],[TOQ1]:[TOQ3]])</f>
        <v>0</v>
      </c>
      <c r="FF5" s="237"/>
      <c r="FG5" s="237"/>
      <c r="FH5" s="237"/>
      <c r="FI5" s="232">
        <f>SUM(Table1[[#This Row],[OFundQ1]:[OFundQ3]])</f>
        <v>0</v>
      </c>
      <c r="FJ5" s="238">
        <f>(Table1[[#This Row],[SubTot]]-Table1[[#This Row],[SubFee]])+(Table1[[#This Row],[UnsubTot]]-Table1[[#This Row],[UnsubFee]])+(Table1[[#This Row],[PLUSTot]]-Table1[[#This Row],[PLUSFee]])+Table1[[#This Row],[PrivTot]]+Table1[[#This Row],[TOTot]]+Table1[[#This Row],[OFundTot]]</f>
        <v>5441.7550000000001</v>
      </c>
      <c r="FK5" s="125">
        <f>Table1[[#This Row],[CostTot]]-Table1[[#This Row],[GiftTot]]</f>
        <v>35015</v>
      </c>
      <c r="FL5" s="139">
        <f>Table1[[#This Row],[NetNeed]]/(1-0.04248)</f>
        <v>30885.250438633135</v>
      </c>
      <c r="FM5" s="131">
        <f>Table1[[#This Row],[NetCost]]-Table1[[#This Row],[CashTot]]-(Table1[[#This Row],[SubTot]]-Table1[[#This Row],[SubFee]])-(Table1[[#This Row],[UnsubTot]]-Table1[[#This Row],[UnsubFee]])-(Table1[[#This Row],[PLUSTot]]-Table1[[#This Row],[PLUSFee]])-Table1[[#This Row],[PrivTot]]-Table1[[#This Row],[TOTot]]-Table1[[#This Row],[OFundTot]]</f>
        <v>29573.244999999999</v>
      </c>
      <c r="FN5" s="161"/>
      <c r="FO5" s="113"/>
      <c r="FP5" s="113"/>
    </row>
    <row r="6" spans="1:172" s="160" customFormat="1" ht="15" x14ac:dyDescent="0.25">
      <c r="A6" s="267">
        <v>195461</v>
      </c>
      <c r="B6" s="113" t="str">
        <f>VLOOKUP(Table1[[#This Row],[SyStudentId]],SSR!$A$2:$CC$4982,4,FALSE)</f>
        <v>Mars</v>
      </c>
      <c r="C6" s="113" t="str">
        <f>VLOOKUP(Table1[[#This Row],[SyStudentId]],SSR!$A$2:$CC$4982,5,FALSE)</f>
        <v>El</v>
      </c>
      <c r="D6" s="113" t="str">
        <f>VLOOKUP(Table1[[#This Row],[SyStudentId]],SSR!$A$2:$CC$4982,6,FALSE)</f>
        <v>Mars, El</v>
      </c>
      <c r="E6" s="113" t="str">
        <f>CONCATENATE(Table1[[#This Row],[FirstName]]," ",Table1[[#This Row],[LastName]])</f>
        <v>El Mars</v>
      </c>
      <c r="F6" s="112">
        <v>1</v>
      </c>
      <c r="G6" s="114">
        <v>43775</v>
      </c>
      <c r="H6" s="114">
        <v>43775</v>
      </c>
      <c r="I6" s="114">
        <v>43775</v>
      </c>
      <c r="J6" s="115"/>
      <c r="K6" s="116" t="s">
        <v>605</v>
      </c>
      <c r="L6" s="112" t="str">
        <f>IFERROR(VLOOKUP(Table1[[#This Row],[SyStudentId]],ISIR!$A$2:$X$999,11,FALSE),"")</f>
        <v/>
      </c>
      <c r="M6" s="113" t="str">
        <f>VLOOKUP(Table1[[#This Row],[SyStudentId]],SSR!$A$2:$CC$4982,7,FALSE)</f>
        <v>elmars3223@gmail.com</v>
      </c>
      <c r="N6" s="113" t="str">
        <f>VLOOKUP(Table1[[#This Row],[SyStudentId]],SSR!$A$2:$CC$4982,8,FALSE)</f>
        <v>2501 45th St Apt D</v>
      </c>
      <c r="O6" s="113" t="str">
        <f>VLOOKUP(Table1[[#This Row],[SyStudentId]],SSR!$A$2:$CC$4982,9,FALSE)</f>
        <v>Galveston</v>
      </c>
      <c r="P6" s="113" t="str">
        <f>VLOOKUP(Table1[[#This Row],[SyStudentId]],SSR!$A$2:$CC$4982,10,FALSE)</f>
        <v>TX</v>
      </c>
      <c r="Q6" s="117" t="str">
        <f>VLOOKUP(Table1[[#This Row],[SyStudentId]],SSR!$A$2:$CC$4982,11,FALSE)</f>
        <v xml:space="preserve">77550     </v>
      </c>
      <c r="R6" s="118">
        <f>VLOOKUP(Table1[[#This Row],[SyStudentId]],SSR!$A$2:$CC$4982,15,FALSE)</f>
        <v>2.95</v>
      </c>
      <c r="S6" s="119">
        <f>VLOOKUP(Table1[[#This Row],[SyStudentId]],SSR!$A$2:$CC$4982,22,FALSE)</f>
        <v>44109</v>
      </c>
      <c r="T6" s="113" t="str">
        <f>VLOOKUP(Table1[[#This Row],[SyStudentId]],SSR!$A$2:$CC$4982,24,FALSE)</f>
        <v>MN</v>
      </c>
      <c r="U6" s="113" t="str">
        <f>IF(VLOOKUP(Table1[[#This Row],[SyStudentId]],SSR!$A$2:$CC$4982,26,FALSE)=0,"Not Selected",VLOOKUP(Table1[[#This Row],[SyStudentId]],SSR!$A$2:$CC$4982,26,FALSE))</f>
        <v>Male</v>
      </c>
      <c r="V6" s="113" t="str">
        <f>VLOOKUP(Table1[[#This Row],[SyStudentId]],SSR!$A$2:$CC$4982,27,FALSE)</f>
        <v xml:space="preserve">HS2020  </v>
      </c>
      <c r="W6" s="113" t="str">
        <f>VLOOKUP(LEFT(Table1[[#This Row],[LastName]],1),Alpha!$A$1:$B$26,2,FALSE)</f>
        <v>Maureen Ranks</v>
      </c>
      <c r="X6" s="149" t="str">
        <f>VLOOKUP(Table1[[#This Row],[FAA]],Alpha!$B$1:$D$26,2,FALSE)</f>
        <v>mranks@neumont.edu</v>
      </c>
      <c r="Y6" s="113">
        <f>VLOOKUP(Table1[[#This Row],[FAA]],Alpha!$B$1:$D$26,3,FALSE)</f>
        <v>8883022894</v>
      </c>
      <c r="Z6" s="113" t="str">
        <f>VLOOKUP(Table1[[#This Row],[SyStudentId]],SSR!$A$2:$CC$4982,30,FALSE)</f>
        <v>16-Accepted</v>
      </c>
      <c r="AA6" s="113" t="str">
        <f>IF(VLOOKUP(Table1[[#This Row],[SyStudentId]],SSR!$A$2:$CC$4982,36,FALSE)="Bachelor of Science","BS Computer Science","Check Program")</f>
        <v>BS Computer Science</v>
      </c>
      <c r="AB6" s="113" t="str">
        <f>VLOOKUP(Table1[[#This Row],[SyStudentId]],SSR!$A$2:$CC$4982,37,FALSE)</f>
        <v xml:space="preserve">18      </v>
      </c>
      <c r="AC6" s="113">
        <f>VLOOKUP(Table1[[#This Row],[SyStudentId]],SSR!$A$2:$CC$4982,42,FALSE)</f>
        <v>0</v>
      </c>
      <c r="AD6" s="113" t="str">
        <f>VLOOKUP(Table1[[#This Row],[SyStudentId]],SSR!$A$2:$CC$4982,46,FALSE)</f>
        <v>91</v>
      </c>
      <c r="AE6" s="113" t="str">
        <f>VLOOKUP(Table1[[#This Row],[SyStudentId]],SSR!$A$2:$CC$4982,65,FALSE)</f>
        <v>VIII</v>
      </c>
      <c r="AF6"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6" s="113" t="str">
        <f>VLOOKUP(Table1[[#This Row],[SyStudentId]],SSR!$A$2:$CC$4982,66,FALSE)</f>
        <v>July-October</v>
      </c>
      <c r="AH6" s="113" t="str">
        <f>IFERROR(VLOOKUP(Table1[[#This Row],[SyStudentId]],ISIR!$A$2:$X$999,7,FALSE),"")</f>
        <v/>
      </c>
      <c r="AI6" s="121" t="str">
        <f>IF(Table1[[#This Row],[EFCRaw]]="","",IF(Table1[[#This Row],[EFCRaw]]="No EFC","No EFC",_xlfn.NUMBERVALUE(Table1[[#This Row],[EFCRaw]])))</f>
        <v/>
      </c>
      <c r="AJ6" s="119" t="str">
        <f>IFERROR(VLOOKUP(Table1[[#This Row],[SyStudentId]],ISIR!$A$2:$X$4999,19,FALSE),"")</f>
        <v/>
      </c>
      <c r="AK6" s="113" t="str">
        <f>IFERROR(VLOOKUP(Table1[[#This Row],[SyStudentId]],ISIR!$A$2:$X$4999,8,FALSE),"")</f>
        <v/>
      </c>
      <c r="AL6" s="132" t="str">
        <f>IF(Table1[[#This Row],[VerReq]]="N","n/a","")</f>
        <v/>
      </c>
      <c r="AM6" s="122"/>
      <c r="AN6" s="122"/>
      <c r="AO6" s="122"/>
      <c r="AP6" s="122"/>
      <c r="AQ6" s="122"/>
      <c r="AR6" s="122"/>
      <c r="AS6" s="122"/>
      <c r="AT6" s="122"/>
      <c r="AU6" s="122"/>
      <c r="AV6" s="122"/>
      <c r="AW6" s="122"/>
      <c r="AX6" s="122"/>
      <c r="AY6" s="122"/>
      <c r="AZ6" s="122"/>
      <c r="BA6" s="122"/>
      <c r="BB6" s="122"/>
      <c r="BC6" s="133"/>
      <c r="BD6" s="140" t="str">
        <f>IF(Table1[[#This Row],[VerReq]]="N","x","")</f>
        <v/>
      </c>
      <c r="BE6" s="140" t="str">
        <f>IF(Table1[[#This Row],[VerReq]]="N","x","")</f>
        <v/>
      </c>
      <c r="BF6" s="140" t="str">
        <f>IF(Table1[[#This Row],[VerReq]]="N","x","")</f>
        <v/>
      </c>
      <c r="BG6" s="140" t="str">
        <f>IF(Table1[[#This Row],[VerReq]]="N","x","")</f>
        <v/>
      </c>
      <c r="BH6" s="140" t="str">
        <f>IF(Table1[[#This Row],[VerReq]]="N","x","")</f>
        <v/>
      </c>
      <c r="BI6" s="140" t="str">
        <f>IF(Table1[[#This Row],[VerReq]]="N","x","")</f>
        <v/>
      </c>
      <c r="BJ6" s="134">
        <f>1-((COUNTBLANK(Table1[[#This Row],[ALESent]:[TaxTran]]))/(COUNT(Table1[[#This Row],[ALESent]:[TaxTran]])+COUNTBLANK(Table1[[#This Row],[ALESent]:[TaxTran]])))</f>
        <v>0</v>
      </c>
      <c r="BK6" s="136">
        <f>IF(VLOOKUP(Table1[[#This Row],[SyStudentId]],SSR!$A$2:$CC$4982,22,FALSE)=44109,44109,"Check Program")</f>
        <v>44109</v>
      </c>
      <c r="BL6" s="124">
        <f>IF(Table1[[#This Row],[AYStart]]=44109,44356,"Check Program")</f>
        <v>44356</v>
      </c>
      <c r="BM6" s="219">
        <v>8505</v>
      </c>
      <c r="BN6" s="219">
        <v>8505</v>
      </c>
      <c r="BO6" s="219">
        <v>8505</v>
      </c>
      <c r="BP6" s="220">
        <f t="shared" si="0"/>
        <v>25515</v>
      </c>
      <c r="BQ6" s="221">
        <v>3300</v>
      </c>
      <c r="BR6" s="219">
        <v>400</v>
      </c>
      <c r="BS6" s="219">
        <v>400</v>
      </c>
      <c r="BT6" s="220">
        <f t="shared" si="1"/>
        <v>4100</v>
      </c>
      <c r="BU6" s="219">
        <v>2100</v>
      </c>
      <c r="BV6" s="219">
        <v>2100</v>
      </c>
      <c r="BW6" s="219">
        <v>2100</v>
      </c>
      <c r="BX6" s="220">
        <f t="shared" si="2"/>
        <v>6300</v>
      </c>
      <c r="BY6" s="275">
        <v>1200</v>
      </c>
      <c r="BZ6" s="275">
        <v>1200</v>
      </c>
      <c r="CA6" s="275">
        <v>1200</v>
      </c>
      <c r="CB6" s="220">
        <f>SUM(Table1[[#This Row],[LEQ1]:[LEQ3]])</f>
        <v>3600</v>
      </c>
      <c r="CC6" s="275">
        <v>0</v>
      </c>
      <c r="CD6" s="275">
        <v>0</v>
      </c>
      <c r="CE6" s="275">
        <v>0</v>
      </c>
      <c r="CF6" s="220">
        <f>SUM(Table1[[#This Row],[OthCostQ1]:[OthCostQ3]])</f>
        <v>0</v>
      </c>
      <c r="CG6" s="220">
        <f>(Table1[[#This Row],[T&amp;FTot]]+Table1[[#This Row],[B&amp;STot]]+Table1[[#This Row],[HousTot]]+Table1[[#This Row],[LETot]]+Table1[[#This Row],[OthCostTot]])</f>
        <v>39515</v>
      </c>
      <c r="CH6" s="250"/>
      <c r="CI6" s="250"/>
      <c r="CJ6" s="250"/>
      <c r="CK6" s="251">
        <f>SUM(Table1[[#This Row],[SEOGQ1]:[SEOGQ3]])</f>
        <v>0</v>
      </c>
      <c r="CL6" s="250">
        <f>IFERROR(ROUNDUP(Table1[[#This Row],[PellTot]]/3,0),0)</f>
        <v>0</v>
      </c>
      <c r="CM6" s="250">
        <f>IFERROR(ROUND(Table1[[#This Row],[PellTot]]/3,0),0)</f>
        <v>0</v>
      </c>
      <c r="CN6" s="250">
        <f>IFERROR(ROUNDDOWN(Table1[[#This Row],[PellTot]]/3,0),0)</f>
        <v>0</v>
      </c>
      <c r="CO6" s="251">
        <f>IFERROR(LOOKUP(Table1[EFC],Pell_Table[#Data],Pell_Table[Pell Amt]),0)</f>
        <v>0</v>
      </c>
      <c r="CP6" s="250">
        <f>Table1[[#This Row],[AccessTot]]/3</f>
        <v>0</v>
      </c>
      <c r="CQ6" s="250">
        <f>Table1[[#This Row],[AccessTot]]/3</f>
        <v>0</v>
      </c>
      <c r="CR6" s="250">
        <f>Table1[[#This Row],[AccessTot]]/3</f>
        <v>0</v>
      </c>
      <c r="CS6" s="251">
        <f>IF(Table1[[#This Row],[PellTot]]&gt;0,1500,0)</f>
        <v>0</v>
      </c>
      <c r="CT6" s="250">
        <f>Table1[[#This Row],[AchiTot]]/3</f>
        <v>0</v>
      </c>
      <c r="CU6" s="250">
        <f>Table1[[#This Row],[AchiTot]]/3</f>
        <v>0</v>
      </c>
      <c r="CV6" s="250">
        <f>Table1[[#This Row],[AchiTot]]/3</f>
        <v>0</v>
      </c>
      <c r="CW6" s="252">
        <f>IF(Table1[[#This Row],[Rank]]="","",IF(Table1[[#This Row],[Rank]]=1,5100,IF(Table1[[#This Row],[Rank]]=2,4500,IF(Table1[[#This Row],[Rank]]=3,3900,IF(Table1[[#This Row],[Rank]]=4,3750,IF(Table1[[#This Row],[Rank]]=5,3000,IF(Table1[[#This Row],[Rank]]=6,2250,0)))))))</f>
        <v>0</v>
      </c>
      <c r="CX6" s="250">
        <f>Table1[[#This Row],[UTTot]]/3</f>
        <v>0</v>
      </c>
      <c r="CY6" s="250">
        <f>Table1[[#This Row],[UTTot]]/3</f>
        <v>0</v>
      </c>
      <c r="CZ6" s="250">
        <f>Table1[[#This Row],[UTTot]]/3</f>
        <v>0</v>
      </c>
      <c r="DA6" s="251">
        <f>IF(Table1[[#This Row],[State]]="UT",9000,0)</f>
        <v>0</v>
      </c>
      <c r="DB6" s="250">
        <f>Table1[[#This Row],[WITTot]]/3</f>
        <v>0</v>
      </c>
      <c r="DC6" s="250">
        <f>Table1[[#This Row],[WITTot]]/3</f>
        <v>0</v>
      </c>
      <c r="DD6" s="250">
        <f>Table1[[#This Row],[WITTot]]/3</f>
        <v>0</v>
      </c>
      <c r="DE6" s="251">
        <f>IF(Table1[[#This Row],[Gender]]="Female",3000,0)</f>
        <v>0</v>
      </c>
      <c r="DF6" s="250">
        <f>Table1[[#This Row],[SerTot]]/3</f>
        <v>0</v>
      </c>
      <c r="DG6" s="250">
        <f>Table1[[#This Row],[SerTot]]/3</f>
        <v>0</v>
      </c>
      <c r="DH6" s="250">
        <f>Table1[[#This Row],[SerTot]]/3</f>
        <v>0</v>
      </c>
      <c r="DI6" s="252"/>
      <c r="DJ6" s="250"/>
      <c r="DK6" s="250"/>
      <c r="DL6" s="250"/>
      <c r="DM6" s="252"/>
      <c r="DN6" s="250">
        <f>Table1[[#This Row],[MatTot]]/3</f>
        <v>0</v>
      </c>
      <c r="DO6" s="250">
        <f>Table1[[#This Row],[MatTot]]/3</f>
        <v>0</v>
      </c>
      <c r="DP6" s="250">
        <f>Table1[[#This Row],[MatTot]]/3</f>
        <v>0</v>
      </c>
      <c r="DQ6" s="252">
        <v>0</v>
      </c>
      <c r="DR6" s="250">
        <f>Table1[[#This Row],[OutTot]]/3</f>
        <v>0</v>
      </c>
      <c r="DS6" s="250">
        <f>Table1[[#This Row],[OutTot]]/3</f>
        <v>0</v>
      </c>
      <c r="DT6" s="250">
        <f>Table1[[#This Row],[OutTot]]/3</f>
        <v>0</v>
      </c>
      <c r="DU6" s="252">
        <v>0</v>
      </c>
      <c r="DV6" s="250">
        <v>0</v>
      </c>
      <c r="DW6" s="250">
        <v>0</v>
      </c>
      <c r="DX6" s="250">
        <v>0</v>
      </c>
      <c r="DY6" s="252">
        <f>SUM(Table1[[#This Row],[VAQ1]:[VAQ3]])</f>
        <v>0</v>
      </c>
      <c r="DZ6" s="250">
        <v>0</v>
      </c>
      <c r="EA6" s="250">
        <v>0</v>
      </c>
      <c r="EB6" s="250">
        <v>0</v>
      </c>
      <c r="EC6" s="252">
        <f>SUM(Table1[[#This Row],[OthGrantQ1]:[OthGrantQ3]])</f>
        <v>0</v>
      </c>
      <c r="ED6" s="263">
        <f>Table1[[#This Row],[SEOGTot]]+Table1[[#This Row],[PellTot]]+Table1[[#This Row],[AccessTot]]+Table1[[#This Row],[AchiTot]]+Table1[[#This Row],[UTTot]]+Table1[[#This Row],[WITTot]]+Table1[[#This Row],[SerTot]]+Table1[[#This Row],[TranTot]]+Table1[[#This Row],[MatTot]]+Table1[[#This Row],[OutTot]]+Table1[[#This Row],[VATot]]+Table1[[#This Row],[OthGrantTot]]</f>
        <v>0</v>
      </c>
      <c r="EE6" s="249"/>
      <c r="EF6" s="237"/>
      <c r="EG6" s="237"/>
      <c r="EH6" s="232">
        <f>SUM(Table1[[#This Row],[CashQ1]]:Table1[[#This Row],[CashQ3]])</f>
        <v>0</v>
      </c>
      <c r="EI6" s="271">
        <f>ROUND((Table1[[#This Row],[SubTot]]/3)/1.01059,0)</f>
        <v>1154</v>
      </c>
      <c r="EJ6" s="234">
        <f>ROUND((Table1[[#This Row],[SubTot]]/3)/1.01059,0)</f>
        <v>1154</v>
      </c>
      <c r="EK6" s="234">
        <f>ROUNDUP((Table1[[#This Row],[SubTot]]/3)/1.01059,0)</f>
        <v>1155</v>
      </c>
      <c r="EL6" s="235">
        <v>3500</v>
      </c>
      <c r="EM6" s="240">
        <f>Table1[[#This Row],[SubTot]]*0.01059</f>
        <v>37.065000000000005</v>
      </c>
      <c r="EN6" s="234">
        <f>ROUND((Table1[[#This Row],[UnsubTot]]/3)/1.01062,0)</f>
        <v>660</v>
      </c>
      <c r="EO6" s="234">
        <f>ROUND((Table1[[#This Row],[UnsubTot]]/3)/1.01062,0)</f>
        <v>660</v>
      </c>
      <c r="EP6" s="234">
        <f>ROUNDDOWN((Table1[[#This Row],[UnsubTot]]/3)/1.01062,0)</f>
        <v>659</v>
      </c>
      <c r="EQ6" s="235">
        <f>IF(Table1[D/I]="I",6000,2000)</f>
        <v>2000</v>
      </c>
      <c r="ER6" s="240">
        <f>Table1[[#This Row],[UnsubTot]]*0.01059</f>
        <v>21.18</v>
      </c>
      <c r="ES6" s="234">
        <f>ROUND((Table1[[#This Row],[PLUSTot]]/3)/1.04236,0)</f>
        <v>0</v>
      </c>
      <c r="ET6" s="234">
        <f>ROUND((Table1[[#This Row],[PLUSTot]]/3)/1.04236,0)</f>
        <v>0</v>
      </c>
      <c r="EU6" s="234">
        <f>ROUND((Table1[[#This Row],[PLUSTot]]/3)/1.04236,0)</f>
        <v>0</v>
      </c>
      <c r="EV6" s="235">
        <v>0</v>
      </c>
      <c r="EW6" s="239">
        <f>Table1[[#This Row],[PLUSTot]]*0.04248</f>
        <v>0</v>
      </c>
      <c r="EX6" s="237"/>
      <c r="EY6" s="237"/>
      <c r="EZ6" s="237"/>
      <c r="FA6" s="232">
        <f>SUM(Table1[[#This Row],[PrivQ1]:[PrivQ3]])</f>
        <v>0</v>
      </c>
      <c r="FB6" s="237"/>
      <c r="FC6" s="237"/>
      <c r="FD6" s="237"/>
      <c r="FE6" s="232">
        <f>SUM(Table1[[#This Row],[TOQ1]:[TOQ3]])</f>
        <v>0</v>
      </c>
      <c r="FF6" s="237"/>
      <c r="FG6" s="237"/>
      <c r="FH6" s="237"/>
      <c r="FI6" s="232">
        <f>SUM(Table1[[#This Row],[OFundQ1]:[OFundQ3]])</f>
        <v>0</v>
      </c>
      <c r="FJ6" s="238">
        <f>(Table1[[#This Row],[SubTot]]-Table1[[#This Row],[SubFee]])+(Table1[[#This Row],[UnsubTot]]-Table1[[#This Row],[UnsubFee]])+(Table1[[#This Row],[PLUSTot]]-Table1[[#This Row],[PLUSFee]])+Table1[[#This Row],[PrivTot]]+Table1[[#This Row],[TOTot]]+Table1[[#This Row],[OFundTot]]</f>
        <v>5441.7550000000001</v>
      </c>
      <c r="FK6" s="125">
        <f>Table1[[#This Row],[CostTot]]-Table1[[#This Row],[GiftTot]]</f>
        <v>39515</v>
      </c>
      <c r="FL6" s="139">
        <f>Table1[[#This Row],[NetNeed]]/(1-0.04248)</f>
        <v>35584.891177207784</v>
      </c>
      <c r="FM6" s="131">
        <f>Table1[[#This Row],[NetCost]]-Table1[[#This Row],[CashTot]]-(Table1[[#This Row],[SubTot]]-Table1[[#This Row],[SubFee]])-(Table1[[#This Row],[UnsubTot]]-Table1[[#This Row],[UnsubFee]])-(Table1[[#This Row],[PLUSTot]]-Table1[[#This Row],[PLUSFee]])-Table1[[#This Row],[PrivTot]]-Table1[[#This Row],[TOTot]]-Table1[[#This Row],[OFundTot]]</f>
        <v>34073.245000000003</v>
      </c>
      <c r="FN6" s="161"/>
      <c r="FO6" s="113"/>
      <c r="FP6" s="113"/>
    </row>
    <row r="7" spans="1:172" s="160" customFormat="1" ht="15" x14ac:dyDescent="0.25">
      <c r="A7" s="267">
        <v>198390</v>
      </c>
      <c r="B7" s="113" t="str">
        <f>VLOOKUP(Table1[[#This Row],[SyStudentId]],SSR!$A$2:$CC$4982,4,FALSE)</f>
        <v>Marsh</v>
      </c>
      <c r="C7" s="113" t="str">
        <f>VLOOKUP(Table1[[#This Row],[SyStudentId]],SSR!$A$2:$CC$4982,5,FALSE)</f>
        <v>Dillion</v>
      </c>
      <c r="D7" s="113" t="str">
        <f>VLOOKUP(Table1[[#This Row],[SyStudentId]],SSR!$A$2:$CC$4982,6,FALSE)</f>
        <v>Marsh, Dillion</v>
      </c>
      <c r="E7" s="113" t="str">
        <f>CONCATENATE(Table1[[#This Row],[FirstName]]," ",Table1[[#This Row],[LastName]])</f>
        <v>Dillion Marsh</v>
      </c>
      <c r="F7" s="112">
        <v>1</v>
      </c>
      <c r="G7" s="114"/>
      <c r="H7" s="114"/>
      <c r="I7" s="114">
        <v>43775</v>
      </c>
      <c r="J7" s="115"/>
      <c r="K7" s="116"/>
      <c r="L7" s="112" t="str">
        <f>IFERROR(VLOOKUP(Table1[[#This Row],[SyStudentId]],ISIR!$A$2:$X$999,11,FALSE),"")</f>
        <v>D</v>
      </c>
      <c r="M7" s="113" t="str">
        <f>VLOOKUP(Table1[[#This Row],[SyStudentId]],SSR!$A$2:$CC$4982,7,FALSE)</f>
        <v>marshdillion23@gmail.com</v>
      </c>
      <c r="N7" s="113" t="str">
        <f>VLOOKUP(Table1[[#This Row],[SyStudentId]],SSR!$A$2:$CC$4982,8,FALSE)</f>
        <v>P.O. Box 531</v>
      </c>
      <c r="O7" s="113" t="str">
        <f>VLOOKUP(Table1[[#This Row],[SyStudentId]],SSR!$A$2:$CC$4982,9,FALSE)</f>
        <v>Pleasant Hill</v>
      </c>
      <c r="P7" s="292" t="str">
        <f>VLOOKUP(Table1[[#This Row],[SyStudentId]],SSR!$A$2:$CC$4982,10,FALSE)</f>
        <v>TN</v>
      </c>
      <c r="Q7" s="117" t="str">
        <f>VLOOKUP(Table1[[#This Row],[SyStudentId]],SSR!$A$2:$CC$4982,11,FALSE)</f>
        <v xml:space="preserve">38578     </v>
      </c>
      <c r="R7" s="118">
        <f>VLOOKUP(Table1[[#This Row],[SyStudentId]],SSR!$A$2:$CC$4982,15,FALSE)</f>
        <v>3.8868</v>
      </c>
      <c r="S7" s="119">
        <f>VLOOKUP(Table1[[#This Row],[SyStudentId]],SSR!$A$2:$CC$4982,22,FALSE)</f>
        <v>44109</v>
      </c>
      <c r="T7" s="113" t="str">
        <f>VLOOKUP(Table1[[#This Row],[SyStudentId]],SSR!$A$2:$CC$4982,24,FALSE)</f>
        <v>JT</v>
      </c>
      <c r="U7" s="113" t="str">
        <f>IF(VLOOKUP(Table1[[#This Row],[SyStudentId]],SSR!$A$2:$CC$4982,26,FALSE)=0,"Not Selected",VLOOKUP(Table1[[#This Row],[SyStudentId]],SSR!$A$2:$CC$4982,26,FALSE))</f>
        <v>Male</v>
      </c>
      <c r="V7" s="113" t="str">
        <f>VLOOKUP(Table1[[#This Row],[SyStudentId]],SSR!$A$2:$CC$4982,27,FALSE)</f>
        <v xml:space="preserve">HS2020  </v>
      </c>
      <c r="W7" s="113" t="str">
        <f>VLOOKUP(LEFT(Table1[[#This Row],[LastName]],1),Alpha!$A$1:$B$26,2,FALSE)</f>
        <v>Maureen Ranks</v>
      </c>
      <c r="X7" s="149" t="str">
        <f>VLOOKUP(Table1[[#This Row],[FAA]],Alpha!$B$1:$D$26,2,FALSE)</f>
        <v>mranks@neumont.edu</v>
      </c>
      <c r="Y7" s="113">
        <f>VLOOKUP(Table1[[#This Row],[FAA]],Alpha!$B$1:$D$26,3,FALSE)</f>
        <v>8883022894</v>
      </c>
      <c r="Z7" s="113" t="str">
        <f>VLOOKUP(Table1[[#This Row],[SyStudentId]],SSR!$A$2:$CC$4982,30,FALSE)</f>
        <v>16-Accepted</v>
      </c>
      <c r="AA7" s="113" t="str">
        <f>IF(VLOOKUP(Table1[[#This Row],[SyStudentId]],SSR!$A$2:$CC$4982,36,FALSE)="Bachelor of Science","BS Computer Science","Check Program")</f>
        <v>BS Computer Science</v>
      </c>
      <c r="AB7" s="113" t="str">
        <f>VLOOKUP(Table1[[#This Row],[SyStudentId]],SSR!$A$2:$CC$4982,37,FALSE)</f>
        <v xml:space="preserve">31      </v>
      </c>
      <c r="AC7" s="113">
        <f>VLOOKUP(Table1[[#This Row],[SyStudentId]],SSR!$A$2:$CC$4982,42,FALSE)</f>
        <v>0</v>
      </c>
      <c r="AD7" s="113" t="str">
        <f>VLOOKUP(Table1[[#This Row],[SyStudentId]],SSR!$A$2:$CC$4982,46,FALSE)</f>
        <v>131</v>
      </c>
      <c r="AE7" s="113" t="str">
        <f>VLOOKUP(Table1[[#This Row],[SyStudentId]],SSR!$A$2:$CC$4982,65,FALSE)</f>
        <v>I</v>
      </c>
      <c r="AF7"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7" s="113" t="str">
        <f>VLOOKUP(Table1[[#This Row],[SyStudentId]],SSR!$A$2:$CC$4982,66,FALSE)</f>
        <v>July-October</v>
      </c>
      <c r="AH7" s="113" t="str">
        <f>IFERROR(VLOOKUP(Table1[[#This Row],[SyStudentId]],ISIR!$A$2:$X$999,7,FALSE),"")</f>
        <v>003007</v>
      </c>
      <c r="AI7" s="121">
        <f>IF(Table1[[#This Row],[EFCRaw]]="","",IF(Table1[[#This Row],[EFCRaw]]="No EFC","No EFC",_xlfn.NUMBERVALUE(Table1[[#This Row],[EFCRaw]])))</f>
        <v>3007</v>
      </c>
      <c r="AJ7" s="119">
        <f>IFERROR(VLOOKUP(Table1[[#This Row],[SyStudentId]],ISIR!$A$2:$X$4999,19,FALSE),"")</f>
        <v>43774</v>
      </c>
      <c r="AK7" s="113" t="str">
        <f>IFERROR(VLOOKUP(Table1[[#This Row],[SyStudentId]],ISIR!$A$2:$X$4999,8,FALSE),"")</f>
        <v>N</v>
      </c>
      <c r="AL7" s="132" t="str">
        <f>IF(Table1[[#This Row],[VerReq]]="N","n/a","")</f>
        <v>n/a</v>
      </c>
      <c r="AM7" s="122"/>
      <c r="AN7" s="122"/>
      <c r="AO7" s="122">
        <v>43753</v>
      </c>
      <c r="AP7" s="122"/>
      <c r="AQ7" s="122"/>
      <c r="AR7" s="122"/>
      <c r="AS7" s="122"/>
      <c r="AT7" s="122"/>
      <c r="AU7" s="122"/>
      <c r="AV7" s="122"/>
      <c r="AW7" s="122"/>
      <c r="AX7" s="122"/>
      <c r="AY7" s="122"/>
      <c r="AZ7" s="122"/>
      <c r="BA7" s="122"/>
      <c r="BB7" s="122"/>
      <c r="BC7" s="133"/>
      <c r="BD7" s="140" t="str">
        <f>IF(Table1[[#This Row],[VerReq]]="N","x","")</f>
        <v>x</v>
      </c>
      <c r="BE7" s="140" t="str">
        <f>IF(Table1[[#This Row],[VerReq]]="N","x","")</f>
        <v>x</v>
      </c>
      <c r="BF7" s="140" t="str">
        <f>IF(Table1[[#This Row],[VerReq]]="N","x","")</f>
        <v>x</v>
      </c>
      <c r="BG7" s="140" t="str">
        <f>IF(Table1[[#This Row],[VerReq]]="N","x","")</f>
        <v>x</v>
      </c>
      <c r="BH7" s="140" t="str">
        <f>IF(Table1[[#This Row],[VerReq]]="N","x","")</f>
        <v>x</v>
      </c>
      <c r="BI7" s="140" t="str">
        <f>IF(Table1[[#This Row],[VerReq]]="N","x","")</f>
        <v>x</v>
      </c>
      <c r="BJ7" s="134">
        <f>1-((COUNTBLANK(Table1[[#This Row],[ALESent]:[TaxTran]]))/(COUNT(Table1[[#This Row],[ALESent]:[TaxTran]])+COUNTBLANK(Table1[[#This Row],[ALESent]:[TaxTran]])))</f>
        <v>5.8823529411764719E-2</v>
      </c>
      <c r="BK7" s="136">
        <f>IF(VLOOKUP(Table1[[#This Row],[SyStudentId]],SSR!$A$2:$CC$4982,22,FALSE)=44109,44109,"Check Program")</f>
        <v>44109</v>
      </c>
      <c r="BL7" s="124">
        <f>IF(Table1[[#This Row],[AYStart]]=44109,44356,"Check Program")</f>
        <v>44356</v>
      </c>
      <c r="BM7" s="219">
        <v>8505</v>
      </c>
      <c r="BN7" s="219">
        <v>8505</v>
      </c>
      <c r="BO7" s="219">
        <v>8505</v>
      </c>
      <c r="BP7" s="220">
        <f t="shared" si="0"/>
        <v>25515</v>
      </c>
      <c r="BQ7" s="221">
        <v>3300</v>
      </c>
      <c r="BR7" s="219">
        <v>400</v>
      </c>
      <c r="BS7" s="219">
        <v>400</v>
      </c>
      <c r="BT7" s="220">
        <f t="shared" si="1"/>
        <v>4100</v>
      </c>
      <c r="BU7" s="219">
        <v>2100</v>
      </c>
      <c r="BV7" s="219">
        <v>2100</v>
      </c>
      <c r="BW7" s="219">
        <v>2100</v>
      </c>
      <c r="BX7" s="220">
        <f t="shared" si="2"/>
        <v>6300</v>
      </c>
      <c r="BY7" s="275">
        <v>1200</v>
      </c>
      <c r="BZ7" s="275">
        <v>1200</v>
      </c>
      <c r="CA7" s="275">
        <v>1200</v>
      </c>
      <c r="CB7" s="220">
        <f>SUM(Table1[[#This Row],[LEQ1]:[LEQ3]])</f>
        <v>3600</v>
      </c>
      <c r="CC7" s="275">
        <v>0</v>
      </c>
      <c r="CD7" s="275">
        <v>0</v>
      </c>
      <c r="CE7" s="275">
        <v>0</v>
      </c>
      <c r="CF7" s="220">
        <f>SUM(Table1[[#This Row],[OthCostQ1]:[OthCostQ3]])</f>
        <v>0</v>
      </c>
      <c r="CG7" s="220">
        <f>(Table1[[#This Row],[T&amp;FTot]]+Table1[[#This Row],[B&amp;STot]]+Table1[[#This Row],[HousTot]]+Table1[[#This Row],[LETot]]+Table1[[#This Row],[OthCostTot]])</f>
        <v>39515</v>
      </c>
      <c r="CH7" s="250"/>
      <c r="CI7" s="250"/>
      <c r="CJ7" s="250"/>
      <c r="CK7" s="251">
        <f>SUM(Table1[[#This Row],[SEOGQ1]:[SEOGQ3]])</f>
        <v>0</v>
      </c>
      <c r="CL7" s="250">
        <f>IFERROR(ROUNDUP(Table1[[#This Row],[PellTot]]/3,0),0)</f>
        <v>1049</v>
      </c>
      <c r="CM7" s="250">
        <f>IFERROR(ROUND(Table1[[#This Row],[PellTot]]/3,0),0)</f>
        <v>1048</v>
      </c>
      <c r="CN7" s="250">
        <f>IFERROR(ROUNDDOWN(Table1[[#This Row],[PellTot]]/3,0),0)</f>
        <v>1048</v>
      </c>
      <c r="CO7" s="251">
        <f>IFERROR(LOOKUP(Table1[EFC],Pell_Table[#Data],Pell_Table[Pell Amt]),0)</f>
        <v>3145</v>
      </c>
      <c r="CP7" s="250">
        <f>Table1[[#This Row],[AccessTot]]/3</f>
        <v>500</v>
      </c>
      <c r="CQ7" s="250">
        <f>Table1[[#This Row],[AccessTot]]/3</f>
        <v>500</v>
      </c>
      <c r="CR7" s="250">
        <f>Table1[[#This Row],[AccessTot]]/3</f>
        <v>500</v>
      </c>
      <c r="CS7" s="251">
        <f>IF(Table1[[#This Row],[PellTot]]&gt;0,1500,0)</f>
        <v>1500</v>
      </c>
      <c r="CT7" s="250">
        <f>Table1[[#This Row],[AchiTot]]/3</f>
        <v>1700</v>
      </c>
      <c r="CU7" s="250">
        <f>Table1[[#This Row],[AchiTot]]/3</f>
        <v>1700</v>
      </c>
      <c r="CV7" s="250">
        <f>Table1[[#This Row],[AchiTot]]/3</f>
        <v>1700</v>
      </c>
      <c r="CW7" s="252">
        <f>IF(Table1[[#This Row],[Rank]]="","",IF(Table1[[#This Row],[Rank]]=1,5100,IF(Table1[[#This Row],[Rank]]=2,4500,IF(Table1[[#This Row],[Rank]]=3,3900,IF(Table1[[#This Row],[Rank]]=4,3750,IF(Table1[[#This Row],[Rank]]=5,3000,IF(Table1[[#This Row],[Rank]]=6,2250,0)))))))</f>
        <v>5100</v>
      </c>
      <c r="CX7" s="250">
        <f>Table1[[#This Row],[UTTot]]/3</f>
        <v>0</v>
      </c>
      <c r="CY7" s="250">
        <f>Table1[[#This Row],[UTTot]]/3</f>
        <v>0</v>
      </c>
      <c r="CZ7" s="250">
        <f>Table1[[#This Row],[UTTot]]/3</f>
        <v>0</v>
      </c>
      <c r="DA7" s="251">
        <f>IF(Table1[[#This Row],[State]]="UT",9000,0)</f>
        <v>0</v>
      </c>
      <c r="DB7" s="250">
        <f>Table1[[#This Row],[WITTot]]/3</f>
        <v>0</v>
      </c>
      <c r="DC7" s="250">
        <f>Table1[[#This Row],[WITTot]]/3</f>
        <v>0</v>
      </c>
      <c r="DD7" s="250">
        <f>Table1[[#This Row],[WITTot]]/3</f>
        <v>0</v>
      </c>
      <c r="DE7" s="251">
        <f>IF(Table1[[#This Row],[Gender]]="Female",3000,0)</f>
        <v>0</v>
      </c>
      <c r="DF7" s="250">
        <f>Table1[[#This Row],[SerTot]]/3</f>
        <v>0</v>
      </c>
      <c r="DG7" s="250">
        <f>Table1[[#This Row],[SerTot]]/3</f>
        <v>0</v>
      </c>
      <c r="DH7" s="250">
        <f>Table1[[#This Row],[SerTot]]/3</f>
        <v>0</v>
      </c>
      <c r="DI7" s="252"/>
      <c r="DJ7" s="250"/>
      <c r="DK7" s="250"/>
      <c r="DL7" s="250"/>
      <c r="DM7" s="252"/>
      <c r="DN7" s="250">
        <f>Table1[[#This Row],[MatTot]]/3</f>
        <v>0</v>
      </c>
      <c r="DO7" s="250">
        <f>Table1[[#This Row],[MatTot]]/3</f>
        <v>0</v>
      </c>
      <c r="DP7" s="250">
        <f>Table1[[#This Row],[MatTot]]/3</f>
        <v>0</v>
      </c>
      <c r="DQ7" s="252">
        <v>0</v>
      </c>
      <c r="DR7" s="250">
        <f>Table1[[#This Row],[OutTot]]/3</f>
        <v>0</v>
      </c>
      <c r="DS7" s="250">
        <f>Table1[[#This Row],[OutTot]]/3</f>
        <v>0</v>
      </c>
      <c r="DT7" s="250">
        <f>Table1[[#This Row],[OutTot]]/3</f>
        <v>0</v>
      </c>
      <c r="DU7" s="252">
        <v>0</v>
      </c>
      <c r="DV7" s="250">
        <v>0</v>
      </c>
      <c r="DW7" s="250">
        <v>0</v>
      </c>
      <c r="DX7" s="250">
        <v>0</v>
      </c>
      <c r="DY7" s="252">
        <f>SUM(Table1[[#This Row],[VAQ1]:[VAQ3]])</f>
        <v>0</v>
      </c>
      <c r="DZ7" s="250">
        <v>0</v>
      </c>
      <c r="EA7" s="250">
        <v>0</v>
      </c>
      <c r="EB7" s="250">
        <v>0</v>
      </c>
      <c r="EC7" s="252">
        <f>SUM(Table1[[#This Row],[OthGrantQ1]:[OthGrantQ3]])</f>
        <v>0</v>
      </c>
      <c r="ED7" s="263">
        <f>Table1[[#This Row],[SEOGTot]]+Table1[[#This Row],[PellTot]]+Table1[[#This Row],[AccessTot]]+Table1[[#This Row],[AchiTot]]+Table1[[#This Row],[UTTot]]+Table1[[#This Row],[WITTot]]+Table1[[#This Row],[SerTot]]+Table1[[#This Row],[TranTot]]+Table1[[#This Row],[MatTot]]+Table1[[#This Row],[OutTot]]+Table1[[#This Row],[VATot]]+Table1[[#This Row],[OthGrantTot]]</f>
        <v>9745</v>
      </c>
      <c r="EE7" s="249"/>
      <c r="EF7" s="237"/>
      <c r="EG7" s="237"/>
      <c r="EH7" s="232">
        <f>SUM(Table1[[#This Row],[CashQ1]]:Table1[[#This Row],[CashQ3]])</f>
        <v>0</v>
      </c>
      <c r="EI7" s="271">
        <f>ROUND((Table1[[#This Row],[SubTot]]/3)/1.01059,0)</f>
        <v>1154</v>
      </c>
      <c r="EJ7" s="234">
        <f>ROUND((Table1[[#This Row],[SubTot]]/3)/1.01059,0)</f>
        <v>1154</v>
      </c>
      <c r="EK7" s="234">
        <f>ROUNDUP((Table1[[#This Row],[SubTot]]/3)/1.01059,0)</f>
        <v>1155</v>
      </c>
      <c r="EL7" s="235">
        <v>3500</v>
      </c>
      <c r="EM7" s="240">
        <f>Table1[[#This Row],[SubTot]]*0.01059</f>
        <v>37.065000000000005</v>
      </c>
      <c r="EN7" s="234">
        <f>ROUND((Table1[[#This Row],[UnsubTot]]/3)/1.01062,0)</f>
        <v>660</v>
      </c>
      <c r="EO7" s="234">
        <f>ROUND((Table1[[#This Row],[UnsubTot]]/3)/1.01062,0)</f>
        <v>660</v>
      </c>
      <c r="EP7" s="234">
        <f>ROUNDDOWN((Table1[[#This Row],[UnsubTot]]/3)/1.01062,0)</f>
        <v>659</v>
      </c>
      <c r="EQ7" s="235">
        <f>IF(Table1[D/I]="I",6000,2000)</f>
        <v>2000</v>
      </c>
      <c r="ER7" s="240">
        <f>Table1[[#This Row],[UnsubTot]]*0.01059</f>
        <v>21.18</v>
      </c>
      <c r="ES7" s="234">
        <f>ROUND((Table1[[#This Row],[PLUSTot]]/3)/1.04236,0)</f>
        <v>0</v>
      </c>
      <c r="ET7" s="234">
        <f>ROUND((Table1[[#This Row],[PLUSTot]]/3)/1.04236,0)</f>
        <v>0</v>
      </c>
      <c r="EU7" s="234">
        <f>ROUND((Table1[[#This Row],[PLUSTot]]/3)/1.04236,0)</f>
        <v>0</v>
      </c>
      <c r="EV7" s="235">
        <v>0</v>
      </c>
      <c r="EW7" s="239">
        <f>Table1[[#This Row],[PLUSTot]]*0.04248</f>
        <v>0</v>
      </c>
      <c r="EX7" s="237"/>
      <c r="EY7" s="237"/>
      <c r="EZ7" s="237"/>
      <c r="FA7" s="232">
        <f>SUM(Table1[[#This Row],[PrivQ1]:[PrivQ3]])</f>
        <v>0</v>
      </c>
      <c r="FB7" s="237"/>
      <c r="FC7" s="237"/>
      <c r="FD7" s="237"/>
      <c r="FE7" s="232">
        <f>SUM(Table1[[#This Row],[TOQ1]:[TOQ3]])</f>
        <v>0</v>
      </c>
      <c r="FF7" s="237"/>
      <c r="FG7" s="237"/>
      <c r="FH7" s="237"/>
      <c r="FI7" s="232">
        <f>SUM(Table1[[#This Row],[OFundQ1]:[OFundQ3]])</f>
        <v>0</v>
      </c>
      <c r="FJ7" s="238">
        <f>(Table1[[#This Row],[SubTot]]-Table1[[#This Row],[SubFee]])+(Table1[[#This Row],[UnsubTot]]-Table1[[#This Row],[UnsubFee]])+(Table1[[#This Row],[PLUSTot]]-Table1[[#This Row],[PLUSFee]])+Table1[[#This Row],[PrivTot]]+Table1[[#This Row],[TOTot]]+Table1[[#This Row],[OFundTot]]</f>
        <v>5441.7550000000001</v>
      </c>
      <c r="FK7" s="125">
        <f>Table1[[#This Row],[CostTot]]-Table1[[#This Row],[GiftTot]]</f>
        <v>29770</v>
      </c>
      <c r="FL7" s="139">
        <f>Table1[[#This Row],[NetNeed]]/(1-0.04248)</f>
        <v>25407.558066672234</v>
      </c>
      <c r="FM7" s="131">
        <f>Table1[[#This Row],[NetCost]]-Table1[[#This Row],[CashTot]]-(Table1[[#This Row],[SubTot]]-Table1[[#This Row],[SubFee]])-(Table1[[#This Row],[UnsubTot]]-Table1[[#This Row],[UnsubFee]])-(Table1[[#This Row],[PLUSTot]]-Table1[[#This Row],[PLUSFee]])-Table1[[#This Row],[PrivTot]]-Table1[[#This Row],[TOTot]]-Table1[[#This Row],[OFundTot]]</f>
        <v>24328.244999999999</v>
      </c>
      <c r="FN7" s="161"/>
      <c r="FO7" s="113"/>
      <c r="FP7" s="113"/>
    </row>
    <row r="8" spans="1:172" s="160" customFormat="1" ht="15" x14ac:dyDescent="0.25">
      <c r="A8" s="267">
        <v>195399</v>
      </c>
      <c r="B8" s="113" t="str">
        <f>VLOOKUP(Table1[[#This Row],[SyStudentId]],SSR!$A$2:$CC$4982,4,FALSE)</f>
        <v>Marshall</v>
      </c>
      <c r="C8" s="113" t="str">
        <f>VLOOKUP(Table1[[#This Row],[SyStudentId]],SSR!$A$2:$CC$4982,5,FALSE)</f>
        <v>Asia</v>
      </c>
      <c r="D8" s="113" t="str">
        <f>VLOOKUP(Table1[[#This Row],[SyStudentId]],SSR!$A$2:$CC$4982,6,FALSE)</f>
        <v>Marshall, Asia</v>
      </c>
      <c r="E8" s="113" t="str">
        <f>CONCATENATE(Table1[[#This Row],[FirstName]]," ",Table1[[#This Row],[LastName]])</f>
        <v>Asia Marshall</v>
      </c>
      <c r="F8" s="112">
        <v>1</v>
      </c>
      <c r="G8" s="114"/>
      <c r="H8" s="114"/>
      <c r="I8" s="114">
        <v>43794</v>
      </c>
      <c r="J8" s="115"/>
      <c r="K8" s="116"/>
      <c r="L8" s="112" t="str">
        <f>IFERROR(VLOOKUP(Table1[[#This Row],[SyStudentId]],ISIR!$A$2:$X$999,11,FALSE),"")</f>
        <v>D</v>
      </c>
      <c r="M8" s="113" t="str">
        <f>VLOOKUP(Table1[[#This Row],[SyStudentId]],SSR!$A$2:$CC$4982,7,FALSE)</f>
        <v>asia.marshall2002@gmail.com</v>
      </c>
      <c r="N8" s="113" t="str">
        <f>VLOOKUP(Table1[[#This Row],[SyStudentId]],SSR!$A$2:$CC$4982,8,FALSE)</f>
        <v>6197 bear cove</v>
      </c>
      <c r="O8" s="113" t="str">
        <f>VLOOKUP(Table1[[#This Row],[SyStudentId]],SSR!$A$2:$CC$4982,9,FALSE)</f>
        <v>Olive branch</v>
      </c>
      <c r="P8" s="292" t="str">
        <f>VLOOKUP(Table1[[#This Row],[SyStudentId]],SSR!$A$2:$CC$4982,10,FALSE)</f>
        <v>MS</v>
      </c>
      <c r="Q8" s="117" t="str">
        <f>VLOOKUP(Table1[[#This Row],[SyStudentId]],SSR!$A$2:$CC$4982,11,FALSE)</f>
        <v xml:space="preserve">38654     </v>
      </c>
      <c r="R8" s="118">
        <f>VLOOKUP(Table1[[#This Row],[SyStudentId]],SSR!$A$2:$CC$4982,15,FALSE)</f>
        <v>3.4897999999999998</v>
      </c>
      <c r="S8" s="119">
        <f>VLOOKUP(Table1[[#This Row],[SyStudentId]],SSR!$A$2:$CC$4982,22,FALSE)</f>
        <v>44109</v>
      </c>
      <c r="T8" s="312" t="str">
        <f>VLOOKUP(Table1[[#This Row],[SyStudentId]],SSR!$A$2:$CC$4982,24,FALSE)</f>
        <v>JT</v>
      </c>
      <c r="U8" s="113" t="str">
        <f>IF(VLOOKUP(Table1[[#This Row],[SyStudentId]],SSR!$A$2:$CC$4982,26,FALSE)=0,"Not Selected",VLOOKUP(Table1[[#This Row],[SyStudentId]],SSR!$A$2:$CC$4982,26,FALSE))</f>
        <v>Female</v>
      </c>
      <c r="V8" s="113" t="str">
        <f>VLOOKUP(Table1[[#This Row],[SyStudentId]],SSR!$A$2:$CC$4982,27,FALSE)</f>
        <v xml:space="preserve">HS2020  </v>
      </c>
      <c r="W8" s="113" t="str">
        <f>VLOOKUP(LEFT(Table1[[#This Row],[LastName]],1),Alpha!$A$1:$B$26,2,FALSE)</f>
        <v>Maureen Ranks</v>
      </c>
      <c r="X8" s="149" t="str">
        <f>VLOOKUP(Table1[[#This Row],[FAA]],Alpha!$B$1:$D$26,2,FALSE)</f>
        <v>mranks@neumont.edu</v>
      </c>
      <c r="Y8" s="113">
        <f>VLOOKUP(Table1[[#This Row],[FAA]],Alpha!$B$1:$D$26,3,FALSE)</f>
        <v>8883022894</v>
      </c>
      <c r="Z8" s="113" t="str">
        <f>VLOOKUP(Table1[[#This Row],[SyStudentId]],SSR!$A$2:$CC$4982,30,FALSE)</f>
        <v>16-Accepted</v>
      </c>
      <c r="AA8" s="113" t="str">
        <f>IF(VLOOKUP(Table1[[#This Row],[SyStudentId]],SSR!$A$2:$CC$4982,36,FALSE)="Bachelor of Science","BS Computer Science","Check Program")</f>
        <v>BS Computer Science</v>
      </c>
      <c r="AB8" s="113" t="str">
        <f>VLOOKUP(Table1[[#This Row],[SyStudentId]],SSR!$A$2:$CC$4982,37,FALSE)</f>
        <v xml:space="preserve">19      </v>
      </c>
      <c r="AC8" s="113">
        <f>VLOOKUP(Table1[[#This Row],[SyStudentId]],SSR!$A$2:$CC$4982,42,FALSE)</f>
        <v>0</v>
      </c>
      <c r="AD8" s="113" t="str">
        <f>VLOOKUP(Table1[[#This Row],[SyStudentId]],SSR!$A$2:$CC$4982,46,FALSE)</f>
        <v>102</v>
      </c>
      <c r="AE8" s="113" t="str">
        <f>VLOOKUP(Table1[[#This Row],[SyStudentId]],SSR!$A$2:$CC$4982,65,FALSE)</f>
        <v>VI</v>
      </c>
      <c r="AF8"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6</v>
      </c>
      <c r="AG8" s="113" t="str">
        <f>VLOOKUP(Table1[[#This Row],[SyStudentId]],SSR!$A$2:$CC$4982,66,FALSE)</f>
        <v>November</v>
      </c>
      <c r="AH8" s="113" t="str">
        <f>IFERROR(VLOOKUP(Table1[[#This Row],[SyStudentId]],ISIR!$A$2:$X$999,7,FALSE),"")</f>
        <v>000890</v>
      </c>
      <c r="AI8" s="121">
        <f>IF(Table1[[#This Row],[EFCRaw]]="","",IF(Table1[[#This Row],[EFCRaw]]="No EFC","No EFC",_xlfn.NUMBERVALUE(Table1[[#This Row],[EFCRaw]])))</f>
        <v>890</v>
      </c>
      <c r="AJ8" s="119">
        <f>IFERROR(VLOOKUP(Table1[[#This Row],[SyStudentId]],ISIR!$A$2:$X$4999,19,FALSE),"")</f>
        <v>43774</v>
      </c>
      <c r="AK8" s="113" t="str">
        <f>IFERROR(VLOOKUP(Table1[[#This Row],[SyStudentId]],ISIR!$A$2:$X$4999,8,FALSE),"")</f>
        <v>Y</v>
      </c>
      <c r="AL8" s="132" t="str">
        <f>IF(Table1[[#This Row],[VerReq]]="N","n/a","")</f>
        <v/>
      </c>
      <c r="AM8" s="122"/>
      <c r="AN8" s="122"/>
      <c r="AO8" s="122"/>
      <c r="AP8" s="122"/>
      <c r="AQ8" s="122"/>
      <c r="AR8" s="122"/>
      <c r="AS8" s="122"/>
      <c r="AT8" s="122"/>
      <c r="AU8" s="122"/>
      <c r="AV8" s="122"/>
      <c r="AW8" s="122"/>
      <c r="AX8" s="122"/>
      <c r="AY8" s="122"/>
      <c r="AZ8" s="122"/>
      <c r="BA8" s="122"/>
      <c r="BB8" s="122"/>
      <c r="BC8" s="133"/>
      <c r="BD8" s="140" t="str">
        <f>IF(Table1[[#This Row],[VerReq]]="N","x","")</f>
        <v/>
      </c>
      <c r="BE8" s="140" t="str">
        <f>IF(Table1[[#This Row],[VerReq]]="N","x","")</f>
        <v/>
      </c>
      <c r="BF8" s="140" t="str">
        <f>IF(Table1[[#This Row],[VerReq]]="N","x","")</f>
        <v/>
      </c>
      <c r="BG8" s="140" t="str">
        <f>IF(Table1[[#This Row],[VerReq]]="N","x","")</f>
        <v/>
      </c>
      <c r="BH8" s="140" t="str">
        <f>IF(Table1[[#This Row],[VerReq]]="N","x","")</f>
        <v/>
      </c>
      <c r="BI8" s="140" t="str">
        <f>IF(Table1[[#This Row],[VerReq]]="N","x","")</f>
        <v/>
      </c>
      <c r="BJ8" s="134">
        <f>1-((COUNTBLANK(Table1[[#This Row],[ALESent]:[TaxTran]]))/(COUNT(Table1[[#This Row],[ALESent]:[TaxTran]])+COUNTBLANK(Table1[[#This Row],[ALESent]:[TaxTran]])))</f>
        <v>0</v>
      </c>
      <c r="BK8" s="136">
        <f>IF(VLOOKUP(Table1[[#This Row],[SyStudentId]],SSR!$A$2:$CC$4982,22,FALSE)=44109,44109,"Check Program")</f>
        <v>44109</v>
      </c>
      <c r="BL8" s="124">
        <f>IF(Table1[[#This Row],[AYStart]]=44109,44356,"Check Program")</f>
        <v>44356</v>
      </c>
      <c r="BM8" s="219">
        <v>8505</v>
      </c>
      <c r="BN8" s="219">
        <v>8505</v>
      </c>
      <c r="BO8" s="219">
        <v>8505</v>
      </c>
      <c r="BP8" s="220">
        <f t="shared" si="0"/>
        <v>25515</v>
      </c>
      <c r="BQ8" s="221">
        <v>3300</v>
      </c>
      <c r="BR8" s="219">
        <v>400</v>
      </c>
      <c r="BS8" s="219">
        <v>400</v>
      </c>
      <c r="BT8" s="220">
        <f t="shared" si="1"/>
        <v>4100</v>
      </c>
      <c r="BU8" s="219">
        <v>2100</v>
      </c>
      <c r="BV8" s="219">
        <v>2100</v>
      </c>
      <c r="BW8" s="219">
        <v>2100</v>
      </c>
      <c r="BX8" s="220">
        <f t="shared" si="2"/>
        <v>6300</v>
      </c>
      <c r="BY8" s="275">
        <v>1200</v>
      </c>
      <c r="BZ8" s="275">
        <v>1200</v>
      </c>
      <c r="CA8" s="275">
        <v>1200</v>
      </c>
      <c r="CB8" s="220">
        <f>SUM(Table1[[#This Row],[LEQ1]:[LEQ3]])</f>
        <v>3600</v>
      </c>
      <c r="CC8" s="275"/>
      <c r="CD8" s="275"/>
      <c r="CE8" s="275"/>
      <c r="CF8" s="220">
        <f>SUM(Table1[[#This Row],[OthCostQ1]:[OthCostQ3]])</f>
        <v>0</v>
      </c>
      <c r="CG8" s="220">
        <f>(Table1[[#This Row],[T&amp;FTot]]+Table1[[#This Row],[B&amp;STot]]+Table1[[#This Row],[HousTot]]+Table1[[#This Row],[LETot]]+Table1[[#This Row],[OthCostTot]])</f>
        <v>39515</v>
      </c>
      <c r="CH8" s="250"/>
      <c r="CI8" s="250"/>
      <c r="CJ8" s="250"/>
      <c r="CK8" s="251">
        <f>SUM(Table1[[#This Row],[SEOGQ1]:[SEOGQ3]])</f>
        <v>0</v>
      </c>
      <c r="CL8" s="250">
        <f>IFERROR(ROUNDUP(Table1[[#This Row],[PellTot]]/3,0),0)</f>
        <v>1782</v>
      </c>
      <c r="CM8" s="250">
        <f>IFERROR(ROUND(Table1[[#This Row],[PellTot]]/3,0),0)</f>
        <v>1782</v>
      </c>
      <c r="CN8" s="250">
        <f>IFERROR(ROUNDDOWN(Table1[[#This Row],[PellTot]]/3,0),0)</f>
        <v>1781</v>
      </c>
      <c r="CO8" s="251">
        <f>IFERROR(LOOKUP(Table1[EFC],Pell_Table[#Data],Pell_Table[Pell Amt]),0)</f>
        <v>5345</v>
      </c>
      <c r="CP8" s="250">
        <f>Table1[[#This Row],[AccessTot]]/3</f>
        <v>500</v>
      </c>
      <c r="CQ8" s="250">
        <f>Table1[[#This Row],[AccessTot]]/3</f>
        <v>500</v>
      </c>
      <c r="CR8" s="250">
        <f>Table1[[#This Row],[AccessTot]]/3</f>
        <v>500</v>
      </c>
      <c r="CS8" s="251">
        <f>IF(Table1[[#This Row],[PellTot]]&gt;0,1500,0)</f>
        <v>1500</v>
      </c>
      <c r="CT8" s="250">
        <f>Table1[[#This Row],[AchiTot]]/3</f>
        <v>750</v>
      </c>
      <c r="CU8" s="250">
        <f>Table1[[#This Row],[AchiTot]]/3</f>
        <v>750</v>
      </c>
      <c r="CV8" s="250">
        <f>Table1[[#This Row],[AchiTot]]/3</f>
        <v>750</v>
      </c>
      <c r="CW8" s="252">
        <f>IF(Table1[[#This Row],[Rank]]="","",IF(Table1[[#This Row],[Rank]]=1,5100,IF(Table1[[#This Row],[Rank]]=2,4500,IF(Table1[[#This Row],[Rank]]=3,3900,IF(Table1[[#This Row],[Rank]]=4,3750,IF(Table1[[#This Row],[Rank]]=5,3000,IF(Table1[[#This Row],[Rank]]=6,2250,0)))))))</f>
        <v>2250</v>
      </c>
      <c r="CX8" s="250">
        <f>Table1[[#This Row],[UTTot]]/3</f>
        <v>0</v>
      </c>
      <c r="CY8" s="250">
        <f>Table1[[#This Row],[UTTot]]/3</f>
        <v>0</v>
      </c>
      <c r="CZ8" s="250">
        <f>Table1[[#This Row],[UTTot]]/3</f>
        <v>0</v>
      </c>
      <c r="DA8" s="251">
        <f>IF(Table1[[#This Row],[State]]="UT",9000,0)</f>
        <v>0</v>
      </c>
      <c r="DB8" s="250">
        <f>Table1[[#This Row],[WITTot]]/3</f>
        <v>1000</v>
      </c>
      <c r="DC8" s="250">
        <f>Table1[[#This Row],[WITTot]]/3</f>
        <v>1000</v>
      </c>
      <c r="DD8" s="250">
        <f>Table1[[#This Row],[WITTot]]/3</f>
        <v>1000</v>
      </c>
      <c r="DE8" s="251">
        <f>IF(Table1[[#This Row],[Gender]]="Female",3000,0)</f>
        <v>3000</v>
      </c>
      <c r="DF8" s="250">
        <f>Table1[[#This Row],[SerTot]]/3</f>
        <v>0</v>
      </c>
      <c r="DG8" s="250">
        <f>Table1[[#This Row],[SerTot]]/3</f>
        <v>0</v>
      </c>
      <c r="DH8" s="250">
        <f>Table1[[#This Row],[SerTot]]/3</f>
        <v>0</v>
      </c>
      <c r="DI8" s="252"/>
      <c r="DJ8" s="250"/>
      <c r="DK8" s="250"/>
      <c r="DL8" s="250"/>
      <c r="DM8" s="252"/>
      <c r="DN8" s="250">
        <f>Table1[[#This Row],[MatTot]]/3</f>
        <v>0</v>
      </c>
      <c r="DO8" s="250">
        <f>Table1[[#This Row],[MatTot]]/3</f>
        <v>0</v>
      </c>
      <c r="DP8" s="250">
        <f>Table1[[#This Row],[MatTot]]/3</f>
        <v>0</v>
      </c>
      <c r="DQ8" s="252"/>
      <c r="DR8" s="250">
        <f>Table1[[#This Row],[OutTot]]/3</f>
        <v>0</v>
      </c>
      <c r="DS8" s="250">
        <f>Table1[[#This Row],[OutTot]]/3</f>
        <v>0</v>
      </c>
      <c r="DT8" s="250">
        <f>Table1[[#This Row],[OutTot]]/3</f>
        <v>0</v>
      </c>
      <c r="DU8" s="252"/>
      <c r="DV8" s="250"/>
      <c r="DW8" s="250"/>
      <c r="DX8" s="250"/>
      <c r="DY8" s="252">
        <f>SUM(Table1[[#This Row],[VAQ1]:[VAQ3]])</f>
        <v>0</v>
      </c>
      <c r="DZ8" s="250"/>
      <c r="EA8" s="250"/>
      <c r="EB8" s="250"/>
      <c r="EC8" s="252">
        <f>SUM(Table1[[#This Row],[OthGrantQ1]:[OthGrantQ3]])</f>
        <v>0</v>
      </c>
      <c r="ED8" s="263">
        <f>Table1[[#This Row],[SEOGTot]]+Table1[[#This Row],[PellTot]]+Table1[[#This Row],[AccessTot]]+Table1[[#This Row],[AchiTot]]+Table1[[#This Row],[UTTot]]+Table1[[#This Row],[WITTot]]+Table1[[#This Row],[SerTot]]+Table1[[#This Row],[TranTot]]+Table1[[#This Row],[MatTot]]+Table1[[#This Row],[OutTot]]+Table1[[#This Row],[VATot]]+Table1[[#This Row],[OthGrantTot]]</f>
        <v>12095</v>
      </c>
      <c r="EE8" s="249"/>
      <c r="EF8" s="237"/>
      <c r="EG8" s="237"/>
      <c r="EH8" s="232">
        <f>SUM(Table1[[#This Row],[CashQ1]]:Table1[[#This Row],[CashQ3]])</f>
        <v>0</v>
      </c>
      <c r="EI8" s="271">
        <f>ROUND((Table1[[#This Row],[SubTot]]/3)/1.01059,0)</f>
        <v>0</v>
      </c>
      <c r="EJ8" s="234">
        <f>ROUND((Table1[[#This Row],[SubTot]]/3)/1.01059,0)</f>
        <v>0</v>
      </c>
      <c r="EK8" s="234">
        <f>ROUNDUP((Table1[[#This Row],[SubTot]]/3)/1.01059,0)</f>
        <v>0</v>
      </c>
      <c r="EL8" s="235"/>
      <c r="EM8" s="240">
        <f>Table1[[#This Row],[SubTot]]*0.01059</f>
        <v>0</v>
      </c>
      <c r="EN8" s="234">
        <f>ROUND((Table1[[#This Row],[UnsubTot]]/3)/1.01062,0)</f>
        <v>660</v>
      </c>
      <c r="EO8" s="234">
        <f>ROUND((Table1[[#This Row],[UnsubTot]]/3)/1.01062,0)</f>
        <v>660</v>
      </c>
      <c r="EP8" s="234">
        <f>ROUNDDOWN((Table1[[#This Row],[UnsubTot]]/3)/1.01062,0)</f>
        <v>659</v>
      </c>
      <c r="EQ8" s="235">
        <f>IF(Table1[D/I]="I",6000,2000)</f>
        <v>2000</v>
      </c>
      <c r="ER8" s="240">
        <f>Table1[[#This Row],[UnsubTot]]*0.01062</f>
        <v>21.24</v>
      </c>
      <c r="ES8" s="234">
        <f>ROUND((Table1[[#This Row],[PLUSTot]]/3)/1.04248,0)</f>
        <v>0</v>
      </c>
      <c r="ET8" s="234">
        <f>ROUND((Table1[[#This Row],[PLUSTot]]/3)/1.04248,0)</f>
        <v>0</v>
      </c>
      <c r="EU8" s="234">
        <f>ROUND((Table1[[#This Row],[PLUSTot]]/3)/1.04248,0)</f>
        <v>0</v>
      </c>
      <c r="EV8" s="235"/>
      <c r="EW8" s="239">
        <f>Table1[[#This Row],[PLUSTot]]*0.04248</f>
        <v>0</v>
      </c>
      <c r="EX8" s="237"/>
      <c r="EY8" s="237"/>
      <c r="EZ8" s="237"/>
      <c r="FA8" s="232">
        <f>SUM(Table1[[#This Row],[PrivQ1]:[PrivQ3]])</f>
        <v>0</v>
      </c>
      <c r="FB8" s="237"/>
      <c r="FC8" s="237"/>
      <c r="FD8" s="237"/>
      <c r="FE8" s="232">
        <f>SUM(Table1[[#This Row],[TOQ1]:[TOQ3]])</f>
        <v>0</v>
      </c>
      <c r="FF8" s="237"/>
      <c r="FG8" s="237"/>
      <c r="FH8" s="237"/>
      <c r="FI8" s="232">
        <f>SUM(Table1[[#This Row],[OFundQ1]:[OFundQ3]])</f>
        <v>0</v>
      </c>
      <c r="FJ8" s="238">
        <f>(Table1[[#This Row],[SubTot]]-Table1[[#This Row],[SubFee]])+(Table1[[#This Row],[UnsubTot]]-Table1[[#This Row],[UnsubFee]])+(Table1[[#This Row],[PLUSTot]]-Table1[[#This Row],[PLUSFee]])+Table1[[#This Row],[PrivTot]]+Table1[[#This Row],[TOTot]]+Table1[[#This Row],[OFundTot]]</f>
        <v>1978.76</v>
      </c>
      <c r="FK8" s="125">
        <f>Table1[[#This Row],[CostTot]]-Table1[[#This Row],[GiftTot]]</f>
        <v>27420</v>
      </c>
      <c r="FL8" s="139">
        <f>Table1[[#This Row],[NetNeed]]/(1-0.04248)</f>
        <v>26569.930654189993</v>
      </c>
      <c r="FM8" s="131">
        <f>Table1[[#This Row],[NetCost]]-Table1[[#This Row],[CashTot]]-(Table1[[#This Row],[SubTot]]-Table1[[#This Row],[SubFee]])-(Table1[[#This Row],[UnsubTot]]-Table1[[#This Row],[UnsubFee]])-(Table1[[#This Row],[PLUSTot]]-Table1[[#This Row],[PLUSFee]])-Table1[[#This Row],[PrivTot]]-Table1[[#This Row],[TOTot]]-Table1[[#This Row],[OFundTot]]</f>
        <v>25441.24</v>
      </c>
      <c r="FN8" s="161"/>
      <c r="FO8" s="113"/>
      <c r="FP8" s="113"/>
    </row>
    <row r="9" spans="1:172" s="160" customFormat="1" ht="15" x14ac:dyDescent="0.25">
      <c r="A9" s="267">
        <v>198337</v>
      </c>
      <c r="B9" s="113" t="str">
        <f>VLOOKUP(Table1[[#This Row],[SyStudentId]],SSR!$A$2:$CC$4982,4,FALSE)</f>
        <v>Martin</v>
      </c>
      <c r="C9" s="113" t="str">
        <f>VLOOKUP(Table1[[#This Row],[SyStudentId]],SSR!$A$2:$CC$4982,5,FALSE)</f>
        <v>GiaVonna</v>
      </c>
      <c r="D9" s="113" t="str">
        <f>VLOOKUP(Table1[[#This Row],[SyStudentId]],SSR!$A$2:$CC$4982,6,FALSE)</f>
        <v>Martin, GiaVonna</v>
      </c>
      <c r="E9" s="113" t="str">
        <f>CONCATENATE(Table1[[#This Row],[FirstName]]," ",Table1[[#This Row],[LastName]])</f>
        <v>GiaVonna Martin</v>
      </c>
      <c r="F9" s="112"/>
      <c r="G9" s="114"/>
      <c r="H9" s="114"/>
      <c r="I9" s="114"/>
      <c r="J9" s="115" t="s">
        <v>5311</v>
      </c>
      <c r="K9" s="116"/>
      <c r="L9" s="112" t="str">
        <f>IFERROR(VLOOKUP(Table1[[#This Row],[SyStudentId]],ISIR!$A$2:$X$999,11,FALSE),"")</f>
        <v/>
      </c>
      <c r="M9" s="113" t="str">
        <f>VLOOKUP(Table1[[#This Row],[SyStudentId]],SSR!$A$2:$CC$4982,7,FALSE)</f>
        <v>martingiavonna@yahoo.com</v>
      </c>
      <c r="N9" s="113" t="str">
        <f>VLOOKUP(Table1[[#This Row],[SyStudentId]],SSR!$A$2:$CC$4982,8,FALSE)</f>
        <v>6002 GARFIELD AVENUE</v>
      </c>
      <c r="O9" s="113" t="str">
        <f>VLOOKUP(Table1[[#This Row],[SyStudentId]],SSR!$A$2:$CC$4982,9,FALSE)</f>
        <v>ST.LOUIS</v>
      </c>
      <c r="P9" s="113" t="str">
        <f>VLOOKUP(Table1[[#This Row],[SyStudentId]],SSR!$A$2:$CC$4982,10,FALSE)</f>
        <v>MO</v>
      </c>
      <c r="Q9" s="117" t="str">
        <f>VLOOKUP(Table1[[#This Row],[SyStudentId]],SSR!$A$2:$CC$4982,11,FALSE)</f>
        <v xml:space="preserve">63134     </v>
      </c>
      <c r="R9" s="118">
        <f>VLOOKUP(Table1[[#This Row],[SyStudentId]],SSR!$A$2:$CC$4982,15,FALSE)</f>
        <v>3.0710000000000002</v>
      </c>
      <c r="S9" s="119">
        <f>VLOOKUP(Table1[[#This Row],[SyStudentId]],SSR!$A$2:$CC$4982,22,FALSE)</f>
        <v>44109</v>
      </c>
      <c r="T9" s="113" t="str">
        <f>VLOOKUP(Table1[[#This Row],[SyStudentId]],SSR!$A$2:$CC$4982,24,FALSE)</f>
        <v>JT</v>
      </c>
      <c r="U9" s="113" t="str">
        <f>IF(VLOOKUP(Table1[[#This Row],[SyStudentId]],SSR!$A$2:$CC$4982,26,FALSE)=0,"Not Selected",VLOOKUP(Table1[[#This Row],[SyStudentId]],SSR!$A$2:$CC$4982,26,FALSE))</f>
        <v>Female</v>
      </c>
      <c r="V9" s="113" t="str">
        <f>VLOOKUP(Table1[[#This Row],[SyStudentId]],SSR!$A$2:$CC$4982,27,FALSE)</f>
        <v xml:space="preserve">HS2020  </v>
      </c>
      <c r="W9" s="113" t="str">
        <f>VLOOKUP(LEFT(Table1[[#This Row],[LastName]],1),Alpha!$A$1:$B$26,2,FALSE)</f>
        <v>Maureen Ranks</v>
      </c>
      <c r="X9" s="149" t="str">
        <f>VLOOKUP(Table1[[#This Row],[FAA]],Alpha!$B$1:$D$26,2,FALSE)</f>
        <v>mranks@neumont.edu</v>
      </c>
      <c r="Y9" s="113">
        <f>VLOOKUP(Table1[[#This Row],[FAA]],Alpha!$B$1:$D$26,3,FALSE)</f>
        <v>8883022894</v>
      </c>
      <c r="Z9" s="113" t="str">
        <f>VLOOKUP(Table1[[#This Row],[SyStudentId]],SSR!$A$2:$CC$4982,30,FALSE)</f>
        <v>16-Accepted</v>
      </c>
      <c r="AA9" s="113" t="str">
        <f>IF(VLOOKUP(Table1[[#This Row],[SyStudentId]],SSR!$A$2:$CC$4982,36,FALSE)="Bachelor of Science","BS Computer Science","Check Program")</f>
        <v>BS Computer Science</v>
      </c>
      <c r="AB9" s="113" t="str">
        <f>VLOOKUP(Table1[[#This Row],[SyStudentId]],SSR!$A$2:$CC$4982,37,FALSE)</f>
        <v xml:space="preserve">15      </v>
      </c>
      <c r="AC9" s="113">
        <f>VLOOKUP(Table1[[#This Row],[SyStudentId]],SSR!$A$2:$CC$4982,42,FALSE)</f>
        <v>0</v>
      </c>
      <c r="AD9" s="113" t="str">
        <f>VLOOKUP(Table1[[#This Row],[SyStudentId]],SSR!$A$2:$CC$4982,46,FALSE)</f>
        <v>88</v>
      </c>
      <c r="AE9" s="113" t="str">
        <f>VLOOKUP(Table1[[#This Row],[SyStudentId]],SSR!$A$2:$CC$4982,65,FALSE)</f>
        <v>VIII</v>
      </c>
      <c r="AF9"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9" s="113" t="str">
        <f>VLOOKUP(Table1[[#This Row],[SyStudentId]],SSR!$A$2:$CC$4982,66,FALSE)</f>
        <v>November</v>
      </c>
      <c r="AH9" s="113" t="str">
        <f>IFERROR(VLOOKUP(Table1[[#This Row],[SyStudentId]],ISIR!$A$2:$X$999,7,FALSE),"")</f>
        <v/>
      </c>
      <c r="AI9" s="121" t="str">
        <f>IF(Table1[[#This Row],[EFCRaw]]="","",IF(Table1[[#This Row],[EFCRaw]]="No EFC","No EFC",_xlfn.NUMBERVALUE(Table1[[#This Row],[EFCRaw]])))</f>
        <v/>
      </c>
      <c r="AJ9" s="119" t="str">
        <f>IFERROR(VLOOKUP(Table1[[#This Row],[SyStudentId]],ISIR!$A$2:$X$4999,19,FALSE),"")</f>
        <v/>
      </c>
      <c r="AK9" s="113" t="str">
        <f>IFERROR(VLOOKUP(Table1[[#This Row],[SyStudentId]],ISIR!$A$2:$X$4999,8,FALSE),"")</f>
        <v/>
      </c>
      <c r="AL9" s="132" t="str">
        <f>IF(Table1[[#This Row],[VerReq]]="N","n/a","")</f>
        <v/>
      </c>
      <c r="AM9" s="122"/>
      <c r="AN9" s="122"/>
      <c r="AO9" s="122"/>
      <c r="AP9" s="122"/>
      <c r="AQ9" s="122"/>
      <c r="AR9" s="122"/>
      <c r="AS9" s="122"/>
      <c r="AT9" s="122"/>
      <c r="AU9" s="122"/>
      <c r="AV9" s="122"/>
      <c r="AW9" s="122"/>
      <c r="AX9" s="122"/>
      <c r="AY9" s="122"/>
      <c r="AZ9" s="122"/>
      <c r="BA9" s="122"/>
      <c r="BB9" s="122"/>
      <c r="BC9" s="133"/>
      <c r="BD9" s="140" t="str">
        <f>IF(Table1[[#This Row],[VerReq]]="N","x","")</f>
        <v/>
      </c>
      <c r="BE9" s="140" t="str">
        <f>IF(Table1[[#This Row],[VerReq]]="N","x","")</f>
        <v/>
      </c>
      <c r="BF9" s="140" t="str">
        <f>IF(Table1[[#This Row],[VerReq]]="N","x","")</f>
        <v/>
      </c>
      <c r="BG9" s="140" t="str">
        <f>IF(Table1[[#This Row],[VerReq]]="N","x","")</f>
        <v/>
      </c>
      <c r="BH9" s="140" t="str">
        <f>IF(Table1[[#This Row],[VerReq]]="N","x","")</f>
        <v/>
      </c>
      <c r="BI9" s="140" t="str">
        <f>IF(Table1[[#This Row],[VerReq]]="N","x","")</f>
        <v/>
      </c>
      <c r="BJ9" s="134">
        <f>1-((COUNTBLANK(Table1[[#This Row],[ALESent]:[TaxTran]]))/(COUNT(Table1[[#This Row],[ALESent]:[TaxTran]])+COUNTBLANK(Table1[[#This Row],[ALESent]:[TaxTran]])))</f>
        <v>0</v>
      </c>
      <c r="BK9" s="136">
        <f>IF(VLOOKUP(Table1[[#This Row],[SyStudentId]],SSR!$A$2:$CC$4982,22,FALSE)=44109,44109,"Check Program")</f>
        <v>44109</v>
      </c>
      <c r="BL9" s="124">
        <f>IF(Table1[[#This Row],[AYStart]]=44109,44356,"Check Program")</f>
        <v>44356</v>
      </c>
      <c r="BM9" s="219">
        <v>8505</v>
      </c>
      <c r="BN9" s="219">
        <v>8505</v>
      </c>
      <c r="BO9" s="219">
        <v>8505</v>
      </c>
      <c r="BP9" s="220">
        <f t="shared" si="0"/>
        <v>25515</v>
      </c>
      <c r="BQ9" s="221">
        <v>3300</v>
      </c>
      <c r="BR9" s="219">
        <v>400</v>
      </c>
      <c r="BS9" s="219">
        <v>400</v>
      </c>
      <c r="BT9" s="220">
        <f t="shared" si="1"/>
        <v>4100</v>
      </c>
      <c r="BU9" s="219">
        <v>2100</v>
      </c>
      <c r="BV9" s="219">
        <v>2100</v>
      </c>
      <c r="BW9" s="219">
        <v>2100</v>
      </c>
      <c r="BX9" s="220">
        <f t="shared" si="2"/>
        <v>6300</v>
      </c>
      <c r="BY9" s="275">
        <v>1200</v>
      </c>
      <c r="BZ9" s="275">
        <v>1200</v>
      </c>
      <c r="CA9" s="275">
        <v>1200</v>
      </c>
      <c r="CB9" s="220">
        <f>SUM(Table1[[#This Row],[LEQ1]:[LEQ3]])</f>
        <v>3600</v>
      </c>
      <c r="CC9" s="275"/>
      <c r="CD9" s="275"/>
      <c r="CE9" s="275"/>
      <c r="CF9" s="220">
        <f>SUM(Table1[[#This Row],[OthCostQ1]:[OthCostQ3]])</f>
        <v>0</v>
      </c>
      <c r="CG9" s="220">
        <f>(Table1[[#This Row],[T&amp;FTot]]+Table1[[#This Row],[B&amp;STot]]+Table1[[#This Row],[HousTot]]+Table1[[#This Row],[LETot]]+Table1[[#This Row],[OthCostTot]])</f>
        <v>39515</v>
      </c>
      <c r="CH9" s="250"/>
      <c r="CI9" s="250"/>
      <c r="CJ9" s="250"/>
      <c r="CK9" s="251">
        <f>SUM(Table1[[#This Row],[SEOGQ1]:[SEOGQ3]])</f>
        <v>0</v>
      </c>
      <c r="CL9" s="250">
        <f>IFERROR(ROUNDUP(Table1[[#This Row],[PellTot]]/3,0),0)</f>
        <v>0</v>
      </c>
      <c r="CM9" s="250">
        <f>IFERROR(ROUND(Table1[[#This Row],[PellTot]]/3,0),0)</f>
        <v>0</v>
      </c>
      <c r="CN9" s="250">
        <f>IFERROR(ROUNDDOWN(Table1[[#This Row],[PellTot]]/3,0),0)</f>
        <v>0</v>
      </c>
      <c r="CO9" s="251">
        <f>IFERROR(LOOKUP(Table1[EFC],Pell_Table[#Data],Pell_Table[Pell Amt]),0)</f>
        <v>0</v>
      </c>
      <c r="CP9" s="250">
        <f>Table1[[#This Row],[AccessTot]]/3</f>
        <v>0</v>
      </c>
      <c r="CQ9" s="250">
        <f>Table1[[#This Row],[AccessTot]]/3</f>
        <v>0</v>
      </c>
      <c r="CR9" s="250">
        <f>Table1[[#This Row],[AccessTot]]/3</f>
        <v>0</v>
      </c>
      <c r="CS9" s="251">
        <f>IF(Table1[[#This Row],[PellTot]]&gt;0,1500,0)</f>
        <v>0</v>
      </c>
      <c r="CT9" s="250">
        <f>Table1[[#This Row],[AchiTot]]/3</f>
        <v>0</v>
      </c>
      <c r="CU9" s="250">
        <f>Table1[[#This Row],[AchiTot]]/3</f>
        <v>0</v>
      </c>
      <c r="CV9" s="250">
        <f>Table1[[#This Row],[AchiTot]]/3</f>
        <v>0</v>
      </c>
      <c r="CW9" s="252">
        <f>IF(Table1[[#This Row],[Rank]]="","",IF(Table1[[#This Row],[Rank]]=1,5100,IF(Table1[[#This Row],[Rank]]=2,4500,IF(Table1[[#This Row],[Rank]]=3,3900,IF(Table1[[#This Row],[Rank]]=4,3750,IF(Table1[[#This Row],[Rank]]=5,3000,IF(Table1[[#This Row],[Rank]]=6,2250,0)))))))</f>
        <v>0</v>
      </c>
      <c r="CX9" s="250">
        <f>Table1[[#This Row],[UTTot]]/3</f>
        <v>0</v>
      </c>
      <c r="CY9" s="250">
        <f>Table1[[#This Row],[UTTot]]/3</f>
        <v>0</v>
      </c>
      <c r="CZ9" s="250">
        <f>Table1[[#This Row],[UTTot]]/3</f>
        <v>0</v>
      </c>
      <c r="DA9" s="251">
        <f>IF(Table1[[#This Row],[State]]="UT",9000,0)</f>
        <v>0</v>
      </c>
      <c r="DB9" s="250">
        <f>Table1[[#This Row],[WITTot]]/3</f>
        <v>1000</v>
      </c>
      <c r="DC9" s="250">
        <f>Table1[[#This Row],[WITTot]]/3</f>
        <v>1000</v>
      </c>
      <c r="DD9" s="250">
        <f>Table1[[#This Row],[WITTot]]/3</f>
        <v>1000</v>
      </c>
      <c r="DE9" s="251">
        <f>IF(Table1[[#This Row],[Gender]]="Female",3000,0)</f>
        <v>3000</v>
      </c>
      <c r="DF9" s="250">
        <f>Table1[[#This Row],[SerTot]]/3</f>
        <v>0</v>
      </c>
      <c r="DG9" s="250">
        <f>Table1[[#This Row],[SerTot]]/3</f>
        <v>0</v>
      </c>
      <c r="DH9" s="250">
        <f>Table1[[#This Row],[SerTot]]/3</f>
        <v>0</v>
      </c>
      <c r="DI9" s="252"/>
      <c r="DJ9" s="250"/>
      <c r="DK9" s="250"/>
      <c r="DL9" s="250"/>
      <c r="DM9" s="252"/>
      <c r="DN9" s="250">
        <f>Table1[[#This Row],[MatTot]]/3</f>
        <v>0</v>
      </c>
      <c r="DO9" s="250">
        <f>Table1[[#This Row],[MatTot]]/3</f>
        <v>0</v>
      </c>
      <c r="DP9" s="250">
        <f>Table1[[#This Row],[MatTot]]/3</f>
        <v>0</v>
      </c>
      <c r="DQ9" s="252"/>
      <c r="DR9" s="250">
        <f>Table1[[#This Row],[OutTot]]/3</f>
        <v>0</v>
      </c>
      <c r="DS9" s="250">
        <f>Table1[[#This Row],[OutTot]]/3</f>
        <v>0</v>
      </c>
      <c r="DT9" s="250">
        <f>Table1[[#This Row],[OutTot]]/3</f>
        <v>0</v>
      </c>
      <c r="DU9" s="252"/>
      <c r="DV9" s="250"/>
      <c r="DW9" s="250"/>
      <c r="DX9" s="250"/>
      <c r="DY9" s="252">
        <f>SUM(Table1[[#This Row],[VAQ1]:[VAQ3]])</f>
        <v>0</v>
      </c>
      <c r="DZ9" s="250"/>
      <c r="EA9" s="250"/>
      <c r="EB9" s="250"/>
      <c r="EC9" s="252">
        <f>SUM(Table1[[#This Row],[OthGrantQ1]:[OthGrantQ3]])</f>
        <v>0</v>
      </c>
      <c r="ED9" s="263">
        <f>Table1[[#This Row],[SEOGTot]]+Table1[[#This Row],[PellTot]]+Table1[[#This Row],[AccessTot]]+Table1[[#This Row],[AchiTot]]+Table1[[#This Row],[UTTot]]+Table1[[#This Row],[WITTot]]+Table1[[#This Row],[SerTot]]+Table1[[#This Row],[TranTot]]+Table1[[#This Row],[MatTot]]+Table1[[#This Row],[OutTot]]+Table1[[#This Row],[VATot]]+Table1[[#This Row],[OthGrantTot]]</f>
        <v>3000</v>
      </c>
      <c r="EE9" s="249"/>
      <c r="EF9" s="237"/>
      <c r="EG9" s="237"/>
      <c r="EH9" s="232">
        <f>SUM(Table1[[#This Row],[CashQ1]]:Table1[[#This Row],[CashQ3]])</f>
        <v>0</v>
      </c>
      <c r="EI9" s="271">
        <f>ROUND((Table1[[#This Row],[SubTot]]/3)/1.01059,0)</f>
        <v>0</v>
      </c>
      <c r="EJ9" s="234">
        <f>ROUND((Table1[[#This Row],[SubTot]]/3)/1.01059,0)</f>
        <v>0</v>
      </c>
      <c r="EK9" s="234">
        <f>ROUNDUP((Table1[[#This Row],[SubTot]]/3)/1.01059,0)</f>
        <v>0</v>
      </c>
      <c r="EL9" s="235"/>
      <c r="EM9" s="240">
        <f>Table1[[#This Row],[SubTot]]*0.01059</f>
        <v>0</v>
      </c>
      <c r="EN9" s="234">
        <f>ROUND((Table1[[#This Row],[UnsubTot]]/3)/1.01062,0)</f>
        <v>660</v>
      </c>
      <c r="EO9" s="234">
        <f>ROUND((Table1[[#This Row],[UnsubTot]]/3)/1.01062,0)</f>
        <v>660</v>
      </c>
      <c r="EP9" s="234">
        <f>ROUNDDOWN((Table1[[#This Row],[UnsubTot]]/3)/1.01062,0)</f>
        <v>659</v>
      </c>
      <c r="EQ9" s="235">
        <f>IF(Table1[D/I]="I",6000,2000)</f>
        <v>2000</v>
      </c>
      <c r="ER9" s="240">
        <f>Table1[[#This Row],[UnsubTot]]*0.01062</f>
        <v>21.24</v>
      </c>
      <c r="ES9" s="234">
        <f>ROUND((Table1[[#This Row],[PLUSTot]]/3)/1.04248,0)</f>
        <v>0</v>
      </c>
      <c r="ET9" s="234">
        <f>ROUND((Table1[[#This Row],[PLUSTot]]/3)/1.04248,0)</f>
        <v>0</v>
      </c>
      <c r="EU9" s="234">
        <f>ROUND((Table1[[#This Row],[PLUSTot]]/3)/1.04248,0)</f>
        <v>0</v>
      </c>
      <c r="EV9" s="235"/>
      <c r="EW9" s="239">
        <f>Table1[[#This Row],[PLUSTot]]*0.04248</f>
        <v>0</v>
      </c>
      <c r="EX9" s="237"/>
      <c r="EY9" s="237"/>
      <c r="EZ9" s="237"/>
      <c r="FA9" s="232">
        <f>SUM(Table1[[#This Row],[PrivQ1]:[PrivQ3]])</f>
        <v>0</v>
      </c>
      <c r="FB9" s="237"/>
      <c r="FC9" s="237"/>
      <c r="FD9" s="237"/>
      <c r="FE9" s="232">
        <f>SUM(Table1[[#This Row],[TOQ1]:[TOQ3]])</f>
        <v>0</v>
      </c>
      <c r="FF9" s="237"/>
      <c r="FG9" s="237"/>
      <c r="FH9" s="237"/>
      <c r="FI9" s="232">
        <f>SUM(Table1[[#This Row],[OFundQ1]:[OFundQ3]])</f>
        <v>0</v>
      </c>
      <c r="FJ9" s="238">
        <f>(Table1[[#This Row],[SubTot]]-Table1[[#This Row],[SubFee]])+(Table1[[#This Row],[UnsubTot]]-Table1[[#This Row],[UnsubFee]])+(Table1[[#This Row],[PLUSTot]]-Table1[[#This Row],[PLUSFee]])+Table1[[#This Row],[PrivTot]]+Table1[[#This Row],[TOTot]]+Table1[[#This Row],[OFundTot]]</f>
        <v>1978.76</v>
      </c>
      <c r="FK9" s="125">
        <f>Table1[[#This Row],[CostTot]]-Table1[[#This Row],[GiftTot]]</f>
        <v>36515</v>
      </c>
      <c r="FL9" s="139">
        <f>Table1[[#This Row],[NetNeed]]/(1-0.04248)</f>
        <v>36068.426769153644</v>
      </c>
      <c r="FM9" s="131">
        <f>Table1[[#This Row],[NetCost]]-Table1[[#This Row],[CashTot]]-(Table1[[#This Row],[SubTot]]-Table1[[#This Row],[SubFee]])-(Table1[[#This Row],[UnsubTot]]-Table1[[#This Row],[UnsubFee]])-(Table1[[#This Row],[PLUSTot]]-Table1[[#This Row],[PLUSFee]])-Table1[[#This Row],[PrivTot]]-Table1[[#This Row],[TOTot]]-Table1[[#This Row],[OFundTot]]</f>
        <v>34536.239999999998</v>
      </c>
      <c r="FN9" s="161"/>
      <c r="FO9" s="113"/>
      <c r="FP9" s="113"/>
    </row>
    <row r="10" spans="1:172" s="160" customFormat="1" ht="15" x14ac:dyDescent="0.25">
      <c r="A10" s="267">
        <v>195990</v>
      </c>
      <c r="B10" s="113" t="str">
        <f>VLOOKUP(Table1[[#This Row],[SyStudentId]],SSR!$A$2:$CC$4982,4,FALSE)</f>
        <v>Martinez</v>
      </c>
      <c r="C10" s="113" t="str">
        <f>VLOOKUP(Table1[[#This Row],[SyStudentId]],SSR!$A$2:$CC$4982,5,FALSE)</f>
        <v>Carlos</v>
      </c>
      <c r="D10" s="113" t="str">
        <f>VLOOKUP(Table1[[#This Row],[SyStudentId]],SSR!$A$2:$CC$4982,6,FALSE)</f>
        <v>Martinez, Carlos</v>
      </c>
      <c r="E10" s="113" t="str">
        <f>CONCATENATE(Table1[[#This Row],[FirstName]]," ",Table1[[#This Row],[LastName]])</f>
        <v>Carlos Martinez</v>
      </c>
      <c r="F10" s="112">
        <v>1</v>
      </c>
      <c r="G10" s="114"/>
      <c r="H10" s="114"/>
      <c r="I10" s="114">
        <v>43775</v>
      </c>
      <c r="J10" s="115"/>
      <c r="K10" s="116"/>
      <c r="L10" s="112" t="str">
        <f>IFERROR(VLOOKUP(Table1[[#This Row],[SyStudentId]],ISIR!$A$2:$X$999,11,FALSE),"")</f>
        <v/>
      </c>
      <c r="M10" s="113" t="str">
        <f>VLOOKUP(Table1[[#This Row],[SyStudentId]],SSR!$A$2:$CC$4982,7,FALSE)</f>
        <v>superpancakeboy562@gmail.com</v>
      </c>
      <c r="N10" s="113" t="str">
        <f>VLOOKUP(Table1[[#This Row],[SyStudentId]],SSR!$A$2:$CC$4982,8,FALSE)</f>
        <v>7632 Racine Ave</v>
      </c>
      <c r="O10" s="113" t="str">
        <f>VLOOKUP(Table1[[#This Row],[SyStudentId]],SSR!$A$2:$CC$4982,9,FALSE)</f>
        <v>Paramount</v>
      </c>
      <c r="P10" s="290" t="str">
        <f>VLOOKUP(Table1[[#This Row],[SyStudentId]],SSR!$A$2:$CC$4982,10,FALSE)</f>
        <v>CA</v>
      </c>
      <c r="Q10" s="117" t="str">
        <f>VLOOKUP(Table1[[#This Row],[SyStudentId]],SSR!$A$2:$CC$4982,11,FALSE)</f>
        <v xml:space="preserve">90723     </v>
      </c>
      <c r="R10" s="118">
        <f>VLOOKUP(Table1[[#This Row],[SyStudentId]],SSR!$A$2:$CC$4982,15,FALSE)</f>
        <v>2.5758000000000001</v>
      </c>
      <c r="S10" s="119">
        <f>VLOOKUP(Table1[[#This Row],[SyStudentId]],SSR!$A$2:$CC$4982,22,FALSE)</f>
        <v>44109</v>
      </c>
      <c r="T10" s="113" t="str">
        <f>VLOOKUP(Table1[[#This Row],[SyStudentId]],SSR!$A$2:$CC$4982,24,FALSE)</f>
        <v>MN</v>
      </c>
      <c r="U10" s="113" t="str">
        <f>IF(VLOOKUP(Table1[[#This Row],[SyStudentId]],SSR!$A$2:$CC$4982,26,FALSE)=0,"Not Selected",VLOOKUP(Table1[[#This Row],[SyStudentId]],SSR!$A$2:$CC$4982,26,FALSE))</f>
        <v>Male</v>
      </c>
      <c r="V10" s="113" t="str">
        <f>VLOOKUP(Table1[[#This Row],[SyStudentId]],SSR!$A$2:$CC$4982,27,FALSE)</f>
        <v xml:space="preserve">HS2020  </v>
      </c>
      <c r="W10" s="113" t="str">
        <f>VLOOKUP(LEFT(Table1[[#This Row],[LastName]],1),Alpha!$A$1:$B$26,2,FALSE)</f>
        <v>Maureen Ranks</v>
      </c>
      <c r="X10" s="149" t="str">
        <f>VLOOKUP(Table1[[#This Row],[FAA]],Alpha!$B$1:$D$26,2,FALSE)</f>
        <v>mranks@neumont.edu</v>
      </c>
      <c r="Y10" s="113">
        <f>VLOOKUP(Table1[[#This Row],[FAA]],Alpha!$B$1:$D$26,3,FALSE)</f>
        <v>8883022894</v>
      </c>
      <c r="Z10" s="113" t="str">
        <f>VLOOKUP(Table1[[#This Row],[SyStudentId]],SSR!$A$2:$CC$4982,30,FALSE)</f>
        <v>16-Accepted</v>
      </c>
      <c r="AA10" s="113" t="str">
        <f>IF(VLOOKUP(Table1[[#This Row],[SyStudentId]],SSR!$A$2:$CC$4982,36,FALSE)="Bachelor of Science","BS Computer Science","Check Program")</f>
        <v>BS Computer Science</v>
      </c>
      <c r="AB10" s="113">
        <f>VLOOKUP(Table1[[#This Row],[SyStudentId]],SSR!$A$2:$CC$4982,37,FALSE)</f>
        <v>0</v>
      </c>
      <c r="AC10" s="113">
        <f>VLOOKUP(Table1[[#This Row],[SyStudentId]],SSR!$A$2:$CC$4982,42,FALSE)</f>
        <v>0</v>
      </c>
      <c r="AD10" s="113" t="str">
        <f>VLOOKUP(Table1[[#This Row],[SyStudentId]],SSR!$A$2:$CC$4982,46,FALSE)</f>
        <v>0</v>
      </c>
      <c r="AE10" s="113" t="str">
        <f>VLOOKUP(Table1[[#This Row],[SyStudentId]],SSR!$A$2:$CC$4982,65,FALSE)</f>
        <v>X</v>
      </c>
      <c r="AF10"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10</v>
      </c>
      <c r="AG10" s="113" t="str">
        <f>VLOOKUP(Table1[[#This Row],[SyStudentId]],SSR!$A$2:$CC$4982,66,FALSE)</f>
        <v>July-October</v>
      </c>
      <c r="AH10" s="113" t="str">
        <f>IFERROR(VLOOKUP(Table1[[#This Row],[SyStudentId]],ISIR!$A$2:$X$999,7,FALSE),"")</f>
        <v/>
      </c>
      <c r="AI10" s="121" t="str">
        <f>IF(Table1[[#This Row],[EFCRaw]]="","",IF(Table1[[#This Row],[EFCRaw]]="No EFC","No EFC",_xlfn.NUMBERVALUE(Table1[[#This Row],[EFCRaw]])))</f>
        <v/>
      </c>
      <c r="AJ10" s="119" t="str">
        <f>IFERROR(VLOOKUP(Table1[[#This Row],[SyStudentId]],ISIR!$A$2:$X$4999,19,FALSE),"")</f>
        <v/>
      </c>
      <c r="AK10" s="113" t="str">
        <f>IFERROR(VLOOKUP(Table1[[#This Row],[SyStudentId]],ISIR!$A$2:$X$4999,8,FALSE),"")</f>
        <v/>
      </c>
      <c r="AL10" s="132" t="str">
        <f>IF(Table1[[#This Row],[VerReq]]="N","n/a","")</f>
        <v/>
      </c>
      <c r="AM10" s="122"/>
      <c r="AN10" s="122"/>
      <c r="AO10" s="122"/>
      <c r="AP10" s="122"/>
      <c r="AQ10" s="122"/>
      <c r="AR10" s="122"/>
      <c r="AS10" s="122"/>
      <c r="AT10" s="122"/>
      <c r="AU10" s="122"/>
      <c r="AV10" s="122"/>
      <c r="AW10" s="122"/>
      <c r="AX10" s="122"/>
      <c r="AY10" s="122"/>
      <c r="AZ10" s="122"/>
      <c r="BA10" s="122"/>
      <c r="BB10" s="122"/>
      <c r="BC10" s="133"/>
      <c r="BD10" s="140" t="str">
        <f>IF(Table1[[#This Row],[VerReq]]="N","x","")</f>
        <v/>
      </c>
      <c r="BE10" s="140" t="str">
        <f>IF(Table1[[#This Row],[VerReq]]="N","x","")</f>
        <v/>
      </c>
      <c r="BF10" s="140" t="str">
        <f>IF(Table1[[#This Row],[VerReq]]="N","x","")</f>
        <v/>
      </c>
      <c r="BG10" s="140" t="str">
        <f>IF(Table1[[#This Row],[VerReq]]="N","x","")</f>
        <v/>
      </c>
      <c r="BH10" s="140" t="str">
        <f>IF(Table1[[#This Row],[VerReq]]="N","x","")</f>
        <v/>
      </c>
      <c r="BI10" s="140" t="str">
        <f>IF(Table1[[#This Row],[VerReq]]="N","x","")</f>
        <v/>
      </c>
      <c r="BJ10" s="134">
        <f>1-((COUNTBLANK(Table1[[#This Row],[ALESent]:[TaxTran]]))/(COUNT(Table1[[#This Row],[ALESent]:[TaxTran]])+COUNTBLANK(Table1[[#This Row],[ALESent]:[TaxTran]])))</f>
        <v>0</v>
      </c>
      <c r="BK10" s="136">
        <f>IF(VLOOKUP(Table1[[#This Row],[SyStudentId]],SSR!$A$2:$CC$4982,22,FALSE)=44109,44109,"Check Program")</f>
        <v>44109</v>
      </c>
      <c r="BL10" s="124">
        <f>IF(Table1[[#This Row],[AYStart]]=44109,44356,"Check Program")</f>
        <v>44356</v>
      </c>
      <c r="BM10" s="219">
        <v>8505</v>
      </c>
      <c r="BN10" s="219">
        <v>8505</v>
      </c>
      <c r="BO10" s="219">
        <v>8505</v>
      </c>
      <c r="BP10" s="220">
        <f t="shared" si="0"/>
        <v>25515</v>
      </c>
      <c r="BQ10" s="221">
        <v>3300</v>
      </c>
      <c r="BR10" s="219">
        <v>400</v>
      </c>
      <c r="BS10" s="219">
        <v>400</v>
      </c>
      <c r="BT10" s="220">
        <f t="shared" si="1"/>
        <v>4100</v>
      </c>
      <c r="BU10" s="219">
        <v>2100</v>
      </c>
      <c r="BV10" s="219">
        <v>2100</v>
      </c>
      <c r="BW10" s="219">
        <v>2100</v>
      </c>
      <c r="BX10" s="220">
        <f t="shared" si="2"/>
        <v>6300</v>
      </c>
      <c r="BY10" s="275">
        <v>1200</v>
      </c>
      <c r="BZ10" s="275">
        <v>1200</v>
      </c>
      <c r="CA10" s="275">
        <v>1200</v>
      </c>
      <c r="CB10" s="220">
        <f>SUM(Table1[[#This Row],[LEQ1]:[LEQ3]])</f>
        <v>3600</v>
      </c>
      <c r="CC10" s="275">
        <v>0</v>
      </c>
      <c r="CD10" s="275">
        <v>0</v>
      </c>
      <c r="CE10" s="275">
        <v>0</v>
      </c>
      <c r="CF10" s="220">
        <f>SUM(Table1[[#This Row],[OthCostQ1]:[OthCostQ3]])</f>
        <v>0</v>
      </c>
      <c r="CG10" s="220">
        <f>(Table1[[#This Row],[T&amp;FTot]]+Table1[[#This Row],[B&amp;STot]]+Table1[[#This Row],[HousTot]]+Table1[[#This Row],[LETot]]+Table1[[#This Row],[OthCostTot]])</f>
        <v>39515</v>
      </c>
      <c r="CH10" s="250"/>
      <c r="CI10" s="250"/>
      <c r="CJ10" s="250"/>
      <c r="CK10" s="251">
        <f>SUM(Table1[[#This Row],[SEOGQ1]:[SEOGQ3]])</f>
        <v>0</v>
      </c>
      <c r="CL10" s="250">
        <f>IFERROR(ROUNDUP(Table1[[#This Row],[PellTot]]/3,0),0)</f>
        <v>0</v>
      </c>
      <c r="CM10" s="250">
        <f>IFERROR(ROUND(Table1[[#This Row],[PellTot]]/3,0),0)</f>
        <v>0</v>
      </c>
      <c r="CN10" s="250">
        <f>IFERROR(ROUNDDOWN(Table1[[#This Row],[PellTot]]/3,0),0)</f>
        <v>0</v>
      </c>
      <c r="CO10" s="251">
        <f>IFERROR(LOOKUP(Table1[EFC],Pell_Table[#Data],Pell_Table[Pell Amt]),0)</f>
        <v>0</v>
      </c>
      <c r="CP10" s="250">
        <f>Table1[[#This Row],[AccessTot]]/3</f>
        <v>0</v>
      </c>
      <c r="CQ10" s="250">
        <f>Table1[[#This Row],[AccessTot]]/3</f>
        <v>0</v>
      </c>
      <c r="CR10" s="250">
        <f>Table1[[#This Row],[AccessTot]]/3</f>
        <v>0</v>
      </c>
      <c r="CS10" s="251">
        <f>IF(Table1[[#This Row],[PellTot]]&gt;0,1500,0)</f>
        <v>0</v>
      </c>
      <c r="CT10" s="250">
        <f>Table1[[#This Row],[AchiTot]]/3</f>
        <v>0</v>
      </c>
      <c r="CU10" s="250">
        <f>Table1[[#This Row],[AchiTot]]/3</f>
        <v>0</v>
      </c>
      <c r="CV10" s="250">
        <f>Table1[[#This Row],[AchiTot]]/3</f>
        <v>0</v>
      </c>
      <c r="CW10" s="252">
        <f>IF(Table1[[#This Row],[Rank]]="","",IF(Table1[[#This Row],[Rank]]=1,5100,IF(Table1[[#This Row],[Rank]]=2,4500,IF(Table1[[#This Row],[Rank]]=3,3900,IF(Table1[[#This Row],[Rank]]=4,3750,IF(Table1[[#This Row],[Rank]]=5,3000,IF(Table1[[#This Row],[Rank]]=6,2250,0)))))))</f>
        <v>0</v>
      </c>
      <c r="CX10" s="250">
        <f>Table1[[#This Row],[UTTot]]/3</f>
        <v>0</v>
      </c>
      <c r="CY10" s="250">
        <f>Table1[[#This Row],[UTTot]]/3</f>
        <v>0</v>
      </c>
      <c r="CZ10" s="250">
        <f>Table1[[#This Row],[UTTot]]/3</f>
        <v>0</v>
      </c>
      <c r="DA10" s="251">
        <f>IF(Table1[[#This Row],[State]]="UT",9000,0)</f>
        <v>0</v>
      </c>
      <c r="DB10" s="250">
        <f>Table1[[#This Row],[WITTot]]/3</f>
        <v>0</v>
      </c>
      <c r="DC10" s="250">
        <f>Table1[[#This Row],[WITTot]]/3</f>
        <v>0</v>
      </c>
      <c r="DD10" s="250">
        <f>Table1[[#This Row],[WITTot]]/3</f>
        <v>0</v>
      </c>
      <c r="DE10" s="251">
        <f>IF(Table1[[#This Row],[Gender]]="Female",3000,0)</f>
        <v>0</v>
      </c>
      <c r="DF10" s="250">
        <f>Table1[[#This Row],[SerTot]]/3</f>
        <v>0</v>
      </c>
      <c r="DG10" s="250">
        <f>Table1[[#This Row],[SerTot]]/3</f>
        <v>0</v>
      </c>
      <c r="DH10" s="250">
        <f>Table1[[#This Row],[SerTot]]/3</f>
        <v>0</v>
      </c>
      <c r="DI10" s="252"/>
      <c r="DJ10" s="250"/>
      <c r="DK10" s="250"/>
      <c r="DL10" s="250"/>
      <c r="DM10" s="252"/>
      <c r="DN10" s="250">
        <f>Table1[[#This Row],[MatTot]]/3</f>
        <v>0</v>
      </c>
      <c r="DO10" s="250">
        <f>Table1[[#This Row],[MatTot]]/3</f>
        <v>0</v>
      </c>
      <c r="DP10" s="250">
        <f>Table1[[#This Row],[MatTot]]/3</f>
        <v>0</v>
      </c>
      <c r="DQ10" s="252">
        <v>0</v>
      </c>
      <c r="DR10" s="250">
        <f>Table1[[#This Row],[OutTot]]/3</f>
        <v>0</v>
      </c>
      <c r="DS10" s="250">
        <f>Table1[[#This Row],[OutTot]]/3</f>
        <v>0</v>
      </c>
      <c r="DT10" s="250">
        <f>Table1[[#This Row],[OutTot]]/3</f>
        <v>0</v>
      </c>
      <c r="DU10" s="252">
        <v>0</v>
      </c>
      <c r="DV10" s="250">
        <v>0</v>
      </c>
      <c r="DW10" s="250">
        <v>0</v>
      </c>
      <c r="DX10" s="250">
        <v>0</v>
      </c>
      <c r="DY10" s="252">
        <f>SUM(Table1[[#This Row],[VAQ1]:[VAQ3]])</f>
        <v>0</v>
      </c>
      <c r="DZ10" s="250">
        <v>0</v>
      </c>
      <c r="EA10" s="250">
        <v>0</v>
      </c>
      <c r="EB10" s="250">
        <v>0</v>
      </c>
      <c r="EC10" s="252">
        <f>SUM(Table1[[#This Row],[OthGrantQ1]:[OthGrantQ3]])</f>
        <v>0</v>
      </c>
      <c r="ED10" s="263">
        <f>Table1[[#This Row],[SEOGTot]]+Table1[[#This Row],[PellTot]]+Table1[[#This Row],[AccessTot]]+Table1[[#This Row],[AchiTot]]+Table1[[#This Row],[UTTot]]+Table1[[#This Row],[WITTot]]+Table1[[#This Row],[SerTot]]+Table1[[#This Row],[TranTot]]+Table1[[#This Row],[MatTot]]+Table1[[#This Row],[OutTot]]+Table1[[#This Row],[VATot]]+Table1[[#This Row],[OthGrantTot]]</f>
        <v>0</v>
      </c>
      <c r="EE10" s="249"/>
      <c r="EF10" s="237"/>
      <c r="EG10" s="237"/>
      <c r="EH10" s="232">
        <f>SUM(Table1[[#This Row],[CashQ1]]:Table1[[#This Row],[CashQ3]])</f>
        <v>0</v>
      </c>
      <c r="EI10" s="271">
        <f>ROUND((Table1[[#This Row],[SubTot]]/3)/1.01059,0)</f>
        <v>1154</v>
      </c>
      <c r="EJ10" s="234">
        <f>ROUND((Table1[[#This Row],[SubTot]]/3)/1.01059,0)</f>
        <v>1154</v>
      </c>
      <c r="EK10" s="234">
        <f>ROUNDUP((Table1[[#This Row],[SubTot]]/3)/1.01059,0)</f>
        <v>1155</v>
      </c>
      <c r="EL10" s="235">
        <v>3500</v>
      </c>
      <c r="EM10" s="240">
        <f>Table1[[#This Row],[SubTot]]*0.01059</f>
        <v>37.065000000000005</v>
      </c>
      <c r="EN10" s="234">
        <f>ROUND((Table1[[#This Row],[UnsubTot]]/3)/1.01062,0)</f>
        <v>660</v>
      </c>
      <c r="EO10" s="234">
        <f>ROUND((Table1[[#This Row],[UnsubTot]]/3)/1.01062,0)</f>
        <v>660</v>
      </c>
      <c r="EP10" s="234">
        <f>ROUNDDOWN((Table1[[#This Row],[UnsubTot]]/3)/1.01062,0)</f>
        <v>659</v>
      </c>
      <c r="EQ10" s="235">
        <f>IF(Table1[D/I]="I",6000,2000)</f>
        <v>2000</v>
      </c>
      <c r="ER10" s="240">
        <f>Table1[[#This Row],[UnsubTot]]*0.01059</f>
        <v>21.18</v>
      </c>
      <c r="ES10" s="234">
        <f>ROUND((Table1[[#This Row],[PLUSTot]]/3)/1.04236,0)</f>
        <v>0</v>
      </c>
      <c r="ET10" s="234">
        <f>ROUND((Table1[[#This Row],[PLUSTot]]/3)/1.04236,0)</f>
        <v>0</v>
      </c>
      <c r="EU10" s="234">
        <f>ROUND((Table1[[#This Row],[PLUSTot]]/3)/1.04236,0)</f>
        <v>0</v>
      </c>
      <c r="EV10" s="235">
        <v>0</v>
      </c>
      <c r="EW10" s="239">
        <f>Table1[[#This Row],[PLUSTot]]*0.04248</f>
        <v>0</v>
      </c>
      <c r="EX10" s="237"/>
      <c r="EY10" s="237"/>
      <c r="EZ10" s="237"/>
      <c r="FA10" s="232">
        <f>SUM(Table1[[#This Row],[PrivQ1]:[PrivQ3]])</f>
        <v>0</v>
      </c>
      <c r="FB10" s="237"/>
      <c r="FC10" s="237"/>
      <c r="FD10" s="237"/>
      <c r="FE10" s="232">
        <f>SUM(Table1[[#This Row],[TOQ1]:[TOQ3]])</f>
        <v>0</v>
      </c>
      <c r="FF10" s="237"/>
      <c r="FG10" s="237"/>
      <c r="FH10" s="237"/>
      <c r="FI10" s="232">
        <f>SUM(Table1[[#This Row],[OFundQ1]:[OFundQ3]])</f>
        <v>0</v>
      </c>
      <c r="FJ10" s="238">
        <f>(Table1[[#This Row],[SubTot]]-Table1[[#This Row],[SubFee]])+(Table1[[#This Row],[UnsubTot]]-Table1[[#This Row],[UnsubFee]])+(Table1[[#This Row],[PLUSTot]]-Table1[[#This Row],[PLUSFee]])+Table1[[#This Row],[PrivTot]]+Table1[[#This Row],[TOTot]]+Table1[[#This Row],[OFundTot]]</f>
        <v>5441.7550000000001</v>
      </c>
      <c r="FK10" s="125">
        <f>Table1[[#This Row],[CostTot]]-Table1[[#This Row],[GiftTot]]</f>
        <v>39515</v>
      </c>
      <c r="FL10" s="139">
        <f>Table1[[#This Row],[NetNeed]]/(1-0.04248)</f>
        <v>35584.891177207784</v>
      </c>
      <c r="FM10" s="131">
        <f>Table1[[#This Row],[NetCost]]-Table1[[#This Row],[CashTot]]-(Table1[[#This Row],[SubTot]]-Table1[[#This Row],[SubFee]])-(Table1[[#This Row],[UnsubTot]]-Table1[[#This Row],[UnsubFee]])-(Table1[[#This Row],[PLUSTot]]-Table1[[#This Row],[PLUSFee]])-Table1[[#This Row],[PrivTot]]-Table1[[#This Row],[TOTot]]-Table1[[#This Row],[OFundTot]]</f>
        <v>34073.245000000003</v>
      </c>
      <c r="FN10" s="161"/>
      <c r="FO10" s="113"/>
      <c r="FP10" s="113"/>
    </row>
    <row r="11" spans="1:172" s="160" customFormat="1" ht="15" x14ac:dyDescent="0.25">
      <c r="A11" s="311">
        <v>198281</v>
      </c>
      <c r="B11" s="113" t="str">
        <f>VLOOKUP(Table1[[#This Row],[SyStudentId]],SSR!$A$2:$CC$4982,4,FALSE)</f>
        <v>Martinez</v>
      </c>
      <c r="C11" s="113" t="str">
        <f>VLOOKUP(Table1[[#This Row],[SyStudentId]],SSR!$A$2:$CC$4982,5,FALSE)</f>
        <v>Hector</v>
      </c>
      <c r="D11" s="113" t="str">
        <f>VLOOKUP(Table1[[#This Row],[SyStudentId]],SSR!$A$2:$CC$4982,6,FALSE)</f>
        <v>Martinez, Hector</v>
      </c>
      <c r="E11" s="113" t="str">
        <f>CONCATENATE(Table1[[#This Row],[FirstName]]," ",Table1[[#This Row],[LastName]])</f>
        <v>Hector Martinez</v>
      </c>
      <c r="F11" s="112"/>
      <c r="G11" s="114"/>
      <c r="H11" s="114"/>
      <c r="I11" s="114"/>
      <c r="J11" s="115" t="s">
        <v>6041</v>
      </c>
      <c r="K11" s="116"/>
      <c r="L11" s="112" t="str">
        <f>IFERROR(VLOOKUP(Table1[[#This Row],[SyStudentId]],ISIR!$A$2:$X$999,11,FALSE),"")</f>
        <v/>
      </c>
      <c r="M11" s="113" t="str">
        <f>VLOOKUP(Table1[[#This Row],[SyStudentId]],SSR!$A$2:$CC$4982,7,FALSE)</f>
        <v>hectordaniel.2002@hotmail.com</v>
      </c>
      <c r="N11" s="113" t="str">
        <f>VLOOKUP(Table1[[#This Row],[SyStudentId]],SSR!$A$2:$CC$4982,8,FALSE)</f>
        <v>1234 SHADY PINES LN</v>
      </c>
      <c r="O11" s="113" t="str">
        <f>VLOOKUP(Table1[[#This Row],[SyStudentId]],SSR!$A$2:$CC$4982,9,FALSE)</f>
        <v>TITUSVILLE</v>
      </c>
      <c r="P11" s="303" t="str">
        <f>VLOOKUP(Table1[[#This Row],[SyStudentId]],SSR!$A$2:$CC$4982,10,FALSE)</f>
        <v>FL</v>
      </c>
      <c r="Q11" s="117" t="str">
        <f>VLOOKUP(Table1[[#This Row],[SyStudentId]],SSR!$A$2:$CC$4982,11,FALSE)</f>
        <v xml:space="preserve">32796     </v>
      </c>
      <c r="R11" s="118">
        <f>VLOOKUP(Table1[[#This Row],[SyStudentId]],SSR!$A$2:$CC$4982,15,FALSE)</f>
        <v>3.19</v>
      </c>
      <c r="S11" s="119">
        <f>VLOOKUP(Table1[[#This Row],[SyStudentId]],SSR!$A$2:$CC$4982,22,FALSE)</f>
        <v>44109</v>
      </c>
      <c r="T11" s="113" t="str">
        <f>VLOOKUP(Table1[[#This Row],[SyStudentId]],SSR!$A$2:$CC$4982,24,FALSE)</f>
        <v>JT</v>
      </c>
      <c r="U11" s="113" t="str">
        <f>IF(VLOOKUP(Table1[[#This Row],[SyStudentId]],SSR!$A$2:$CC$4982,26,FALSE)=0,"Not Selected",VLOOKUP(Table1[[#This Row],[SyStudentId]],SSR!$A$2:$CC$4982,26,FALSE))</f>
        <v>Male</v>
      </c>
      <c r="V11" s="113" t="str">
        <f>VLOOKUP(Table1[[#This Row],[SyStudentId]],SSR!$A$2:$CC$4982,27,FALSE)</f>
        <v xml:space="preserve">HS2020  </v>
      </c>
      <c r="W11" s="113" t="str">
        <f>VLOOKUP(LEFT(Table1[[#This Row],[LastName]],1),Alpha!$A$1:$B$26,2,FALSE)</f>
        <v>Maureen Ranks</v>
      </c>
      <c r="X11" s="149" t="str">
        <f>VLOOKUP(Table1[[#This Row],[FAA]],Alpha!$B$1:$D$26,2,FALSE)</f>
        <v>mranks@neumont.edu</v>
      </c>
      <c r="Y11" s="113">
        <f>VLOOKUP(Table1[[#This Row],[FAA]],Alpha!$B$1:$D$26,3,FALSE)</f>
        <v>8883022894</v>
      </c>
      <c r="Z11" s="113" t="str">
        <f>VLOOKUP(Table1[[#This Row],[SyStudentId]],SSR!$A$2:$CC$4982,30,FALSE)</f>
        <v>16-Accepted</v>
      </c>
      <c r="AA11" s="113" t="str">
        <f>IF(VLOOKUP(Table1[[#This Row],[SyStudentId]],SSR!$A$2:$CC$4982,36,FALSE)="Bachelor of Science","BS Computer Science","Check Program")</f>
        <v>BS Computer Science</v>
      </c>
      <c r="AB11" s="113">
        <f>VLOOKUP(Table1[[#This Row],[SyStudentId]],SSR!$A$2:$CC$4982,37,FALSE)</f>
        <v>0</v>
      </c>
      <c r="AC11" s="113" t="str">
        <f>VLOOKUP(Table1[[#This Row],[SyStudentId]],SSR!$A$2:$CC$4982,42,FALSE)</f>
        <v xml:space="preserve">980     </v>
      </c>
      <c r="AD11" s="113" t="str">
        <f>VLOOKUP(Table1[[#This Row],[SyStudentId]],SSR!$A$2:$CC$4982,46,FALSE)</f>
        <v>101</v>
      </c>
      <c r="AE11" s="113" t="str">
        <f>VLOOKUP(Table1[[#This Row],[SyStudentId]],SSR!$A$2:$CC$4982,65,FALSE)</f>
        <v>III</v>
      </c>
      <c r="AF11"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11" s="113" t="str">
        <f>VLOOKUP(Table1[[#This Row],[SyStudentId]],SSR!$A$2:$CC$4982,66,FALSE)</f>
        <v>November</v>
      </c>
      <c r="AH11" s="113" t="str">
        <f>IFERROR(VLOOKUP(Table1[[#This Row],[SyStudentId]],ISIR!$A$2:$X$999,7,FALSE),"")</f>
        <v/>
      </c>
      <c r="AI11" s="121" t="str">
        <f>IF(Table1[[#This Row],[EFCRaw]]="","",IF(Table1[[#This Row],[EFCRaw]]="No EFC","No EFC",_xlfn.NUMBERVALUE(Table1[[#This Row],[EFCRaw]])))</f>
        <v/>
      </c>
      <c r="AJ11" s="119" t="str">
        <f>IFERROR(VLOOKUP(Table1[[#This Row],[SyStudentId]],ISIR!$A$2:$X$4999,19,FALSE),"")</f>
        <v/>
      </c>
      <c r="AK11" s="113" t="str">
        <f>IFERROR(VLOOKUP(Table1[[#This Row],[SyStudentId]],ISIR!$A$2:$X$4999,8,FALSE),"")</f>
        <v/>
      </c>
      <c r="AL11" s="132" t="str">
        <f>IF(Table1[[#This Row],[VerReq]]="N","n/a","")</f>
        <v/>
      </c>
      <c r="AM11" s="122"/>
      <c r="AN11" s="122"/>
      <c r="AO11" s="122"/>
      <c r="AP11" s="122"/>
      <c r="AQ11" s="122"/>
      <c r="AR11" s="122"/>
      <c r="AS11" s="122"/>
      <c r="AT11" s="122"/>
      <c r="AU11" s="122"/>
      <c r="AV11" s="122"/>
      <c r="AW11" s="122"/>
      <c r="AX11" s="122"/>
      <c r="AY11" s="122"/>
      <c r="AZ11" s="122"/>
      <c r="BA11" s="122"/>
      <c r="BB11" s="122"/>
      <c r="BC11" s="133"/>
      <c r="BD11" s="140" t="str">
        <f>IF(Table1[[#This Row],[VerReq]]="N","x","")</f>
        <v/>
      </c>
      <c r="BE11" s="140" t="str">
        <f>IF(Table1[[#This Row],[VerReq]]="N","x","")</f>
        <v/>
      </c>
      <c r="BF11" s="140" t="str">
        <f>IF(Table1[[#This Row],[VerReq]]="N","x","")</f>
        <v/>
      </c>
      <c r="BG11" s="140" t="str">
        <f>IF(Table1[[#This Row],[VerReq]]="N","x","")</f>
        <v/>
      </c>
      <c r="BH11" s="140" t="str">
        <f>IF(Table1[[#This Row],[VerReq]]="N","x","")</f>
        <v/>
      </c>
      <c r="BI11" s="140" t="str">
        <f>IF(Table1[[#This Row],[VerReq]]="N","x","")</f>
        <v/>
      </c>
      <c r="BJ11" s="134">
        <f>1-((COUNTBLANK(Table1[[#This Row],[ALESent]:[TaxTran]]))/(COUNT(Table1[[#This Row],[ALESent]:[TaxTran]])+COUNTBLANK(Table1[[#This Row],[ALESent]:[TaxTran]])))</f>
        <v>0</v>
      </c>
      <c r="BK11" s="136">
        <f>IF(VLOOKUP(Table1[[#This Row],[SyStudentId]],SSR!$A$2:$CC$4982,22,FALSE)=44109,44109,"Check Program")</f>
        <v>44109</v>
      </c>
      <c r="BL11" s="124">
        <f>IF(Table1[[#This Row],[AYStart]]=44109,44356,"Check Program")</f>
        <v>44356</v>
      </c>
      <c r="BM11" s="219">
        <v>8505</v>
      </c>
      <c r="BN11" s="219">
        <v>8505</v>
      </c>
      <c r="BO11" s="219">
        <v>8505</v>
      </c>
      <c r="BP11" s="220">
        <f t="shared" si="0"/>
        <v>25515</v>
      </c>
      <c r="BQ11" s="221">
        <v>3300</v>
      </c>
      <c r="BR11" s="219">
        <v>400</v>
      </c>
      <c r="BS11" s="219">
        <v>400</v>
      </c>
      <c r="BT11" s="220">
        <f t="shared" si="1"/>
        <v>4100</v>
      </c>
      <c r="BU11" s="219">
        <v>2100</v>
      </c>
      <c r="BV11" s="219">
        <v>2100</v>
      </c>
      <c r="BW11" s="219">
        <v>2100</v>
      </c>
      <c r="BX11" s="220">
        <f t="shared" si="2"/>
        <v>6300</v>
      </c>
      <c r="BY11" s="275">
        <v>1200</v>
      </c>
      <c r="BZ11" s="275">
        <v>1200</v>
      </c>
      <c r="CA11" s="275">
        <v>1200</v>
      </c>
      <c r="CB11" s="220">
        <f>SUM(Table1[[#This Row],[LEQ1]:[LEQ3]])</f>
        <v>3600</v>
      </c>
      <c r="CC11" s="275"/>
      <c r="CD11" s="275"/>
      <c r="CE11" s="275"/>
      <c r="CF11" s="220">
        <f>SUM(Table1[[#This Row],[OthCostQ1]:[OthCostQ3]])</f>
        <v>0</v>
      </c>
      <c r="CG11" s="220">
        <f>(Table1[[#This Row],[T&amp;FTot]]+Table1[[#This Row],[B&amp;STot]]+Table1[[#This Row],[HousTot]]+Table1[[#This Row],[LETot]]+Table1[[#This Row],[OthCostTot]])</f>
        <v>39515</v>
      </c>
      <c r="CH11" s="250"/>
      <c r="CI11" s="250"/>
      <c r="CJ11" s="250"/>
      <c r="CK11" s="251">
        <f>SUM(Table1[[#This Row],[SEOGQ1]:[SEOGQ3]])</f>
        <v>0</v>
      </c>
      <c r="CL11" s="250">
        <f>IFERROR(ROUNDUP(Table1[[#This Row],[PellTot]]/3,0),0)</f>
        <v>0</v>
      </c>
      <c r="CM11" s="250">
        <f>IFERROR(ROUND(Table1[[#This Row],[PellTot]]/3,0),0)</f>
        <v>0</v>
      </c>
      <c r="CN11" s="250">
        <f>IFERROR(ROUNDDOWN(Table1[[#This Row],[PellTot]]/3,0),0)</f>
        <v>0</v>
      </c>
      <c r="CO11" s="251">
        <f>IFERROR(LOOKUP(Table1[EFC],Pell_Table[#Data],Pell_Table[Pell Amt]),0)</f>
        <v>0</v>
      </c>
      <c r="CP11" s="250">
        <f>Table1[[#This Row],[AccessTot]]/3</f>
        <v>0</v>
      </c>
      <c r="CQ11" s="250">
        <f>Table1[[#This Row],[AccessTot]]/3</f>
        <v>0</v>
      </c>
      <c r="CR11" s="250">
        <f>Table1[[#This Row],[AccessTot]]/3</f>
        <v>0</v>
      </c>
      <c r="CS11" s="251">
        <f>IF(Table1[[#This Row],[PellTot]]&gt;0,1500,0)</f>
        <v>0</v>
      </c>
      <c r="CT11" s="250">
        <f>Table1[[#This Row],[AchiTot]]/3</f>
        <v>1300</v>
      </c>
      <c r="CU11" s="250">
        <f>Table1[[#This Row],[AchiTot]]/3</f>
        <v>1300</v>
      </c>
      <c r="CV11" s="250">
        <f>Table1[[#This Row],[AchiTot]]/3</f>
        <v>1300</v>
      </c>
      <c r="CW11" s="252">
        <f>IF(Table1[[#This Row],[Rank]]="","",IF(Table1[[#This Row],[Rank]]=1,5100,IF(Table1[[#This Row],[Rank]]=2,4500,IF(Table1[[#This Row],[Rank]]=3,3900,IF(Table1[[#This Row],[Rank]]=4,3750,IF(Table1[[#This Row],[Rank]]=5,3000,IF(Table1[[#This Row],[Rank]]=6,2250,0)))))))</f>
        <v>3900</v>
      </c>
      <c r="CX11" s="250">
        <f>Table1[[#This Row],[UTTot]]/3</f>
        <v>0</v>
      </c>
      <c r="CY11" s="250">
        <f>Table1[[#This Row],[UTTot]]/3</f>
        <v>0</v>
      </c>
      <c r="CZ11" s="250">
        <f>Table1[[#This Row],[UTTot]]/3</f>
        <v>0</v>
      </c>
      <c r="DA11" s="251">
        <f>IF(Table1[[#This Row],[State]]="UT",9000,0)</f>
        <v>0</v>
      </c>
      <c r="DB11" s="250">
        <f>Table1[[#This Row],[WITTot]]/3</f>
        <v>0</v>
      </c>
      <c r="DC11" s="250">
        <f>Table1[[#This Row],[WITTot]]/3</f>
        <v>0</v>
      </c>
      <c r="DD11" s="250">
        <f>Table1[[#This Row],[WITTot]]/3</f>
        <v>0</v>
      </c>
      <c r="DE11" s="251">
        <f>IF(Table1[[#This Row],[Gender]]="Female",3000,0)</f>
        <v>0</v>
      </c>
      <c r="DF11" s="250">
        <f>Table1[[#This Row],[SerTot]]/3</f>
        <v>0</v>
      </c>
      <c r="DG11" s="250">
        <f>Table1[[#This Row],[SerTot]]/3</f>
        <v>0</v>
      </c>
      <c r="DH11" s="250">
        <f>Table1[[#This Row],[SerTot]]/3</f>
        <v>0</v>
      </c>
      <c r="DI11" s="252"/>
      <c r="DJ11" s="250"/>
      <c r="DK11" s="250"/>
      <c r="DL11" s="250"/>
      <c r="DM11" s="252"/>
      <c r="DN11" s="250">
        <f>Table1[[#This Row],[MatTot]]/3</f>
        <v>0</v>
      </c>
      <c r="DO11" s="250">
        <f>Table1[[#This Row],[MatTot]]/3</f>
        <v>0</v>
      </c>
      <c r="DP11" s="250">
        <f>Table1[[#This Row],[MatTot]]/3</f>
        <v>0</v>
      </c>
      <c r="DQ11" s="252"/>
      <c r="DR11" s="250">
        <f>Table1[[#This Row],[OutTot]]/3</f>
        <v>0</v>
      </c>
      <c r="DS11" s="250">
        <f>Table1[[#This Row],[OutTot]]/3</f>
        <v>0</v>
      </c>
      <c r="DT11" s="250">
        <f>Table1[[#This Row],[OutTot]]/3</f>
        <v>0</v>
      </c>
      <c r="DU11" s="252"/>
      <c r="DV11" s="250"/>
      <c r="DW11" s="250"/>
      <c r="DX11" s="250"/>
      <c r="DY11" s="252">
        <f>SUM(Table1[[#This Row],[VAQ1]:[VAQ3]])</f>
        <v>0</v>
      </c>
      <c r="DZ11" s="250"/>
      <c r="EA11" s="250"/>
      <c r="EB11" s="250"/>
      <c r="EC11" s="252">
        <f>SUM(Table1[[#This Row],[OthGrantQ1]:[OthGrantQ3]])</f>
        <v>0</v>
      </c>
      <c r="ED11" s="263">
        <f>Table1[[#This Row],[SEOGTot]]+Table1[[#This Row],[PellTot]]+Table1[[#This Row],[AccessTot]]+Table1[[#This Row],[AchiTot]]+Table1[[#This Row],[UTTot]]+Table1[[#This Row],[WITTot]]+Table1[[#This Row],[SerTot]]+Table1[[#This Row],[TranTot]]+Table1[[#This Row],[MatTot]]+Table1[[#This Row],[OutTot]]+Table1[[#This Row],[VATot]]+Table1[[#This Row],[OthGrantTot]]</f>
        <v>3900</v>
      </c>
      <c r="EE11" s="249"/>
      <c r="EF11" s="237"/>
      <c r="EG11" s="237"/>
      <c r="EH11" s="232">
        <f>SUM(Table1[[#This Row],[CashQ1]]:Table1[[#This Row],[CashQ3]])</f>
        <v>0</v>
      </c>
      <c r="EI11" s="271">
        <f>ROUND((Table1[[#This Row],[SubTot]]/3)/1.01059,0)</f>
        <v>0</v>
      </c>
      <c r="EJ11" s="234">
        <f>ROUND((Table1[[#This Row],[SubTot]]/3)/1.01059,0)</f>
        <v>0</v>
      </c>
      <c r="EK11" s="234">
        <f>ROUNDUP((Table1[[#This Row],[SubTot]]/3)/1.01059,0)</f>
        <v>0</v>
      </c>
      <c r="EL11" s="235"/>
      <c r="EM11" s="240">
        <f>Table1[[#This Row],[SubTot]]*0.01059</f>
        <v>0</v>
      </c>
      <c r="EN11" s="234">
        <f>ROUND((Table1[[#This Row],[UnsubTot]]/3)/1.01062,0)</f>
        <v>660</v>
      </c>
      <c r="EO11" s="234">
        <f>ROUND((Table1[[#This Row],[UnsubTot]]/3)/1.01062,0)</f>
        <v>660</v>
      </c>
      <c r="EP11" s="234">
        <f>ROUNDDOWN((Table1[[#This Row],[UnsubTot]]/3)/1.01062,0)</f>
        <v>659</v>
      </c>
      <c r="EQ11" s="235">
        <f>IF(Table1[D/I]="I",6000,2000)</f>
        <v>2000</v>
      </c>
      <c r="ER11" s="240">
        <f>Table1[[#This Row],[UnsubTot]]*0.01062</f>
        <v>21.24</v>
      </c>
      <c r="ES11" s="234">
        <f>ROUND((Table1[[#This Row],[PLUSTot]]/3)/1.04248,0)</f>
        <v>0</v>
      </c>
      <c r="ET11" s="234">
        <f>ROUND((Table1[[#This Row],[PLUSTot]]/3)/1.04248,0)</f>
        <v>0</v>
      </c>
      <c r="EU11" s="234">
        <f>ROUND((Table1[[#This Row],[PLUSTot]]/3)/1.04248,0)</f>
        <v>0</v>
      </c>
      <c r="EV11" s="235"/>
      <c r="EW11" s="239">
        <f>Table1[[#This Row],[PLUSTot]]*0.04248</f>
        <v>0</v>
      </c>
      <c r="EX11" s="237"/>
      <c r="EY11" s="237"/>
      <c r="EZ11" s="237"/>
      <c r="FA11" s="232">
        <f>SUM(Table1[[#This Row],[PrivQ1]:[PrivQ3]])</f>
        <v>0</v>
      </c>
      <c r="FB11" s="237"/>
      <c r="FC11" s="237"/>
      <c r="FD11" s="237"/>
      <c r="FE11" s="232">
        <f>SUM(Table1[[#This Row],[TOQ1]:[TOQ3]])</f>
        <v>0</v>
      </c>
      <c r="FF11" s="237"/>
      <c r="FG11" s="237"/>
      <c r="FH11" s="237"/>
      <c r="FI11" s="232">
        <f>SUM(Table1[[#This Row],[OFundQ1]:[OFundQ3]])</f>
        <v>0</v>
      </c>
      <c r="FJ11" s="238">
        <f>(Table1[[#This Row],[SubTot]]-Table1[[#This Row],[SubFee]])+(Table1[[#This Row],[UnsubTot]]-Table1[[#This Row],[UnsubFee]])+(Table1[[#This Row],[PLUSTot]]-Table1[[#This Row],[PLUSFee]])+Table1[[#This Row],[PrivTot]]+Table1[[#This Row],[TOTot]]+Table1[[#This Row],[OFundTot]]</f>
        <v>1978.76</v>
      </c>
      <c r="FK11" s="125">
        <f>Table1[[#This Row],[CostTot]]-Table1[[#This Row],[GiftTot]]</f>
        <v>35615</v>
      </c>
      <c r="FL11" s="139">
        <f>Table1[[#This Row],[NetNeed]]/(1-0.04248)</f>
        <v>35128.49862143871</v>
      </c>
      <c r="FM11" s="131">
        <f>Table1[[#This Row],[NetCost]]-Table1[[#This Row],[CashTot]]-(Table1[[#This Row],[SubTot]]-Table1[[#This Row],[SubFee]])-(Table1[[#This Row],[UnsubTot]]-Table1[[#This Row],[UnsubFee]])-(Table1[[#This Row],[PLUSTot]]-Table1[[#This Row],[PLUSFee]])-Table1[[#This Row],[PrivTot]]-Table1[[#This Row],[TOTot]]-Table1[[#This Row],[OFundTot]]</f>
        <v>33636.239999999998</v>
      </c>
      <c r="FN11" s="161"/>
      <c r="FO11" s="113"/>
      <c r="FP11" s="113"/>
    </row>
    <row r="12" spans="1:172" s="160" customFormat="1" ht="15" x14ac:dyDescent="0.25">
      <c r="A12" s="267">
        <v>192885</v>
      </c>
      <c r="B12" s="113" t="str">
        <f>VLOOKUP(Table1[[#This Row],[SyStudentId]],SSR!$A$2:$CC$4982,4,FALSE)</f>
        <v>Martinez</v>
      </c>
      <c r="C12" s="113" t="str">
        <f>VLOOKUP(Table1[[#This Row],[SyStudentId]],SSR!$A$2:$CC$4982,5,FALSE)</f>
        <v>Lamberto</v>
      </c>
      <c r="D12" s="113" t="str">
        <f>VLOOKUP(Table1[[#This Row],[SyStudentId]],SSR!$A$2:$CC$4982,6,FALSE)</f>
        <v>Martinez, Lamberto</v>
      </c>
      <c r="E12" s="113" t="str">
        <f>CONCATENATE(Table1[[#This Row],[FirstName]]," ",Table1[[#This Row],[LastName]])</f>
        <v>Lamberto Martinez</v>
      </c>
      <c r="F12" s="112">
        <v>1</v>
      </c>
      <c r="G12" s="114">
        <v>43782</v>
      </c>
      <c r="H12" s="114">
        <v>43782</v>
      </c>
      <c r="I12" s="114">
        <v>43782</v>
      </c>
      <c r="J12" s="115"/>
      <c r="K12" s="116"/>
      <c r="L12" s="112" t="str">
        <f>IFERROR(VLOOKUP(Table1[[#This Row],[SyStudentId]],ISIR!$A$2:$X$999,11,FALSE),"")</f>
        <v/>
      </c>
      <c r="M12" s="113" t="str">
        <f>VLOOKUP(Table1[[#This Row],[SyStudentId]],SSR!$A$2:$CC$4982,7,FALSE)</f>
        <v>MARTINEZLAMBERTO11@GMAIL.COM</v>
      </c>
      <c r="N12" s="113" t="str">
        <f>VLOOKUP(Table1[[#This Row],[SyStudentId]],SSR!$A$2:$CC$4982,8,FALSE)</f>
        <v>1617 E Avenue R12</v>
      </c>
      <c r="O12" s="113" t="str">
        <f>VLOOKUP(Table1[[#This Row],[SyStudentId]],SSR!$A$2:$CC$4982,9,FALSE)</f>
        <v>Palmdale</v>
      </c>
      <c r="P12" s="290" t="str">
        <f>VLOOKUP(Table1[[#This Row],[SyStudentId]],SSR!$A$2:$CC$4982,10,FALSE)</f>
        <v>CA</v>
      </c>
      <c r="Q12" s="117" t="str">
        <f>VLOOKUP(Table1[[#This Row],[SyStudentId]],SSR!$A$2:$CC$4982,11,FALSE)</f>
        <v>93550-6964</v>
      </c>
      <c r="R12" s="118">
        <f>VLOOKUP(Table1[[#This Row],[SyStudentId]],SSR!$A$2:$CC$4982,15,FALSE)</f>
        <v>2.75</v>
      </c>
      <c r="S12" s="119">
        <f>VLOOKUP(Table1[[#This Row],[SyStudentId]],SSR!$A$2:$CC$4982,22,FALSE)</f>
        <v>44109</v>
      </c>
      <c r="T12" s="113" t="str">
        <f>VLOOKUP(Table1[[#This Row],[SyStudentId]],SSR!$A$2:$CC$4982,24,FALSE)</f>
        <v>JT</v>
      </c>
      <c r="U12" s="113" t="str">
        <f>IF(VLOOKUP(Table1[[#This Row],[SyStudentId]],SSR!$A$2:$CC$4982,26,FALSE)=0,"Not Selected",VLOOKUP(Table1[[#This Row],[SyStudentId]],SSR!$A$2:$CC$4982,26,FALSE))</f>
        <v>Male</v>
      </c>
      <c r="V12" s="113" t="str">
        <f>VLOOKUP(Table1[[#This Row],[SyStudentId]],SSR!$A$2:$CC$4982,27,FALSE)</f>
        <v xml:space="preserve">HS2020  </v>
      </c>
      <c r="W12" s="113" t="str">
        <f>VLOOKUP(LEFT(Table1[[#This Row],[LastName]],1),Alpha!$A$1:$B$26,2,FALSE)</f>
        <v>Maureen Ranks</v>
      </c>
      <c r="X12" s="149" t="str">
        <f>VLOOKUP(Table1[[#This Row],[FAA]],Alpha!$B$1:$D$26,2,FALSE)</f>
        <v>mranks@neumont.edu</v>
      </c>
      <c r="Y12" s="113">
        <f>VLOOKUP(Table1[[#This Row],[FAA]],Alpha!$B$1:$D$26,3,FALSE)</f>
        <v>8883022894</v>
      </c>
      <c r="Z12" s="113" t="str">
        <f>VLOOKUP(Table1[[#This Row],[SyStudentId]],SSR!$A$2:$CC$4982,30,FALSE)</f>
        <v>16-Accepted</v>
      </c>
      <c r="AA12" s="113" t="str">
        <f>IF(VLOOKUP(Table1[[#This Row],[SyStudentId]],SSR!$A$2:$CC$4982,36,FALSE)="Bachelor of Science","BS Computer Science","Check Program")</f>
        <v>BS Computer Science</v>
      </c>
      <c r="AB12" s="113">
        <f>VLOOKUP(Table1[[#This Row],[SyStudentId]],SSR!$A$2:$CC$4982,37,FALSE)</f>
        <v>0</v>
      </c>
      <c r="AC12" s="113" t="str">
        <f>VLOOKUP(Table1[[#This Row],[SyStudentId]],SSR!$A$2:$CC$4982,42,FALSE)</f>
        <v xml:space="preserve">980     </v>
      </c>
      <c r="AD12" s="113" t="str">
        <f>VLOOKUP(Table1[[#This Row],[SyStudentId]],SSR!$A$2:$CC$4982,46,FALSE)</f>
        <v>94</v>
      </c>
      <c r="AE12" s="113" t="str">
        <f>VLOOKUP(Table1[[#This Row],[SyStudentId]],SSR!$A$2:$CC$4982,65,FALSE)</f>
        <v>VI</v>
      </c>
      <c r="AF12"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6</v>
      </c>
      <c r="AG12" s="113" t="str">
        <f>VLOOKUP(Table1[[#This Row],[SyStudentId]],SSR!$A$2:$CC$4982,66,FALSE)</f>
        <v>July-October</v>
      </c>
      <c r="AH12" s="113" t="str">
        <f>IFERROR(VLOOKUP(Table1[[#This Row],[SyStudentId]],ISIR!$A$2:$X$999,7,FALSE),"")</f>
        <v/>
      </c>
      <c r="AI12" s="121" t="str">
        <f>IF(Table1[[#This Row],[EFCRaw]]="","",IF(Table1[[#This Row],[EFCRaw]]="No EFC","No EFC",_xlfn.NUMBERVALUE(Table1[[#This Row],[EFCRaw]])))</f>
        <v/>
      </c>
      <c r="AJ12" s="119" t="str">
        <f>IFERROR(VLOOKUP(Table1[[#This Row],[SyStudentId]],ISIR!$A$2:$X$4999,19,FALSE),"")</f>
        <v/>
      </c>
      <c r="AK12" s="113" t="str">
        <f>IFERROR(VLOOKUP(Table1[[#This Row],[SyStudentId]],ISIR!$A$2:$X$4999,8,FALSE),"")</f>
        <v/>
      </c>
      <c r="AL12" s="132" t="str">
        <f>IF(Table1[[#This Row],[VerReq]]="N","n/a","")</f>
        <v/>
      </c>
      <c r="AM12" s="122"/>
      <c r="AN12" s="122"/>
      <c r="AO12" s="122"/>
      <c r="AP12" s="122"/>
      <c r="AQ12" s="122"/>
      <c r="AR12" s="122"/>
      <c r="AS12" s="122"/>
      <c r="AT12" s="122"/>
      <c r="AU12" s="122"/>
      <c r="AV12" s="122"/>
      <c r="AW12" s="122"/>
      <c r="AX12" s="122"/>
      <c r="AY12" s="122"/>
      <c r="AZ12" s="122"/>
      <c r="BA12" s="122"/>
      <c r="BB12" s="122"/>
      <c r="BC12" s="133"/>
      <c r="BD12" s="140" t="str">
        <f>IF(Table1[[#This Row],[VerReq]]="N","x","")</f>
        <v/>
      </c>
      <c r="BE12" s="140" t="str">
        <f>IF(Table1[[#This Row],[VerReq]]="N","x","")</f>
        <v/>
      </c>
      <c r="BF12" s="140" t="str">
        <f>IF(Table1[[#This Row],[VerReq]]="N","x","")</f>
        <v/>
      </c>
      <c r="BG12" s="140" t="str">
        <f>IF(Table1[[#This Row],[VerReq]]="N","x","")</f>
        <v/>
      </c>
      <c r="BH12" s="140" t="str">
        <f>IF(Table1[[#This Row],[VerReq]]="N","x","")</f>
        <v/>
      </c>
      <c r="BI12" s="140" t="str">
        <f>IF(Table1[[#This Row],[VerReq]]="N","x","")</f>
        <v/>
      </c>
      <c r="BJ12" s="134">
        <f>1-((COUNTBLANK(Table1[[#This Row],[ALESent]:[TaxTran]]))/(COUNT(Table1[[#This Row],[ALESent]:[TaxTran]])+COUNTBLANK(Table1[[#This Row],[ALESent]:[TaxTran]])))</f>
        <v>0</v>
      </c>
      <c r="BK12" s="136">
        <f>IF(VLOOKUP(Table1[[#This Row],[SyStudentId]],SSR!$A$2:$CC$4982,22,FALSE)=44109,44109,"Check Program")</f>
        <v>44109</v>
      </c>
      <c r="BL12" s="124">
        <f>IF(Table1[[#This Row],[AYStart]]=44109,44356,"Check Program")</f>
        <v>44356</v>
      </c>
      <c r="BM12" s="219">
        <v>8505</v>
      </c>
      <c r="BN12" s="219">
        <v>8505</v>
      </c>
      <c r="BO12" s="219">
        <v>8505</v>
      </c>
      <c r="BP12" s="220">
        <f t="shared" si="0"/>
        <v>25515</v>
      </c>
      <c r="BQ12" s="221">
        <v>3300</v>
      </c>
      <c r="BR12" s="219">
        <v>400</v>
      </c>
      <c r="BS12" s="219">
        <v>400</v>
      </c>
      <c r="BT12" s="220">
        <f t="shared" si="1"/>
        <v>4100</v>
      </c>
      <c r="BU12" s="219">
        <v>2100</v>
      </c>
      <c r="BV12" s="219">
        <v>2100</v>
      </c>
      <c r="BW12" s="219">
        <v>2100</v>
      </c>
      <c r="BX12" s="220">
        <f t="shared" si="2"/>
        <v>6300</v>
      </c>
      <c r="BY12" s="275">
        <v>1200</v>
      </c>
      <c r="BZ12" s="275">
        <v>1200</v>
      </c>
      <c r="CA12" s="275">
        <v>1200</v>
      </c>
      <c r="CB12" s="220">
        <f>SUM(Table1[[#This Row],[LEQ1]:[LEQ3]])</f>
        <v>3600</v>
      </c>
      <c r="CC12" s="275">
        <v>0</v>
      </c>
      <c r="CD12" s="275">
        <v>0</v>
      </c>
      <c r="CE12" s="275">
        <v>0</v>
      </c>
      <c r="CF12" s="220">
        <f>SUM(Table1[[#This Row],[OthCostQ1]:[OthCostQ3]])</f>
        <v>0</v>
      </c>
      <c r="CG12" s="220">
        <f>(Table1[[#This Row],[T&amp;FTot]]+Table1[[#This Row],[B&amp;STot]]+Table1[[#This Row],[HousTot]]+Table1[[#This Row],[LETot]]+Table1[[#This Row],[OthCostTot]])</f>
        <v>39515</v>
      </c>
      <c r="CH12" s="250"/>
      <c r="CI12" s="250"/>
      <c r="CJ12" s="250"/>
      <c r="CK12" s="251">
        <f>SUM(Table1[[#This Row],[SEOGQ1]:[SEOGQ3]])</f>
        <v>0</v>
      </c>
      <c r="CL12" s="250">
        <f>IFERROR(ROUNDUP(Table1[[#This Row],[PellTot]]/3,0),0)</f>
        <v>0</v>
      </c>
      <c r="CM12" s="250">
        <f>IFERROR(ROUND(Table1[[#This Row],[PellTot]]/3,0),0)</f>
        <v>0</v>
      </c>
      <c r="CN12" s="250">
        <f>IFERROR(ROUNDDOWN(Table1[[#This Row],[PellTot]]/3,0),0)</f>
        <v>0</v>
      </c>
      <c r="CO12" s="251">
        <f>IFERROR(LOOKUP(Table1[EFC],Pell_Table[#Data],Pell_Table[Pell Amt]),0)</f>
        <v>0</v>
      </c>
      <c r="CP12" s="250">
        <f>Table1[[#This Row],[AccessTot]]/3</f>
        <v>0</v>
      </c>
      <c r="CQ12" s="250">
        <f>Table1[[#This Row],[AccessTot]]/3</f>
        <v>0</v>
      </c>
      <c r="CR12" s="250">
        <f>Table1[[#This Row],[AccessTot]]/3</f>
        <v>0</v>
      </c>
      <c r="CS12" s="251">
        <f>IF(Table1[[#This Row],[PellTot]]&gt;0,1500,0)</f>
        <v>0</v>
      </c>
      <c r="CT12" s="250">
        <f>Table1[[#This Row],[AchiTot]]/3</f>
        <v>750</v>
      </c>
      <c r="CU12" s="250">
        <f>Table1[[#This Row],[AchiTot]]/3</f>
        <v>750</v>
      </c>
      <c r="CV12" s="250">
        <f>Table1[[#This Row],[AchiTot]]/3</f>
        <v>750</v>
      </c>
      <c r="CW12" s="252">
        <f>IF(Table1[[#This Row],[Rank]]="","",IF(Table1[[#This Row],[Rank]]=1,5100,IF(Table1[[#This Row],[Rank]]=2,4500,IF(Table1[[#This Row],[Rank]]=3,3900,IF(Table1[[#This Row],[Rank]]=4,3750,IF(Table1[[#This Row],[Rank]]=5,3000,IF(Table1[[#This Row],[Rank]]=6,2250,0)))))))</f>
        <v>2250</v>
      </c>
      <c r="CX12" s="250">
        <f>Table1[[#This Row],[UTTot]]/3</f>
        <v>0</v>
      </c>
      <c r="CY12" s="250">
        <f>Table1[[#This Row],[UTTot]]/3</f>
        <v>0</v>
      </c>
      <c r="CZ12" s="250">
        <f>Table1[[#This Row],[UTTot]]/3</f>
        <v>0</v>
      </c>
      <c r="DA12" s="251">
        <f>IF(Table1[[#This Row],[State]]="UT",9000,0)</f>
        <v>0</v>
      </c>
      <c r="DB12" s="250">
        <f>Table1[[#This Row],[WITTot]]/3</f>
        <v>0</v>
      </c>
      <c r="DC12" s="250">
        <f>Table1[[#This Row],[WITTot]]/3</f>
        <v>0</v>
      </c>
      <c r="DD12" s="250">
        <f>Table1[[#This Row],[WITTot]]/3</f>
        <v>0</v>
      </c>
      <c r="DE12" s="251">
        <f>IF(Table1[[#This Row],[Gender]]="Female",3000,0)</f>
        <v>0</v>
      </c>
      <c r="DF12" s="250">
        <f>Table1[[#This Row],[SerTot]]/3</f>
        <v>0</v>
      </c>
      <c r="DG12" s="250">
        <f>Table1[[#This Row],[SerTot]]/3</f>
        <v>0</v>
      </c>
      <c r="DH12" s="250">
        <f>Table1[[#This Row],[SerTot]]/3</f>
        <v>0</v>
      </c>
      <c r="DI12" s="252"/>
      <c r="DJ12" s="250"/>
      <c r="DK12" s="250"/>
      <c r="DL12" s="250"/>
      <c r="DM12" s="252"/>
      <c r="DN12" s="250">
        <f>Table1[[#This Row],[MatTot]]/3</f>
        <v>0</v>
      </c>
      <c r="DO12" s="250">
        <f>Table1[[#This Row],[MatTot]]/3</f>
        <v>0</v>
      </c>
      <c r="DP12" s="250">
        <f>Table1[[#This Row],[MatTot]]/3</f>
        <v>0</v>
      </c>
      <c r="DQ12" s="252">
        <v>0</v>
      </c>
      <c r="DR12" s="250">
        <f>Table1[[#This Row],[OutTot]]/3</f>
        <v>0</v>
      </c>
      <c r="DS12" s="250">
        <f>Table1[[#This Row],[OutTot]]/3</f>
        <v>0</v>
      </c>
      <c r="DT12" s="250">
        <f>Table1[[#This Row],[OutTot]]/3</f>
        <v>0</v>
      </c>
      <c r="DU12" s="252">
        <v>0</v>
      </c>
      <c r="DV12" s="250">
        <v>0</v>
      </c>
      <c r="DW12" s="250">
        <v>0</v>
      </c>
      <c r="DX12" s="250">
        <v>0</v>
      </c>
      <c r="DY12" s="252">
        <f>SUM(Table1[[#This Row],[VAQ1]:[VAQ3]])</f>
        <v>0</v>
      </c>
      <c r="DZ12" s="250">
        <v>0</v>
      </c>
      <c r="EA12" s="250">
        <v>0</v>
      </c>
      <c r="EB12" s="250">
        <v>0</v>
      </c>
      <c r="EC12" s="252">
        <f>SUM(Table1[[#This Row],[OthGrantQ1]:[OthGrantQ3]])</f>
        <v>0</v>
      </c>
      <c r="ED12" s="263">
        <f>Table1[[#This Row],[SEOGTot]]+Table1[[#This Row],[PellTot]]+Table1[[#This Row],[AccessTot]]+Table1[[#This Row],[AchiTot]]+Table1[[#This Row],[UTTot]]+Table1[[#This Row],[WITTot]]+Table1[[#This Row],[SerTot]]+Table1[[#This Row],[TranTot]]+Table1[[#This Row],[MatTot]]+Table1[[#This Row],[OutTot]]+Table1[[#This Row],[VATot]]+Table1[[#This Row],[OthGrantTot]]</f>
        <v>2250</v>
      </c>
      <c r="EE12" s="249"/>
      <c r="EF12" s="237"/>
      <c r="EG12" s="237"/>
      <c r="EH12" s="232">
        <f>SUM(Table1[[#This Row],[CashQ1]]:Table1[[#This Row],[CashQ3]])</f>
        <v>0</v>
      </c>
      <c r="EI12" s="271">
        <f>ROUND((Table1[[#This Row],[SubTot]]/3)/1.01059,0)</f>
        <v>1154</v>
      </c>
      <c r="EJ12" s="234">
        <f>ROUND((Table1[[#This Row],[SubTot]]/3)/1.01059,0)</f>
        <v>1154</v>
      </c>
      <c r="EK12" s="234">
        <f>ROUNDUP((Table1[[#This Row],[SubTot]]/3)/1.01059,0)</f>
        <v>1155</v>
      </c>
      <c r="EL12" s="235">
        <v>3500</v>
      </c>
      <c r="EM12" s="240">
        <f>Table1[[#This Row],[SubTot]]*0.01059</f>
        <v>37.065000000000005</v>
      </c>
      <c r="EN12" s="234">
        <f>ROUND((Table1[[#This Row],[UnsubTot]]/3)/1.01062,0)</f>
        <v>660</v>
      </c>
      <c r="EO12" s="234">
        <f>ROUND((Table1[[#This Row],[UnsubTot]]/3)/1.01062,0)</f>
        <v>660</v>
      </c>
      <c r="EP12" s="234">
        <f>ROUNDDOWN((Table1[[#This Row],[UnsubTot]]/3)/1.01062,0)</f>
        <v>659</v>
      </c>
      <c r="EQ12" s="235">
        <f>IF(Table1[D/I]="I",6000,2000)</f>
        <v>2000</v>
      </c>
      <c r="ER12" s="240">
        <f>Table1[[#This Row],[UnsubTot]]*0.01059</f>
        <v>21.18</v>
      </c>
      <c r="ES12" s="234">
        <f>ROUND((Table1[[#This Row],[PLUSTot]]/3)/1.04236,0)</f>
        <v>0</v>
      </c>
      <c r="ET12" s="234">
        <f>ROUND((Table1[[#This Row],[PLUSTot]]/3)/1.04236,0)</f>
        <v>0</v>
      </c>
      <c r="EU12" s="234">
        <f>ROUND((Table1[[#This Row],[PLUSTot]]/3)/1.04236,0)</f>
        <v>0</v>
      </c>
      <c r="EV12" s="235">
        <v>0</v>
      </c>
      <c r="EW12" s="239">
        <f>Table1[[#This Row],[PLUSTot]]*0.04248</f>
        <v>0</v>
      </c>
      <c r="EX12" s="237"/>
      <c r="EY12" s="237"/>
      <c r="EZ12" s="237"/>
      <c r="FA12" s="232">
        <f>SUM(Table1[[#This Row],[PrivQ1]:[PrivQ3]])</f>
        <v>0</v>
      </c>
      <c r="FB12" s="237"/>
      <c r="FC12" s="237"/>
      <c r="FD12" s="237"/>
      <c r="FE12" s="232">
        <f>SUM(Table1[[#This Row],[TOQ1]:[TOQ3]])</f>
        <v>0</v>
      </c>
      <c r="FF12" s="237"/>
      <c r="FG12" s="237"/>
      <c r="FH12" s="237"/>
      <c r="FI12" s="232">
        <f>SUM(Table1[[#This Row],[OFundQ1]:[OFundQ3]])</f>
        <v>0</v>
      </c>
      <c r="FJ12" s="238">
        <f>(Table1[[#This Row],[SubTot]]-Table1[[#This Row],[SubFee]])+(Table1[[#This Row],[UnsubTot]]-Table1[[#This Row],[UnsubFee]])+(Table1[[#This Row],[PLUSTot]]-Table1[[#This Row],[PLUSFee]])+Table1[[#This Row],[PrivTot]]+Table1[[#This Row],[TOTot]]+Table1[[#This Row],[OFundTot]]</f>
        <v>5441.7550000000001</v>
      </c>
      <c r="FK12" s="125">
        <f>Table1[[#This Row],[CostTot]]-Table1[[#This Row],[GiftTot]]</f>
        <v>37265</v>
      </c>
      <c r="FL12" s="139">
        <f>Table1[[#This Row],[NetNeed]]/(1-0.04248)</f>
        <v>33235.070807920463</v>
      </c>
      <c r="FM12" s="131">
        <f>Table1[[#This Row],[NetCost]]-Table1[[#This Row],[CashTot]]-(Table1[[#This Row],[SubTot]]-Table1[[#This Row],[SubFee]])-(Table1[[#This Row],[UnsubTot]]-Table1[[#This Row],[UnsubFee]])-(Table1[[#This Row],[PLUSTot]]-Table1[[#This Row],[PLUSFee]])-Table1[[#This Row],[PrivTot]]-Table1[[#This Row],[TOTot]]-Table1[[#This Row],[OFundTot]]</f>
        <v>31823.245000000003</v>
      </c>
      <c r="FN12" s="161"/>
      <c r="FO12" s="113"/>
      <c r="FP12" s="113"/>
    </row>
    <row r="13" spans="1:172" s="160" customFormat="1" ht="15" x14ac:dyDescent="0.25">
      <c r="A13" s="267">
        <v>194422</v>
      </c>
      <c r="B13" s="113" t="str">
        <f>VLOOKUP(Table1[[#This Row],[SyStudentId]],SSR!$A$2:$CC$4982,4,FALSE)</f>
        <v>Martinez</v>
      </c>
      <c r="C13" s="113" t="str">
        <f>VLOOKUP(Table1[[#This Row],[SyStudentId]],SSR!$A$2:$CC$4982,5,FALSE)</f>
        <v>Nancy</v>
      </c>
      <c r="D13" s="113" t="str">
        <f>VLOOKUP(Table1[[#This Row],[SyStudentId]],SSR!$A$2:$CC$4982,6,FALSE)</f>
        <v>Martinez, Nancy</v>
      </c>
      <c r="E13" s="113" t="str">
        <f>CONCATENATE(Table1[[#This Row],[FirstName]]," ",Table1[[#This Row],[LastName]])</f>
        <v>Nancy Martinez</v>
      </c>
      <c r="F13" s="112">
        <v>1</v>
      </c>
      <c r="G13" s="114"/>
      <c r="H13" s="114"/>
      <c r="I13" s="114">
        <v>43782</v>
      </c>
      <c r="J13" s="115"/>
      <c r="K13" s="116"/>
      <c r="L13" s="112" t="str">
        <f>IFERROR(VLOOKUP(Table1[[#This Row],[SyStudentId]],ISIR!$A$2:$X$999,11,FALSE),"")</f>
        <v/>
      </c>
      <c r="M13" s="113" t="str">
        <f>VLOOKUP(Table1[[#This Row],[SyStudentId]],SSR!$A$2:$CC$4982,7,FALSE)</f>
        <v>nancymartinez0718@icloud.com</v>
      </c>
      <c r="N13" s="113" t="str">
        <f>VLOOKUP(Table1[[#This Row],[SyStudentId]],SSR!$A$2:$CC$4982,8,FALSE)</f>
        <v>2332 Mesa Street</v>
      </c>
      <c r="O13" s="113" t="str">
        <f>VLOOKUP(Table1[[#This Row],[SyStudentId]],SSR!$A$2:$CC$4982,9,FALSE)</f>
        <v>San Bernardino</v>
      </c>
      <c r="P13" s="290" t="str">
        <f>VLOOKUP(Table1[[#This Row],[SyStudentId]],SSR!$A$2:$CC$4982,10,FALSE)</f>
        <v>CA</v>
      </c>
      <c r="Q13" s="117" t="str">
        <f>VLOOKUP(Table1[[#This Row],[SyStudentId]],SSR!$A$2:$CC$4982,11,FALSE)</f>
        <v xml:space="preserve">92407     </v>
      </c>
      <c r="R13" s="118">
        <f>VLOOKUP(Table1[[#This Row],[SyStudentId]],SSR!$A$2:$CC$4982,15,FALSE)</f>
        <v>3.32</v>
      </c>
      <c r="S13" s="119">
        <f>VLOOKUP(Table1[[#This Row],[SyStudentId]],SSR!$A$2:$CC$4982,22,FALSE)</f>
        <v>44109</v>
      </c>
      <c r="T13" s="113" t="str">
        <f>VLOOKUP(Table1[[#This Row],[SyStudentId]],SSR!$A$2:$CC$4982,24,FALSE)</f>
        <v>JT</v>
      </c>
      <c r="U13" s="113" t="str">
        <f>IF(VLOOKUP(Table1[[#This Row],[SyStudentId]],SSR!$A$2:$CC$4982,26,FALSE)=0,"Not Selected",VLOOKUP(Table1[[#This Row],[SyStudentId]],SSR!$A$2:$CC$4982,26,FALSE))</f>
        <v>Female</v>
      </c>
      <c r="V13" s="113" t="str">
        <f>VLOOKUP(Table1[[#This Row],[SyStudentId]],SSR!$A$2:$CC$4982,27,FALSE)</f>
        <v xml:space="preserve">HS2020  </v>
      </c>
      <c r="W13" s="113" t="str">
        <f>VLOOKUP(LEFT(Table1[[#This Row],[LastName]],1),Alpha!$A$1:$B$26,2,FALSE)</f>
        <v>Maureen Ranks</v>
      </c>
      <c r="X13" s="149" t="str">
        <f>VLOOKUP(Table1[[#This Row],[FAA]],Alpha!$B$1:$D$26,2,FALSE)</f>
        <v>mranks@neumont.edu</v>
      </c>
      <c r="Y13" s="113">
        <f>VLOOKUP(Table1[[#This Row],[FAA]],Alpha!$B$1:$D$26,3,FALSE)</f>
        <v>8883022894</v>
      </c>
      <c r="Z13" s="113" t="str">
        <f>VLOOKUP(Table1[[#This Row],[SyStudentId]],SSR!$A$2:$CC$4982,30,FALSE)</f>
        <v>16-Accepted</v>
      </c>
      <c r="AA13" s="113" t="str">
        <f>IF(VLOOKUP(Table1[[#This Row],[SyStudentId]],SSR!$A$2:$CC$4982,36,FALSE)="Bachelor of Science","BS Computer Science","Check Program")</f>
        <v>BS Computer Science</v>
      </c>
      <c r="AB13" s="113">
        <f>VLOOKUP(Table1[[#This Row],[SyStudentId]],SSR!$A$2:$CC$4982,37,FALSE)</f>
        <v>0</v>
      </c>
      <c r="AC13" s="113" t="str">
        <f>VLOOKUP(Table1[[#This Row],[SyStudentId]],SSR!$A$2:$CC$4982,42,FALSE)</f>
        <v xml:space="preserve">1050    </v>
      </c>
      <c r="AD13" s="113" t="str">
        <f>VLOOKUP(Table1[[#This Row],[SyStudentId]],SSR!$A$2:$CC$4982,46,FALSE)</f>
        <v>106</v>
      </c>
      <c r="AE13" s="113" t="str">
        <f>VLOOKUP(Table1[[#This Row],[SyStudentId]],SSR!$A$2:$CC$4982,65,FALSE)</f>
        <v>III</v>
      </c>
      <c r="AF1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13" s="113" t="str">
        <f>VLOOKUP(Table1[[#This Row],[SyStudentId]],SSR!$A$2:$CC$4982,66,FALSE)</f>
        <v>July-October</v>
      </c>
      <c r="AH13" s="113" t="str">
        <f>IFERROR(VLOOKUP(Table1[[#This Row],[SyStudentId]],ISIR!$A$2:$X$999,7,FALSE),"")</f>
        <v/>
      </c>
      <c r="AI13" s="121" t="str">
        <f>IF(Table1[[#This Row],[EFCRaw]]="","",IF(Table1[[#This Row],[EFCRaw]]="No EFC","No EFC",_xlfn.NUMBERVALUE(Table1[[#This Row],[EFCRaw]])))</f>
        <v/>
      </c>
      <c r="AJ13" s="119" t="str">
        <f>IFERROR(VLOOKUP(Table1[[#This Row],[SyStudentId]],ISIR!$A$2:$X$4999,19,FALSE),"")</f>
        <v/>
      </c>
      <c r="AK13" s="113" t="str">
        <f>IFERROR(VLOOKUP(Table1[[#This Row],[SyStudentId]],ISIR!$A$2:$X$4999,8,FALSE),"")</f>
        <v/>
      </c>
      <c r="AL13" s="132" t="str">
        <f>IF(Table1[[#This Row],[VerReq]]="N","n/a","")</f>
        <v/>
      </c>
      <c r="AM13" s="122"/>
      <c r="AN13" s="122"/>
      <c r="AO13" s="122"/>
      <c r="AP13" s="122"/>
      <c r="AQ13" s="122"/>
      <c r="AR13" s="122"/>
      <c r="AS13" s="122"/>
      <c r="AT13" s="122"/>
      <c r="AU13" s="122"/>
      <c r="AV13" s="122"/>
      <c r="AW13" s="122"/>
      <c r="AX13" s="122"/>
      <c r="AY13" s="122"/>
      <c r="AZ13" s="122"/>
      <c r="BA13" s="122"/>
      <c r="BB13" s="122"/>
      <c r="BC13" s="133"/>
      <c r="BD13" s="140" t="str">
        <f>IF(Table1[[#This Row],[VerReq]]="N","x","")</f>
        <v/>
      </c>
      <c r="BE13" s="140" t="str">
        <f>IF(Table1[[#This Row],[VerReq]]="N","x","")</f>
        <v/>
      </c>
      <c r="BF13" s="140" t="str">
        <f>IF(Table1[[#This Row],[VerReq]]="N","x","")</f>
        <v/>
      </c>
      <c r="BG13" s="140" t="str">
        <f>IF(Table1[[#This Row],[VerReq]]="N","x","")</f>
        <v/>
      </c>
      <c r="BH13" s="140" t="str">
        <f>IF(Table1[[#This Row],[VerReq]]="N","x","")</f>
        <v/>
      </c>
      <c r="BI13" s="140" t="str">
        <f>IF(Table1[[#This Row],[VerReq]]="N","x","")</f>
        <v/>
      </c>
      <c r="BJ13" s="134">
        <f>1-((COUNTBLANK(Table1[[#This Row],[ALESent]:[TaxTran]]))/(COUNT(Table1[[#This Row],[ALESent]:[TaxTran]])+COUNTBLANK(Table1[[#This Row],[ALESent]:[TaxTran]])))</f>
        <v>0</v>
      </c>
      <c r="BK13" s="136">
        <f>IF(VLOOKUP(Table1[[#This Row],[SyStudentId]],SSR!$A$2:$CC$4982,22,FALSE)=44109,44109,"Check Program")</f>
        <v>44109</v>
      </c>
      <c r="BL13" s="124">
        <f>IF(Table1[[#This Row],[AYStart]]=44109,44356,"Check Program")</f>
        <v>44356</v>
      </c>
      <c r="BM13" s="219">
        <v>8505</v>
      </c>
      <c r="BN13" s="219">
        <v>8505</v>
      </c>
      <c r="BO13" s="219">
        <v>8505</v>
      </c>
      <c r="BP13" s="220">
        <f t="shared" si="0"/>
        <v>25515</v>
      </c>
      <c r="BQ13" s="221">
        <v>3300</v>
      </c>
      <c r="BR13" s="219">
        <v>400</v>
      </c>
      <c r="BS13" s="219">
        <v>400</v>
      </c>
      <c r="BT13" s="220">
        <f t="shared" si="1"/>
        <v>4100</v>
      </c>
      <c r="BU13" s="219">
        <v>2100</v>
      </c>
      <c r="BV13" s="219">
        <v>2100</v>
      </c>
      <c r="BW13" s="219">
        <v>2100</v>
      </c>
      <c r="BX13" s="220">
        <f t="shared" si="2"/>
        <v>6300</v>
      </c>
      <c r="BY13" s="275">
        <v>1200</v>
      </c>
      <c r="BZ13" s="275">
        <v>1200</v>
      </c>
      <c r="CA13" s="275">
        <v>1200</v>
      </c>
      <c r="CB13" s="220">
        <f>SUM(Table1[[#This Row],[LEQ1]:[LEQ3]])</f>
        <v>3600</v>
      </c>
      <c r="CC13" s="275">
        <v>0</v>
      </c>
      <c r="CD13" s="275">
        <v>0</v>
      </c>
      <c r="CE13" s="275">
        <v>0</v>
      </c>
      <c r="CF13" s="220">
        <f>SUM(Table1[[#This Row],[OthCostQ1]:[OthCostQ3]])</f>
        <v>0</v>
      </c>
      <c r="CG13" s="220">
        <f>(Table1[[#This Row],[T&amp;FTot]]+Table1[[#This Row],[B&amp;STot]]+Table1[[#This Row],[HousTot]]+Table1[[#This Row],[LETot]]+Table1[[#This Row],[OthCostTot]])</f>
        <v>39515</v>
      </c>
      <c r="CH13" s="250"/>
      <c r="CI13" s="250"/>
      <c r="CJ13" s="250"/>
      <c r="CK13" s="251">
        <f>SUM(Table1[[#This Row],[SEOGQ1]:[SEOGQ3]])</f>
        <v>0</v>
      </c>
      <c r="CL13" s="250">
        <f>IFERROR(ROUNDUP(Table1[[#This Row],[PellTot]]/3,0),0)</f>
        <v>0</v>
      </c>
      <c r="CM13" s="250">
        <f>IFERROR(ROUND(Table1[[#This Row],[PellTot]]/3,0),0)</f>
        <v>0</v>
      </c>
      <c r="CN13" s="250">
        <f>IFERROR(ROUNDDOWN(Table1[[#This Row],[PellTot]]/3,0),0)</f>
        <v>0</v>
      </c>
      <c r="CO13" s="251">
        <f>IFERROR(LOOKUP(Table1[EFC],Pell_Table[#Data],Pell_Table[Pell Amt]),0)</f>
        <v>0</v>
      </c>
      <c r="CP13" s="250">
        <f>Table1[[#This Row],[AccessTot]]/3</f>
        <v>0</v>
      </c>
      <c r="CQ13" s="250">
        <f>Table1[[#This Row],[AccessTot]]/3</f>
        <v>0</v>
      </c>
      <c r="CR13" s="250">
        <f>Table1[[#This Row],[AccessTot]]/3</f>
        <v>0</v>
      </c>
      <c r="CS13" s="251">
        <f>IF(Table1[[#This Row],[PellTot]]&gt;0,1500,0)</f>
        <v>0</v>
      </c>
      <c r="CT13" s="250">
        <f>Table1[[#This Row],[AchiTot]]/3</f>
        <v>1300</v>
      </c>
      <c r="CU13" s="250">
        <f>Table1[[#This Row],[AchiTot]]/3</f>
        <v>1300</v>
      </c>
      <c r="CV13" s="250">
        <f>Table1[[#This Row],[AchiTot]]/3</f>
        <v>1300</v>
      </c>
      <c r="CW13" s="252">
        <f>IF(Table1[[#This Row],[Rank]]="","",IF(Table1[[#This Row],[Rank]]=1,5100,IF(Table1[[#This Row],[Rank]]=2,4500,IF(Table1[[#This Row],[Rank]]=3,3900,IF(Table1[[#This Row],[Rank]]=4,3750,IF(Table1[[#This Row],[Rank]]=5,3000,IF(Table1[[#This Row],[Rank]]=6,2250,0)))))))</f>
        <v>3900</v>
      </c>
      <c r="CX13" s="250">
        <f>Table1[[#This Row],[UTTot]]/3</f>
        <v>0</v>
      </c>
      <c r="CY13" s="250">
        <f>Table1[[#This Row],[UTTot]]/3</f>
        <v>0</v>
      </c>
      <c r="CZ13" s="250">
        <f>Table1[[#This Row],[UTTot]]/3</f>
        <v>0</v>
      </c>
      <c r="DA13" s="251">
        <f>IF(Table1[[#This Row],[State]]="UT",9000,0)</f>
        <v>0</v>
      </c>
      <c r="DB13" s="250">
        <f>Table1[[#This Row],[WITTot]]/3</f>
        <v>1000</v>
      </c>
      <c r="DC13" s="250">
        <f>Table1[[#This Row],[WITTot]]/3</f>
        <v>1000</v>
      </c>
      <c r="DD13" s="250">
        <f>Table1[[#This Row],[WITTot]]/3</f>
        <v>1000</v>
      </c>
      <c r="DE13" s="251">
        <f>IF(Table1[[#This Row],[Gender]]="Female",3000,0)</f>
        <v>3000</v>
      </c>
      <c r="DF13" s="250">
        <f>Table1[[#This Row],[SerTot]]/3</f>
        <v>0</v>
      </c>
      <c r="DG13" s="250">
        <f>Table1[[#This Row],[SerTot]]/3</f>
        <v>0</v>
      </c>
      <c r="DH13" s="250">
        <f>Table1[[#This Row],[SerTot]]/3</f>
        <v>0</v>
      </c>
      <c r="DI13" s="252"/>
      <c r="DJ13" s="250"/>
      <c r="DK13" s="250"/>
      <c r="DL13" s="250"/>
      <c r="DM13" s="252"/>
      <c r="DN13" s="250">
        <f>Table1[[#This Row],[MatTot]]/3</f>
        <v>0</v>
      </c>
      <c r="DO13" s="250">
        <f>Table1[[#This Row],[MatTot]]/3</f>
        <v>0</v>
      </c>
      <c r="DP13" s="250">
        <f>Table1[[#This Row],[MatTot]]/3</f>
        <v>0</v>
      </c>
      <c r="DQ13" s="252">
        <v>0</v>
      </c>
      <c r="DR13" s="250">
        <f>Table1[[#This Row],[OutTot]]/3</f>
        <v>0</v>
      </c>
      <c r="DS13" s="250">
        <f>Table1[[#This Row],[OutTot]]/3</f>
        <v>0</v>
      </c>
      <c r="DT13" s="250">
        <f>Table1[[#This Row],[OutTot]]/3</f>
        <v>0</v>
      </c>
      <c r="DU13" s="252">
        <v>0</v>
      </c>
      <c r="DV13" s="250">
        <v>0</v>
      </c>
      <c r="DW13" s="250">
        <v>0</v>
      </c>
      <c r="DX13" s="250">
        <v>0</v>
      </c>
      <c r="DY13" s="252">
        <f>SUM(Table1[[#This Row],[VAQ1]:[VAQ3]])</f>
        <v>0</v>
      </c>
      <c r="DZ13" s="250">
        <v>0</v>
      </c>
      <c r="EA13" s="250">
        <v>0</v>
      </c>
      <c r="EB13" s="250">
        <v>0</v>
      </c>
      <c r="EC13" s="252">
        <f>SUM(Table1[[#This Row],[OthGrantQ1]:[OthGrantQ3]])</f>
        <v>0</v>
      </c>
      <c r="ED13" s="263">
        <f>Table1[[#This Row],[SEOGTot]]+Table1[[#This Row],[PellTot]]+Table1[[#This Row],[AccessTot]]+Table1[[#This Row],[AchiTot]]+Table1[[#This Row],[UTTot]]+Table1[[#This Row],[WITTot]]+Table1[[#This Row],[SerTot]]+Table1[[#This Row],[TranTot]]+Table1[[#This Row],[MatTot]]+Table1[[#This Row],[OutTot]]+Table1[[#This Row],[VATot]]+Table1[[#This Row],[OthGrantTot]]</f>
        <v>6900</v>
      </c>
      <c r="EE13" s="249"/>
      <c r="EF13" s="237"/>
      <c r="EG13" s="237"/>
      <c r="EH13" s="232">
        <f>SUM(Table1[[#This Row],[CashQ1]]:Table1[[#This Row],[CashQ3]])</f>
        <v>0</v>
      </c>
      <c r="EI13" s="271">
        <f>ROUND((Table1[[#This Row],[SubTot]]/3)/1.01059,0)</f>
        <v>1154</v>
      </c>
      <c r="EJ13" s="234">
        <f>ROUND((Table1[[#This Row],[SubTot]]/3)/1.01059,0)</f>
        <v>1154</v>
      </c>
      <c r="EK13" s="234">
        <f>ROUNDUP((Table1[[#This Row],[SubTot]]/3)/1.01059,0)</f>
        <v>1155</v>
      </c>
      <c r="EL13" s="235">
        <v>3500</v>
      </c>
      <c r="EM13" s="240">
        <f>Table1[[#This Row],[SubTot]]*0.01059</f>
        <v>37.065000000000005</v>
      </c>
      <c r="EN13" s="234">
        <f>ROUND((Table1[[#This Row],[UnsubTot]]/3)/1.01062,0)</f>
        <v>660</v>
      </c>
      <c r="EO13" s="234">
        <f>ROUND((Table1[[#This Row],[UnsubTot]]/3)/1.01062,0)</f>
        <v>660</v>
      </c>
      <c r="EP13" s="234">
        <f>ROUNDDOWN((Table1[[#This Row],[UnsubTot]]/3)/1.01062,0)</f>
        <v>659</v>
      </c>
      <c r="EQ13" s="235">
        <f>IF(Table1[D/I]="I",6000,2000)</f>
        <v>2000</v>
      </c>
      <c r="ER13" s="240">
        <f>Table1[[#This Row],[UnsubTot]]*0.01059</f>
        <v>21.18</v>
      </c>
      <c r="ES13" s="234">
        <f>ROUND((Table1[[#This Row],[PLUSTot]]/3)/1.04236,0)</f>
        <v>0</v>
      </c>
      <c r="ET13" s="234">
        <f>ROUND((Table1[[#This Row],[PLUSTot]]/3)/1.04236,0)</f>
        <v>0</v>
      </c>
      <c r="EU13" s="234">
        <f>ROUND((Table1[[#This Row],[PLUSTot]]/3)/1.04236,0)</f>
        <v>0</v>
      </c>
      <c r="EV13" s="235">
        <v>0</v>
      </c>
      <c r="EW13" s="239">
        <f>Table1[[#This Row],[PLUSTot]]*0.04248</f>
        <v>0</v>
      </c>
      <c r="EX13" s="237"/>
      <c r="EY13" s="237"/>
      <c r="EZ13" s="237"/>
      <c r="FA13" s="232">
        <f>SUM(Table1[[#This Row],[PrivQ1]:[PrivQ3]])</f>
        <v>0</v>
      </c>
      <c r="FB13" s="237"/>
      <c r="FC13" s="237"/>
      <c r="FD13" s="237"/>
      <c r="FE13" s="232">
        <f>SUM(Table1[[#This Row],[TOQ1]:[TOQ3]])</f>
        <v>0</v>
      </c>
      <c r="FF13" s="237"/>
      <c r="FG13" s="237"/>
      <c r="FH13" s="237"/>
      <c r="FI13" s="232">
        <f>SUM(Table1[[#This Row],[OFundQ1]:[OFundQ3]])</f>
        <v>0</v>
      </c>
      <c r="FJ13" s="238">
        <f>(Table1[[#This Row],[SubTot]]-Table1[[#This Row],[SubFee]])+(Table1[[#This Row],[UnsubTot]]-Table1[[#This Row],[UnsubFee]])+(Table1[[#This Row],[PLUSTot]]-Table1[[#This Row],[PLUSFee]])+Table1[[#This Row],[PrivTot]]+Table1[[#This Row],[TOTot]]+Table1[[#This Row],[OFundTot]]</f>
        <v>5441.7550000000001</v>
      </c>
      <c r="FK13" s="125">
        <f>Table1[[#This Row],[CostTot]]-Table1[[#This Row],[GiftTot]]</f>
        <v>32615</v>
      </c>
      <c r="FL13" s="139">
        <f>Table1[[#This Row],[NetNeed]]/(1-0.04248)</f>
        <v>28378.775378059985</v>
      </c>
      <c r="FM13" s="131">
        <f>Table1[[#This Row],[NetCost]]-Table1[[#This Row],[CashTot]]-(Table1[[#This Row],[SubTot]]-Table1[[#This Row],[SubFee]])-(Table1[[#This Row],[UnsubTot]]-Table1[[#This Row],[UnsubFee]])-(Table1[[#This Row],[PLUSTot]]-Table1[[#This Row],[PLUSFee]])-Table1[[#This Row],[PrivTot]]-Table1[[#This Row],[TOTot]]-Table1[[#This Row],[OFundTot]]</f>
        <v>27173.244999999999</v>
      </c>
      <c r="FN13" s="161"/>
      <c r="FO13" s="113"/>
      <c r="FP13" s="113"/>
    </row>
    <row r="14" spans="1:172" s="160" customFormat="1" ht="15" x14ac:dyDescent="0.25">
      <c r="A14" s="329">
        <v>192446</v>
      </c>
      <c r="B14" s="113" t="str">
        <f>VLOOKUP(Table1[[#This Row],[SyStudentId]],SSR!$A$2:$CC$4982,4,FALSE)</f>
        <v>Matza</v>
      </c>
      <c r="C14" s="113" t="str">
        <f>VLOOKUP(Table1[[#This Row],[SyStudentId]],SSR!$A$2:$CC$4982,5,FALSE)</f>
        <v>Adam</v>
      </c>
      <c r="D14" s="113" t="str">
        <f>VLOOKUP(Table1[[#This Row],[SyStudentId]],SSR!$A$2:$CC$4982,6,FALSE)</f>
        <v>Matza, Adam</v>
      </c>
      <c r="E14" s="113" t="str">
        <f>CONCATENATE(Table1[[#This Row],[FirstName]]," ",Table1[[#This Row],[LastName]])</f>
        <v>Adam Matza</v>
      </c>
      <c r="F14" s="112"/>
      <c r="G14" s="114"/>
      <c r="H14" s="114"/>
      <c r="I14" s="114"/>
      <c r="J14" s="115"/>
      <c r="K14" s="116"/>
      <c r="L14" s="112" t="str">
        <f>IFERROR(VLOOKUP(Table1[[#This Row],[SyStudentId]],ISIR!$A$2:$X$999,11,FALSE),"")</f>
        <v/>
      </c>
      <c r="M14" s="113" t="str">
        <f>VLOOKUP(Table1[[#This Row],[SyStudentId]],SSR!$A$2:$CC$4982,7,FALSE)</f>
        <v>adammarco2002@gmail.com</v>
      </c>
      <c r="N14" s="113" t="str">
        <f>VLOOKUP(Table1[[#This Row],[SyStudentId]],SSR!$A$2:$CC$4982,8,FALSE)</f>
        <v>2569 N 3653rd Rd.</v>
      </c>
      <c r="O14" s="113" t="str">
        <f>VLOOKUP(Table1[[#This Row],[SyStudentId]],SSR!$A$2:$CC$4982,9,FALSE)</f>
        <v>Sherridan</v>
      </c>
      <c r="P14" s="292" t="str">
        <f>VLOOKUP(Table1[[#This Row],[SyStudentId]],SSR!$A$2:$CC$4982,10,FALSE)</f>
        <v>IL</v>
      </c>
      <c r="Q14" s="117" t="str">
        <f>VLOOKUP(Table1[[#This Row],[SyStudentId]],SSR!$A$2:$CC$4982,11,FALSE)</f>
        <v xml:space="preserve">60551     </v>
      </c>
      <c r="R14" s="118">
        <f>VLOOKUP(Table1[[#This Row],[SyStudentId]],SSR!$A$2:$CC$4982,15,FALSE)</f>
        <v>2.82</v>
      </c>
      <c r="S14" s="119">
        <f>VLOOKUP(Table1[[#This Row],[SyStudentId]],SSR!$A$2:$CC$4982,22,FALSE)</f>
        <v>44109</v>
      </c>
      <c r="T14" s="113" t="str">
        <f>VLOOKUP(Table1[[#This Row],[SyStudentId]],SSR!$A$2:$CC$4982,24,FALSE)</f>
        <v>JT</v>
      </c>
      <c r="U14" s="113" t="str">
        <f>IF(VLOOKUP(Table1[[#This Row],[SyStudentId]],SSR!$A$2:$CC$4982,26,FALSE)=0,"Not Selected",VLOOKUP(Table1[[#This Row],[SyStudentId]],SSR!$A$2:$CC$4982,26,FALSE))</f>
        <v>Male</v>
      </c>
      <c r="V14" s="113" t="str">
        <f>VLOOKUP(Table1[[#This Row],[SyStudentId]],SSR!$A$2:$CC$4982,27,FALSE)</f>
        <v xml:space="preserve">HS2020  </v>
      </c>
      <c r="W14" s="113" t="str">
        <f>VLOOKUP(LEFT(Table1[[#This Row],[LastName]],1),Alpha!$A$1:$B$26,2,FALSE)</f>
        <v>Maureen Ranks</v>
      </c>
      <c r="X14" s="149" t="str">
        <f>VLOOKUP(Table1[[#This Row],[FAA]],Alpha!$B$1:$D$26,2,FALSE)</f>
        <v>mranks@neumont.edu</v>
      </c>
      <c r="Y14" s="113">
        <f>VLOOKUP(Table1[[#This Row],[FAA]],Alpha!$B$1:$D$26,3,FALSE)</f>
        <v>8883022894</v>
      </c>
      <c r="Z14" s="113" t="str">
        <f>VLOOKUP(Table1[[#This Row],[SyStudentId]],SSR!$A$2:$CC$4982,30,FALSE)</f>
        <v>18-Pending Enrollment</v>
      </c>
      <c r="AA14" s="113" t="str">
        <f>IF(VLOOKUP(Table1[[#This Row],[SyStudentId]],SSR!$A$2:$CC$4982,36,FALSE)="Bachelor of Science","BS Computer Science","Check Program")</f>
        <v>BS Computer Science</v>
      </c>
      <c r="AB14" s="113" t="str">
        <f>VLOOKUP(Table1[[#This Row],[SyStudentId]],SSR!$A$2:$CC$4982,37,FALSE)</f>
        <v xml:space="preserve">20      </v>
      </c>
      <c r="AC14" s="113">
        <f>VLOOKUP(Table1[[#This Row],[SyStudentId]],SSR!$A$2:$CC$4982,42,FALSE)</f>
        <v>0</v>
      </c>
      <c r="AD14" s="113" t="str">
        <f>VLOOKUP(Table1[[#This Row],[SyStudentId]],SSR!$A$2:$CC$4982,46,FALSE)</f>
        <v>92</v>
      </c>
      <c r="AE14" s="113" t="str">
        <f>VLOOKUP(Table1[[#This Row],[SyStudentId]],SSR!$A$2:$CC$4982,65,FALSE)</f>
        <v>VII</v>
      </c>
      <c r="AF14"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7</v>
      </c>
      <c r="AG14" s="113" t="str">
        <f>VLOOKUP(Table1[[#This Row],[SyStudentId]],SSR!$A$2:$CC$4982,66,FALSE)</f>
        <v>July-October</v>
      </c>
      <c r="AH14" s="113" t="str">
        <f>IFERROR(VLOOKUP(Table1[[#This Row],[SyStudentId]],ISIR!$A$2:$X$999,7,FALSE),"")</f>
        <v/>
      </c>
      <c r="AI14" s="121" t="str">
        <f>IF(Table1[[#This Row],[EFCRaw]]="","",IF(Table1[[#This Row],[EFCRaw]]="No EFC","No EFC",_xlfn.NUMBERVALUE(Table1[[#This Row],[EFCRaw]])))</f>
        <v/>
      </c>
      <c r="AJ14" s="119" t="str">
        <f>IFERROR(VLOOKUP(Table1[[#This Row],[SyStudentId]],ISIR!$A$2:$X$4999,19,FALSE),"")</f>
        <v/>
      </c>
      <c r="AK14" s="113" t="str">
        <f>IFERROR(VLOOKUP(Table1[[#This Row],[SyStudentId]],ISIR!$A$2:$X$4999,8,FALSE),"")</f>
        <v/>
      </c>
      <c r="AL14" s="132" t="str">
        <f>IF(Table1[[#This Row],[VerReq]]="N","n/a","")</f>
        <v/>
      </c>
      <c r="AM14" s="122"/>
      <c r="AN14" s="122"/>
      <c r="AO14" s="122"/>
      <c r="AP14" s="122"/>
      <c r="AQ14" s="122"/>
      <c r="AR14" s="122"/>
      <c r="AS14" s="122"/>
      <c r="AT14" s="122"/>
      <c r="AU14" s="122"/>
      <c r="AV14" s="122"/>
      <c r="AW14" s="122"/>
      <c r="AX14" s="122"/>
      <c r="AY14" s="122"/>
      <c r="AZ14" s="122"/>
      <c r="BA14" s="122"/>
      <c r="BB14" s="122"/>
      <c r="BC14" s="133"/>
      <c r="BD14" s="140" t="str">
        <f>IF(Table1[[#This Row],[VerReq]]="N","x","")</f>
        <v/>
      </c>
      <c r="BE14" s="140" t="str">
        <f>IF(Table1[[#This Row],[VerReq]]="N","x","")</f>
        <v/>
      </c>
      <c r="BF14" s="140" t="str">
        <f>IF(Table1[[#This Row],[VerReq]]="N","x","")</f>
        <v/>
      </c>
      <c r="BG14" s="140" t="str">
        <f>IF(Table1[[#This Row],[VerReq]]="N","x","")</f>
        <v/>
      </c>
      <c r="BH14" s="140" t="str">
        <f>IF(Table1[[#This Row],[VerReq]]="N","x","")</f>
        <v/>
      </c>
      <c r="BI14" s="140" t="str">
        <f>IF(Table1[[#This Row],[VerReq]]="N","x","")</f>
        <v/>
      </c>
      <c r="BJ14" s="134">
        <f>1-((COUNTBLANK(Table1[[#This Row],[ALESent]:[TaxTran]]))/(COUNT(Table1[[#This Row],[ALESent]:[TaxTran]])+COUNTBLANK(Table1[[#This Row],[ALESent]:[TaxTran]])))</f>
        <v>0</v>
      </c>
      <c r="BK14" s="136">
        <f>IF(VLOOKUP(Table1[[#This Row],[SyStudentId]],SSR!$A$2:$CC$4982,22,FALSE)=44109,44109,"Check Program")</f>
        <v>44109</v>
      </c>
      <c r="BL14" s="124">
        <f>IF(Table1[[#This Row],[AYStart]]=44109,44356,"Check Program")</f>
        <v>44356</v>
      </c>
      <c r="BM14" s="219">
        <v>8505</v>
      </c>
      <c r="BN14" s="219">
        <v>8505</v>
      </c>
      <c r="BO14" s="219">
        <v>8505</v>
      </c>
      <c r="BP14" s="220">
        <f t="shared" si="0"/>
        <v>25515</v>
      </c>
      <c r="BQ14" s="221">
        <v>3300</v>
      </c>
      <c r="BR14" s="219">
        <v>400</v>
      </c>
      <c r="BS14" s="219">
        <v>400</v>
      </c>
      <c r="BT14" s="220">
        <f t="shared" si="1"/>
        <v>4100</v>
      </c>
      <c r="BU14" s="219">
        <v>2100</v>
      </c>
      <c r="BV14" s="219">
        <v>2100</v>
      </c>
      <c r="BW14" s="219">
        <v>2100</v>
      </c>
      <c r="BX14" s="220">
        <f t="shared" si="2"/>
        <v>6300</v>
      </c>
      <c r="BY14" s="275">
        <v>1200</v>
      </c>
      <c r="BZ14" s="275">
        <v>1200</v>
      </c>
      <c r="CA14" s="275">
        <v>1200</v>
      </c>
      <c r="CB14" s="220">
        <f>SUM(Table1[[#This Row],[LEQ1]:[LEQ3]])</f>
        <v>3600</v>
      </c>
      <c r="CC14" s="275">
        <v>0</v>
      </c>
      <c r="CD14" s="275">
        <v>0</v>
      </c>
      <c r="CE14" s="275">
        <v>0</v>
      </c>
      <c r="CF14" s="220">
        <f>SUM(Table1[[#This Row],[OthCostQ1]:[OthCostQ3]])</f>
        <v>0</v>
      </c>
      <c r="CG14" s="220">
        <f>(Table1[[#This Row],[T&amp;FTot]]+Table1[[#This Row],[B&amp;STot]]+Table1[[#This Row],[HousTot]]+Table1[[#This Row],[LETot]]+Table1[[#This Row],[OthCostTot]])</f>
        <v>39515</v>
      </c>
      <c r="CH14" s="250"/>
      <c r="CI14" s="250"/>
      <c r="CJ14" s="250"/>
      <c r="CK14" s="251">
        <f>SUM(Table1[[#This Row],[SEOGQ1]:[SEOGQ3]])</f>
        <v>0</v>
      </c>
      <c r="CL14" s="250">
        <f>IFERROR(ROUNDUP(Table1[[#This Row],[PellTot]]/3,0),0)</f>
        <v>0</v>
      </c>
      <c r="CM14" s="250">
        <f>IFERROR(ROUND(Table1[[#This Row],[PellTot]]/3,0),0)</f>
        <v>0</v>
      </c>
      <c r="CN14" s="250">
        <f>IFERROR(ROUNDDOWN(Table1[[#This Row],[PellTot]]/3,0),0)</f>
        <v>0</v>
      </c>
      <c r="CO14" s="251">
        <f>IFERROR(LOOKUP(Table1[EFC],Pell_Table[#Data],Pell_Table[Pell Amt]),0)</f>
        <v>0</v>
      </c>
      <c r="CP14" s="250">
        <f>Table1[[#This Row],[AccessTot]]/3</f>
        <v>0</v>
      </c>
      <c r="CQ14" s="250">
        <f>Table1[[#This Row],[AccessTot]]/3</f>
        <v>0</v>
      </c>
      <c r="CR14" s="250">
        <f>Table1[[#This Row],[AccessTot]]/3</f>
        <v>0</v>
      </c>
      <c r="CS14" s="251">
        <f>IF(Table1[[#This Row],[PellTot]]&gt;0,1500,0)</f>
        <v>0</v>
      </c>
      <c r="CT14" s="250">
        <f>Table1[[#This Row],[AchiTot]]/3</f>
        <v>0</v>
      </c>
      <c r="CU14" s="250">
        <f>Table1[[#This Row],[AchiTot]]/3</f>
        <v>0</v>
      </c>
      <c r="CV14" s="250">
        <f>Table1[[#This Row],[AchiTot]]/3</f>
        <v>0</v>
      </c>
      <c r="CW14" s="252">
        <f>IF(Table1[[#This Row],[Rank]]="","",IF(Table1[[#This Row],[Rank]]=1,5100,IF(Table1[[#This Row],[Rank]]=2,4500,IF(Table1[[#This Row],[Rank]]=3,3900,IF(Table1[[#This Row],[Rank]]=4,3750,IF(Table1[[#This Row],[Rank]]=5,3000,IF(Table1[[#This Row],[Rank]]=6,2250,0)))))))</f>
        <v>0</v>
      </c>
      <c r="CX14" s="250">
        <f>Table1[[#This Row],[UTTot]]/3</f>
        <v>0</v>
      </c>
      <c r="CY14" s="250">
        <f>Table1[[#This Row],[UTTot]]/3</f>
        <v>0</v>
      </c>
      <c r="CZ14" s="250">
        <f>Table1[[#This Row],[UTTot]]/3</f>
        <v>0</v>
      </c>
      <c r="DA14" s="251">
        <f>IF(Table1[[#This Row],[State]]="UT",9000,0)</f>
        <v>0</v>
      </c>
      <c r="DB14" s="250">
        <f>Table1[[#This Row],[WITTot]]/3</f>
        <v>0</v>
      </c>
      <c r="DC14" s="250">
        <f>Table1[[#This Row],[WITTot]]/3</f>
        <v>0</v>
      </c>
      <c r="DD14" s="250">
        <f>Table1[[#This Row],[WITTot]]/3</f>
        <v>0</v>
      </c>
      <c r="DE14" s="251">
        <f>IF(Table1[[#This Row],[Gender]]="Female",3000,0)</f>
        <v>0</v>
      </c>
      <c r="DF14" s="250">
        <f>Table1[[#This Row],[SerTot]]/3</f>
        <v>0</v>
      </c>
      <c r="DG14" s="250">
        <f>Table1[[#This Row],[SerTot]]/3</f>
        <v>0</v>
      </c>
      <c r="DH14" s="250">
        <f>Table1[[#This Row],[SerTot]]/3</f>
        <v>0</v>
      </c>
      <c r="DI14" s="252"/>
      <c r="DJ14" s="250"/>
      <c r="DK14" s="250"/>
      <c r="DL14" s="250"/>
      <c r="DM14" s="252"/>
      <c r="DN14" s="250">
        <f>Table1[[#This Row],[MatTot]]/3</f>
        <v>0</v>
      </c>
      <c r="DO14" s="250">
        <f>Table1[[#This Row],[MatTot]]/3</f>
        <v>0</v>
      </c>
      <c r="DP14" s="250">
        <f>Table1[[#This Row],[MatTot]]/3</f>
        <v>0</v>
      </c>
      <c r="DQ14" s="252">
        <v>0</v>
      </c>
      <c r="DR14" s="250">
        <f>Table1[[#This Row],[OutTot]]/3</f>
        <v>0</v>
      </c>
      <c r="DS14" s="250">
        <f>Table1[[#This Row],[OutTot]]/3</f>
        <v>0</v>
      </c>
      <c r="DT14" s="250">
        <f>Table1[[#This Row],[OutTot]]/3</f>
        <v>0</v>
      </c>
      <c r="DU14" s="252">
        <v>0</v>
      </c>
      <c r="DV14" s="250">
        <v>0</v>
      </c>
      <c r="DW14" s="250">
        <v>0</v>
      </c>
      <c r="DX14" s="250">
        <v>0</v>
      </c>
      <c r="DY14" s="252">
        <f>SUM(Table1[[#This Row],[VAQ1]:[VAQ3]])</f>
        <v>0</v>
      </c>
      <c r="DZ14" s="250">
        <v>0</v>
      </c>
      <c r="EA14" s="250">
        <v>0</v>
      </c>
      <c r="EB14" s="250">
        <v>0</v>
      </c>
      <c r="EC14" s="252">
        <f>SUM(Table1[[#This Row],[OthGrantQ1]:[OthGrantQ3]])</f>
        <v>0</v>
      </c>
      <c r="ED14" s="263">
        <f>Table1[[#This Row],[SEOGTot]]+Table1[[#This Row],[PellTot]]+Table1[[#This Row],[AccessTot]]+Table1[[#This Row],[AchiTot]]+Table1[[#This Row],[UTTot]]+Table1[[#This Row],[WITTot]]+Table1[[#This Row],[SerTot]]+Table1[[#This Row],[TranTot]]+Table1[[#This Row],[MatTot]]+Table1[[#This Row],[OutTot]]+Table1[[#This Row],[VATot]]+Table1[[#This Row],[OthGrantTot]]</f>
        <v>0</v>
      </c>
      <c r="EE14" s="249"/>
      <c r="EF14" s="237"/>
      <c r="EG14" s="237"/>
      <c r="EH14" s="232">
        <f>SUM(Table1[[#This Row],[CashQ1]]:Table1[[#This Row],[CashQ3]])</f>
        <v>0</v>
      </c>
      <c r="EI14" s="271">
        <f>ROUND((Table1[[#This Row],[SubTot]]/3)/1.01059,0)</f>
        <v>1154</v>
      </c>
      <c r="EJ14" s="234">
        <f>ROUND((Table1[[#This Row],[SubTot]]/3)/1.01059,0)</f>
        <v>1154</v>
      </c>
      <c r="EK14" s="234">
        <f>ROUNDUP((Table1[[#This Row],[SubTot]]/3)/1.01059,0)</f>
        <v>1155</v>
      </c>
      <c r="EL14" s="235">
        <v>3500</v>
      </c>
      <c r="EM14" s="240">
        <f>Table1[[#This Row],[SubTot]]*0.01059</f>
        <v>37.065000000000005</v>
      </c>
      <c r="EN14" s="234">
        <f>ROUND((Table1[[#This Row],[UnsubTot]]/3)/1.01062,0)</f>
        <v>660</v>
      </c>
      <c r="EO14" s="234">
        <f>ROUND((Table1[[#This Row],[UnsubTot]]/3)/1.01062,0)</f>
        <v>660</v>
      </c>
      <c r="EP14" s="234">
        <f>ROUNDDOWN((Table1[[#This Row],[UnsubTot]]/3)/1.01062,0)</f>
        <v>659</v>
      </c>
      <c r="EQ14" s="235">
        <f>IF(Table1[D/I]="I",6000,2000)</f>
        <v>2000</v>
      </c>
      <c r="ER14" s="240">
        <f>Table1[[#This Row],[UnsubTot]]*0.01059</f>
        <v>21.18</v>
      </c>
      <c r="ES14" s="234">
        <f>ROUND((Table1[[#This Row],[PLUSTot]]/3)/1.04236,0)</f>
        <v>0</v>
      </c>
      <c r="ET14" s="234">
        <f>ROUND((Table1[[#This Row],[PLUSTot]]/3)/1.04236,0)</f>
        <v>0</v>
      </c>
      <c r="EU14" s="234">
        <f>ROUND((Table1[[#This Row],[PLUSTot]]/3)/1.04236,0)</f>
        <v>0</v>
      </c>
      <c r="EV14" s="235">
        <v>0</v>
      </c>
      <c r="EW14" s="239">
        <f>Table1[[#This Row],[PLUSTot]]*0.04248</f>
        <v>0</v>
      </c>
      <c r="EX14" s="237"/>
      <c r="EY14" s="237"/>
      <c r="EZ14" s="237"/>
      <c r="FA14" s="232">
        <f>SUM(Table1[[#This Row],[PrivQ1]:[PrivQ3]])</f>
        <v>0</v>
      </c>
      <c r="FB14" s="237"/>
      <c r="FC14" s="237"/>
      <c r="FD14" s="237"/>
      <c r="FE14" s="232">
        <f>SUM(Table1[[#This Row],[TOQ1]:[TOQ3]])</f>
        <v>0</v>
      </c>
      <c r="FF14" s="237"/>
      <c r="FG14" s="237"/>
      <c r="FH14" s="237"/>
      <c r="FI14" s="232">
        <f>SUM(Table1[[#This Row],[OFundQ1]:[OFundQ3]])</f>
        <v>0</v>
      </c>
      <c r="FJ14" s="238">
        <f>(Table1[[#This Row],[SubTot]]-Table1[[#This Row],[SubFee]])+(Table1[[#This Row],[UnsubTot]]-Table1[[#This Row],[UnsubFee]])+(Table1[[#This Row],[PLUSTot]]-Table1[[#This Row],[PLUSFee]])+Table1[[#This Row],[PrivTot]]+Table1[[#This Row],[TOTot]]+Table1[[#This Row],[OFundTot]]</f>
        <v>5441.7550000000001</v>
      </c>
      <c r="FK14" s="125">
        <f>Table1[[#This Row],[CostTot]]-Table1[[#This Row],[GiftTot]]</f>
        <v>39515</v>
      </c>
      <c r="FL14" s="139">
        <f>Table1[[#This Row],[NetNeed]]/(1-0.04248)</f>
        <v>35584.891177207784</v>
      </c>
      <c r="FM14" s="131">
        <f>Table1[[#This Row],[NetCost]]-Table1[[#This Row],[CashTot]]-(Table1[[#This Row],[SubTot]]-Table1[[#This Row],[SubFee]])-(Table1[[#This Row],[UnsubTot]]-Table1[[#This Row],[UnsubFee]])-(Table1[[#This Row],[PLUSTot]]-Table1[[#This Row],[PLUSFee]])-Table1[[#This Row],[PrivTot]]-Table1[[#This Row],[TOTot]]-Table1[[#This Row],[OFundTot]]</f>
        <v>34073.245000000003</v>
      </c>
      <c r="FN14" s="161"/>
      <c r="FO14" s="113"/>
      <c r="FP14" s="113"/>
    </row>
    <row r="15" spans="1:172" s="160" customFormat="1" ht="15" x14ac:dyDescent="0.25">
      <c r="A15" s="267">
        <v>196525</v>
      </c>
      <c r="B15" s="113" t="str">
        <f>VLOOKUP(Table1[[#This Row],[SyStudentId]],SSR!$A$2:$CC$4982,4,FALSE)</f>
        <v>Maulseed Jr</v>
      </c>
      <c r="C15" s="113" t="str">
        <f>VLOOKUP(Table1[[#This Row],[SyStudentId]],SSR!$A$2:$CC$4982,5,FALSE)</f>
        <v>Courtney</v>
      </c>
      <c r="D15" s="113" t="str">
        <f>VLOOKUP(Table1[[#This Row],[SyStudentId]],SSR!$A$2:$CC$4982,6,FALSE)</f>
        <v>Maulseed Jr, Courtney</v>
      </c>
      <c r="E15" s="113" t="str">
        <f>CONCATENATE(Table1[[#This Row],[FirstName]]," ",Table1[[#This Row],[LastName]])</f>
        <v>Courtney Maulseed Jr</v>
      </c>
      <c r="F15" s="112">
        <v>1</v>
      </c>
      <c r="G15" s="114"/>
      <c r="H15" s="114"/>
      <c r="I15" s="114">
        <v>43780</v>
      </c>
      <c r="J15" s="115"/>
      <c r="K15" s="116"/>
      <c r="L15" s="112" t="str">
        <f>IFERROR(VLOOKUP(Table1[[#This Row],[SyStudentId]],ISIR!$A$2:$X$999,11,FALSE),"")</f>
        <v>D</v>
      </c>
      <c r="M15" s="113" t="str">
        <f>VLOOKUP(Table1[[#This Row],[SyStudentId]],SSR!$A$2:$CC$4982,7,FALSE)</f>
        <v>cmaulseed20@gmail.com</v>
      </c>
      <c r="N15" s="113" t="str">
        <f>VLOOKUP(Table1[[#This Row],[SyStudentId]],SSR!$A$2:$CC$4982,8,FALSE)</f>
        <v>2910 NW Mill Place</v>
      </c>
      <c r="O15" s="113" t="str">
        <f>VLOOKUP(Table1[[#This Row],[SyStudentId]],SSR!$A$2:$CC$4982,9,FALSE)</f>
        <v>Blue Springs</v>
      </c>
      <c r="P15" s="292" t="str">
        <f>VLOOKUP(Table1[[#This Row],[SyStudentId]],SSR!$A$2:$CC$4982,10,FALSE)</f>
        <v>MO</v>
      </c>
      <c r="Q15" s="117" t="str">
        <f>VLOOKUP(Table1[[#This Row],[SyStudentId]],SSR!$A$2:$CC$4982,11,FALSE)</f>
        <v xml:space="preserve">64015     </v>
      </c>
      <c r="R15" s="118">
        <f>VLOOKUP(Table1[[#This Row],[SyStudentId]],SSR!$A$2:$CC$4982,15,FALSE)</f>
        <v>3.1280000000000001</v>
      </c>
      <c r="S15" s="119">
        <f>VLOOKUP(Table1[[#This Row],[SyStudentId]],SSR!$A$2:$CC$4982,22,FALSE)</f>
        <v>44109</v>
      </c>
      <c r="T15" s="113" t="str">
        <f>VLOOKUP(Table1[[#This Row],[SyStudentId]],SSR!$A$2:$CC$4982,24,FALSE)</f>
        <v>JT</v>
      </c>
      <c r="U15" s="113" t="str">
        <f>IF(VLOOKUP(Table1[[#This Row],[SyStudentId]],SSR!$A$2:$CC$4982,26,FALSE)=0,"Not Selected",VLOOKUP(Table1[[#This Row],[SyStudentId]],SSR!$A$2:$CC$4982,26,FALSE))</f>
        <v>Male</v>
      </c>
      <c r="V15" s="113" t="str">
        <f>VLOOKUP(Table1[[#This Row],[SyStudentId]],SSR!$A$2:$CC$4982,27,FALSE)</f>
        <v xml:space="preserve">HS2020  </v>
      </c>
      <c r="W15" s="113" t="str">
        <f>VLOOKUP(LEFT(Table1[[#This Row],[LastName]],1),Alpha!$A$1:$B$26,2,FALSE)</f>
        <v>Maureen Ranks</v>
      </c>
      <c r="X15" s="149" t="str">
        <f>VLOOKUP(Table1[[#This Row],[FAA]],Alpha!$B$1:$D$26,2,FALSE)</f>
        <v>mranks@neumont.edu</v>
      </c>
      <c r="Y15" s="113">
        <f>VLOOKUP(Table1[[#This Row],[FAA]],Alpha!$B$1:$D$26,3,FALSE)</f>
        <v>8883022894</v>
      </c>
      <c r="Z15" s="113" t="str">
        <f>VLOOKUP(Table1[[#This Row],[SyStudentId]],SSR!$A$2:$CC$4982,30,FALSE)</f>
        <v>16-Accepted</v>
      </c>
      <c r="AA15" s="113" t="str">
        <f>IF(VLOOKUP(Table1[[#This Row],[SyStudentId]],SSR!$A$2:$CC$4982,36,FALSE)="Bachelor of Science","BS Computer Science","Check Program")</f>
        <v>BS Computer Science</v>
      </c>
      <c r="AB15" s="113" t="str">
        <f>VLOOKUP(Table1[[#This Row],[SyStudentId]],SSR!$A$2:$CC$4982,37,FALSE)</f>
        <v xml:space="preserve">30      </v>
      </c>
      <c r="AC15" s="113">
        <f>VLOOKUP(Table1[[#This Row],[SyStudentId]],SSR!$A$2:$CC$4982,42,FALSE)</f>
        <v>0</v>
      </c>
      <c r="AD15" s="113" t="str">
        <f>VLOOKUP(Table1[[#This Row],[SyStudentId]],SSR!$A$2:$CC$4982,46,FALSE)</f>
        <v>115</v>
      </c>
      <c r="AE15" s="113" t="str">
        <f>VLOOKUP(Table1[[#This Row],[SyStudentId]],SSR!$A$2:$CC$4982,65,FALSE)</f>
        <v>I</v>
      </c>
      <c r="AF15"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5" s="113" t="str">
        <f>VLOOKUP(Table1[[#This Row],[SyStudentId]],SSR!$A$2:$CC$4982,66,FALSE)</f>
        <v>July-October</v>
      </c>
      <c r="AH15" s="113" t="str">
        <f>IFERROR(VLOOKUP(Table1[[#This Row],[SyStudentId]],ISIR!$A$2:$X$999,7,FALSE),"")</f>
        <v>001093</v>
      </c>
      <c r="AI15" s="121">
        <f>IF(Table1[[#This Row],[EFCRaw]]="","",IF(Table1[[#This Row],[EFCRaw]]="No EFC","No EFC",_xlfn.NUMBERVALUE(Table1[[#This Row],[EFCRaw]])))</f>
        <v>1093</v>
      </c>
      <c r="AJ15" s="119">
        <f>IFERROR(VLOOKUP(Table1[[#This Row],[SyStudentId]],ISIR!$A$2:$X$4999,19,FALSE),"")</f>
        <v>43774</v>
      </c>
      <c r="AK15" s="113" t="str">
        <f>IFERROR(VLOOKUP(Table1[[#This Row],[SyStudentId]],ISIR!$A$2:$X$4999,8,FALSE),"")</f>
        <v>N</v>
      </c>
      <c r="AL15" s="132" t="str">
        <f>IF(Table1[[#This Row],[VerReq]]="N","n/a","")</f>
        <v>n/a</v>
      </c>
      <c r="AM15" s="122"/>
      <c r="AN15" s="122"/>
      <c r="AO15" s="122"/>
      <c r="AP15" s="122"/>
      <c r="AQ15" s="122"/>
      <c r="AR15" s="122"/>
      <c r="AS15" s="122"/>
      <c r="AT15" s="122"/>
      <c r="AU15" s="122"/>
      <c r="AV15" s="122"/>
      <c r="AW15" s="122"/>
      <c r="AX15" s="122"/>
      <c r="AY15" s="122"/>
      <c r="AZ15" s="122"/>
      <c r="BA15" s="122"/>
      <c r="BB15" s="122"/>
      <c r="BC15" s="133"/>
      <c r="BD15" s="140" t="str">
        <f>IF(Table1[[#This Row],[VerReq]]="N","x","")</f>
        <v>x</v>
      </c>
      <c r="BE15" s="140" t="str">
        <f>IF(Table1[[#This Row],[VerReq]]="N","x","")</f>
        <v>x</v>
      </c>
      <c r="BF15" s="140" t="str">
        <f>IF(Table1[[#This Row],[VerReq]]="N","x","")</f>
        <v>x</v>
      </c>
      <c r="BG15" s="140" t="str">
        <f>IF(Table1[[#This Row],[VerReq]]="N","x","")</f>
        <v>x</v>
      </c>
      <c r="BH15" s="140" t="str">
        <f>IF(Table1[[#This Row],[VerReq]]="N","x","")</f>
        <v>x</v>
      </c>
      <c r="BI15" s="140" t="str">
        <f>IF(Table1[[#This Row],[VerReq]]="N","x","")</f>
        <v>x</v>
      </c>
      <c r="BJ15" s="134">
        <f>1-((COUNTBLANK(Table1[[#This Row],[ALESent]:[TaxTran]]))/(COUNT(Table1[[#This Row],[ALESent]:[TaxTran]])+COUNTBLANK(Table1[[#This Row],[ALESent]:[TaxTran]])))</f>
        <v>0</v>
      </c>
      <c r="BK15" s="136">
        <f>IF(VLOOKUP(Table1[[#This Row],[SyStudentId]],SSR!$A$2:$CC$4982,22,FALSE)=44109,44109,"Check Program")</f>
        <v>44109</v>
      </c>
      <c r="BL15" s="124">
        <f>IF(Table1[[#This Row],[AYStart]]=44109,44356,"Check Program")</f>
        <v>44356</v>
      </c>
      <c r="BM15" s="219">
        <v>8505</v>
      </c>
      <c r="BN15" s="219">
        <v>8505</v>
      </c>
      <c r="BO15" s="219">
        <v>8505</v>
      </c>
      <c r="BP15" s="220">
        <f t="shared" si="0"/>
        <v>25515</v>
      </c>
      <c r="BQ15" s="221">
        <v>3300</v>
      </c>
      <c r="BR15" s="219">
        <v>400</v>
      </c>
      <c r="BS15" s="219">
        <v>400</v>
      </c>
      <c r="BT15" s="220">
        <f t="shared" si="1"/>
        <v>4100</v>
      </c>
      <c r="BU15" s="219">
        <v>2100</v>
      </c>
      <c r="BV15" s="219">
        <v>2100</v>
      </c>
      <c r="BW15" s="219">
        <v>2100</v>
      </c>
      <c r="BX15" s="220">
        <f t="shared" si="2"/>
        <v>6300</v>
      </c>
      <c r="BY15" s="275">
        <v>1200</v>
      </c>
      <c r="BZ15" s="275">
        <v>1200</v>
      </c>
      <c r="CA15" s="275">
        <v>1200</v>
      </c>
      <c r="CB15" s="220">
        <f>SUM(Table1[[#This Row],[LEQ1]:[LEQ3]])</f>
        <v>3600</v>
      </c>
      <c r="CC15" s="275">
        <v>0</v>
      </c>
      <c r="CD15" s="275">
        <v>0</v>
      </c>
      <c r="CE15" s="275">
        <v>0</v>
      </c>
      <c r="CF15" s="220">
        <f>SUM(Table1[[#This Row],[OthCostQ1]:[OthCostQ3]])</f>
        <v>0</v>
      </c>
      <c r="CG15" s="220">
        <f>(Table1[[#This Row],[T&amp;FTot]]+Table1[[#This Row],[B&amp;STot]]+Table1[[#This Row],[HousTot]]+Table1[[#This Row],[LETot]]+Table1[[#This Row],[OthCostTot]])</f>
        <v>39515</v>
      </c>
      <c r="CH15" s="250"/>
      <c r="CI15" s="250"/>
      <c r="CJ15" s="250"/>
      <c r="CK15" s="251">
        <f>SUM(Table1[[#This Row],[SEOGQ1]:[SEOGQ3]])</f>
        <v>0</v>
      </c>
      <c r="CL15" s="250">
        <f>IFERROR(ROUNDUP(Table1[[#This Row],[PellTot]]/3,0),0)</f>
        <v>1715</v>
      </c>
      <c r="CM15" s="250">
        <f>IFERROR(ROUND(Table1[[#This Row],[PellTot]]/3,0),0)</f>
        <v>1715</v>
      </c>
      <c r="CN15" s="250">
        <f>IFERROR(ROUNDDOWN(Table1[[#This Row],[PellTot]]/3,0),0)</f>
        <v>1715</v>
      </c>
      <c r="CO15" s="251">
        <f>IFERROR(LOOKUP(Table1[EFC],Pell_Table[#Data],Pell_Table[Pell Amt]),0)</f>
        <v>5145</v>
      </c>
      <c r="CP15" s="250">
        <f>Table1[[#This Row],[AccessTot]]/3</f>
        <v>500</v>
      </c>
      <c r="CQ15" s="250">
        <f>Table1[[#This Row],[AccessTot]]/3</f>
        <v>500</v>
      </c>
      <c r="CR15" s="250">
        <f>Table1[[#This Row],[AccessTot]]/3</f>
        <v>500</v>
      </c>
      <c r="CS15" s="251">
        <f>IF(Table1[[#This Row],[PellTot]]&gt;0,1500,0)</f>
        <v>1500</v>
      </c>
      <c r="CT15" s="250">
        <f>Table1[[#This Row],[AchiTot]]/3</f>
        <v>1700</v>
      </c>
      <c r="CU15" s="250">
        <f>Table1[[#This Row],[AchiTot]]/3</f>
        <v>1700</v>
      </c>
      <c r="CV15" s="250">
        <f>Table1[[#This Row],[AchiTot]]/3</f>
        <v>1700</v>
      </c>
      <c r="CW15" s="252">
        <f>IF(Table1[[#This Row],[Rank]]="","",IF(Table1[[#This Row],[Rank]]=1,5100,IF(Table1[[#This Row],[Rank]]=2,4500,IF(Table1[[#This Row],[Rank]]=3,3900,IF(Table1[[#This Row],[Rank]]=4,3750,IF(Table1[[#This Row],[Rank]]=5,3000,IF(Table1[[#This Row],[Rank]]=6,2250,0)))))))</f>
        <v>5100</v>
      </c>
      <c r="CX15" s="250">
        <f>Table1[[#This Row],[UTTot]]/3</f>
        <v>0</v>
      </c>
      <c r="CY15" s="250">
        <f>Table1[[#This Row],[UTTot]]/3</f>
        <v>0</v>
      </c>
      <c r="CZ15" s="250">
        <f>Table1[[#This Row],[UTTot]]/3</f>
        <v>0</v>
      </c>
      <c r="DA15" s="251">
        <f>IF(Table1[[#This Row],[State]]="UT",9000,0)</f>
        <v>0</v>
      </c>
      <c r="DB15" s="250">
        <f>Table1[[#This Row],[WITTot]]/3</f>
        <v>0</v>
      </c>
      <c r="DC15" s="250">
        <f>Table1[[#This Row],[WITTot]]/3</f>
        <v>0</v>
      </c>
      <c r="DD15" s="250">
        <f>Table1[[#This Row],[WITTot]]/3</f>
        <v>0</v>
      </c>
      <c r="DE15" s="251">
        <f>IF(Table1[[#This Row],[Gender]]="Female",3000,0)</f>
        <v>0</v>
      </c>
      <c r="DF15" s="250">
        <f>Table1[[#This Row],[SerTot]]/3</f>
        <v>0</v>
      </c>
      <c r="DG15" s="250">
        <f>Table1[[#This Row],[SerTot]]/3</f>
        <v>0</v>
      </c>
      <c r="DH15" s="250">
        <f>Table1[[#This Row],[SerTot]]/3</f>
        <v>0</v>
      </c>
      <c r="DI15" s="252"/>
      <c r="DJ15" s="250"/>
      <c r="DK15" s="250"/>
      <c r="DL15" s="250"/>
      <c r="DM15" s="252"/>
      <c r="DN15" s="250">
        <f>Table1[[#This Row],[MatTot]]/3</f>
        <v>0</v>
      </c>
      <c r="DO15" s="250">
        <f>Table1[[#This Row],[MatTot]]/3</f>
        <v>0</v>
      </c>
      <c r="DP15" s="250">
        <f>Table1[[#This Row],[MatTot]]/3</f>
        <v>0</v>
      </c>
      <c r="DQ15" s="252">
        <v>0</v>
      </c>
      <c r="DR15" s="250">
        <f>Table1[[#This Row],[OutTot]]/3</f>
        <v>0</v>
      </c>
      <c r="DS15" s="250">
        <f>Table1[[#This Row],[OutTot]]/3</f>
        <v>0</v>
      </c>
      <c r="DT15" s="250">
        <f>Table1[[#This Row],[OutTot]]/3</f>
        <v>0</v>
      </c>
      <c r="DU15" s="252">
        <v>0</v>
      </c>
      <c r="DV15" s="250">
        <v>0</v>
      </c>
      <c r="DW15" s="250">
        <v>0</v>
      </c>
      <c r="DX15" s="250">
        <v>0</v>
      </c>
      <c r="DY15" s="252">
        <f>SUM(Table1[[#This Row],[VAQ1]:[VAQ3]])</f>
        <v>0</v>
      </c>
      <c r="DZ15" s="250">
        <v>0</v>
      </c>
      <c r="EA15" s="250">
        <v>0</v>
      </c>
      <c r="EB15" s="250">
        <v>0</v>
      </c>
      <c r="EC15" s="252">
        <f>SUM(Table1[[#This Row],[OthGrantQ1]:[OthGrantQ3]])</f>
        <v>0</v>
      </c>
      <c r="ED15" s="263">
        <f>Table1[[#This Row],[SEOGTot]]+Table1[[#This Row],[PellTot]]+Table1[[#This Row],[AccessTot]]+Table1[[#This Row],[AchiTot]]+Table1[[#This Row],[UTTot]]+Table1[[#This Row],[WITTot]]+Table1[[#This Row],[SerTot]]+Table1[[#This Row],[TranTot]]+Table1[[#This Row],[MatTot]]+Table1[[#This Row],[OutTot]]+Table1[[#This Row],[VATot]]+Table1[[#This Row],[OthGrantTot]]</f>
        <v>11745</v>
      </c>
      <c r="EE15" s="249"/>
      <c r="EF15" s="237"/>
      <c r="EG15" s="237"/>
      <c r="EH15" s="232">
        <f>SUM(Table1[[#This Row],[CashQ1]]:Table1[[#This Row],[CashQ3]])</f>
        <v>0</v>
      </c>
      <c r="EI15" s="271">
        <f>ROUND((Table1[[#This Row],[SubTot]]/3)/1.01059,0)</f>
        <v>1154</v>
      </c>
      <c r="EJ15" s="234">
        <f>ROUND((Table1[[#This Row],[SubTot]]/3)/1.01059,0)</f>
        <v>1154</v>
      </c>
      <c r="EK15" s="234">
        <f>ROUNDUP((Table1[[#This Row],[SubTot]]/3)/1.01059,0)</f>
        <v>1155</v>
      </c>
      <c r="EL15" s="235">
        <v>3500</v>
      </c>
      <c r="EM15" s="240">
        <f>Table1[[#This Row],[SubTot]]*0.01059</f>
        <v>37.065000000000005</v>
      </c>
      <c r="EN15" s="234">
        <f>ROUND((Table1[[#This Row],[UnsubTot]]/3)/1.01062,0)</f>
        <v>660</v>
      </c>
      <c r="EO15" s="234">
        <f>ROUND((Table1[[#This Row],[UnsubTot]]/3)/1.01062,0)</f>
        <v>660</v>
      </c>
      <c r="EP15" s="234">
        <f>ROUNDDOWN((Table1[[#This Row],[UnsubTot]]/3)/1.01062,0)</f>
        <v>659</v>
      </c>
      <c r="EQ15" s="235">
        <f>IF(Table1[D/I]="I",6000,2000)</f>
        <v>2000</v>
      </c>
      <c r="ER15" s="240">
        <f>Table1[[#This Row],[UnsubTot]]*0.01059</f>
        <v>21.18</v>
      </c>
      <c r="ES15" s="234">
        <f>ROUND((Table1[[#This Row],[PLUSTot]]/3)/1.04236,0)</f>
        <v>0</v>
      </c>
      <c r="ET15" s="234">
        <f>ROUND((Table1[[#This Row],[PLUSTot]]/3)/1.04236,0)</f>
        <v>0</v>
      </c>
      <c r="EU15" s="234">
        <f>ROUND((Table1[[#This Row],[PLUSTot]]/3)/1.04236,0)</f>
        <v>0</v>
      </c>
      <c r="EV15" s="235">
        <v>0</v>
      </c>
      <c r="EW15" s="239">
        <f>Table1[[#This Row],[PLUSTot]]*0.04248</f>
        <v>0</v>
      </c>
      <c r="EX15" s="237"/>
      <c r="EY15" s="237"/>
      <c r="EZ15" s="237"/>
      <c r="FA15" s="232">
        <f>SUM(Table1[[#This Row],[PrivQ1]:[PrivQ3]])</f>
        <v>0</v>
      </c>
      <c r="FB15" s="237"/>
      <c r="FC15" s="237"/>
      <c r="FD15" s="237"/>
      <c r="FE15" s="232">
        <f>SUM(Table1[[#This Row],[TOQ1]:[TOQ3]])</f>
        <v>0</v>
      </c>
      <c r="FF15" s="237"/>
      <c r="FG15" s="237"/>
      <c r="FH15" s="237"/>
      <c r="FI15" s="232">
        <f>SUM(Table1[[#This Row],[OFundQ1]:[OFundQ3]])</f>
        <v>0</v>
      </c>
      <c r="FJ15" s="238">
        <f>(Table1[[#This Row],[SubTot]]-Table1[[#This Row],[SubFee]])+(Table1[[#This Row],[UnsubTot]]-Table1[[#This Row],[UnsubFee]])+(Table1[[#This Row],[PLUSTot]]-Table1[[#This Row],[PLUSFee]])+Table1[[#This Row],[PrivTot]]+Table1[[#This Row],[TOTot]]+Table1[[#This Row],[OFundTot]]</f>
        <v>5441.7550000000001</v>
      </c>
      <c r="FK15" s="125">
        <f>Table1[[#This Row],[CostTot]]-Table1[[#This Row],[GiftTot]]</f>
        <v>27770</v>
      </c>
      <c r="FL15" s="139">
        <f>Table1[[#This Row],[NetNeed]]/(1-0.04248)</f>
        <v>23318.828849527945</v>
      </c>
      <c r="FM15" s="131">
        <f>Table1[[#This Row],[NetCost]]-Table1[[#This Row],[CashTot]]-(Table1[[#This Row],[SubTot]]-Table1[[#This Row],[SubFee]])-(Table1[[#This Row],[UnsubTot]]-Table1[[#This Row],[UnsubFee]])-(Table1[[#This Row],[PLUSTot]]-Table1[[#This Row],[PLUSFee]])-Table1[[#This Row],[PrivTot]]-Table1[[#This Row],[TOTot]]-Table1[[#This Row],[OFundTot]]</f>
        <v>22328.244999999999</v>
      </c>
      <c r="FN15" s="161"/>
      <c r="FO15" s="113"/>
      <c r="FP15" s="113"/>
    </row>
    <row r="16" spans="1:172" s="160" customFormat="1" ht="15" x14ac:dyDescent="0.25">
      <c r="A16" s="267">
        <v>196712</v>
      </c>
      <c r="B16" s="113" t="str">
        <f>VLOOKUP(Table1[[#This Row],[SyStudentId]],SSR!$A$2:$CC$4982,4,FALSE)</f>
        <v>Mayes</v>
      </c>
      <c r="C16" s="113" t="str">
        <f>VLOOKUP(Table1[[#This Row],[SyStudentId]],SSR!$A$2:$CC$4982,5,FALSE)</f>
        <v>Jordan</v>
      </c>
      <c r="D16" s="113" t="str">
        <f>VLOOKUP(Table1[[#This Row],[SyStudentId]],SSR!$A$2:$CC$4982,6,FALSE)</f>
        <v>Mayes, Jordan</v>
      </c>
      <c r="E16" s="113" t="str">
        <f>CONCATENATE(Table1[[#This Row],[FirstName]]," ",Table1[[#This Row],[LastName]])</f>
        <v>Jordan Mayes</v>
      </c>
      <c r="F16" s="112">
        <v>1</v>
      </c>
      <c r="G16" s="114">
        <v>43780</v>
      </c>
      <c r="H16" s="114">
        <v>43781</v>
      </c>
      <c r="I16" s="114">
        <v>43781</v>
      </c>
      <c r="J16" s="115" t="s">
        <v>5313</v>
      </c>
      <c r="K16" s="116" t="s">
        <v>708</v>
      </c>
      <c r="L16" s="112" t="str">
        <f>IFERROR(VLOOKUP(Table1[[#This Row],[SyStudentId]],ISIR!$A$2:$X$999,11,FALSE),"")</f>
        <v>D</v>
      </c>
      <c r="M16" s="113" t="str">
        <f>VLOOKUP(Table1[[#This Row],[SyStudentId]],SSR!$A$2:$CC$4982,7,FALSE)</f>
        <v>jordanmayes099@gmail.com</v>
      </c>
      <c r="N16" s="113" t="str">
        <f>VLOOKUP(Table1[[#This Row],[SyStudentId]],SSR!$A$2:$CC$4982,8,FALSE)</f>
        <v>120 Settlers Ln</v>
      </c>
      <c r="O16" s="113" t="str">
        <f>VLOOKUP(Table1[[#This Row],[SyStudentId]],SSR!$A$2:$CC$4982,9,FALSE)</f>
        <v>West Blocton</v>
      </c>
      <c r="P16" s="292" t="str">
        <f>VLOOKUP(Table1[[#This Row],[SyStudentId]],SSR!$A$2:$CC$4982,10,FALSE)</f>
        <v>AL</v>
      </c>
      <c r="Q16" s="117" t="str">
        <f>VLOOKUP(Table1[[#This Row],[SyStudentId]],SSR!$A$2:$CC$4982,11,FALSE)</f>
        <v xml:space="preserve">35184     </v>
      </c>
      <c r="R16" s="118">
        <f>VLOOKUP(Table1[[#This Row],[SyStudentId]],SSR!$A$2:$CC$4982,15,FALSE)</f>
        <v>3.4</v>
      </c>
      <c r="S16" s="119">
        <f>VLOOKUP(Table1[[#This Row],[SyStudentId]],SSR!$A$2:$CC$4982,22,FALSE)</f>
        <v>44109</v>
      </c>
      <c r="T16" s="113" t="str">
        <f>VLOOKUP(Table1[[#This Row],[SyStudentId]],SSR!$A$2:$CC$4982,24,FALSE)</f>
        <v>GM</v>
      </c>
      <c r="U16" s="113" t="str">
        <f>IF(VLOOKUP(Table1[[#This Row],[SyStudentId]],SSR!$A$2:$CC$4982,26,FALSE)=0,"Not Selected",VLOOKUP(Table1[[#This Row],[SyStudentId]],SSR!$A$2:$CC$4982,26,FALSE))</f>
        <v>Male</v>
      </c>
      <c r="V16" s="113" t="str">
        <f>VLOOKUP(Table1[[#This Row],[SyStudentId]],SSR!$A$2:$CC$4982,27,FALSE)</f>
        <v xml:space="preserve">HS2020  </v>
      </c>
      <c r="W16" s="113" t="str">
        <f>VLOOKUP(LEFT(Table1[[#This Row],[LastName]],1),Alpha!$A$1:$B$26,2,FALSE)</f>
        <v>Maureen Ranks</v>
      </c>
      <c r="X16" s="149" t="str">
        <f>VLOOKUP(Table1[[#This Row],[FAA]],Alpha!$B$1:$D$26,2,FALSE)</f>
        <v>mranks@neumont.edu</v>
      </c>
      <c r="Y16" s="113">
        <f>VLOOKUP(Table1[[#This Row],[FAA]],Alpha!$B$1:$D$26,3,FALSE)</f>
        <v>8883022894</v>
      </c>
      <c r="Z16" s="113" t="str">
        <f>VLOOKUP(Table1[[#This Row],[SyStudentId]],SSR!$A$2:$CC$4982,30,FALSE)</f>
        <v>16-Accepted</v>
      </c>
      <c r="AA16" s="113" t="str">
        <f>IF(VLOOKUP(Table1[[#This Row],[SyStudentId]],SSR!$A$2:$CC$4982,36,FALSE)="Bachelor of Science","BS Computer Science","Check Program")</f>
        <v>BS Computer Science</v>
      </c>
      <c r="AB16" s="113">
        <f>VLOOKUP(Table1[[#This Row],[SyStudentId]],SSR!$A$2:$CC$4982,37,FALSE)</f>
        <v>0</v>
      </c>
      <c r="AC16" s="113">
        <f>VLOOKUP(Table1[[#This Row],[SyStudentId]],SSR!$A$2:$CC$4982,42,FALSE)</f>
        <v>0</v>
      </c>
      <c r="AD16" s="113" t="str">
        <f>VLOOKUP(Table1[[#This Row],[SyStudentId]],SSR!$A$2:$CC$4982,46,FALSE)</f>
        <v>0</v>
      </c>
      <c r="AE16" s="113" t="str">
        <f>VLOOKUP(Table1[[#This Row],[SyStudentId]],SSR!$A$2:$CC$4982,65,FALSE)</f>
        <v>IX</v>
      </c>
      <c r="AF16"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16" s="113" t="str">
        <f>VLOOKUP(Table1[[#This Row],[SyStudentId]],SSR!$A$2:$CC$4982,66,FALSE)</f>
        <v>July-October</v>
      </c>
      <c r="AH16" s="113" t="str">
        <f>IFERROR(VLOOKUP(Table1[[#This Row],[SyStudentId]],ISIR!$A$2:$X$999,7,FALSE),"")</f>
        <v>001220</v>
      </c>
      <c r="AI16" s="121">
        <f>IF(Table1[[#This Row],[EFCRaw]]="","",IF(Table1[[#This Row],[EFCRaw]]="No EFC","No EFC",_xlfn.NUMBERVALUE(Table1[[#This Row],[EFCRaw]])))</f>
        <v>1220</v>
      </c>
      <c r="AJ16" s="119">
        <f>IFERROR(VLOOKUP(Table1[[#This Row],[SyStudentId]],ISIR!$A$2:$X$4999,19,FALSE),"")</f>
        <v>43774</v>
      </c>
      <c r="AK16" s="113" t="str">
        <f>IFERROR(VLOOKUP(Table1[[#This Row],[SyStudentId]],ISIR!$A$2:$X$4999,8,FALSE),"")</f>
        <v>Y</v>
      </c>
      <c r="AL16" s="132" t="str">
        <f>IF(Table1[[#This Row],[VerReq]]="N","n/a","")</f>
        <v/>
      </c>
      <c r="AM16" s="122">
        <v>43781</v>
      </c>
      <c r="AN16" s="122">
        <v>43781</v>
      </c>
      <c r="AO16" s="122">
        <v>43781</v>
      </c>
      <c r="AP16" s="122">
        <v>43781</v>
      </c>
      <c r="AQ16" s="122">
        <v>43781</v>
      </c>
      <c r="AR16" s="122"/>
      <c r="AS16" s="122"/>
      <c r="AT16" s="122"/>
      <c r="AU16" s="122"/>
      <c r="AV16" s="122"/>
      <c r="AW16" s="122"/>
      <c r="AX16" s="122"/>
      <c r="AY16" s="122"/>
      <c r="AZ16" s="122"/>
      <c r="BA16" s="122"/>
      <c r="BB16" s="122"/>
      <c r="BC16" s="133"/>
      <c r="BD16" s="140" t="str">
        <f>IF(Table1[[#This Row],[VerReq]]="N","x","")</f>
        <v/>
      </c>
      <c r="BE16" s="140" t="str">
        <f>IF(Table1[[#This Row],[VerReq]]="N","x","")</f>
        <v/>
      </c>
      <c r="BF16" s="140" t="s">
        <v>631</v>
      </c>
      <c r="BG16" s="140" t="s">
        <v>631</v>
      </c>
      <c r="BH16" s="140" t="s">
        <v>631</v>
      </c>
      <c r="BI16" s="140" t="str">
        <f>IF(Table1[[#This Row],[VerReq]]="N","x","")</f>
        <v/>
      </c>
      <c r="BJ16" s="134">
        <f>1-((COUNTBLANK(Table1[[#This Row],[ALESent]:[TaxTran]]))/(COUNT(Table1[[#This Row],[ALESent]:[TaxTran]])+COUNTBLANK(Table1[[#This Row],[ALESent]:[TaxTran]])))</f>
        <v>0.25</v>
      </c>
      <c r="BK16" s="136">
        <f>IF(VLOOKUP(Table1[[#This Row],[SyStudentId]],SSR!$A$2:$CC$4982,22,FALSE)=44109,44109,"Check Program")</f>
        <v>44109</v>
      </c>
      <c r="BL16" s="124">
        <f>IF(Table1[[#This Row],[AYStart]]=44109,44356,"Check Program")</f>
        <v>44356</v>
      </c>
      <c r="BM16" s="219">
        <v>8505</v>
      </c>
      <c r="BN16" s="219">
        <v>8505</v>
      </c>
      <c r="BO16" s="219">
        <v>8505</v>
      </c>
      <c r="BP16" s="220">
        <f t="shared" si="0"/>
        <v>25515</v>
      </c>
      <c r="BQ16" s="221">
        <v>3300</v>
      </c>
      <c r="BR16" s="219">
        <v>400</v>
      </c>
      <c r="BS16" s="219">
        <v>400</v>
      </c>
      <c r="BT16" s="220">
        <f t="shared" si="1"/>
        <v>4100</v>
      </c>
      <c r="BU16" s="219">
        <v>2100</v>
      </c>
      <c r="BV16" s="219">
        <v>2100</v>
      </c>
      <c r="BW16" s="219">
        <v>2100</v>
      </c>
      <c r="BX16" s="220">
        <f t="shared" si="2"/>
        <v>6300</v>
      </c>
      <c r="BY16" s="275">
        <v>1200</v>
      </c>
      <c r="BZ16" s="275">
        <v>1200</v>
      </c>
      <c r="CA16" s="275">
        <v>1200</v>
      </c>
      <c r="CB16" s="220">
        <f>SUM(Table1[[#This Row],[LEQ1]:[LEQ3]])</f>
        <v>3600</v>
      </c>
      <c r="CC16" s="275">
        <v>0</v>
      </c>
      <c r="CD16" s="275">
        <v>0</v>
      </c>
      <c r="CE16" s="275">
        <v>0</v>
      </c>
      <c r="CF16" s="220">
        <f>SUM(Table1[[#This Row],[OthCostQ1]:[OthCostQ3]])</f>
        <v>0</v>
      </c>
      <c r="CG16" s="220">
        <f>(Table1[[#This Row],[T&amp;FTot]]+Table1[[#This Row],[B&amp;STot]]+Table1[[#This Row],[HousTot]]+Table1[[#This Row],[LETot]]+Table1[[#This Row],[OthCostTot]])</f>
        <v>39515</v>
      </c>
      <c r="CH16" s="250"/>
      <c r="CI16" s="250"/>
      <c r="CJ16" s="250"/>
      <c r="CK16" s="251">
        <f>SUM(Table1[[#This Row],[SEOGQ1]:[SEOGQ3]])</f>
        <v>0</v>
      </c>
      <c r="CL16" s="250">
        <f>IFERROR(ROUNDUP(Table1[[#This Row],[PellTot]]/3,0),0)</f>
        <v>1649</v>
      </c>
      <c r="CM16" s="250">
        <f>IFERROR(ROUND(Table1[[#This Row],[PellTot]]/3,0),0)</f>
        <v>1648</v>
      </c>
      <c r="CN16" s="250">
        <f>IFERROR(ROUNDDOWN(Table1[[#This Row],[PellTot]]/3,0),0)</f>
        <v>1648</v>
      </c>
      <c r="CO16" s="251">
        <f>IFERROR(LOOKUP(Table1[EFC],Pell_Table[#Data],Pell_Table[Pell Amt]),0)</f>
        <v>4945</v>
      </c>
      <c r="CP16" s="250">
        <f>Table1[[#This Row],[AccessTot]]/3</f>
        <v>500</v>
      </c>
      <c r="CQ16" s="250">
        <f>Table1[[#This Row],[AccessTot]]/3</f>
        <v>500</v>
      </c>
      <c r="CR16" s="250">
        <f>Table1[[#This Row],[AccessTot]]/3</f>
        <v>500</v>
      </c>
      <c r="CS16" s="251">
        <f>IF(Table1[[#This Row],[PellTot]]&gt;0,1500,0)</f>
        <v>1500</v>
      </c>
      <c r="CT16" s="250">
        <f>Table1[[#This Row],[AchiTot]]/3</f>
        <v>0</v>
      </c>
      <c r="CU16" s="250">
        <f>Table1[[#This Row],[AchiTot]]/3</f>
        <v>0</v>
      </c>
      <c r="CV16" s="250">
        <f>Table1[[#This Row],[AchiTot]]/3</f>
        <v>0</v>
      </c>
      <c r="CW16" s="252">
        <f>IF(Table1[[#This Row],[Rank]]="","",IF(Table1[[#This Row],[Rank]]=1,5100,IF(Table1[[#This Row],[Rank]]=2,4500,IF(Table1[[#This Row],[Rank]]=3,3900,IF(Table1[[#This Row],[Rank]]=4,3750,IF(Table1[[#This Row],[Rank]]=5,3000,IF(Table1[[#This Row],[Rank]]=6,2250,0)))))))</f>
        <v>0</v>
      </c>
      <c r="CX16" s="250">
        <f>Table1[[#This Row],[UTTot]]/3</f>
        <v>0</v>
      </c>
      <c r="CY16" s="250">
        <f>Table1[[#This Row],[UTTot]]/3</f>
        <v>0</v>
      </c>
      <c r="CZ16" s="250">
        <f>Table1[[#This Row],[UTTot]]/3</f>
        <v>0</v>
      </c>
      <c r="DA16" s="251">
        <f>IF(Table1[[#This Row],[State]]="UT",9000,0)</f>
        <v>0</v>
      </c>
      <c r="DB16" s="250">
        <f>Table1[[#This Row],[WITTot]]/3</f>
        <v>0</v>
      </c>
      <c r="DC16" s="250">
        <f>Table1[[#This Row],[WITTot]]/3</f>
        <v>0</v>
      </c>
      <c r="DD16" s="250">
        <f>Table1[[#This Row],[WITTot]]/3</f>
        <v>0</v>
      </c>
      <c r="DE16" s="251">
        <f>IF(Table1[[#This Row],[Gender]]="Female",3000,0)</f>
        <v>0</v>
      </c>
      <c r="DF16" s="250">
        <f>Table1[[#This Row],[SerTot]]/3</f>
        <v>0</v>
      </c>
      <c r="DG16" s="250">
        <f>Table1[[#This Row],[SerTot]]/3</f>
        <v>0</v>
      </c>
      <c r="DH16" s="250">
        <f>Table1[[#This Row],[SerTot]]/3</f>
        <v>0</v>
      </c>
      <c r="DI16" s="252"/>
      <c r="DJ16" s="250"/>
      <c r="DK16" s="250"/>
      <c r="DL16" s="250"/>
      <c r="DM16" s="252"/>
      <c r="DN16" s="250">
        <f>Table1[[#This Row],[MatTot]]/3</f>
        <v>0</v>
      </c>
      <c r="DO16" s="250">
        <f>Table1[[#This Row],[MatTot]]/3</f>
        <v>0</v>
      </c>
      <c r="DP16" s="250">
        <f>Table1[[#This Row],[MatTot]]/3</f>
        <v>0</v>
      </c>
      <c r="DQ16" s="252">
        <v>0</v>
      </c>
      <c r="DR16" s="250">
        <f>Table1[[#This Row],[OutTot]]/3</f>
        <v>0</v>
      </c>
      <c r="DS16" s="250">
        <f>Table1[[#This Row],[OutTot]]/3</f>
        <v>0</v>
      </c>
      <c r="DT16" s="250">
        <f>Table1[[#This Row],[OutTot]]/3</f>
        <v>0</v>
      </c>
      <c r="DU16" s="252">
        <v>0</v>
      </c>
      <c r="DV16" s="250">
        <v>0</v>
      </c>
      <c r="DW16" s="250">
        <v>0</v>
      </c>
      <c r="DX16" s="250">
        <v>0</v>
      </c>
      <c r="DY16" s="252">
        <f>SUM(Table1[[#This Row],[VAQ1]:[VAQ3]])</f>
        <v>0</v>
      </c>
      <c r="DZ16" s="250">
        <v>0</v>
      </c>
      <c r="EA16" s="250">
        <v>0</v>
      </c>
      <c r="EB16" s="250">
        <v>0</v>
      </c>
      <c r="EC16" s="252">
        <f>SUM(Table1[[#This Row],[OthGrantQ1]:[OthGrantQ3]])</f>
        <v>0</v>
      </c>
      <c r="ED16" s="263">
        <f>Table1[[#This Row],[SEOGTot]]+Table1[[#This Row],[PellTot]]+Table1[[#This Row],[AccessTot]]+Table1[[#This Row],[AchiTot]]+Table1[[#This Row],[UTTot]]+Table1[[#This Row],[WITTot]]+Table1[[#This Row],[SerTot]]+Table1[[#This Row],[TranTot]]+Table1[[#This Row],[MatTot]]+Table1[[#This Row],[OutTot]]+Table1[[#This Row],[VATot]]+Table1[[#This Row],[OthGrantTot]]</f>
        <v>6445</v>
      </c>
      <c r="EE16" s="249"/>
      <c r="EF16" s="237"/>
      <c r="EG16" s="237"/>
      <c r="EH16" s="232">
        <f>SUM(Table1[[#This Row],[CashQ1]]:Table1[[#This Row],[CashQ3]])</f>
        <v>0</v>
      </c>
      <c r="EI16" s="271">
        <f>ROUND((Table1[[#This Row],[SubTot]]/3)/1.01059,0)</f>
        <v>1154</v>
      </c>
      <c r="EJ16" s="234">
        <f>ROUND((Table1[[#This Row],[SubTot]]/3)/1.01059,0)</f>
        <v>1154</v>
      </c>
      <c r="EK16" s="234">
        <f>ROUNDUP((Table1[[#This Row],[SubTot]]/3)/1.01059,0)</f>
        <v>1155</v>
      </c>
      <c r="EL16" s="235">
        <v>3500</v>
      </c>
      <c r="EM16" s="240">
        <f>Table1[[#This Row],[SubTot]]*0.01059</f>
        <v>37.065000000000005</v>
      </c>
      <c r="EN16" s="234">
        <f>ROUND((Table1[[#This Row],[UnsubTot]]/3)/1.01062,0)</f>
        <v>660</v>
      </c>
      <c r="EO16" s="234">
        <f>ROUND((Table1[[#This Row],[UnsubTot]]/3)/1.01062,0)</f>
        <v>660</v>
      </c>
      <c r="EP16" s="234">
        <f>ROUNDDOWN((Table1[[#This Row],[UnsubTot]]/3)/1.01062,0)</f>
        <v>659</v>
      </c>
      <c r="EQ16" s="235">
        <f>IF(Table1[D/I]="I",6000,2000)</f>
        <v>2000</v>
      </c>
      <c r="ER16" s="240">
        <f>Table1[[#This Row],[UnsubTot]]*0.01059</f>
        <v>21.18</v>
      </c>
      <c r="ES16" s="234">
        <f>ROUND((Table1[[#This Row],[PLUSTot]]/3)/1.04236,0)</f>
        <v>9227</v>
      </c>
      <c r="ET16" s="234">
        <f>ROUND((Table1[[#This Row],[PLUSTot]]/3)/1.04236,0)</f>
        <v>9227</v>
      </c>
      <c r="EU16" s="234">
        <f>ROUND((Table1[[#This Row],[PLUSTot]]/3)/1.04236,0)</f>
        <v>9227</v>
      </c>
      <c r="EV16" s="235">
        <v>28854</v>
      </c>
      <c r="EW16" s="239">
        <f>Table1[[#This Row],[PLUSTot]]*0.04248</f>
        <v>1225.7179199999998</v>
      </c>
      <c r="EX16" s="237"/>
      <c r="EY16" s="237"/>
      <c r="EZ16" s="237"/>
      <c r="FA16" s="232">
        <f>SUM(Table1[[#This Row],[PrivQ1]:[PrivQ3]])</f>
        <v>0</v>
      </c>
      <c r="FB16" s="237"/>
      <c r="FC16" s="237"/>
      <c r="FD16" s="237"/>
      <c r="FE16" s="232">
        <f>SUM(Table1[[#This Row],[TOQ1]:[TOQ3]])</f>
        <v>0</v>
      </c>
      <c r="FF16" s="237"/>
      <c r="FG16" s="237"/>
      <c r="FH16" s="237"/>
      <c r="FI16" s="232">
        <f>SUM(Table1[[#This Row],[OFundQ1]:[OFundQ3]])</f>
        <v>0</v>
      </c>
      <c r="FJ16" s="238">
        <f>(Table1[[#This Row],[SubTot]]-Table1[[#This Row],[SubFee]])+(Table1[[#This Row],[UnsubTot]]-Table1[[#This Row],[UnsubFee]])+(Table1[[#This Row],[PLUSTot]]-Table1[[#This Row],[PLUSFee]])+Table1[[#This Row],[PrivTot]]+Table1[[#This Row],[TOTot]]+Table1[[#This Row],[OFundTot]]</f>
        <v>33070.037080000002</v>
      </c>
      <c r="FK16" s="125">
        <f>Table1[[#This Row],[CostTot]]-Table1[[#This Row],[GiftTot]]</f>
        <v>33070</v>
      </c>
      <c r="FL16" s="139">
        <f>Table1[[#This Row],[NetNeed]]/(1-0.04248)</f>
        <v>-3.8725039687817424E-2</v>
      </c>
      <c r="FM16" s="131">
        <f>Table1[[#This Row],[NetCost]]-Table1[[#This Row],[CashTot]]-(Table1[[#This Row],[SubTot]]-Table1[[#This Row],[SubFee]])-(Table1[[#This Row],[UnsubTot]]-Table1[[#This Row],[UnsubFee]])-(Table1[[#This Row],[PLUSTot]]-Table1[[#This Row],[PLUSFee]])-Table1[[#This Row],[PrivTot]]-Table1[[#This Row],[TOTot]]-Table1[[#This Row],[OFundTot]]</f>
        <v>-3.7080000001878943E-2</v>
      </c>
      <c r="FN16" s="161"/>
      <c r="FO16" s="113"/>
      <c r="FP16" s="113"/>
    </row>
    <row r="17" spans="1:172" s="160" customFormat="1" ht="15" x14ac:dyDescent="0.25">
      <c r="A17" s="267">
        <v>196762</v>
      </c>
      <c r="B17" s="113" t="str">
        <f>VLOOKUP(Table1[[#This Row],[SyStudentId]],SSR!$A$2:$CC$4982,4,FALSE)</f>
        <v>McCarty</v>
      </c>
      <c r="C17" s="113" t="str">
        <f>VLOOKUP(Table1[[#This Row],[SyStudentId]],SSR!$A$2:$CC$4982,5,FALSE)</f>
        <v>Nolan</v>
      </c>
      <c r="D17" s="113" t="str">
        <f>VLOOKUP(Table1[[#This Row],[SyStudentId]],SSR!$A$2:$CC$4982,6,FALSE)</f>
        <v>McCarty, Nolan</v>
      </c>
      <c r="E17" s="113" t="str">
        <f>CONCATENATE(Table1[[#This Row],[FirstName]]," ",Table1[[#This Row],[LastName]])</f>
        <v>Nolan McCarty</v>
      </c>
      <c r="F17" s="112"/>
      <c r="G17" s="114"/>
      <c r="H17" s="114"/>
      <c r="I17" s="114"/>
      <c r="J17" s="115"/>
      <c r="K17" s="116"/>
      <c r="L17" s="112" t="str">
        <f>IFERROR(VLOOKUP(Table1[[#This Row],[SyStudentId]],ISIR!$A$2:$X$999,11,FALSE),"")</f>
        <v/>
      </c>
      <c r="M17" s="113" t="str">
        <f>VLOOKUP(Table1[[#This Row],[SyStudentId]],SSR!$A$2:$CC$4982,7,FALSE)</f>
        <v>nlmccartyy@gmail.com</v>
      </c>
      <c r="N17" s="113" t="str">
        <f>VLOOKUP(Table1[[#This Row],[SyStudentId]],SSR!$A$2:$CC$4982,8,FALSE)</f>
        <v>10301 Anchor Way</v>
      </c>
      <c r="O17" s="113" t="str">
        <f>VLOOKUP(Table1[[#This Row],[SyStudentId]],SSR!$A$2:$CC$4982,9,FALSE)</f>
        <v>Evansville</v>
      </c>
      <c r="P17" s="113" t="str">
        <f>VLOOKUP(Table1[[#This Row],[SyStudentId]],SSR!$A$2:$CC$4982,10,FALSE)</f>
        <v>IN</v>
      </c>
      <c r="Q17" s="117" t="str">
        <f>VLOOKUP(Table1[[#This Row],[SyStudentId]],SSR!$A$2:$CC$4982,11,FALSE)</f>
        <v xml:space="preserve">47725     </v>
      </c>
      <c r="R17" s="118">
        <f>VLOOKUP(Table1[[#This Row],[SyStudentId]],SSR!$A$2:$CC$4982,15,FALSE)</f>
        <v>2.5127999999999999</v>
      </c>
      <c r="S17" s="119">
        <f>VLOOKUP(Table1[[#This Row],[SyStudentId]],SSR!$A$2:$CC$4982,22,FALSE)</f>
        <v>44109</v>
      </c>
      <c r="T17" s="113" t="str">
        <f>VLOOKUP(Table1[[#This Row],[SyStudentId]],SSR!$A$2:$CC$4982,24,FALSE)</f>
        <v>JT</v>
      </c>
      <c r="U17" s="113" t="str">
        <f>IF(VLOOKUP(Table1[[#This Row],[SyStudentId]],SSR!$A$2:$CC$4982,26,FALSE)=0,"Not Selected",VLOOKUP(Table1[[#This Row],[SyStudentId]],SSR!$A$2:$CC$4982,26,FALSE))</f>
        <v>Male</v>
      </c>
      <c r="V17" s="113" t="str">
        <f>VLOOKUP(Table1[[#This Row],[SyStudentId]],SSR!$A$2:$CC$4982,27,FALSE)</f>
        <v xml:space="preserve">HS2020  </v>
      </c>
      <c r="W17" s="113" t="str">
        <f>VLOOKUP(LEFT(Table1[[#This Row],[LastName]],1),Alpha!$A$1:$B$26,2,FALSE)</f>
        <v>Maureen Ranks</v>
      </c>
      <c r="X17" s="149" t="str">
        <f>VLOOKUP(Table1[[#This Row],[FAA]],Alpha!$B$1:$D$26,2,FALSE)</f>
        <v>mranks@neumont.edu</v>
      </c>
      <c r="Y17" s="113">
        <f>VLOOKUP(Table1[[#This Row],[FAA]],Alpha!$B$1:$D$26,3,FALSE)</f>
        <v>8883022894</v>
      </c>
      <c r="Z17" s="113" t="str">
        <f>VLOOKUP(Table1[[#This Row],[SyStudentId]],SSR!$A$2:$CC$4982,30,FALSE)</f>
        <v>16-Accepted</v>
      </c>
      <c r="AA17" s="113" t="str">
        <f>IF(VLOOKUP(Table1[[#This Row],[SyStudentId]],SSR!$A$2:$CC$4982,36,FALSE)="Bachelor of Science","BS Computer Science","Check Program")</f>
        <v>BS Computer Science</v>
      </c>
      <c r="AB17" s="113">
        <f>VLOOKUP(Table1[[#This Row],[SyStudentId]],SSR!$A$2:$CC$4982,37,FALSE)</f>
        <v>0</v>
      </c>
      <c r="AC17" s="113" t="str">
        <f>VLOOKUP(Table1[[#This Row],[SyStudentId]],SSR!$A$2:$CC$4982,42,FALSE)</f>
        <v xml:space="preserve">980     </v>
      </c>
      <c r="AD17" s="113" t="str">
        <f>VLOOKUP(Table1[[#This Row],[SyStudentId]],SSR!$A$2:$CC$4982,46,FALSE)</f>
        <v>89</v>
      </c>
      <c r="AE17" s="113" t="str">
        <f>VLOOKUP(Table1[[#This Row],[SyStudentId]],SSR!$A$2:$CC$4982,65,FALSE)</f>
        <v>IX</v>
      </c>
      <c r="AF17"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17" s="113" t="str">
        <f>VLOOKUP(Table1[[#This Row],[SyStudentId]],SSR!$A$2:$CC$4982,66,FALSE)</f>
        <v>July-October</v>
      </c>
      <c r="AH17" s="113" t="str">
        <f>IFERROR(VLOOKUP(Table1[[#This Row],[SyStudentId]],ISIR!$A$2:$X$999,7,FALSE),"")</f>
        <v/>
      </c>
      <c r="AI17" s="121" t="str">
        <f>IF(Table1[[#This Row],[EFCRaw]]="","",IF(Table1[[#This Row],[EFCRaw]]="No EFC","No EFC",_xlfn.NUMBERVALUE(Table1[[#This Row],[EFCRaw]])))</f>
        <v/>
      </c>
      <c r="AJ17" s="119" t="str">
        <f>IFERROR(VLOOKUP(Table1[[#This Row],[SyStudentId]],ISIR!$A$2:$X$4999,19,FALSE),"")</f>
        <v/>
      </c>
      <c r="AK17" s="113" t="str">
        <f>IFERROR(VLOOKUP(Table1[[#This Row],[SyStudentId]],ISIR!$A$2:$X$4999,8,FALSE),"")</f>
        <v/>
      </c>
      <c r="AL17" s="132" t="str">
        <f>IF(Table1[[#This Row],[VerReq]]="N","n/a","")</f>
        <v/>
      </c>
      <c r="AM17" s="122"/>
      <c r="AN17" s="122"/>
      <c r="AO17" s="122"/>
      <c r="AP17" s="122"/>
      <c r="AQ17" s="122"/>
      <c r="AR17" s="122"/>
      <c r="AS17" s="122"/>
      <c r="AT17" s="122"/>
      <c r="AU17" s="122"/>
      <c r="AV17" s="122"/>
      <c r="AW17" s="122"/>
      <c r="AX17" s="122"/>
      <c r="AY17" s="122"/>
      <c r="AZ17" s="122"/>
      <c r="BA17" s="122"/>
      <c r="BB17" s="122"/>
      <c r="BC17" s="133"/>
      <c r="BD17" s="140" t="str">
        <f>IF(Table1[[#This Row],[VerReq]]="N","x","")</f>
        <v/>
      </c>
      <c r="BE17" s="140" t="str">
        <f>IF(Table1[[#This Row],[VerReq]]="N","x","")</f>
        <v/>
      </c>
      <c r="BF17" s="140" t="str">
        <f>IF(Table1[[#This Row],[VerReq]]="N","x","")</f>
        <v/>
      </c>
      <c r="BG17" s="140" t="str">
        <f>IF(Table1[[#This Row],[VerReq]]="N","x","")</f>
        <v/>
      </c>
      <c r="BH17" s="140" t="str">
        <f>IF(Table1[[#This Row],[VerReq]]="N","x","")</f>
        <v/>
      </c>
      <c r="BI17" s="140" t="str">
        <f>IF(Table1[[#This Row],[VerReq]]="N","x","")</f>
        <v/>
      </c>
      <c r="BJ17" s="134">
        <f>1-((COUNTBLANK(Table1[[#This Row],[ALESent]:[TaxTran]]))/(COUNT(Table1[[#This Row],[ALESent]:[TaxTran]])+COUNTBLANK(Table1[[#This Row],[ALESent]:[TaxTran]])))</f>
        <v>0</v>
      </c>
      <c r="BK17" s="136">
        <f>IF(VLOOKUP(Table1[[#This Row],[SyStudentId]],SSR!$A$2:$CC$4982,22,FALSE)=44109,44109,"Check Program")</f>
        <v>44109</v>
      </c>
      <c r="BL17" s="124">
        <f>IF(Table1[[#This Row],[AYStart]]=44109,44356,"Check Program")</f>
        <v>44356</v>
      </c>
      <c r="BM17" s="219">
        <v>8505</v>
      </c>
      <c r="BN17" s="219">
        <v>8505</v>
      </c>
      <c r="BO17" s="219">
        <v>8505</v>
      </c>
      <c r="BP17" s="220">
        <f t="shared" si="0"/>
        <v>25515</v>
      </c>
      <c r="BQ17" s="221">
        <v>3300</v>
      </c>
      <c r="BR17" s="219">
        <v>400</v>
      </c>
      <c r="BS17" s="219">
        <v>400</v>
      </c>
      <c r="BT17" s="220">
        <f t="shared" si="1"/>
        <v>4100</v>
      </c>
      <c r="BU17" s="219">
        <v>2100</v>
      </c>
      <c r="BV17" s="219">
        <v>2100</v>
      </c>
      <c r="BW17" s="219">
        <v>2100</v>
      </c>
      <c r="BX17" s="220">
        <f t="shared" si="2"/>
        <v>6300</v>
      </c>
      <c r="BY17" s="275">
        <v>1200</v>
      </c>
      <c r="BZ17" s="275">
        <v>1200</v>
      </c>
      <c r="CA17" s="275">
        <v>1200</v>
      </c>
      <c r="CB17" s="220">
        <f>SUM(Table1[[#This Row],[LEQ1]:[LEQ3]])</f>
        <v>3600</v>
      </c>
      <c r="CC17" s="275">
        <v>0</v>
      </c>
      <c r="CD17" s="275">
        <v>0</v>
      </c>
      <c r="CE17" s="275">
        <v>0</v>
      </c>
      <c r="CF17" s="220">
        <f>SUM(Table1[[#This Row],[OthCostQ1]:[OthCostQ3]])</f>
        <v>0</v>
      </c>
      <c r="CG17" s="220">
        <f>(Table1[[#This Row],[T&amp;FTot]]+Table1[[#This Row],[B&amp;STot]]+Table1[[#This Row],[HousTot]]+Table1[[#This Row],[LETot]]+Table1[[#This Row],[OthCostTot]])</f>
        <v>39515</v>
      </c>
      <c r="CH17" s="250"/>
      <c r="CI17" s="250"/>
      <c r="CJ17" s="250"/>
      <c r="CK17" s="251">
        <f>SUM(Table1[[#This Row],[SEOGQ1]:[SEOGQ3]])</f>
        <v>0</v>
      </c>
      <c r="CL17" s="250">
        <f>IFERROR(ROUNDUP(Table1[[#This Row],[PellTot]]/3,0),0)</f>
        <v>0</v>
      </c>
      <c r="CM17" s="250">
        <f>IFERROR(ROUND(Table1[[#This Row],[PellTot]]/3,0),0)</f>
        <v>0</v>
      </c>
      <c r="CN17" s="250">
        <f>IFERROR(ROUNDDOWN(Table1[[#This Row],[PellTot]]/3,0),0)</f>
        <v>0</v>
      </c>
      <c r="CO17" s="251">
        <f>IFERROR(LOOKUP(Table1[EFC],Pell_Table[#Data],Pell_Table[Pell Amt]),0)</f>
        <v>0</v>
      </c>
      <c r="CP17" s="250">
        <f>Table1[[#This Row],[AccessTot]]/3</f>
        <v>0</v>
      </c>
      <c r="CQ17" s="250">
        <f>Table1[[#This Row],[AccessTot]]/3</f>
        <v>0</v>
      </c>
      <c r="CR17" s="250">
        <f>Table1[[#This Row],[AccessTot]]/3</f>
        <v>0</v>
      </c>
      <c r="CS17" s="251">
        <f>IF(Table1[[#This Row],[PellTot]]&gt;0,1500,0)</f>
        <v>0</v>
      </c>
      <c r="CT17" s="250">
        <f>Table1[[#This Row],[AchiTot]]/3</f>
        <v>0</v>
      </c>
      <c r="CU17" s="250">
        <f>Table1[[#This Row],[AchiTot]]/3</f>
        <v>0</v>
      </c>
      <c r="CV17" s="250">
        <f>Table1[[#This Row],[AchiTot]]/3</f>
        <v>0</v>
      </c>
      <c r="CW17" s="252">
        <f>IF(Table1[[#This Row],[Rank]]="","",IF(Table1[[#This Row],[Rank]]=1,5100,IF(Table1[[#This Row],[Rank]]=2,4500,IF(Table1[[#This Row],[Rank]]=3,3900,IF(Table1[[#This Row],[Rank]]=4,3750,IF(Table1[[#This Row],[Rank]]=5,3000,IF(Table1[[#This Row],[Rank]]=6,2250,0)))))))</f>
        <v>0</v>
      </c>
      <c r="CX17" s="250">
        <f>Table1[[#This Row],[UTTot]]/3</f>
        <v>0</v>
      </c>
      <c r="CY17" s="250">
        <f>Table1[[#This Row],[UTTot]]/3</f>
        <v>0</v>
      </c>
      <c r="CZ17" s="250">
        <f>Table1[[#This Row],[UTTot]]/3</f>
        <v>0</v>
      </c>
      <c r="DA17" s="251">
        <f>IF(Table1[[#This Row],[State]]="UT",9000,0)</f>
        <v>0</v>
      </c>
      <c r="DB17" s="250">
        <f>Table1[[#This Row],[WITTot]]/3</f>
        <v>0</v>
      </c>
      <c r="DC17" s="250">
        <f>Table1[[#This Row],[WITTot]]/3</f>
        <v>0</v>
      </c>
      <c r="DD17" s="250">
        <f>Table1[[#This Row],[WITTot]]/3</f>
        <v>0</v>
      </c>
      <c r="DE17" s="251">
        <f>IF(Table1[[#This Row],[Gender]]="Female",3000,0)</f>
        <v>0</v>
      </c>
      <c r="DF17" s="250">
        <f>Table1[[#This Row],[SerTot]]/3</f>
        <v>0</v>
      </c>
      <c r="DG17" s="250">
        <f>Table1[[#This Row],[SerTot]]/3</f>
        <v>0</v>
      </c>
      <c r="DH17" s="250">
        <f>Table1[[#This Row],[SerTot]]/3</f>
        <v>0</v>
      </c>
      <c r="DI17" s="252"/>
      <c r="DJ17" s="250"/>
      <c r="DK17" s="250"/>
      <c r="DL17" s="250"/>
      <c r="DM17" s="252"/>
      <c r="DN17" s="250">
        <f>Table1[[#This Row],[MatTot]]/3</f>
        <v>0</v>
      </c>
      <c r="DO17" s="250">
        <f>Table1[[#This Row],[MatTot]]/3</f>
        <v>0</v>
      </c>
      <c r="DP17" s="250">
        <f>Table1[[#This Row],[MatTot]]/3</f>
        <v>0</v>
      </c>
      <c r="DQ17" s="252">
        <v>0</v>
      </c>
      <c r="DR17" s="250">
        <f>Table1[[#This Row],[OutTot]]/3</f>
        <v>0</v>
      </c>
      <c r="DS17" s="250">
        <f>Table1[[#This Row],[OutTot]]/3</f>
        <v>0</v>
      </c>
      <c r="DT17" s="250">
        <f>Table1[[#This Row],[OutTot]]/3</f>
        <v>0</v>
      </c>
      <c r="DU17" s="252">
        <v>0</v>
      </c>
      <c r="DV17" s="250">
        <v>0</v>
      </c>
      <c r="DW17" s="250">
        <v>0</v>
      </c>
      <c r="DX17" s="250">
        <v>0</v>
      </c>
      <c r="DY17" s="252">
        <f>SUM(Table1[[#This Row],[VAQ1]:[VAQ3]])</f>
        <v>0</v>
      </c>
      <c r="DZ17" s="250">
        <v>0</v>
      </c>
      <c r="EA17" s="250">
        <v>0</v>
      </c>
      <c r="EB17" s="250">
        <v>0</v>
      </c>
      <c r="EC17" s="252">
        <f>SUM(Table1[[#This Row],[OthGrantQ1]:[OthGrantQ3]])</f>
        <v>0</v>
      </c>
      <c r="ED17" s="263">
        <f>Table1[[#This Row],[SEOGTot]]+Table1[[#This Row],[PellTot]]+Table1[[#This Row],[AccessTot]]+Table1[[#This Row],[AchiTot]]+Table1[[#This Row],[UTTot]]+Table1[[#This Row],[WITTot]]+Table1[[#This Row],[SerTot]]+Table1[[#This Row],[TranTot]]+Table1[[#This Row],[MatTot]]+Table1[[#This Row],[OutTot]]+Table1[[#This Row],[VATot]]+Table1[[#This Row],[OthGrantTot]]</f>
        <v>0</v>
      </c>
      <c r="EE17" s="249"/>
      <c r="EF17" s="237"/>
      <c r="EG17" s="237"/>
      <c r="EH17" s="232">
        <f>SUM(Table1[[#This Row],[CashQ1]]:Table1[[#This Row],[CashQ3]])</f>
        <v>0</v>
      </c>
      <c r="EI17" s="271">
        <f>ROUND((Table1[[#This Row],[SubTot]]/3)/1.01059,0)</f>
        <v>1154</v>
      </c>
      <c r="EJ17" s="234">
        <f>ROUND((Table1[[#This Row],[SubTot]]/3)/1.01059,0)</f>
        <v>1154</v>
      </c>
      <c r="EK17" s="234">
        <f>ROUNDUP((Table1[[#This Row],[SubTot]]/3)/1.01059,0)</f>
        <v>1155</v>
      </c>
      <c r="EL17" s="235">
        <v>3500</v>
      </c>
      <c r="EM17" s="240">
        <f>Table1[[#This Row],[SubTot]]*0.01059</f>
        <v>37.065000000000005</v>
      </c>
      <c r="EN17" s="234">
        <f>ROUND((Table1[[#This Row],[UnsubTot]]/3)/1.01062,0)</f>
        <v>660</v>
      </c>
      <c r="EO17" s="234">
        <f>ROUND((Table1[[#This Row],[UnsubTot]]/3)/1.01062,0)</f>
        <v>660</v>
      </c>
      <c r="EP17" s="234">
        <f>ROUNDDOWN((Table1[[#This Row],[UnsubTot]]/3)/1.01062,0)</f>
        <v>659</v>
      </c>
      <c r="EQ17" s="235">
        <f>IF(Table1[D/I]="I",6000,2000)</f>
        <v>2000</v>
      </c>
      <c r="ER17" s="240">
        <f>Table1[[#This Row],[UnsubTot]]*0.01059</f>
        <v>21.18</v>
      </c>
      <c r="ES17" s="234">
        <f>ROUND((Table1[[#This Row],[PLUSTot]]/3)/1.04236,0)</f>
        <v>0</v>
      </c>
      <c r="ET17" s="234">
        <f>ROUND((Table1[[#This Row],[PLUSTot]]/3)/1.04236,0)</f>
        <v>0</v>
      </c>
      <c r="EU17" s="234">
        <f>ROUND((Table1[[#This Row],[PLUSTot]]/3)/1.04236,0)</f>
        <v>0</v>
      </c>
      <c r="EV17" s="235">
        <v>0</v>
      </c>
      <c r="EW17" s="239">
        <f>Table1[[#This Row],[PLUSTot]]*0.04248</f>
        <v>0</v>
      </c>
      <c r="EX17" s="237"/>
      <c r="EY17" s="237"/>
      <c r="EZ17" s="237"/>
      <c r="FA17" s="232">
        <f>SUM(Table1[[#This Row],[PrivQ1]:[PrivQ3]])</f>
        <v>0</v>
      </c>
      <c r="FB17" s="237"/>
      <c r="FC17" s="237"/>
      <c r="FD17" s="237"/>
      <c r="FE17" s="232">
        <f>SUM(Table1[[#This Row],[TOQ1]:[TOQ3]])</f>
        <v>0</v>
      </c>
      <c r="FF17" s="237"/>
      <c r="FG17" s="237"/>
      <c r="FH17" s="237"/>
      <c r="FI17" s="232">
        <f>SUM(Table1[[#This Row],[OFundQ1]:[OFundQ3]])</f>
        <v>0</v>
      </c>
      <c r="FJ17" s="238">
        <f>(Table1[[#This Row],[SubTot]]-Table1[[#This Row],[SubFee]])+(Table1[[#This Row],[UnsubTot]]-Table1[[#This Row],[UnsubFee]])+(Table1[[#This Row],[PLUSTot]]-Table1[[#This Row],[PLUSFee]])+Table1[[#This Row],[PrivTot]]+Table1[[#This Row],[TOTot]]+Table1[[#This Row],[OFundTot]]</f>
        <v>5441.7550000000001</v>
      </c>
      <c r="FK17" s="125">
        <f>Table1[[#This Row],[CostTot]]-Table1[[#This Row],[GiftTot]]</f>
        <v>39515</v>
      </c>
      <c r="FL17" s="139">
        <f>Table1[[#This Row],[NetNeed]]/(1-0.04248)</f>
        <v>35584.891177207784</v>
      </c>
      <c r="FM17" s="131">
        <f>Table1[[#This Row],[NetCost]]-Table1[[#This Row],[CashTot]]-(Table1[[#This Row],[SubTot]]-Table1[[#This Row],[SubFee]])-(Table1[[#This Row],[UnsubTot]]-Table1[[#This Row],[UnsubFee]])-(Table1[[#This Row],[PLUSTot]]-Table1[[#This Row],[PLUSFee]])-Table1[[#This Row],[PrivTot]]-Table1[[#This Row],[TOTot]]-Table1[[#This Row],[OFundTot]]</f>
        <v>34073.245000000003</v>
      </c>
      <c r="FN17" s="161"/>
      <c r="FO17" s="113"/>
      <c r="FP17" s="113"/>
    </row>
    <row r="18" spans="1:172" s="160" customFormat="1" ht="15" x14ac:dyDescent="0.25">
      <c r="A18" s="316">
        <v>197824</v>
      </c>
      <c r="B18" s="113" t="str">
        <f>VLOOKUP(Table1[[#This Row],[SyStudentId]],SSR!$A$2:$CC$4982,4,FALSE)</f>
        <v>McFall</v>
      </c>
      <c r="C18" s="113" t="str">
        <f>VLOOKUP(Table1[[#This Row],[SyStudentId]],SSR!$A$2:$CC$4982,5,FALSE)</f>
        <v>Andrew</v>
      </c>
      <c r="D18" s="113" t="str">
        <f>VLOOKUP(Table1[[#This Row],[SyStudentId]],SSR!$A$2:$CC$4982,6,FALSE)</f>
        <v>McFall, Andrew</v>
      </c>
      <c r="E18" s="113" t="str">
        <f>CONCATENATE(Table1[[#This Row],[FirstName]]," ",Table1[[#This Row],[LastName]])</f>
        <v>Andrew McFall</v>
      </c>
      <c r="F18" s="112">
        <v>1</v>
      </c>
      <c r="G18" s="114">
        <v>43780</v>
      </c>
      <c r="H18" s="114">
        <v>43780</v>
      </c>
      <c r="I18" s="114">
        <v>43780</v>
      </c>
      <c r="J18" s="115"/>
      <c r="K18" s="116"/>
      <c r="L18" s="112" t="str">
        <f>IFERROR(VLOOKUP(Table1[[#This Row],[SyStudentId]],ISIR!$A$2:$X$999,11,FALSE),"")</f>
        <v>D</v>
      </c>
      <c r="M18" s="113" t="str">
        <f>VLOOKUP(Table1[[#This Row],[SyStudentId]],SSR!$A$2:$CC$4982,7,FALSE)</f>
        <v>andrew.mcfall@glenwoodsd.org</v>
      </c>
      <c r="N18" s="113" t="str">
        <f>VLOOKUP(Table1[[#This Row],[SyStudentId]],SSR!$A$2:$CC$4982,8,FALSE)</f>
        <v>Po Box 83, 517 E. Main St</v>
      </c>
      <c r="O18" s="113" t="str">
        <f>VLOOKUP(Table1[[#This Row],[SyStudentId]],SSR!$A$2:$CC$4982,9,FALSE)</f>
        <v>Glenwood</v>
      </c>
      <c r="P18" s="290" t="str">
        <f>VLOOKUP(Table1[[#This Row],[SyStudentId]],SSR!$A$2:$CC$4982,10,FALSE)</f>
        <v>WA</v>
      </c>
      <c r="Q18" s="117" t="str">
        <f>VLOOKUP(Table1[[#This Row],[SyStudentId]],SSR!$A$2:$CC$4982,11,FALSE)</f>
        <v xml:space="preserve">98619     </v>
      </c>
      <c r="R18" s="118">
        <f>VLOOKUP(Table1[[#This Row],[SyStudentId]],SSR!$A$2:$CC$4982,15,FALSE)</f>
        <v>3.1</v>
      </c>
      <c r="S18" s="119">
        <f>VLOOKUP(Table1[[#This Row],[SyStudentId]],SSR!$A$2:$CC$4982,22,FALSE)</f>
        <v>44109</v>
      </c>
      <c r="T18" s="113" t="str">
        <f>VLOOKUP(Table1[[#This Row],[SyStudentId]],SSR!$A$2:$CC$4982,24,FALSE)</f>
        <v>JT</v>
      </c>
      <c r="U18" s="113" t="str">
        <f>IF(VLOOKUP(Table1[[#This Row],[SyStudentId]],SSR!$A$2:$CC$4982,26,FALSE)=0,"Not Selected",VLOOKUP(Table1[[#This Row],[SyStudentId]],SSR!$A$2:$CC$4982,26,FALSE))</f>
        <v>Male</v>
      </c>
      <c r="V18" s="113" t="str">
        <f>VLOOKUP(Table1[[#This Row],[SyStudentId]],SSR!$A$2:$CC$4982,27,FALSE)</f>
        <v xml:space="preserve">HS2020  </v>
      </c>
      <c r="W18" s="113" t="str">
        <f>VLOOKUP(LEFT(Table1[[#This Row],[LastName]],1),Alpha!$A$1:$B$26,2,FALSE)</f>
        <v>Maureen Ranks</v>
      </c>
      <c r="X18" s="149" t="str">
        <f>VLOOKUP(Table1[[#This Row],[FAA]],Alpha!$B$1:$D$26,2,FALSE)</f>
        <v>mranks@neumont.edu</v>
      </c>
      <c r="Y18" s="113">
        <f>VLOOKUP(Table1[[#This Row],[FAA]],Alpha!$B$1:$D$26,3,FALSE)</f>
        <v>8883022894</v>
      </c>
      <c r="Z18" s="113" t="str">
        <f>VLOOKUP(Table1[[#This Row],[SyStudentId]],SSR!$A$2:$CC$4982,30,FALSE)</f>
        <v>16-Accepted</v>
      </c>
      <c r="AA18" s="113" t="str">
        <f>IF(VLOOKUP(Table1[[#This Row],[SyStudentId]],SSR!$A$2:$CC$4982,36,FALSE)="Bachelor of Science","BS Computer Science","Check Program")</f>
        <v>BS Computer Science</v>
      </c>
      <c r="AB18" s="113">
        <f>VLOOKUP(Table1[[#This Row],[SyStudentId]],SSR!$A$2:$CC$4982,37,FALSE)</f>
        <v>0</v>
      </c>
      <c r="AC18" s="113" t="str">
        <f>VLOOKUP(Table1[[#This Row],[SyStudentId]],SSR!$A$2:$CC$4982,42,FALSE)</f>
        <v xml:space="preserve">1260    </v>
      </c>
      <c r="AD18" s="113" t="str">
        <f>VLOOKUP(Table1[[#This Row],[SyStudentId]],SSR!$A$2:$CC$4982,46,FALSE)</f>
        <v>111</v>
      </c>
      <c r="AE18" s="113" t="str">
        <f>VLOOKUP(Table1[[#This Row],[SyStudentId]],SSR!$A$2:$CC$4982,65,FALSE)</f>
        <v>IV</v>
      </c>
      <c r="AF18"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4</v>
      </c>
      <c r="AG18" s="113" t="str">
        <f>VLOOKUP(Table1[[#This Row],[SyStudentId]],SSR!$A$2:$CC$4982,66,FALSE)</f>
        <v>July-October</v>
      </c>
      <c r="AH18" s="113" t="str">
        <f>IFERROR(VLOOKUP(Table1[[#This Row],[SyStudentId]],ISIR!$A$2:$X$999,7,FALSE),"")</f>
        <v>036762</v>
      </c>
      <c r="AI18" s="121">
        <f>IF(Table1[[#This Row],[EFCRaw]]="","",IF(Table1[[#This Row],[EFCRaw]]="No EFC","No EFC",_xlfn.NUMBERVALUE(Table1[[#This Row],[EFCRaw]])))</f>
        <v>36762</v>
      </c>
      <c r="AJ18" s="119">
        <f>IFERROR(VLOOKUP(Table1[[#This Row],[SyStudentId]],ISIR!$A$2:$X$4999,19,FALSE),"")</f>
        <v>43774</v>
      </c>
      <c r="AK18" s="113" t="str">
        <f>IFERROR(VLOOKUP(Table1[[#This Row],[SyStudentId]],ISIR!$A$2:$X$4999,8,FALSE),"")</f>
        <v>N</v>
      </c>
      <c r="AL18" s="132" t="str">
        <f>IF(Table1[[#This Row],[VerReq]]="N","n/a","")</f>
        <v>n/a</v>
      </c>
      <c r="AM18" s="122"/>
      <c r="AN18" s="122"/>
      <c r="AO18" s="122"/>
      <c r="AP18" s="122"/>
      <c r="AQ18" s="122"/>
      <c r="AR18" s="122"/>
      <c r="AS18" s="122"/>
      <c r="AT18" s="122"/>
      <c r="AU18" s="122"/>
      <c r="AV18" s="122"/>
      <c r="AW18" s="122"/>
      <c r="AX18" s="122"/>
      <c r="AY18" s="122"/>
      <c r="AZ18" s="122"/>
      <c r="BA18" s="122"/>
      <c r="BB18" s="122"/>
      <c r="BC18" s="133"/>
      <c r="BD18" s="140" t="str">
        <f>IF(Table1[[#This Row],[VerReq]]="N","x","")</f>
        <v>x</v>
      </c>
      <c r="BE18" s="140" t="str">
        <f>IF(Table1[[#This Row],[VerReq]]="N","x","")</f>
        <v>x</v>
      </c>
      <c r="BF18" s="140" t="str">
        <f>IF(Table1[[#This Row],[VerReq]]="N","x","")</f>
        <v>x</v>
      </c>
      <c r="BG18" s="140" t="str">
        <f>IF(Table1[[#This Row],[VerReq]]="N","x","")</f>
        <v>x</v>
      </c>
      <c r="BH18" s="140" t="str">
        <f>IF(Table1[[#This Row],[VerReq]]="N","x","")</f>
        <v>x</v>
      </c>
      <c r="BI18" s="140" t="str">
        <f>IF(Table1[[#This Row],[VerReq]]="N","x","")</f>
        <v>x</v>
      </c>
      <c r="BJ18" s="134">
        <f>1-((COUNTBLANK(Table1[[#This Row],[ALESent]:[TaxTran]]))/(COUNT(Table1[[#This Row],[ALESent]:[TaxTran]])+COUNTBLANK(Table1[[#This Row],[ALESent]:[TaxTran]])))</f>
        <v>0</v>
      </c>
      <c r="BK18" s="136">
        <f>IF(VLOOKUP(Table1[[#This Row],[SyStudentId]],SSR!$A$2:$CC$4982,22,FALSE)=44109,44109,"Check Program")</f>
        <v>44109</v>
      </c>
      <c r="BL18" s="124">
        <f>IF(Table1[[#This Row],[AYStart]]=44109,44356,"Check Program")</f>
        <v>44356</v>
      </c>
      <c r="BM18" s="219">
        <v>8505</v>
      </c>
      <c r="BN18" s="219">
        <v>8505</v>
      </c>
      <c r="BO18" s="219">
        <v>8505</v>
      </c>
      <c r="BP18" s="220">
        <f t="shared" si="0"/>
        <v>25515</v>
      </c>
      <c r="BQ18" s="221">
        <v>3300</v>
      </c>
      <c r="BR18" s="219">
        <v>400</v>
      </c>
      <c r="BS18" s="219">
        <v>400</v>
      </c>
      <c r="BT18" s="220">
        <f t="shared" si="1"/>
        <v>4100</v>
      </c>
      <c r="BU18" s="219">
        <v>2100</v>
      </c>
      <c r="BV18" s="219">
        <v>2100</v>
      </c>
      <c r="BW18" s="219">
        <v>2100</v>
      </c>
      <c r="BX18" s="220">
        <f t="shared" si="2"/>
        <v>6300</v>
      </c>
      <c r="BY18" s="275">
        <v>1200</v>
      </c>
      <c r="BZ18" s="275">
        <v>1200</v>
      </c>
      <c r="CA18" s="275">
        <v>1200</v>
      </c>
      <c r="CB18" s="220">
        <f>SUM(Table1[[#This Row],[LEQ1]:[LEQ3]])</f>
        <v>3600</v>
      </c>
      <c r="CC18" s="275">
        <v>0</v>
      </c>
      <c r="CD18" s="275">
        <v>0</v>
      </c>
      <c r="CE18" s="275">
        <v>0</v>
      </c>
      <c r="CF18" s="220">
        <f>SUM(Table1[[#This Row],[OthCostQ1]:[OthCostQ3]])</f>
        <v>0</v>
      </c>
      <c r="CG18" s="220">
        <f>(Table1[[#This Row],[T&amp;FTot]]+Table1[[#This Row],[B&amp;STot]]+Table1[[#This Row],[HousTot]]+Table1[[#This Row],[LETot]]+Table1[[#This Row],[OthCostTot]])</f>
        <v>39515</v>
      </c>
      <c r="CH18" s="250"/>
      <c r="CI18" s="250"/>
      <c r="CJ18" s="250"/>
      <c r="CK18" s="251">
        <f>SUM(Table1[[#This Row],[SEOGQ1]:[SEOGQ3]])</f>
        <v>0</v>
      </c>
      <c r="CL18" s="250">
        <f>IFERROR(ROUNDUP(Table1[[#This Row],[PellTot]]/3,0),0)</f>
        <v>0</v>
      </c>
      <c r="CM18" s="250">
        <f>IFERROR(ROUND(Table1[[#This Row],[PellTot]]/3,0),0)</f>
        <v>0</v>
      </c>
      <c r="CN18" s="250">
        <f>IFERROR(ROUNDDOWN(Table1[[#This Row],[PellTot]]/3,0),0)</f>
        <v>0</v>
      </c>
      <c r="CO18" s="251">
        <f>IFERROR(LOOKUP(Table1[EFC],Pell_Table[#Data],Pell_Table[Pell Amt]),0)</f>
        <v>0</v>
      </c>
      <c r="CP18" s="250">
        <f>Table1[[#This Row],[AccessTot]]/3</f>
        <v>0</v>
      </c>
      <c r="CQ18" s="250">
        <f>Table1[[#This Row],[AccessTot]]/3</f>
        <v>0</v>
      </c>
      <c r="CR18" s="250">
        <f>Table1[[#This Row],[AccessTot]]/3</f>
        <v>0</v>
      </c>
      <c r="CS18" s="251">
        <f>IF(Table1[[#This Row],[PellTot]]&gt;0,1500,0)</f>
        <v>0</v>
      </c>
      <c r="CT18" s="250">
        <f>Table1[[#This Row],[AchiTot]]/3</f>
        <v>1250</v>
      </c>
      <c r="CU18" s="250">
        <f>Table1[[#This Row],[AchiTot]]/3</f>
        <v>1250</v>
      </c>
      <c r="CV18" s="250">
        <f>Table1[[#This Row],[AchiTot]]/3</f>
        <v>1250</v>
      </c>
      <c r="CW18" s="252">
        <f>IF(Table1[[#This Row],[Rank]]="","",IF(Table1[[#This Row],[Rank]]=1,5100,IF(Table1[[#This Row],[Rank]]=2,4500,IF(Table1[[#This Row],[Rank]]=3,3900,IF(Table1[[#This Row],[Rank]]=4,3750,IF(Table1[[#This Row],[Rank]]=5,3000,IF(Table1[[#This Row],[Rank]]=6,2250,0)))))))</f>
        <v>3750</v>
      </c>
      <c r="CX18" s="250">
        <f>Table1[[#This Row],[UTTot]]/3</f>
        <v>0</v>
      </c>
      <c r="CY18" s="250">
        <f>Table1[[#This Row],[UTTot]]/3</f>
        <v>0</v>
      </c>
      <c r="CZ18" s="250">
        <f>Table1[[#This Row],[UTTot]]/3</f>
        <v>0</v>
      </c>
      <c r="DA18" s="251">
        <f>IF(Table1[[#This Row],[State]]="UT",9000,0)</f>
        <v>0</v>
      </c>
      <c r="DB18" s="250">
        <f>Table1[[#This Row],[WITTot]]/3</f>
        <v>0</v>
      </c>
      <c r="DC18" s="250">
        <f>Table1[[#This Row],[WITTot]]/3</f>
        <v>0</v>
      </c>
      <c r="DD18" s="250">
        <f>Table1[[#This Row],[WITTot]]/3</f>
        <v>0</v>
      </c>
      <c r="DE18" s="251">
        <f>IF(Table1[[#This Row],[Gender]]="Female",3000,0)</f>
        <v>0</v>
      </c>
      <c r="DF18" s="250">
        <f>Table1[[#This Row],[SerTot]]/3</f>
        <v>0</v>
      </c>
      <c r="DG18" s="250">
        <f>Table1[[#This Row],[SerTot]]/3</f>
        <v>0</v>
      </c>
      <c r="DH18" s="250">
        <f>Table1[[#This Row],[SerTot]]/3</f>
        <v>0</v>
      </c>
      <c r="DI18" s="252"/>
      <c r="DJ18" s="250"/>
      <c r="DK18" s="250"/>
      <c r="DL18" s="250"/>
      <c r="DM18" s="252"/>
      <c r="DN18" s="250">
        <f>Table1[[#This Row],[MatTot]]/3</f>
        <v>0</v>
      </c>
      <c r="DO18" s="250">
        <f>Table1[[#This Row],[MatTot]]/3</f>
        <v>0</v>
      </c>
      <c r="DP18" s="250">
        <f>Table1[[#This Row],[MatTot]]/3</f>
        <v>0</v>
      </c>
      <c r="DQ18" s="252">
        <v>0</v>
      </c>
      <c r="DR18" s="250">
        <f>Table1[[#This Row],[OutTot]]/3</f>
        <v>0</v>
      </c>
      <c r="DS18" s="250">
        <f>Table1[[#This Row],[OutTot]]/3</f>
        <v>0</v>
      </c>
      <c r="DT18" s="250">
        <f>Table1[[#This Row],[OutTot]]/3</f>
        <v>0</v>
      </c>
      <c r="DU18" s="252">
        <v>0</v>
      </c>
      <c r="DV18" s="250">
        <v>0</v>
      </c>
      <c r="DW18" s="250">
        <v>0</v>
      </c>
      <c r="DX18" s="250">
        <v>0</v>
      </c>
      <c r="DY18" s="252">
        <f>SUM(Table1[[#This Row],[VAQ1]:[VAQ3]])</f>
        <v>0</v>
      </c>
      <c r="DZ18" s="250">
        <v>0</v>
      </c>
      <c r="EA18" s="250">
        <v>0</v>
      </c>
      <c r="EB18" s="250">
        <v>0</v>
      </c>
      <c r="EC18" s="252">
        <f>SUM(Table1[[#This Row],[OthGrantQ1]:[OthGrantQ3]])</f>
        <v>0</v>
      </c>
      <c r="ED18" s="263">
        <f>Table1[[#This Row],[SEOGTot]]+Table1[[#This Row],[PellTot]]+Table1[[#This Row],[AccessTot]]+Table1[[#This Row],[AchiTot]]+Table1[[#This Row],[UTTot]]+Table1[[#This Row],[WITTot]]+Table1[[#This Row],[SerTot]]+Table1[[#This Row],[TranTot]]+Table1[[#This Row],[MatTot]]+Table1[[#This Row],[OutTot]]+Table1[[#This Row],[VATot]]+Table1[[#This Row],[OthGrantTot]]</f>
        <v>3750</v>
      </c>
      <c r="EE18" s="249"/>
      <c r="EF18" s="237"/>
      <c r="EG18" s="237"/>
      <c r="EH18" s="232">
        <f>SUM(Table1[[#This Row],[CashQ1]]:Table1[[#This Row],[CashQ3]])</f>
        <v>0</v>
      </c>
      <c r="EI18" s="271">
        <f>ROUND((Table1[[#This Row],[SubTot]]/3)/1.01059,0)</f>
        <v>1154</v>
      </c>
      <c r="EJ18" s="234">
        <f>ROUND((Table1[[#This Row],[SubTot]]/3)/1.01059,0)</f>
        <v>1154</v>
      </c>
      <c r="EK18" s="234">
        <f>ROUNDUP((Table1[[#This Row],[SubTot]]/3)/1.01059,0)</f>
        <v>1155</v>
      </c>
      <c r="EL18" s="235">
        <v>3500</v>
      </c>
      <c r="EM18" s="240">
        <f>Table1[[#This Row],[SubTot]]*0.01059</f>
        <v>37.065000000000005</v>
      </c>
      <c r="EN18" s="234">
        <f>ROUND((Table1[[#This Row],[UnsubTot]]/3)/1.01062,0)</f>
        <v>660</v>
      </c>
      <c r="EO18" s="234">
        <f>ROUND((Table1[[#This Row],[UnsubTot]]/3)/1.01062,0)</f>
        <v>660</v>
      </c>
      <c r="EP18" s="234">
        <f>ROUNDDOWN((Table1[[#This Row],[UnsubTot]]/3)/1.01062,0)</f>
        <v>659</v>
      </c>
      <c r="EQ18" s="235">
        <f>IF(Table1[D/I]="I",6000,2000)</f>
        <v>2000</v>
      </c>
      <c r="ER18" s="240">
        <f>Table1[[#This Row],[UnsubTot]]*0.01059</f>
        <v>21.18</v>
      </c>
      <c r="ES18" s="234">
        <f>ROUND((Table1[[#This Row],[PLUSTot]]/3)/1.04236,0)</f>
        <v>0</v>
      </c>
      <c r="ET18" s="234">
        <f>ROUND((Table1[[#This Row],[PLUSTot]]/3)/1.04236,0)</f>
        <v>0</v>
      </c>
      <c r="EU18" s="234">
        <f>ROUND((Table1[[#This Row],[PLUSTot]]/3)/1.04236,0)</f>
        <v>0</v>
      </c>
      <c r="EV18" s="235">
        <v>0</v>
      </c>
      <c r="EW18" s="239">
        <f>Table1[[#This Row],[PLUSTot]]*0.04248</f>
        <v>0</v>
      </c>
      <c r="EX18" s="237"/>
      <c r="EY18" s="237"/>
      <c r="EZ18" s="237"/>
      <c r="FA18" s="232">
        <f>SUM(Table1[[#This Row],[PrivQ1]:[PrivQ3]])</f>
        <v>0</v>
      </c>
      <c r="FB18" s="237"/>
      <c r="FC18" s="237"/>
      <c r="FD18" s="237"/>
      <c r="FE18" s="232">
        <f>SUM(Table1[[#This Row],[TOQ1]:[TOQ3]])</f>
        <v>0</v>
      </c>
      <c r="FF18" s="237"/>
      <c r="FG18" s="237"/>
      <c r="FH18" s="237"/>
      <c r="FI18" s="232">
        <f>SUM(Table1[[#This Row],[OFundQ1]:[OFundQ3]])</f>
        <v>0</v>
      </c>
      <c r="FJ18" s="238">
        <f>(Table1[[#This Row],[SubTot]]-Table1[[#This Row],[SubFee]])+(Table1[[#This Row],[UnsubTot]]-Table1[[#This Row],[UnsubFee]])+(Table1[[#This Row],[PLUSTot]]-Table1[[#This Row],[PLUSFee]])+Table1[[#This Row],[PrivTot]]+Table1[[#This Row],[TOTot]]+Table1[[#This Row],[OFundTot]]</f>
        <v>5441.7550000000001</v>
      </c>
      <c r="FK18" s="125">
        <f>Table1[[#This Row],[CostTot]]-Table1[[#This Row],[GiftTot]]</f>
        <v>35765</v>
      </c>
      <c r="FL18" s="139">
        <f>Table1[[#This Row],[NetNeed]]/(1-0.04248)</f>
        <v>31668.523895062241</v>
      </c>
      <c r="FM18" s="131">
        <f>Table1[[#This Row],[NetCost]]-Table1[[#This Row],[CashTot]]-(Table1[[#This Row],[SubTot]]-Table1[[#This Row],[SubFee]])-(Table1[[#This Row],[UnsubTot]]-Table1[[#This Row],[UnsubFee]])-(Table1[[#This Row],[PLUSTot]]-Table1[[#This Row],[PLUSFee]])-Table1[[#This Row],[PrivTot]]-Table1[[#This Row],[TOTot]]-Table1[[#This Row],[OFundTot]]</f>
        <v>30323.244999999999</v>
      </c>
      <c r="FN18" s="161"/>
      <c r="FO18" s="113"/>
      <c r="FP18" s="113"/>
    </row>
    <row r="19" spans="1:172" s="160" customFormat="1" ht="15" x14ac:dyDescent="0.25">
      <c r="A19" s="267">
        <v>197233</v>
      </c>
      <c r="B19" s="113" t="str">
        <f>VLOOKUP(Table1[[#This Row],[SyStudentId]],SSR!$A$2:$CC$4982,4,FALSE)</f>
        <v>McGuire</v>
      </c>
      <c r="C19" s="113" t="str">
        <f>VLOOKUP(Table1[[#This Row],[SyStudentId]],SSR!$A$2:$CC$4982,5,FALSE)</f>
        <v>Gustav</v>
      </c>
      <c r="D19" s="113" t="str">
        <f>VLOOKUP(Table1[[#This Row],[SyStudentId]],SSR!$A$2:$CC$4982,6,FALSE)</f>
        <v>McGuire, Gustav</v>
      </c>
      <c r="E19" s="113" t="str">
        <f>CONCATENATE(Table1[[#This Row],[FirstName]]," ",Table1[[#This Row],[LastName]])</f>
        <v>Gustav McGuire</v>
      </c>
      <c r="F19" s="112">
        <v>1</v>
      </c>
      <c r="G19" s="114">
        <v>43782</v>
      </c>
      <c r="H19" s="114">
        <v>43782</v>
      </c>
      <c r="I19" s="114">
        <v>43782</v>
      </c>
      <c r="J19" s="115"/>
      <c r="K19" s="116"/>
      <c r="L19" s="112" t="str">
        <f>IFERROR(VLOOKUP(Table1[[#This Row],[SyStudentId]],ISIR!$A$2:$X$999,11,FALSE),"")</f>
        <v>D</v>
      </c>
      <c r="M19" s="113" t="str">
        <f>VLOOKUP(Table1[[#This Row],[SyStudentId]],SSR!$A$2:$CC$4982,7,FALSE)</f>
        <v>gusmcg1856@gmail.com</v>
      </c>
      <c r="N19" s="113" t="str">
        <f>VLOOKUP(Table1[[#This Row],[SyStudentId]],SSR!$A$2:$CC$4982,8,FALSE)</f>
        <v>3260 S 7900 W</v>
      </c>
      <c r="O19" s="113" t="str">
        <f>VLOOKUP(Table1[[#This Row],[SyStudentId]],SSR!$A$2:$CC$4982,9,FALSE)</f>
        <v>Magna</v>
      </c>
      <c r="P19" s="113" t="str">
        <f>VLOOKUP(Table1[[#This Row],[SyStudentId]],SSR!$A$2:$CC$4982,10,FALSE)</f>
        <v>UT</v>
      </c>
      <c r="Q19" s="117" t="str">
        <f>VLOOKUP(Table1[[#This Row],[SyStudentId]],SSR!$A$2:$CC$4982,11,FALSE)</f>
        <v xml:space="preserve">84044     </v>
      </c>
      <c r="R19" s="118">
        <f>VLOOKUP(Table1[[#This Row],[SyStudentId]],SSR!$A$2:$CC$4982,15,FALSE)</f>
        <v>3.94</v>
      </c>
      <c r="S19" s="119">
        <f>VLOOKUP(Table1[[#This Row],[SyStudentId]],SSR!$A$2:$CC$4982,22,FALSE)</f>
        <v>44109</v>
      </c>
      <c r="T19" s="113" t="str">
        <f>VLOOKUP(Table1[[#This Row],[SyStudentId]],SSR!$A$2:$CC$4982,24,FALSE)</f>
        <v>MR</v>
      </c>
      <c r="U19" s="113" t="str">
        <f>IF(VLOOKUP(Table1[[#This Row],[SyStudentId]],SSR!$A$2:$CC$4982,26,FALSE)=0,"Not Selected",VLOOKUP(Table1[[#This Row],[SyStudentId]],SSR!$A$2:$CC$4982,26,FALSE))</f>
        <v>Male</v>
      </c>
      <c r="V19" s="113" t="str">
        <f>VLOOKUP(Table1[[#This Row],[SyStudentId]],SSR!$A$2:$CC$4982,27,FALSE)</f>
        <v xml:space="preserve">HS2020  </v>
      </c>
      <c r="W19" s="113" t="str">
        <f>VLOOKUP(LEFT(Table1[[#This Row],[LastName]],1),Alpha!$A$1:$B$26,2,FALSE)</f>
        <v>Maureen Ranks</v>
      </c>
      <c r="X19" s="149" t="str">
        <f>VLOOKUP(Table1[[#This Row],[FAA]],Alpha!$B$1:$D$26,2,FALSE)</f>
        <v>mranks@neumont.edu</v>
      </c>
      <c r="Y19" s="113">
        <f>VLOOKUP(Table1[[#This Row],[FAA]],Alpha!$B$1:$D$26,3,FALSE)</f>
        <v>8883022894</v>
      </c>
      <c r="Z19" s="113" t="str">
        <f>VLOOKUP(Table1[[#This Row],[SyStudentId]],SSR!$A$2:$CC$4982,30,FALSE)</f>
        <v>16-Accepted</v>
      </c>
      <c r="AA19" s="113" t="str">
        <f>IF(VLOOKUP(Table1[[#This Row],[SyStudentId]],SSR!$A$2:$CC$4982,36,FALSE)="Bachelor of Science","BS Computer Science","Check Program")</f>
        <v>BS Computer Science</v>
      </c>
      <c r="AB19" s="113" t="str">
        <f>VLOOKUP(Table1[[#This Row],[SyStudentId]],SSR!$A$2:$CC$4982,37,FALSE)</f>
        <v xml:space="preserve">34      </v>
      </c>
      <c r="AC19" s="113">
        <f>VLOOKUP(Table1[[#This Row],[SyStudentId]],SSR!$A$2:$CC$4982,42,FALSE)</f>
        <v>0</v>
      </c>
      <c r="AD19" s="113" t="str">
        <f>VLOOKUP(Table1[[#This Row],[SyStudentId]],SSR!$A$2:$CC$4982,46,FALSE)</f>
        <v>134</v>
      </c>
      <c r="AE19" s="113" t="str">
        <f>VLOOKUP(Table1[[#This Row],[SyStudentId]],SSR!$A$2:$CC$4982,65,FALSE)</f>
        <v>I</v>
      </c>
      <c r="AF19"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9" s="113" t="str">
        <f>VLOOKUP(Table1[[#This Row],[SyStudentId]],SSR!$A$2:$CC$4982,66,FALSE)</f>
        <v>November</v>
      </c>
      <c r="AH19" s="113" t="str">
        <f>IFERROR(VLOOKUP(Table1[[#This Row],[SyStudentId]],ISIR!$A$2:$X$999,7,FALSE),"")</f>
        <v>019600</v>
      </c>
      <c r="AI19" s="121">
        <f>IF(Table1[[#This Row],[EFCRaw]]="","",IF(Table1[[#This Row],[EFCRaw]]="No EFC","No EFC",_xlfn.NUMBERVALUE(Table1[[#This Row],[EFCRaw]])))</f>
        <v>19600</v>
      </c>
      <c r="AJ19" s="119">
        <f>IFERROR(VLOOKUP(Table1[[#This Row],[SyStudentId]],ISIR!$A$2:$X$4999,19,FALSE),"")</f>
        <v>43776</v>
      </c>
      <c r="AK19" s="113" t="str">
        <f>IFERROR(VLOOKUP(Table1[[#This Row],[SyStudentId]],ISIR!$A$2:$X$4999,8,FALSE),"")</f>
        <v>N</v>
      </c>
      <c r="AL19" s="132" t="str">
        <f>IF(Table1[[#This Row],[VerReq]]="N","n/a","")</f>
        <v>n/a</v>
      </c>
      <c r="AM19" s="122"/>
      <c r="AN19" s="122"/>
      <c r="AO19" s="122">
        <v>43780</v>
      </c>
      <c r="AP19" s="122"/>
      <c r="AQ19" s="122"/>
      <c r="AR19" s="122"/>
      <c r="AS19" s="122"/>
      <c r="AT19" s="122"/>
      <c r="AU19" s="122"/>
      <c r="AV19" s="122"/>
      <c r="AW19" s="122"/>
      <c r="AX19" s="122"/>
      <c r="AY19" s="122"/>
      <c r="AZ19" s="122"/>
      <c r="BA19" s="122"/>
      <c r="BB19" s="122"/>
      <c r="BC19" s="133"/>
      <c r="BD19" s="140" t="str">
        <f>IF(Table1[[#This Row],[VerReq]]="N","x","")</f>
        <v>x</v>
      </c>
      <c r="BE19" s="140" t="str">
        <f>IF(Table1[[#This Row],[VerReq]]="N","x","")</f>
        <v>x</v>
      </c>
      <c r="BF19" s="140" t="str">
        <f>IF(Table1[[#This Row],[VerReq]]="N","x","")</f>
        <v>x</v>
      </c>
      <c r="BG19" s="140" t="str">
        <f>IF(Table1[[#This Row],[VerReq]]="N","x","")</f>
        <v>x</v>
      </c>
      <c r="BH19" s="140" t="str">
        <f>IF(Table1[[#This Row],[VerReq]]="N","x","")</f>
        <v>x</v>
      </c>
      <c r="BI19" s="140" t="str">
        <f>IF(Table1[[#This Row],[VerReq]]="N","x","")</f>
        <v>x</v>
      </c>
      <c r="BJ19" s="134">
        <f>1-((COUNTBLANK(Table1[[#This Row],[ALESent]:[TaxTran]]))/(COUNT(Table1[[#This Row],[ALESent]:[TaxTran]])+COUNTBLANK(Table1[[#This Row],[ALESent]:[TaxTran]])))</f>
        <v>5.8823529411764719E-2</v>
      </c>
      <c r="BK19" s="136">
        <f>IF(VLOOKUP(Table1[[#This Row],[SyStudentId]],SSR!$A$2:$CC$4982,22,FALSE)=44109,44109,"Check Program")</f>
        <v>44109</v>
      </c>
      <c r="BL19" s="124">
        <f>IF(Table1[[#This Row],[AYStart]]=44109,44356,"Check Program")</f>
        <v>44356</v>
      </c>
      <c r="BM19" s="219">
        <v>8505</v>
      </c>
      <c r="BN19" s="219">
        <v>8505</v>
      </c>
      <c r="BO19" s="219">
        <v>8505</v>
      </c>
      <c r="BP19" s="220">
        <f t="shared" si="0"/>
        <v>25515</v>
      </c>
      <c r="BQ19" s="221">
        <v>3300</v>
      </c>
      <c r="BR19" s="219">
        <v>400</v>
      </c>
      <c r="BS19" s="219">
        <v>400</v>
      </c>
      <c r="BT19" s="220">
        <f t="shared" si="1"/>
        <v>4100</v>
      </c>
      <c r="BU19" s="219">
        <v>2100</v>
      </c>
      <c r="BV19" s="219">
        <v>2100</v>
      </c>
      <c r="BW19" s="219">
        <v>2100</v>
      </c>
      <c r="BX19" s="220">
        <f t="shared" si="2"/>
        <v>6300</v>
      </c>
      <c r="BY19" s="275">
        <v>1200</v>
      </c>
      <c r="BZ19" s="275">
        <v>1200</v>
      </c>
      <c r="CA19" s="275">
        <v>1200</v>
      </c>
      <c r="CB19" s="220">
        <f>SUM(Table1[[#This Row],[LEQ1]:[LEQ3]])</f>
        <v>3600</v>
      </c>
      <c r="CC19" s="275"/>
      <c r="CD19" s="275"/>
      <c r="CE19" s="275"/>
      <c r="CF19" s="220">
        <f>SUM(Table1[[#This Row],[OthCostQ1]:[OthCostQ3]])</f>
        <v>0</v>
      </c>
      <c r="CG19" s="220">
        <f>(Table1[[#This Row],[T&amp;FTot]]+Table1[[#This Row],[B&amp;STot]]+Table1[[#This Row],[HousTot]]+Table1[[#This Row],[LETot]]+Table1[[#This Row],[OthCostTot]])</f>
        <v>39515</v>
      </c>
      <c r="CH19" s="250"/>
      <c r="CI19" s="250"/>
      <c r="CJ19" s="250"/>
      <c r="CK19" s="251">
        <f>SUM(Table1[[#This Row],[SEOGQ1]:[SEOGQ3]])</f>
        <v>0</v>
      </c>
      <c r="CL19" s="250">
        <f>IFERROR(ROUNDUP(Table1[[#This Row],[PellTot]]/3,0),0)</f>
        <v>0</v>
      </c>
      <c r="CM19" s="250">
        <f>IFERROR(ROUND(Table1[[#This Row],[PellTot]]/3,0),0)</f>
        <v>0</v>
      </c>
      <c r="CN19" s="250">
        <f>IFERROR(ROUNDDOWN(Table1[[#This Row],[PellTot]]/3,0),0)</f>
        <v>0</v>
      </c>
      <c r="CO19" s="251">
        <f>IFERROR(LOOKUP(Table1[EFC],Pell_Table[#Data],Pell_Table[Pell Amt]),0)</f>
        <v>0</v>
      </c>
      <c r="CP19" s="250">
        <f>Table1[[#This Row],[AccessTot]]/3</f>
        <v>0</v>
      </c>
      <c r="CQ19" s="250">
        <f>Table1[[#This Row],[AccessTot]]/3</f>
        <v>0</v>
      </c>
      <c r="CR19" s="250">
        <f>Table1[[#This Row],[AccessTot]]/3</f>
        <v>0</v>
      </c>
      <c r="CS19" s="251">
        <f>IF(Table1[[#This Row],[PellTot]]&gt;0,1500,0)</f>
        <v>0</v>
      </c>
      <c r="CT19" s="250">
        <f>Table1[[#This Row],[AchiTot]]/3</f>
        <v>1700</v>
      </c>
      <c r="CU19" s="250">
        <f>Table1[[#This Row],[AchiTot]]/3</f>
        <v>1700</v>
      </c>
      <c r="CV19" s="250">
        <f>Table1[[#This Row],[AchiTot]]/3</f>
        <v>1700</v>
      </c>
      <c r="CW19" s="252">
        <f>IF(Table1[[#This Row],[Rank]]="","",IF(Table1[[#This Row],[Rank]]=1,5100,IF(Table1[[#This Row],[Rank]]=2,4500,IF(Table1[[#This Row],[Rank]]=3,3900,IF(Table1[[#This Row],[Rank]]=4,3750,IF(Table1[[#This Row],[Rank]]=5,3000,IF(Table1[[#This Row],[Rank]]=6,2250,0)))))))</f>
        <v>5100</v>
      </c>
      <c r="CX19" s="250">
        <f>Table1[[#This Row],[UTTot]]/3</f>
        <v>3000</v>
      </c>
      <c r="CY19" s="250">
        <f>Table1[[#This Row],[UTTot]]/3</f>
        <v>3000</v>
      </c>
      <c r="CZ19" s="250">
        <f>Table1[[#This Row],[UTTot]]/3</f>
        <v>3000</v>
      </c>
      <c r="DA19" s="251">
        <f>IF(Table1[[#This Row],[State]]="UT",9000,0)</f>
        <v>9000</v>
      </c>
      <c r="DB19" s="250">
        <f>Table1[[#This Row],[WITTot]]/3</f>
        <v>0</v>
      </c>
      <c r="DC19" s="250">
        <f>Table1[[#This Row],[WITTot]]/3</f>
        <v>0</v>
      </c>
      <c r="DD19" s="250">
        <f>Table1[[#This Row],[WITTot]]/3</f>
        <v>0</v>
      </c>
      <c r="DE19" s="251">
        <f>IF(Table1[[#This Row],[Gender]]="Female",3000,0)</f>
        <v>0</v>
      </c>
      <c r="DF19" s="250">
        <f>Table1[[#This Row],[SerTot]]/3</f>
        <v>0</v>
      </c>
      <c r="DG19" s="250">
        <f>Table1[[#This Row],[SerTot]]/3</f>
        <v>0</v>
      </c>
      <c r="DH19" s="250">
        <f>Table1[[#This Row],[SerTot]]/3</f>
        <v>0</v>
      </c>
      <c r="DI19" s="252"/>
      <c r="DJ19" s="250"/>
      <c r="DK19" s="250"/>
      <c r="DL19" s="250"/>
      <c r="DM19" s="252"/>
      <c r="DN19" s="250">
        <f>Table1[[#This Row],[MatTot]]/3</f>
        <v>0</v>
      </c>
      <c r="DO19" s="250">
        <f>Table1[[#This Row],[MatTot]]/3</f>
        <v>0</v>
      </c>
      <c r="DP19" s="250">
        <f>Table1[[#This Row],[MatTot]]/3</f>
        <v>0</v>
      </c>
      <c r="DQ19" s="252"/>
      <c r="DR19" s="250">
        <f>Table1[[#This Row],[OutTot]]/3</f>
        <v>0</v>
      </c>
      <c r="DS19" s="250">
        <f>Table1[[#This Row],[OutTot]]/3</f>
        <v>0</v>
      </c>
      <c r="DT19" s="250">
        <f>Table1[[#This Row],[OutTot]]/3</f>
        <v>0</v>
      </c>
      <c r="DU19" s="252"/>
      <c r="DV19" s="250"/>
      <c r="DW19" s="250"/>
      <c r="DX19" s="250"/>
      <c r="DY19" s="252">
        <f>SUM(Table1[[#This Row],[VAQ1]:[VAQ3]])</f>
        <v>0</v>
      </c>
      <c r="DZ19" s="250"/>
      <c r="EA19" s="250"/>
      <c r="EB19" s="250"/>
      <c r="EC19" s="252">
        <f>SUM(Table1[[#This Row],[OthGrantQ1]:[OthGrantQ3]])</f>
        <v>0</v>
      </c>
      <c r="ED19" s="263">
        <f>Table1[[#This Row],[SEOGTot]]+Table1[[#This Row],[PellTot]]+Table1[[#This Row],[AccessTot]]+Table1[[#This Row],[AchiTot]]+Table1[[#This Row],[UTTot]]+Table1[[#This Row],[WITTot]]+Table1[[#This Row],[SerTot]]+Table1[[#This Row],[TranTot]]+Table1[[#This Row],[MatTot]]+Table1[[#This Row],[OutTot]]+Table1[[#This Row],[VATot]]+Table1[[#This Row],[OthGrantTot]]</f>
        <v>14100</v>
      </c>
      <c r="EE19" s="249"/>
      <c r="EF19" s="237"/>
      <c r="EG19" s="237"/>
      <c r="EH19" s="232">
        <f>SUM(Table1[[#This Row],[CashQ1]]:Table1[[#This Row],[CashQ3]])</f>
        <v>0</v>
      </c>
      <c r="EI19" s="271">
        <f>ROUND((Table1[[#This Row],[SubTot]]/3)/1.01059,0)</f>
        <v>0</v>
      </c>
      <c r="EJ19" s="234">
        <f>ROUND((Table1[[#This Row],[SubTot]]/3)/1.01059,0)</f>
        <v>0</v>
      </c>
      <c r="EK19" s="234">
        <f>ROUNDUP((Table1[[#This Row],[SubTot]]/3)/1.01059,0)</f>
        <v>0</v>
      </c>
      <c r="EL19" s="235"/>
      <c r="EM19" s="240">
        <f>Table1[[#This Row],[SubTot]]*0.01059</f>
        <v>0</v>
      </c>
      <c r="EN19" s="234">
        <f>ROUND((Table1[[#This Row],[UnsubTot]]/3)/1.01062,0)</f>
        <v>660</v>
      </c>
      <c r="EO19" s="234">
        <f>ROUND((Table1[[#This Row],[UnsubTot]]/3)/1.01062,0)</f>
        <v>660</v>
      </c>
      <c r="EP19" s="234">
        <f>ROUNDDOWN((Table1[[#This Row],[UnsubTot]]/3)/1.01062,0)</f>
        <v>659</v>
      </c>
      <c r="EQ19" s="235">
        <f>IF(Table1[D/I]="I",6000,2000)</f>
        <v>2000</v>
      </c>
      <c r="ER19" s="240">
        <f>Table1[[#This Row],[UnsubTot]]*0.01062</f>
        <v>21.24</v>
      </c>
      <c r="ES19" s="234">
        <f>ROUND((Table1[[#This Row],[PLUSTot]]/3)/1.04248,0)</f>
        <v>0</v>
      </c>
      <c r="ET19" s="234">
        <f>ROUND((Table1[[#This Row],[PLUSTot]]/3)/1.04248,0)</f>
        <v>0</v>
      </c>
      <c r="EU19" s="234">
        <f>ROUND((Table1[[#This Row],[PLUSTot]]/3)/1.04248,0)</f>
        <v>0</v>
      </c>
      <c r="EV19" s="235"/>
      <c r="EW19" s="239">
        <f>Table1[[#This Row],[PLUSTot]]*0.04248</f>
        <v>0</v>
      </c>
      <c r="EX19" s="237"/>
      <c r="EY19" s="237"/>
      <c r="EZ19" s="237"/>
      <c r="FA19" s="232">
        <f>SUM(Table1[[#This Row],[PrivQ1]:[PrivQ3]])</f>
        <v>0</v>
      </c>
      <c r="FB19" s="237"/>
      <c r="FC19" s="237"/>
      <c r="FD19" s="237"/>
      <c r="FE19" s="232">
        <f>SUM(Table1[[#This Row],[TOQ1]:[TOQ3]])</f>
        <v>0</v>
      </c>
      <c r="FF19" s="237"/>
      <c r="FG19" s="237"/>
      <c r="FH19" s="237"/>
      <c r="FI19" s="232">
        <f>SUM(Table1[[#This Row],[OFundQ1]:[OFundQ3]])</f>
        <v>0</v>
      </c>
      <c r="FJ19" s="238">
        <f>(Table1[[#This Row],[SubTot]]-Table1[[#This Row],[SubFee]])+(Table1[[#This Row],[UnsubTot]]-Table1[[#This Row],[UnsubFee]])+(Table1[[#This Row],[PLUSTot]]-Table1[[#This Row],[PLUSFee]])+Table1[[#This Row],[PrivTot]]+Table1[[#This Row],[TOTot]]+Table1[[#This Row],[OFundTot]]</f>
        <v>1978.76</v>
      </c>
      <c r="FK19" s="125">
        <f>Table1[[#This Row],[CostTot]]-Table1[[#This Row],[GiftTot]]</f>
        <v>25415</v>
      </c>
      <c r="FL19" s="139">
        <f>Table1[[#This Row],[NetNeed]]/(1-0.04248)</f>
        <v>24475.979614002841</v>
      </c>
      <c r="FM19" s="131">
        <f>Table1[[#This Row],[NetCost]]-Table1[[#This Row],[CashTot]]-(Table1[[#This Row],[SubTot]]-Table1[[#This Row],[SubFee]])-(Table1[[#This Row],[UnsubTot]]-Table1[[#This Row],[UnsubFee]])-(Table1[[#This Row],[PLUSTot]]-Table1[[#This Row],[PLUSFee]])-Table1[[#This Row],[PrivTot]]-Table1[[#This Row],[TOTot]]-Table1[[#This Row],[OFundTot]]</f>
        <v>23436.240000000002</v>
      </c>
      <c r="FN19" s="161"/>
      <c r="FO19" s="113"/>
      <c r="FP19" s="113"/>
    </row>
    <row r="20" spans="1:172" s="160" customFormat="1" ht="15" x14ac:dyDescent="0.25">
      <c r="A20" s="267">
        <v>198357</v>
      </c>
      <c r="B20" s="113" t="str">
        <f>VLOOKUP(Table1[[#This Row],[SyStudentId]],SSR!$A$2:$CC$4982,4,FALSE)</f>
        <v>McIntyre</v>
      </c>
      <c r="C20" s="113" t="str">
        <f>VLOOKUP(Table1[[#This Row],[SyStudentId]],SSR!$A$2:$CC$4982,5,FALSE)</f>
        <v>Ashlynn</v>
      </c>
      <c r="D20" s="113" t="str">
        <f>VLOOKUP(Table1[[#This Row],[SyStudentId]],SSR!$A$2:$CC$4982,6,FALSE)</f>
        <v>McIntyre, Ashlynn</v>
      </c>
      <c r="E20" s="113" t="str">
        <f>CONCATENATE(Table1[[#This Row],[FirstName]]," ",Table1[[#This Row],[LastName]])</f>
        <v>Ashlynn McIntyre</v>
      </c>
      <c r="F20" s="112">
        <v>1</v>
      </c>
      <c r="G20" s="114"/>
      <c r="H20" s="114"/>
      <c r="I20" s="114">
        <v>43780</v>
      </c>
      <c r="J20" s="115"/>
      <c r="K20" s="116"/>
      <c r="L20" s="112" t="str">
        <f>IFERROR(VLOOKUP(Table1[[#This Row],[SyStudentId]],ISIR!$A$2:$X$999,11,FALSE),"")</f>
        <v>D</v>
      </c>
      <c r="M20" s="113" t="str">
        <f>VLOOKUP(Table1[[#This Row],[SyStudentId]],SSR!$A$2:$CC$4982,7,FALSE)</f>
        <v>ashlynnmcintyre@gmail.com</v>
      </c>
      <c r="N20" s="113" t="str">
        <f>VLOOKUP(Table1[[#This Row],[SyStudentId]],SSR!$A$2:$CC$4982,8,FALSE)</f>
        <v>2600 Columbine Rd</v>
      </c>
      <c r="O20" s="113" t="str">
        <f>VLOOKUP(Table1[[#This Row],[SyStudentId]],SSR!$A$2:$CC$4982,9,FALSE)</f>
        <v>Weed</v>
      </c>
      <c r="P20" s="290" t="str">
        <f>VLOOKUP(Table1[[#This Row],[SyStudentId]],SSR!$A$2:$CC$4982,10,FALSE)</f>
        <v>CA</v>
      </c>
      <c r="Q20" s="117" t="str">
        <f>VLOOKUP(Table1[[#This Row],[SyStudentId]],SSR!$A$2:$CC$4982,11,FALSE)</f>
        <v xml:space="preserve">96094     </v>
      </c>
      <c r="R20" s="118">
        <f>VLOOKUP(Table1[[#This Row],[SyStudentId]],SSR!$A$2:$CC$4982,15,FALSE)</f>
        <v>3.54</v>
      </c>
      <c r="S20" s="119">
        <f>VLOOKUP(Table1[[#This Row],[SyStudentId]],SSR!$A$2:$CC$4982,22,FALSE)</f>
        <v>44109</v>
      </c>
      <c r="T20" s="113" t="str">
        <f>VLOOKUP(Table1[[#This Row],[SyStudentId]],SSR!$A$2:$CC$4982,24,FALSE)</f>
        <v>JT</v>
      </c>
      <c r="U20" s="113" t="str">
        <f>IF(VLOOKUP(Table1[[#This Row],[SyStudentId]],SSR!$A$2:$CC$4982,26,FALSE)=0,"Not Selected",VLOOKUP(Table1[[#This Row],[SyStudentId]],SSR!$A$2:$CC$4982,26,FALSE))</f>
        <v>Female</v>
      </c>
      <c r="V20" s="113" t="str">
        <f>VLOOKUP(Table1[[#This Row],[SyStudentId]],SSR!$A$2:$CC$4982,27,FALSE)</f>
        <v xml:space="preserve">HS2020  </v>
      </c>
      <c r="W20" s="113" t="str">
        <f>VLOOKUP(LEFT(Table1[[#This Row],[LastName]],1),Alpha!$A$1:$B$26,2,FALSE)</f>
        <v>Maureen Ranks</v>
      </c>
      <c r="X20" s="149" t="str">
        <f>VLOOKUP(Table1[[#This Row],[FAA]],Alpha!$B$1:$D$26,2,FALSE)</f>
        <v>mranks@neumont.edu</v>
      </c>
      <c r="Y20" s="113">
        <f>VLOOKUP(Table1[[#This Row],[FAA]],Alpha!$B$1:$D$26,3,FALSE)</f>
        <v>8883022894</v>
      </c>
      <c r="Z20" s="113" t="str">
        <f>VLOOKUP(Table1[[#This Row],[SyStudentId]],SSR!$A$2:$CC$4982,30,FALSE)</f>
        <v>16-Accepted</v>
      </c>
      <c r="AA20" s="113" t="str">
        <f>IF(VLOOKUP(Table1[[#This Row],[SyStudentId]],SSR!$A$2:$CC$4982,36,FALSE)="Bachelor of Science","BS Computer Science","Check Program")</f>
        <v>BS Computer Science</v>
      </c>
      <c r="AB20" s="113">
        <f>VLOOKUP(Table1[[#This Row],[SyStudentId]],SSR!$A$2:$CC$4982,37,FALSE)</f>
        <v>0</v>
      </c>
      <c r="AC20" s="113">
        <f>VLOOKUP(Table1[[#This Row],[SyStudentId]],SSR!$A$2:$CC$4982,42,FALSE)</f>
        <v>0</v>
      </c>
      <c r="AD20" s="113" t="str">
        <f>VLOOKUP(Table1[[#This Row],[SyStudentId]],SSR!$A$2:$CC$4982,46,FALSE)</f>
        <v>0</v>
      </c>
      <c r="AE20" s="113" t="str">
        <f>VLOOKUP(Table1[[#This Row],[SyStudentId]],SSR!$A$2:$CC$4982,65,FALSE)</f>
        <v>VII</v>
      </c>
      <c r="AF20"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7</v>
      </c>
      <c r="AG20" s="113" t="str">
        <f>VLOOKUP(Table1[[#This Row],[SyStudentId]],SSR!$A$2:$CC$4982,66,FALSE)</f>
        <v>July-October</v>
      </c>
      <c r="AH20" s="113" t="str">
        <f>IFERROR(VLOOKUP(Table1[[#This Row],[SyStudentId]],ISIR!$A$2:$X$999,7,FALSE),"")</f>
        <v>005439</v>
      </c>
      <c r="AI20" s="121">
        <f>IF(Table1[[#This Row],[EFCRaw]]="","",IF(Table1[[#This Row],[EFCRaw]]="No EFC","No EFC",_xlfn.NUMBERVALUE(Table1[[#This Row],[EFCRaw]])))</f>
        <v>5439</v>
      </c>
      <c r="AJ20" s="119">
        <f>IFERROR(VLOOKUP(Table1[[#This Row],[SyStudentId]],ISIR!$A$2:$X$4999,19,FALSE),"")</f>
        <v>43776</v>
      </c>
      <c r="AK20" s="113" t="str">
        <f>IFERROR(VLOOKUP(Table1[[#This Row],[SyStudentId]],ISIR!$A$2:$X$4999,8,FALSE),"")</f>
        <v>Y</v>
      </c>
      <c r="AL20" s="132" t="str">
        <f>IF(Table1[[#This Row],[VerReq]]="N","n/a","")</f>
        <v/>
      </c>
      <c r="AM20" s="122"/>
      <c r="AN20" s="122"/>
      <c r="AO20" s="122"/>
      <c r="AP20" s="122"/>
      <c r="AQ20" s="122"/>
      <c r="AR20" s="122"/>
      <c r="AS20" s="122"/>
      <c r="AT20" s="122"/>
      <c r="AU20" s="122"/>
      <c r="AV20" s="122"/>
      <c r="AW20" s="122"/>
      <c r="AX20" s="122"/>
      <c r="AY20" s="122"/>
      <c r="AZ20" s="122"/>
      <c r="BA20" s="122"/>
      <c r="BB20" s="122"/>
      <c r="BC20" s="133"/>
      <c r="BD20" s="140" t="str">
        <f>IF(Table1[[#This Row],[VerReq]]="N","x","")</f>
        <v/>
      </c>
      <c r="BE20" s="140" t="str">
        <f>IF(Table1[[#This Row],[VerReq]]="N","x","")</f>
        <v/>
      </c>
      <c r="BF20" s="140" t="str">
        <f>IF(Table1[[#This Row],[VerReq]]="N","x","")</f>
        <v/>
      </c>
      <c r="BG20" s="140" t="str">
        <f>IF(Table1[[#This Row],[VerReq]]="N","x","")</f>
        <v/>
      </c>
      <c r="BH20" s="140" t="str">
        <f>IF(Table1[[#This Row],[VerReq]]="N","x","")</f>
        <v/>
      </c>
      <c r="BI20" s="140" t="str">
        <f>IF(Table1[[#This Row],[VerReq]]="N","x","")</f>
        <v/>
      </c>
      <c r="BJ20" s="134">
        <f>1-((COUNTBLANK(Table1[[#This Row],[ALESent]:[TaxTran]]))/(COUNT(Table1[[#This Row],[ALESent]:[TaxTran]])+COUNTBLANK(Table1[[#This Row],[ALESent]:[TaxTran]])))</f>
        <v>0</v>
      </c>
      <c r="BK20" s="136">
        <f>IF(VLOOKUP(Table1[[#This Row],[SyStudentId]],SSR!$A$2:$CC$4982,22,FALSE)=44109,44109,"Check Program")</f>
        <v>44109</v>
      </c>
      <c r="BL20" s="124">
        <f>IF(Table1[[#This Row],[AYStart]]=44109,44356,"Check Program")</f>
        <v>44356</v>
      </c>
      <c r="BM20" s="219">
        <v>8505</v>
      </c>
      <c r="BN20" s="219">
        <v>8505</v>
      </c>
      <c r="BO20" s="219">
        <v>8505</v>
      </c>
      <c r="BP20" s="220">
        <f t="shared" si="0"/>
        <v>25515</v>
      </c>
      <c r="BQ20" s="221">
        <v>3300</v>
      </c>
      <c r="BR20" s="219">
        <v>400</v>
      </c>
      <c r="BS20" s="219">
        <v>400</v>
      </c>
      <c r="BT20" s="220">
        <f t="shared" si="1"/>
        <v>4100</v>
      </c>
      <c r="BU20" s="219">
        <v>2100</v>
      </c>
      <c r="BV20" s="219">
        <v>2100</v>
      </c>
      <c r="BW20" s="219">
        <v>2100</v>
      </c>
      <c r="BX20" s="220">
        <f t="shared" si="2"/>
        <v>6300</v>
      </c>
      <c r="BY20" s="275">
        <v>1200</v>
      </c>
      <c r="BZ20" s="275">
        <v>1200</v>
      </c>
      <c r="CA20" s="275">
        <v>1200</v>
      </c>
      <c r="CB20" s="220">
        <f>SUM(Table1[[#This Row],[LEQ1]:[LEQ3]])</f>
        <v>3600</v>
      </c>
      <c r="CC20" s="275">
        <v>0</v>
      </c>
      <c r="CD20" s="275">
        <v>0</v>
      </c>
      <c r="CE20" s="275">
        <v>0</v>
      </c>
      <c r="CF20" s="220">
        <f>SUM(Table1[[#This Row],[OthCostQ1]:[OthCostQ3]])</f>
        <v>0</v>
      </c>
      <c r="CG20" s="220">
        <f>(Table1[[#This Row],[T&amp;FTot]]+Table1[[#This Row],[B&amp;STot]]+Table1[[#This Row],[HousTot]]+Table1[[#This Row],[LETot]]+Table1[[#This Row],[OthCostTot]])</f>
        <v>39515</v>
      </c>
      <c r="CH20" s="250"/>
      <c r="CI20" s="250"/>
      <c r="CJ20" s="250"/>
      <c r="CK20" s="251">
        <f>SUM(Table1[[#This Row],[SEOGQ1]:[SEOGQ3]])</f>
        <v>0</v>
      </c>
      <c r="CL20" s="250">
        <f>IFERROR(ROUNDUP(Table1[[#This Row],[PellTot]]/3,0),0)</f>
        <v>249</v>
      </c>
      <c r="CM20" s="250">
        <f>IFERROR(ROUND(Table1[[#This Row],[PellTot]]/3,0),0)</f>
        <v>248</v>
      </c>
      <c r="CN20" s="250">
        <f>IFERROR(ROUNDDOWN(Table1[[#This Row],[PellTot]]/3,0),0)</f>
        <v>248</v>
      </c>
      <c r="CO20" s="251">
        <f>IFERROR(LOOKUP(Table1[EFC],Pell_Table[#Data],Pell_Table[Pell Amt]),0)</f>
        <v>745</v>
      </c>
      <c r="CP20" s="250">
        <f>Table1[[#This Row],[AccessTot]]/3</f>
        <v>500</v>
      </c>
      <c r="CQ20" s="250">
        <f>Table1[[#This Row],[AccessTot]]/3</f>
        <v>500</v>
      </c>
      <c r="CR20" s="250">
        <f>Table1[[#This Row],[AccessTot]]/3</f>
        <v>500</v>
      </c>
      <c r="CS20" s="251">
        <f>IF(Table1[[#This Row],[PellTot]]&gt;0,1500,0)</f>
        <v>1500</v>
      </c>
      <c r="CT20" s="250">
        <f>Table1[[#This Row],[AchiTot]]/3</f>
        <v>0</v>
      </c>
      <c r="CU20" s="250">
        <f>Table1[[#This Row],[AchiTot]]/3</f>
        <v>0</v>
      </c>
      <c r="CV20" s="250">
        <f>Table1[[#This Row],[AchiTot]]/3</f>
        <v>0</v>
      </c>
      <c r="CW20" s="252">
        <f>IF(Table1[[#This Row],[Rank]]="","",IF(Table1[[#This Row],[Rank]]=1,5100,IF(Table1[[#This Row],[Rank]]=2,4500,IF(Table1[[#This Row],[Rank]]=3,3900,IF(Table1[[#This Row],[Rank]]=4,3750,IF(Table1[[#This Row],[Rank]]=5,3000,IF(Table1[[#This Row],[Rank]]=6,2250,0)))))))</f>
        <v>0</v>
      </c>
      <c r="CX20" s="250">
        <f>Table1[[#This Row],[UTTot]]/3</f>
        <v>0</v>
      </c>
      <c r="CY20" s="250">
        <f>Table1[[#This Row],[UTTot]]/3</f>
        <v>0</v>
      </c>
      <c r="CZ20" s="250">
        <f>Table1[[#This Row],[UTTot]]/3</f>
        <v>0</v>
      </c>
      <c r="DA20" s="251">
        <f>IF(Table1[[#This Row],[State]]="UT",9000,0)</f>
        <v>0</v>
      </c>
      <c r="DB20" s="250">
        <f>Table1[[#This Row],[WITTot]]/3</f>
        <v>1000</v>
      </c>
      <c r="DC20" s="250">
        <f>Table1[[#This Row],[WITTot]]/3</f>
        <v>1000</v>
      </c>
      <c r="DD20" s="250">
        <f>Table1[[#This Row],[WITTot]]/3</f>
        <v>1000</v>
      </c>
      <c r="DE20" s="251">
        <f>IF(Table1[[#This Row],[Gender]]="Female",3000,0)</f>
        <v>3000</v>
      </c>
      <c r="DF20" s="250">
        <f>Table1[[#This Row],[SerTot]]/3</f>
        <v>0</v>
      </c>
      <c r="DG20" s="250">
        <f>Table1[[#This Row],[SerTot]]/3</f>
        <v>0</v>
      </c>
      <c r="DH20" s="250">
        <f>Table1[[#This Row],[SerTot]]/3</f>
        <v>0</v>
      </c>
      <c r="DI20" s="252"/>
      <c r="DJ20" s="250"/>
      <c r="DK20" s="250"/>
      <c r="DL20" s="250"/>
      <c r="DM20" s="252"/>
      <c r="DN20" s="250">
        <f>Table1[[#This Row],[MatTot]]/3</f>
        <v>0</v>
      </c>
      <c r="DO20" s="250">
        <f>Table1[[#This Row],[MatTot]]/3</f>
        <v>0</v>
      </c>
      <c r="DP20" s="250">
        <f>Table1[[#This Row],[MatTot]]/3</f>
        <v>0</v>
      </c>
      <c r="DQ20" s="252">
        <v>0</v>
      </c>
      <c r="DR20" s="250">
        <f>Table1[[#This Row],[OutTot]]/3</f>
        <v>0</v>
      </c>
      <c r="DS20" s="250">
        <f>Table1[[#This Row],[OutTot]]/3</f>
        <v>0</v>
      </c>
      <c r="DT20" s="250">
        <f>Table1[[#This Row],[OutTot]]/3</f>
        <v>0</v>
      </c>
      <c r="DU20" s="252">
        <v>0</v>
      </c>
      <c r="DV20" s="250">
        <v>0</v>
      </c>
      <c r="DW20" s="250">
        <v>0</v>
      </c>
      <c r="DX20" s="250">
        <v>0</v>
      </c>
      <c r="DY20" s="252">
        <f>SUM(Table1[[#This Row],[VAQ1]:[VAQ3]])</f>
        <v>0</v>
      </c>
      <c r="DZ20" s="250">
        <v>0</v>
      </c>
      <c r="EA20" s="250">
        <v>0</v>
      </c>
      <c r="EB20" s="250">
        <v>0</v>
      </c>
      <c r="EC20" s="252">
        <f>SUM(Table1[[#This Row],[OthGrantQ1]:[OthGrantQ3]])</f>
        <v>0</v>
      </c>
      <c r="ED20" s="263">
        <f>Table1[[#This Row],[SEOGTot]]+Table1[[#This Row],[PellTot]]+Table1[[#This Row],[AccessTot]]+Table1[[#This Row],[AchiTot]]+Table1[[#This Row],[UTTot]]+Table1[[#This Row],[WITTot]]+Table1[[#This Row],[SerTot]]+Table1[[#This Row],[TranTot]]+Table1[[#This Row],[MatTot]]+Table1[[#This Row],[OutTot]]+Table1[[#This Row],[VATot]]+Table1[[#This Row],[OthGrantTot]]</f>
        <v>5245</v>
      </c>
      <c r="EE20" s="249"/>
      <c r="EF20" s="237"/>
      <c r="EG20" s="237"/>
      <c r="EH20" s="232">
        <f>SUM(Table1[[#This Row],[CashQ1]]:Table1[[#This Row],[CashQ3]])</f>
        <v>0</v>
      </c>
      <c r="EI20" s="271">
        <f>ROUND((Table1[[#This Row],[SubTot]]/3)/1.01059,0)</f>
        <v>1154</v>
      </c>
      <c r="EJ20" s="234">
        <f>ROUND((Table1[[#This Row],[SubTot]]/3)/1.01059,0)</f>
        <v>1154</v>
      </c>
      <c r="EK20" s="234">
        <f>ROUNDUP((Table1[[#This Row],[SubTot]]/3)/1.01059,0)</f>
        <v>1155</v>
      </c>
      <c r="EL20" s="235">
        <v>3500</v>
      </c>
      <c r="EM20" s="240">
        <f>Table1[[#This Row],[SubTot]]*0.01059</f>
        <v>37.065000000000005</v>
      </c>
      <c r="EN20" s="234">
        <f>ROUND((Table1[[#This Row],[UnsubTot]]/3)/1.01062,0)</f>
        <v>660</v>
      </c>
      <c r="EO20" s="234">
        <f>ROUND((Table1[[#This Row],[UnsubTot]]/3)/1.01062,0)</f>
        <v>660</v>
      </c>
      <c r="EP20" s="234">
        <f>ROUNDDOWN((Table1[[#This Row],[UnsubTot]]/3)/1.01062,0)</f>
        <v>659</v>
      </c>
      <c r="EQ20" s="235">
        <f>IF(Table1[D/I]="I",6000,2000)</f>
        <v>2000</v>
      </c>
      <c r="ER20" s="240">
        <f>Table1[[#This Row],[UnsubTot]]*0.01059</f>
        <v>21.18</v>
      </c>
      <c r="ES20" s="234">
        <f>ROUND((Table1[[#This Row],[PLUSTot]]/3)/1.04236,0)</f>
        <v>0</v>
      </c>
      <c r="ET20" s="234">
        <f>ROUND((Table1[[#This Row],[PLUSTot]]/3)/1.04236,0)</f>
        <v>0</v>
      </c>
      <c r="EU20" s="234">
        <f>ROUND((Table1[[#This Row],[PLUSTot]]/3)/1.04236,0)</f>
        <v>0</v>
      </c>
      <c r="EV20" s="235">
        <v>0</v>
      </c>
      <c r="EW20" s="239">
        <f>Table1[[#This Row],[PLUSTot]]*0.04248</f>
        <v>0</v>
      </c>
      <c r="EX20" s="237"/>
      <c r="EY20" s="237"/>
      <c r="EZ20" s="237"/>
      <c r="FA20" s="232">
        <f>SUM(Table1[[#This Row],[PrivQ1]:[PrivQ3]])</f>
        <v>0</v>
      </c>
      <c r="FB20" s="237"/>
      <c r="FC20" s="237"/>
      <c r="FD20" s="237"/>
      <c r="FE20" s="232">
        <f>SUM(Table1[[#This Row],[TOQ1]:[TOQ3]])</f>
        <v>0</v>
      </c>
      <c r="FF20" s="237"/>
      <c r="FG20" s="237"/>
      <c r="FH20" s="237"/>
      <c r="FI20" s="232">
        <f>SUM(Table1[[#This Row],[OFundQ1]:[OFundQ3]])</f>
        <v>0</v>
      </c>
      <c r="FJ20" s="238">
        <f>(Table1[[#This Row],[SubTot]]-Table1[[#This Row],[SubFee]])+(Table1[[#This Row],[UnsubTot]]-Table1[[#This Row],[UnsubFee]])+(Table1[[#This Row],[PLUSTot]]-Table1[[#This Row],[PLUSFee]])+Table1[[#This Row],[PrivTot]]+Table1[[#This Row],[TOTot]]+Table1[[#This Row],[OFundTot]]</f>
        <v>5441.7550000000001</v>
      </c>
      <c r="FK20" s="125">
        <f>Table1[[#This Row],[CostTot]]-Table1[[#This Row],[GiftTot]]</f>
        <v>34270</v>
      </c>
      <c r="FL20" s="139">
        <f>Table1[[#This Row],[NetNeed]]/(1-0.04248)</f>
        <v>30107.198805246884</v>
      </c>
      <c r="FM20" s="131">
        <f>Table1[[#This Row],[NetCost]]-Table1[[#This Row],[CashTot]]-(Table1[[#This Row],[SubTot]]-Table1[[#This Row],[SubFee]])-(Table1[[#This Row],[UnsubTot]]-Table1[[#This Row],[UnsubFee]])-(Table1[[#This Row],[PLUSTot]]-Table1[[#This Row],[PLUSFee]])-Table1[[#This Row],[PrivTot]]-Table1[[#This Row],[TOTot]]-Table1[[#This Row],[OFundTot]]</f>
        <v>28828.244999999999</v>
      </c>
      <c r="FN20" s="161"/>
      <c r="FO20" s="113"/>
      <c r="FP20" s="113"/>
    </row>
    <row r="21" spans="1:172" s="160" customFormat="1" ht="15" x14ac:dyDescent="0.25">
      <c r="A21" s="267">
        <v>194287</v>
      </c>
      <c r="B21" s="113" t="str">
        <f>VLOOKUP(Table1[[#This Row],[SyStudentId]],SSR!$A$2:$CC$4982,4,FALSE)</f>
        <v>McKinney</v>
      </c>
      <c r="C21" s="113" t="str">
        <f>VLOOKUP(Table1[[#This Row],[SyStudentId]],SSR!$A$2:$CC$4982,5,FALSE)</f>
        <v>Austin</v>
      </c>
      <c r="D21" s="113" t="str">
        <f>VLOOKUP(Table1[[#This Row],[SyStudentId]],SSR!$A$2:$CC$4982,6,FALSE)</f>
        <v>McKinney, Austin</v>
      </c>
      <c r="E21" s="113" t="str">
        <f>CONCATENATE(Table1[[#This Row],[FirstName]]," ",Table1[[#This Row],[LastName]])</f>
        <v>Austin McKinney</v>
      </c>
      <c r="F21" s="112">
        <v>1</v>
      </c>
      <c r="G21" s="114"/>
      <c r="H21" s="114"/>
      <c r="I21" s="114">
        <v>43781</v>
      </c>
      <c r="J21" s="115"/>
      <c r="K21" s="116"/>
      <c r="L21" s="112" t="str">
        <f>IFERROR(VLOOKUP(Table1[[#This Row],[SyStudentId]],ISIR!$A$2:$X$999,11,FALSE),"")</f>
        <v>D</v>
      </c>
      <c r="M21" s="113" t="str">
        <f>VLOOKUP(Table1[[#This Row],[SyStudentId]],SSR!$A$2:$CC$4982,7,FALSE)</f>
        <v>legodragon01@gmail.com</v>
      </c>
      <c r="N21" s="113" t="str">
        <f>VLOOKUP(Table1[[#This Row],[SyStudentId]],SSR!$A$2:$CC$4982,8,FALSE)</f>
        <v>66350 US HWY 31</v>
      </c>
      <c r="O21" s="113" t="str">
        <f>VLOOKUP(Table1[[#This Row],[SyStudentId]],SSR!$A$2:$CC$4982,9,FALSE)</f>
        <v>Lakeville</v>
      </c>
      <c r="P21" s="303" t="str">
        <f>VLOOKUP(Table1[[#This Row],[SyStudentId]],SSR!$A$2:$CC$4982,10,FALSE)</f>
        <v>IN</v>
      </c>
      <c r="Q21" s="117" t="str">
        <f>VLOOKUP(Table1[[#This Row],[SyStudentId]],SSR!$A$2:$CC$4982,11,FALSE)</f>
        <v xml:space="preserve">46536     </v>
      </c>
      <c r="R21" s="118">
        <f>VLOOKUP(Table1[[#This Row],[SyStudentId]],SSR!$A$2:$CC$4982,15,FALSE)</f>
        <v>3.5209000000000001</v>
      </c>
      <c r="S21" s="119">
        <f>VLOOKUP(Table1[[#This Row],[SyStudentId]],SSR!$A$2:$CC$4982,22,FALSE)</f>
        <v>44109</v>
      </c>
      <c r="T21" s="113" t="str">
        <f>VLOOKUP(Table1[[#This Row],[SyStudentId]],SSR!$A$2:$CC$4982,24,FALSE)</f>
        <v>MN</v>
      </c>
      <c r="U21" s="113" t="str">
        <f>IF(VLOOKUP(Table1[[#This Row],[SyStudentId]],SSR!$A$2:$CC$4982,26,FALSE)=0,"Not Selected",VLOOKUP(Table1[[#This Row],[SyStudentId]],SSR!$A$2:$CC$4982,26,FALSE))</f>
        <v>Male</v>
      </c>
      <c r="V21" s="113" t="str">
        <f>VLOOKUP(Table1[[#This Row],[SyStudentId]],SSR!$A$2:$CC$4982,27,FALSE)</f>
        <v xml:space="preserve">HS2020  </v>
      </c>
      <c r="W21" s="113" t="str">
        <f>VLOOKUP(LEFT(Table1[[#This Row],[LastName]],1),Alpha!$A$1:$B$26,2,FALSE)</f>
        <v>Maureen Ranks</v>
      </c>
      <c r="X21" s="149" t="str">
        <f>VLOOKUP(Table1[[#This Row],[FAA]],Alpha!$B$1:$D$26,2,FALSE)</f>
        <v>mranks@neumont.edu</v>
      </c>
      <c r="Y21" s="113">
        <f>VLOOKUP(Table1[[#This Row],[FAA]],Alpha!$B$1:$D$26,3,FALSE)</f>
        <v>8883022894</v>
      </c>
      <c r="Z21" s="113" t="str">
        <f>VLOOKUP(Table1[[#This Row],[SyStudentId]],SSR!$A$2:$CC$4982,30,FALSE)</f>
        <v>18-Pending Enrollment</v>
      </c>
      <c r="AA21" s="113" t="str">
        <f>IF(VLOOKUP(Table1[[#This Row],[SyStudentId]],SSR!$A$2:$CC$4982,36,FALSE)="Bachelor of Science","BS Computer Science","Check Program")</f>
        <v>BS Computer Science</v>
      </c>
      <c r="AB21" s="113">
        <f>VLOOKUP(Table1[[#This Row],[SyStudentId]],SSR!$A$2:$CC$4982,37,FALSE)</f>
        <v>0</v>
      </c>
      <c r="AC21" s="113" t="str">
        <f>VLOOKUP(Table1[[#This Row],[SyStudentId]],SSR!$A$2:$CC$4982,42,FALSE)</f>
        <v xml:space="preserve">1280    </v>
      </c>
      <c r="AD21" s="113" t="str">
        <f>VLOOKUP(Table1[[#This Row],[SyStudentId]],SSR!$A$2:$CC$4982,46,FALSE)</f>
        <v>118</v>
      </c>
      <c r="AE21" s="113" t="str">
        <f>VLOOKUP(Table1[[#This Row],[SyStudentId]],SSR!$A$2:$CC$4982,65,FALSE)</f>
        <v>I</v>
      </c>
      <c r="AF21"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21" s="113" t="str">
        <f>VLOOKUP(Table1[[#This Row],[SyStudentId]],SSR!$A$2:$CC$4982,66,FALSE)</f>
        <v>July-October</v>
      </c>
      <c r="AH21" s="113" t="str">
        <f>IFERROR(VLOOKUP(Table1[[#This Row],[SyStudentId]],ISIR!$A$2:$X$999,7,FALSE),"")</f>
        <v>013343</v>
      </c>
      <c r="AI21" s="121">
        <f>IF(Table1[[#This Row],[EFCRaw]]="","",IF(Table1[[#This Row],[EFCRaw]]="No EFC","No EFC",_xlfn.NUMBERVALUE(Table1[[#This Row],[EFCRaw]])))</f>
        <v>13343</v>
      </c>
      <c r="AJ21" s="119">
        <f>IFERROR(VLOOKUP(Table1[[#This Row],[SyStudentId]],ISIR!$A$2:$X$4999,19,FALSE),"")</f>
        <v>43774</v>
      </c>
      <c r="AK21" s="113" t="str">
        <f>IFERROR(VLOOKUP(Table1[[#This Row],[SyStudentId]],ISIR!$A$2:$X$4999,8,FALSE),"")</f>
        <v>N</v>
      </c>
      <c r="AL21" s="132" t="str">
        <f>IF(Table1[[#This Row],[VerReq]]="N","n/a","")</f>
        <v>n/a</v>
      </c>
      <c r="AM21" s="122"/>
      <c r="AN21" s="122"/>
      <c r="AO21" s="122">
        <v>43784</v>
      </c>
      <c r="AP21" s="122"/>
      <c r="AQ21" s="122"/>
      <c r="AR21" s="122"/>
      <c r="AS21" s="122"/>
      <c r="AT21" s="122"/>
      <c r="AU21" s="122"/>
      <c r="AV21" s="122"/>
      <c r="AW21" s="122"/>
      <c r="AX21" s="122"/>
      <c r="AY21" s="122"/>
      <c r="AZ21" s="122"/>
      <c r="BA21" s="122"/>
      <c r="BB21" s="122"/>
      <c r="BC21" s="133"/>
      <c r="BD21" s="140" t="str">
        <f>IF(Table1[[#This Row],[VerReq]]="N","x","")</f>
        <v>x</v>
      </c>
      <c r="BE21" s="140" t="str">
        <f>IF(Table1[[#This Row],[VerReq]]="N","x","")</f>
        <v>x</v>
      </c>
      <c r="BF21" s="140" t="str">
        <f>IF(Table1[[#This Row],[VerReq]]="N","x","")</f>
        <v>x</v>
      </c>
      <c r="BG21" s="140" t="str">
        <f>IF(Table1[[#This Row],[VerReq]]="N","x","")</f>
        <v>x</v>
      </c>
      <c r="BH21" s="140" t="str">
        <f>IF(Table1[[#This Row],[VerReq]]="N","x","")</f>
        <v>x</v>
      </c>
      <c r="BI21" s="140" t="str">
        <f>IF(Table1[[#This Row],[VerReq]]="N","x","")</f>
        <v>x</v>
      </c>
      <c r="BJ21" s="134">
        <f>1-((COUNTBLANK(Table1[[#This Row],[ALESent]:[TaxTran]]))/(COUNT(Table1[[#This Row],[ALESent]:[TaxTran]])+COUNTBLANK(Table1[[#This Row],[ALESent]:[TaxTran]])))</f>
        <v>5.8823529411764719E-2</v>
      </c>
      <c r="BK21" s="136">
        <f>IF(VLOOKUP(Table1[[#This Row],[SyStudentId]],SSR!$A$2:$CC$4982,22,FALSE)=44109,44109,"Check Program")</f>
        <v>44109</v>
      </c>
      <c r="BL21" s="124">
        <f>IF(Table1[[#This Row],[AYStart]]=44109,44356,"Check Program")</f>
        <v>44356</v>
      </c>
      <c r="BM21" s="219">
        <v>8505</v>
      </c>
      <c r="BN21" s="219">
        <v>8505</v>
      </c>
      <c r="BO21" s="219">
        <v>8505</v>
      </c>
      <c r="BP21" s="220">
        <f t="shared" si="0"/>
        <v>25515</v>
      </c>
      <c r="BQ21" s="221">
        <v>3300</v>
      </c>
      <c r="BR21" s="219">
        <v>400</v>
      </c>
      <c r="BS21" s="219">
        <v>400</v>
      </c>
      <c r="BT21" s="220">
        <f t="shared" si="1"/>
        <v>4100</v>
      </c>
      <c r="BU21" s="219">
        <v>2100</v>
      </c>
      <c r="BV21" s="219">
        <v>2100</v>
      </c>
      <c r="BW21" s="219">
        <v>2100</v>
      </c>
      <c r="BX21" s="220">
        <f t="shared" si="2"/>
        <v>6300</v>
      </c>
      <c r="BY21" s="275">
        <v>1200</v>
      </c>
      <c r="BZ21" s="275">
        <v>1200</v>
      </c>
      <c r="CA21" s="275">
        <v>1200</v>
      </c>
      <c r="CB21" s="220">
        <f>SUM(Table1[[#This Row],[LEQ1]:[LEQ3]])</f>
        <v>3600</v>
      </c>
      <c r="CC21" s="275">
        <v>0</v>
      </c>
      <c r="CD21" s="275">
        <v>0</v>
      </c>
      <c r="CE21" s="275">
        <v>0</v>
      </c>
      <c r="CF21" s="220">
        <f>SUM(Table1[[#This Row],[OthCostQ1]:[OthCostQ3]])</f>
        <v>0</v>
      </c>
      <c r="CG21" s="220">
        <f>(Table1[[#This Row],[T&amp;FTot]]+Table1[[#This Row],[B&amp;STot]]+Table1[[#This Row],[HousTot]]+Table1[[#This Row],[LETot]]+Table1[[#This Row],[OthCostTot]])</f>
        <v>39515</v>
      </c>
      <c r="CH21" s="250"/>
      <c r="CI21" s="250"/>
      <c r="CJ21" s="250"/>
      <c r="CK21" s="251">
        <f>SUM(Table1[[#This Row],[SEOGQ1]:[SEOGQ3]])</f>
        <v>0</v>
      </c>
      <c r="CL21" s="250">
        <f>IFERROR(ROUNDUP(Table1[[#This Row],[PellTot]]/3,0),0)</f>
        <v>0</v>
      </c>
      <c r="CM21" s="250">
        <f>IFERROR(ROUND(Table1[[#This Row],[PellTot]]/3,0),0)</f>
        <v>0</v>
      </c>
      <c r="CN21" s="250">
        <f>IFERROR(ROUNDDOWN(Table1[[#This Row],[PellTot]]/3,0),0)</f>
        <v>0</v>
      </c>
      <c r="CO21" s="251">
        <f>IFERROR(LOOKUP(Table1[EFC],Pell_Table[#Data],Pell_Table[Pell Amt]),0)</f>
        <v>0</v>
      </c>
      <c r="CP21" s="250">
        <f>Table1[[#This Row],[AccessTot]]/3</f>
        <v>0</v>
      </c>
      <c r="CQ21" s="250">
        <f>Table1[[#This Row],[AccessTot]]/3</f>
        <v>0</v>
      </c>
      <c r="CR21" s="250">
        <f>Table1[[#This Row],[AccessTot]]/3</f>
        <v>0</v>
      </c>
      <c r="CS21" s="251">
        <f>IF(Table1[[#This Row],[PellTot]]&gt;0,1500,0)</f>
        <v>0</v>
      </c>
      <c r="CT21" s="250">
        <f>Table1[[#This Row],[AchiTot]]/3</f>
        <v>1700</v>
      </c>
      <c r="CU21" s="250">
        <f>Table1[[#This Row],[AchiTot]]/3</f>
        <v>1700</v>
      </c>
      <c r="CV21" s="250">
        <f>Table1[[#This Row],[AchiTot]]/3</f>
        <v>1700</v>
      </c>
      <c r="CW21" s="252">
        <f>IF(Table1[[#This Row],[Rank]]="","",IF(Table1[[#This Row],[Rank]]=1,5100,IF(Table1[[#This Row],[Rank]]=2,4500,IF(Table1[[#This Row],[Rank]]=3,3900,IF(Table1[[#This Row],[Rank]]=4,3750,IF(Table1[[#This Row],[Rank]]=5,3000,IF(Table1[[#This Row],[Rank]]=6,2250,0)))))))</f>
        <v>5100</v>
      </c>
      <c r="CX21" s="250">
        <f>Table1[[#This Row],[UTTot]]/3</f>
        <v>0</v>
      </c>
      <c r="CY21" s="250">
        <f>Table1[[#This Row],[UTTot]]/3</f>
        <v>0</v>
      </c>
      <c r="CZ21" s="250">
        <f>Table1[[#This Row],[UTTot]]/3</f>
        <v>0</v>
      </c>
      <c r="DA21" s="251">
        <f>IF(Table1[[#This Row],[State]]="UT",9000,0)</f>
        <v>0</v>
      </c>
      <c r="DB21" s="250">
        <f>Table1[[#This Row],[WITTot]]/3</f>
        <v>0</v>
      </c>
      <c r="DC21" s="250">
        <f>Table1[[#This Row],[WITTot]]/3</f>
        <v>0</v>
      </c>
      <c r="DD21" s="250">
        <f>Table1[[#This Row],[WITTot]]/3</f>
        <v>0</v>
      </c>
      <c r="DE21" s="251">
        <f>IF(Table1[[#This Row],[Gender]]="Female",3000,0)</f>
        <v>0</v>
      </c>
      <c r="DF21" s="250">
        <f>Table1[[#This Row],[SerTot]]/3</f>
        <v>0</v>
      </c>
      <c r="DG21" s="250">
        <f>Table1[[#This Row],[SerTot]]/3</f>
        <v>0</v>
      </c>
      <c r="DH21" s="250">
        <f>Table1[[#This Row],[SerTot]]/3</f>
        <v>0</v>
      </c>
      <c r="DI21" s="252"/>
      <c r="DJ21" s="250"/>
      <c r="DK21" s="250"/>
      <c r="DL21" s="250"/>
      <c r="DM21" s="252"/>
      <c r="DN21" s="250">
        <f>Table1[[#This Row],[MatTot]]/3</f>
        <v>0</v>
      </c>
      <c r="DO21" s="250">
        <f>Table1[[#This Row],[MatTot]]/3</f>
        <v>0</v>
      </c>
      <c r="DP21" s="250">
        <f>Table1[[#This Row],[MatTot]]/3</f>
        <v>0</v>
      </c>
      <c r="DQ21" s="252">
        <v>0</v>
      </c>
      <c r="DR21" s="250">
        <f>Table1[[#This Row],[OutTot]]/3</f>
        <v>0</v>
      </c>
      <c r="DS21" s="250">
        <f>Table1[[#This Row],[OutTot]]/3</f>
        <v>0</v>
      </c>
      <c r="DT21" s="250">
        <f>Table1[[#This Row],[OutTot]]/3</f>
        <v>0</v>
      </c>
      <c r="DU21" s="252">
        <v>0</v>
      </c>
      <c r="DV21" s="250">
        <v>0</v>
      </c>
      <c r="DW21" s="250">
        <v>0</v>
      </c>
      <c r="DX21" s="250">
        <v>0</v>
      </c>
      <c r="DY21" s="252">
        <f>SUM(Table1[[#This Row],[VAQ1]:[VAQ3]])</f>
        <v>0</v>
      </c>
      <c r="DZ21" s="250">
        <v>0</v>
      </c>
      <c r="EA21" s="250">
        <v>0</v>
      </c>
      <c r="EB21" s="250">
        <v>0</v>
      </c>
      <c r="EC21" s="252">
        <f>SUM(Table1[[#This Row],[OthGrantQ1]:[OthGrantQ3]])</f>
        <v>0</v>
      </c>
      <c r="ED21" s="263">
        <f>Table1[[#This Row],[SEOGTot]]+Table1[[#This Row],[PellTot]]+Table1[[#This Row],[AccessTot]]+Table1[[#This Row],[AchiTot]]+Table1[[#This Row],[UTTot]]+Table1[[#This Row],[WITTot]]+Table1[[#This Row],[SerTot]]+Table1[[#This Row],[TranTot]]+Table1[[#This Row],[MatTot]]+Table1[[#This Row],[OutTot]]+Table1[[#This Row],[VATot]]+Table1[[#This Row],[OthGrantTot]]</f>
        <v>5100</v>
      </c>
      <c r="EE21" s="249"/>
      <c r="EF21" s="237"/>
      <c r="EG21" s="237"/>
      <c r="EH21" s="232">
        <f>SUM(Table1[[#This Row],[CashQ1]]:Table1[[#This Row],[CashQ3]])</f>
        <v>0</v>
      </c>
      <c r="EI21" s="271">
        <f>ROUND((Table1[[#This Row],[SubTot]]/3)/1.01059,0)</f>
        <v>1154</v>
      </c>
      <c r="EJ21" s="234">
        <f>ROUND((Table1[[#This Row],[SubTot]]/3)/1.01059,0)</f>
        <v>1154</v>
      </c>
      <c r="EK21" s="234">
        <f>ROUNDUP((Table1[[#This Row],[SubTot]]/3)/1.01059,0)</f>
        <v>1155</v>
      </c>
      <c r="EL21" s="235">
        <v>3500</v>
      </c>
      <c r="EM21" s="240">
        <f>Table1[[#This Row],[SubTot]]*0.01059</f>
        <v>37.065000000000005</v>
      </c>
      <c r="EN21" s="234">
        <f>ROUND((Table1[[#This Row],[UnsubTot]]/3)/1.01062,0)</f>
        <v>660</v>
      </c>
      <c r="EO21" s="234">
        <f>ROUND((Table1[[#This Row],[UnsubTot]]/3)/1.01062,0)</f>
        <v>660</v>
      </c>
      <c r="EP21" s="234">
        <f>ROUNDDOWN((Table1[[#This Row],[UnsubTot]]/3)/1.01062,0)</f>
        <v>659</v>
      </c>
      <c r="EQ21" s="235">
        <f>IF(Table1[D/I]="I",6000,2000)</f>
        <v>2000</v>
      </c>
      <c r="ER21" s="240">
        <f>Table1[[#This Row],[UnsubTot]]*0.01059</f>
        <v>21.18</v>
      </c>
      <c r="ES21" s="234">
        <f>ROUND((Table1[[#This Row],[PLUSTot]]/3)/1.04236,0)</f>
        <v>0</v>
      </c>
      <c r="ET21" s="234">
        <f>ROUND((Table1[[#This Row],[PLUSTot]]/3)/1.04236,0)</f>
        <v>0</v>
      </c>
      <c r="EU21" s="234">
        <f>ROUND((Table1[[#This Row],[PLUSTot]]/3)/1.04236,0)</f>
        <v>0</v>
      </c>
      <c r="EV21" s="235">
        <v>0</v>
      </c>
      <c r="EW21" s="239">
        <f>Table1[[#This Row],[PLUSTot]]*0.04248</f>
        <v>0</v>
      </c>
      <c r="EX21" s="237"/>
      <c r="EY21" s="237"/>
      <c r="EZ21" s="237"/>
      <c r="FA21" s="232">
        <f>SUM(Table1[[#This Row],[PrivQ1]:[PrivQ3]])</f>
        <v>0</v>
      </c>
      <c r="FB21" s="237"/>
      <c r="FC21" s="237"/>
      <c r="FD21" s="237"/>
      <c r="FE21" s="232">
        <f>SUM(Table1[[#This Row],[TOQ1]:[TOQ3]])</f>
        <v>0</v>
      </c>
      <c r="FF21" s="237"/>
      <c r="FG21" s="237"/>
      <c r="FH21" s="237"/>
      <c r="FI21" s="232">
        <f>SUM(Table1[[#This Row],[OFundQ1]:[OFundQ3]])</f>
        <v>0</v>
      </c>
      <c r="FJ21" s="238">
        <f>(Table1[[#This Row],[SubTot]]-Table1[[#This Row],[SubFee]])+(Table1[[#This Row],[UnsubTot]]-Table1[[#This Row],[UnsubFee]])+(Table1[[#This Row],[PLUSTot]]-Table1[[#This Row],[PLUSFee]])+Table1[[#This Row],[PrivTot]]+Table1[[#This Row],[TOTot]]+Table1[[#This Row],[OFundTot]]</f>
        <v>5441.7550000000001</v>
      </c>
      <c r="FK21" s="125">
        <f>Table1[[#This Row],[CostTot]]-Table1[[#This Row],[GiftTot]]</f>
        <v>34415</v>
      </c>
      <c r="FL21" s="139">
        <f>Table1[[#This Row],[NetNeed]]/(1-0.04248)</f>
        <v>30258.631673489846</v>
      </c>
      <c r="FM21" s="131">
        <f>Table1[[#This Row],[NetCost]]-Table1[[#This Row],[CashTot]]-(Table1[[#This Row],[SubTot]]-Table1[[#This Row],[SubFee]])-(Table1[[#This Row],[UnsubTot]]-Table1[[#This Row],[UnsubFee]])-(Table1[[#This Row],[PLUSTot]]-Table1[[#This Row],[PLUSFee]])-Table1[[#This Row],[PrivTot]]-Table1[[#This Row],[TOTot]]-Table1[[#This Row],[OFundTot]]</f>
        <v>28973.244999999999</v>
      </c>
      <c r="FN21" s="161"/>
      <c r="FO21" s="113"/>
      <c r="FP21" s="113"/>
    </row>
    <row r="22" spans="1:172" s="160" customFormat="1" ht="15" x14ac:dyDescent="0.25">
      <c r="A22" s="267">
        <v>197827</v>
      </c>
      <c r="B22" s="160" t="str">
        <f>VLOOKUP(Table1[[#This Row],[SyStudentId]],SSR!$A$2:$CC$4982,4,FALSE)</f>
        <v>Mehta</v>
      </c>
      <c r="C22" s="160" t="str">
        <f>VLOOKUP(Table1[[#This Row],[SyStudentId]],SSR!$A$2:$CC$4982,5,FALSE)</f>
        <v>Neil</v>
      </c>
      <c r="D22" s="160" t="str">
        <f>VLOOKUP(Table1[[#This Row],[SyStudentId]],SSR!$A$2:$CC$4982,6,FALSE)</f>
        <v>Mehta, Neil</v>
      </c>
      <c r="E22" s="113" t="str">
        <f>CONCATENATE(Table1[[#This Row],[FirstName]]," ",Table1[[#This Row],[LastName]])</f>
        <v>Neil Mehta</v>
      </c>
      <c r="F22" s="158"/>
      <c r="G22" s="114"/>
      <c r="H22" s="114"/>
      <c r="I22" s="114"/>
      <c r="J22" s="163"/>
      <c r="K22" s="164"/>
      <c r="L22" s="158" t="str">
        <f>IFERROR(VLOOKUP(Table1[[#This Row],[SyStudentId]],ISIR!$A$2:$X$4999,11,FALSE),"")</f>
        <v/>
      </c>
      <c r="M22" s="160" t="str">
        <f>VLOOKUP(Table1[[#This Row],[SyStudentId]],SSR!$A$2:$CC$4982,7,FALSE)</f>
        <v>neil.mehta02@gmail.com</v>
      </c>
      <c r="N22" s="160" t="str">
        <f>VLOOKUP(Table1[[#This Row],[SyStudentId]],SSR!$A$2:$CC$4982,8,FALSE)</f>
        <v>201 Summertree Ct</v>
      </c>
      <c r="O22" s="160" t="str">
        <f>VLOOKUP(Table1[[#This Row],[SyStudentId]],SSR!$A$2:$CC$4982,9,FALSE)</f>
        <v>Bossier City</v>
      </c>
      <c r="P22" s="294" t="str">
        <f>VLOOKUP(Table1[[#This Row],[SyStudentId]],SSR!$A$2:$CC$4982,10,FALSE)</f>
        <v>LA</v>
      </c>
      <c r="Q22" s="165" t="str">
        <f>VLOOKUP(Table1[[#This Row],[SyStudentId]],SSR!$A$2:$CC$4982,11,FALSE)</f>
        <v>71111-5452</v>
      </c>
      <c r="R22" s="166">
        <f>VLOOKUP(Table1[[#This Row],[SyStudentId]],SSR!$A$2:$CC$4982,15,FALSE)</f>
        <v>3.5</v>
      </c>
      <c r="S22" s="167">
        <f>VLOOKUP(Table1[[#This Row],[SyStudentId]],SSR!$A$2:$CC$4982,22,FALSE)</f>
        <v>44109</v>
      </c>
      <c r="T22" s="160" t="str">
        <f>VLOOKUP(Table1[[#This Row],[SyStudentId]],SSR!$A$2:$CC$4982,24,FALSE)</f>
        <v>GM</v>
      </c>
      <c r="U22" s="160" t="str">
        <f>IF(VLOOKUP(Table1[[#This Row],[SyStudentId]],SSR!$A$2:$CC$4982,26,FALSE)=0,"Not Selected",VLOOKUP(Table1[[#This Row],[SyStudentId]],SSR!$A$2:$CC$4982,26,FALSE))</f>
        <v>Male</v>
      </c>
      <c r="V22" s="160" t="str">
        <f>VLOOKUP(Table1[[#This Row],[SyStudentId]],SSR!$A$2:$CC$4982,27,FALSE)</f>
        <v xml:space="preserve">HS2020  </v>
      </c>
      <c r="W22" s="160" t="str">
        <f>VLOOKUP(LEFT(Table1[[#This Row],[LastName]],1),Alpha!$A$1:$B$26,2,FALSE)</f>
        <v>Maureen Ranks</v>
      </c>
      <c r="X22" s="268" t="str">
        <f>VLOOKUP(Table1[[#This Row],[FAA]],Alpha!$B$1:$D$26,2,FALSE)</f>
        <v>mranks@neumont.edu</v>
      </c>
      <c r="Y22" s="160">
        <f>VLOOKUP(Table1[[#This Row],[FAA]],Alpha!$B$1:$D$26,3,FALSE)</f>
        <v>8883022894</v>
      </c>
      <c r="Z22" s="160" t="str">
        <f>VLOOKUP(Table1[[#This Row],[SyStudentId]],SSR!$A$2:$CC$4982,30,FALSE)</f>
        <v>16-Accepted</v>
      </c>
      <c r="AA22" s="160" t="str">
        <f>IF(VLOOKUP(Table1[[#This Row],[SyStudentId]],SSR!$A$2:$CC$4982,36,FALSE)="Bachelor of Science","BS Computer Science","Check Program")</f>
        <v>BS Computer Science</v>
      </c>
      <c r="AB22" s="160" t="str">
        <f>VLOOKUP(Table1[[#This Row],[SyStudentId]],SSR!$A$2:$CC$4982,37,FALSE)</f>
        <v xml:space="preserve">21      </v>
      </c>
      <c r="AC22" s="160">
        <f>VLOOKUP(Table1[[#This Row],[SyStudentId]],SSR!$A$2:$CC$4982,42,FALSE)</f>
        <v>0</v>
      </c>
      <c r="AD22" s="160" t="str">
        <f>VLOOKUP(Table1[[#This Row],[SyStudentId]],SSR!$A$2:$CC$4982,46,FALSE)</f>
        <v>106</v>
      </c>
      <c r="AE22" s="160" t="str">
        <f>VLOOKUP(Table1[[#This Row],[SyStudentId]],SSR!$A$2:$CC$4982,65,FALSE)</f>
        <v>IV</v>
      </c>
      <c r="AF22"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4</v>
      </c>
      <c r="AG22" s="160" t="str">
        <f>VLOOKUP(Table1[[#This Row],[SyStudentId]],SSR!$A$2:$CC$4982,66,FALSE)</f>
        <v>October</v>
      </c>
      <c r="AH22" s="113" t="str">
        <f>IFERROR(VLOOKUP(Table1[[#This Row],[SyStudentId]],ISIR!$A$2:$X$999,7,FALSE),"")</f>
        <v/>
      </c>
      <c r="AI22" s="170" t="str">
        <f>IF(Table1[[#This Row],[EFCRaw]]="","",IF(Table1[[#This Row],[EFCRaw]]="No EFC","No EFC",_xlfn.NUMBERVALUE(Table1[[#This Row],[EFCRaw]])))</f>
        <v/>
      </c>
      <c r="AJ22" s="167" t="str">
        <f>IFERROR(VLOOKUP(Table1[[#This Row],[SyStudentId]],ISIR!$A$2:$X$4999,19,FALSE),"")</f>
        <v/>
      </c>
      <c r="AK22" s="160" t="str">
        <f>IFERROR(VLOOKUP(Table1[[#This Row],[SyStudentId]],ISIR!$A$2:$X$4999,8,FALSE),"")</f>
        <v/>
      </c>
      <c r="AL22" s="178" t="str">
        <f>IF(Table1[[#This Row],[VerReq]]="N","n/a","")</f>
        <v/>
      </c>
      <c r="AM22" s="122"/>
      <c r="AN22" s="122"/>
      <c r="AO22" s="122"/>
      <c r="AP22" s="122"/>
      <c r="AQ22" s="122"/>
      <c r="AR22" s="122"/>
      <c r="AS22" s="122"/>
      <c r="AT22" s="122"/>
      <c r="AU22" s="122"/>
      <c r="AV22" s="122"/>
      <c r="AW22" s="122"/>
      <c r="AX22" s="122"/>
      <c r="AY22" s="122"/>
      <c r="AZ22" s="122"/>
      <c r="BA22" s="122"/>
      <c r="BB22" s="122"/>
      <c r="BC22" s="133"/>
      <c r="BD22" s="140" t="str">
        <f>IF(Table1[[#This Row],[VerReq]]="N","x","")</f>
        <v/>
      </c>
      <c r="BE22" s="140" t="str">
        <f>IF(Table1[[#This Row],[VerReq]]="N","x","")</f>
        <v/>
      </c>
      <c r="BF22" s="140" t="str">
        <f>IF(Table1[[#This Row],[VerReq]]="N","x","")</f>
        <v/>
      </c>
      <c r="BG22" s="140" t="str">
        <f>IF(Table1[[#This Row],[VerReq]]="N","x","")</f>
        <v/>
      </c>
      <c r="BH22" s="140" t="str">
        <f>IF(Table1[[#This Row],[VerReq]]="N","x","")</f>
        <v/>
      </c>
      <c r="BI22" s="140" t="str">
        <f>IF(Table1[[#This Row],[VerReq]]="N","x","")</f>
        <v/>
      </c>
      <c r="BJ22" s="297">
        <f>1-((COUNTBLANK(Table1[[#This Row],[ALESent]:[TaxTran]]))/(COUNT(Table1[[#This Row],[ALESent]:[TaxTran]])+COUNTBLANK(Table1[[#This Row],[ALESent]:[TaxTran]])))</f>
        <v>0</v>
      </c>
      <c r="BK22" s="172">
        <f>IF(VLOOKUP(Table1[[#This Row],[SyStudentId]],SSR!$A$2:$CC$4982,22,FALSE)=44109,44109,"Check Program")</f>
        <v>44109</v>
      </c>
      <c r="BL22" s="173">
        <f>IF(Table1[[#This Row],[AYStart]]=44109,44356,"Check Program")</f>
        <v>44356</v>
      </c>
      <c r="BM22" s="219">
        <v>8505</v>
      </c>
      <c r="BN22" s="219">
        <v>8505</v>
      </c>
      <c r="BO22" s="219">
        <v>8505</v>
      </c>
      <c r="BP22" s="220">
        <f t="shared" si="0"/>
        <v>25515</v>
      </c>
      <c r="BQ22" s="221">
        <v>3300</v>
      </c>
      <c r="BR22" s="219">
        <v>400</v>
      </c>
      <c r="BS22" s="219">
        <v>400</v>
      </c>
      <c r="BT22" s="222">
        <f t="shared" si="1"/>
        <v>4100</v>
      </c>
      <c r="BU22" s="219">
        <v>2100</v>
      </c>
      <c r="BV22" s="219">
        <v>2100</v>
      </c>
      <c r="BW22" s="219">
        <v>2100</v>
      </c>
      <c r="BX22" s="222">
        <f t="shared" si="2"/>
        <v>6300</v>
      </c>
      <c r="BY22" s="275">
        <v>1200</v>
      </c>
      <c r="BZ22" s="275">
        <v>1200</v>
      </c>
      <c r="CA22" s="275">
        <v>1200</v>
      </c>
      <c r="CB22" s="222">
        <f>SUM(Table1[[#This Row],[LEQ1]:[LEQ3]])</f>
        <v>3600</v>
      </c>
      <c r="CC22" s="223">
        <v>0</v>
      </c>
      <c r="CD22" s="223">
        <v>0</v>
      </c>
      <c r="CE22" s="223">
        <v>0</v>
      </c>
      <c r="CF22" s="222">
        <f>SUM(Table1[[#This Row],[OthCostQ1]:[OthCostQ3]])</f>
        <v>0</v>
      </c>
      <c r="CG22" s="222">
        <f>(Table1[[#This Row],[T&amp;FTot]]+Table1[[#This Row],[B&amp;STot]]+Table1[[#This Row],[HousTot]]+Table1[[#This Row],[LETot]]+Table1[[#This Row],[OthCostTot]])</f>
        <v>39515</v>
      </c>
      <c r="CH22" s="253">
        <v>0</v>
      </c>
      <c r="CI22" s="253">
        <v>0</v>
      </c>
      <c r="CJ22" s="253">
        <v>0</v>
      </c>
      <c r="CK22" s="254">
        <f>SUM(Table1[[#This Row],[SEOGQ1]:[SEOGQ3]])</f>
        <v>0</v>
      </c>
      <c r="CL22" s="253">
        <f>IFERROR(ROUNDUP(Table1[[#This Row],[PellTot]]/3,0),0)</f>
        <v>0</v>
      </c>
      <c r="CM22" s="253">
        <f>IFERROR(ROUND(Table1[[#This Row],[PellTot]]/3,0),0)</f>
        <v>0</v>
      </c>
      <c r="CN22" s="253">
        <f>IFERROR(ROUNDDOWN(Table1[[#This Row],[PellTot]]/3,0),0)</f>
        <v>0</v>
      </c>
      <c r="CO22" s="254">
        <f>IFERROR(LOOKUP(Table1[EFC],Pell_Table[#Data],Pell_Table[Pell Amt]),0)</f>
        <v>0</v>
      </c>
      <c r="CP22" s="253">
        <f>Table1[[#This Row],[AccessTot]]/3</f>
        <v>0</v>
      </c>
      <c r="CQ22" s="253">
        <f>Table1[[#This Row],[AccessTot]]/3</f>
        <v>0</v>
      </c>
      <c r="CR22" s="253">
        <f>Table1[[#This Row],[AccessTot]]/3</f>
        <v>0</v>
      </c>
      <c r="CS22" s="254">
        <f>IF(Table1[[#This Row],[PellTot]]&gt;0,1500,0)</f>
        <v>0</v>
      </c>
      <c r="CT22" s="253">
        <f>Table1[[#This Row],[AchiTot]]/3</f>
        <v>1250</v>
      </c>
      <c r="CU22" s="253">
        <f>Table1[[#This Row],[AchiTot]]/3</f>
        <v>1250</v>
      </c>
      <c r="CV22" s="253">
        <f>Table1[[#This Row],[AchiTot]]/3</f>
        <v>1250</v>
      </c>
      <c r="CW22" s="255">
        <f>IF(Table1[[#This Row],[Rank]]="","",IF(Table1[[#This Row],[Rank]]=1,5100,IF(Table1[[#This Row],[Rank]]=2,4500,IF(Table1[[#This Row],[Rank]]=3,3900,IF(Table1[[#This Row],[Rank]]=4,3750,IF(Table1[[#This Row],[Rank]]=5,3000,IF(Table1[[#This Row],[Rank]]=6,2250,0)))))))</f>
        <v>3750</v>
      </c>
      <c r="CX22" s="253">
        <f>Table1[[#This Row],[UTTot]]/3</f>
        <v>0</v>
      </c>
      <c r="CY22" s="253">
        <f>Table1[[#This Row],[UTTot]]/3</f>
        <v>0</v>
      </c>
      <c r="CZ22" s="253">
        <f>Table1[[#This Row],[UTTot]]/3</f>
        <v>0</v>
      </c>
      <c r="DA22" s="254">
        <f>IF(Table1[[#This Row],[State]]="UT",9000,0)</f>
        <v>0</v>
      </c>
      <c r="DB22" s="253">
        <f>Table1[[#This Row],[WITTot]]/3</f>
        <v>0</v>
      </c>
      <c r="DC22" s="253">
        <f>Table1[[#This Row],[WITTot]]/3</f>
        <v>0</v>
      </c>
      <c r="DD22" s="253">
        <f>Table1[[#This Row],[WITTot]]/3</f>
        <v>0</v>
      </c>
      <c r="DE22" s="254">
        <f>IF(Table1[[#This Row],[Gender]]="Female",3000,0)</f>
        <v>0</v>
      </c>
      <c r="DF22" s="253">
        <f>Table1[[#This Row],[SerTot]]/3</f>
        <v>0</v>
      </c>
      <c r="DG22" s="253">
        <f>Table1[[#This Row],[SerTot]]/3</f>
        <v>0</v>
      </c>
      <c r="DH22" s="253">
        <f>Table1[[#This Row],[SerTot]]/3</f>
        <v>0</v>
      </c>
      <c r="DI22" s="255">
        <v>0</v>
      </c>
      <c r="DJ22" s="253">
        <f>IFERROR(ROUNDUP(Table1[[#This Row],[TranTot]]/3,0),0)</f>
        <v>0</v>
      </c>
      <c r="DK22" s="253">
        <f>IFERROR(ROUND(Table1[[#This Row],[TranTot]]/3,0),0)</f>
        <v>0</v>
      </c>
      <c r="DL22" s="253">
        <f>IFERROR(ROUNDDOWN(Table1[[#This Row],[TranTot]]/3,0),0)</f>
        <v>0</v>
      </c>
      <c r="DM22" s="255">
        <v>0</v>
      </c>
      <c r="DN22" s="253">
        <f>Table1[[#This Row],[MatTot]]/3</f>
        <v>0</v>
      </c>
      <c r="DO22" s="253">
        <f>Table1[[#This Row],[MatTot]]/3</f>
        <v>0</v>
      </c>
      <c r="DP22" s="253">
        <f>Table1[[#This Row],[MatTot]]/3</f>
        <v>0</v>
      </c>
      <c r="DQ22" s="255">
        <v>0</v>
      </c>
      <c r="DR22" s="253">
        <f>Table1[[#This Row],[OutTot]]/3</f>
        <v>0</v>
      </c>
      <c r="DS22" s="253">
        <f>Table1[[#This Row],[OutTot]]/3</f>
        <v>0</v>
      </c>
      <c r="DT22" s="253">
        <f>Table1[[#This Row],[OutTot]]/3</f>
        <v>0</v>
      </c>
      <c r="DU22" s="255">
        <v>0</v>
      </c>
      <c r="DV22" s="253">
        <v>0</v>
      </c>
      <c r="DW22" s="253">
        <v>0</v>
      </c>
      <c r="DX22" s="253">
        <v>0</v>
      </c>
      <c r="DY22" s="255">
        <f>SUM(Table1[[#This Row],[VAQ1]:[VAQ3]])</f>
        <v>0</v>
      </c>
      <c r="DZ22" s="253">
        <v>0</v>
      </c>
      <c r="EA22" s="253">
        <v>0</v>
      </c>
      <c r="EB22" s="253">
        <v>0</v>
      </c>
      <c r="EC22" s="255">
        <f>SUM(Table1[[#This Row],[OthGrantQ1]:[OthGrantQ3]])</f>
        <v>0</v>
      </c>
      <c r="ED22" s="264">
        <f>Table1[[#This Row],[SEOGTot]]+Table1[[#This Row],[PellTot]]+Table1[[#This Row],[AccessTot]]+Table1[[#This Row],[AchiTot]]+Table1[[#This Row],[UTTot]]+Table1[[#This Row],[WITTot]]+Table1[[#This Row],[SerTot]]+Table1[[#This Row],[TranTot]]+Table1[[#This Row],[MatTot]]+Table1[[#This Row],[OutTot]]+Table1[[#This Row],[VATot]]+Table1[[#This Row],[OthGrantTot]]</f>
        <v>3750</v>
      </c>
      <c r="EE22" s="226">
        <v>0</v>
      </c>
      <c r="EF22" s="227">
        <v>0</v>
      </c>
      <c r="EG22" s="227">
        <v>0</v>
      </c>
      <c r="EH22" s="228">
        <f>SUM(Table1[[#This Row],[CashQ1]]:Table1[[#This Row],[CashQ3]])</f>
        <v>0</v>
      </c>
      <c r="EI22" s="229">
        <f>ROUND((Table1[[#This Row],[SubTot]]/3)/1.01059,0)</f>
        <v>1154</v>
      </c>
      <c r="EJ22" s="230">
        <f>ROUND((Table1[[#This Row],[SubTot]]/3)/1.01059,0)</f>
        <v>1154</v>
      </c>
      <c r="EK22" s="230">
        <f>ROUNDUP((Table1[[#This Row],[SubTot]]/3)/1.01059,0)</f>
        <v>1155</v>
      </c>
      <c r="EL22" s="231">
        <v>3500</v>
      </c>
      <c r="EM22" s="233">
        <f>Table1[[#This Row],[SubTot]]*0.01059</f>
        <v>37.065000000000005</v>
      </c>
      <c r="EN22" s="230">
        <f>ROUND((Table1[[#This Row],[UnsubTot]]/3)/1.01062,0)</f>
        <v>660</v>
      </c>
      <c r="EO22" s="230">
        <f>ROUND((Table1[[#This Row],[UnsubTot]]/3)/1.01062,0)</f>
        <v>660</v>
      </c>
      <c r="EP22" s="230">
        <f>ROUNDDOWN((Table1[[#This Row],[UnsubTot]]/3)/1.01062,0)</f>
        <v>659</v>
      </c>
      <c r="EQ22" s="231">
        <f>IF(Table1[D/I]="I",6000,2000)</f>
        <v>2000</v>
      </c>
      <c r="ER22" s="233">
        <f>Table1[[#This Row],[UnsubTot]]*0.01059</f>
        <v>21.18</v>
      </c>
      <c r="ES22" s="230">
        <f>ROUND((Table1[[#This Row],[PLUSTot]]/3)/1.04236,0)</f>
        <v>0</v>
      </c>
      <c r="ET22" s="230">
        <f>ROUND((Table1[[#This Row],[PLUSTot]]/3)/1.04236,0)</f>
        <v>0</v>
      </c>
      <c r="EU22" s="230">
        <f>ROUND((Table1[[#This Row],[PLUSTot]]/3)/1.04236,0)</f>
        <v>0</v>
      </c>
      <c r="EV22" s="231">
        <v>0</v>
      </c>
      <c r="EW22" s="236">
        <f>Table1[[#This Row],[PLUSTot]]*0.04236</f>
        <v>0</v>
      </c>
      <c r="EX22" s="227"/>
      <c r="EY22" s="227"/>
      <c r="EZ22" s="227"/>
      <c r="FA22" s="228">
        <f>SUM(Table1[[#This Row],[PrivQ1]:[PrivQ3]])</f>
        <v>0</v>
      </c>
      <c r="FB22" s="227"/>
      <c r="FC22" s="227"/>
      <c r="FD22" s="227"/>
      <c r="FE22" s="228">
        <f>SUM(Table1[[#This Row],[TOQ1]:[TOQ3]])</f>
        <v>0</v>
      </c>
      <c r="FF22" s="227"/>
      <c r="FG22" s="227"/>
      <c r="FH22" s="227"/>
      <c r="FI22" s="228">
        <f>SUM(Table1[[#This Row],[OFundQ1]:[OFundQ3]])</f>
        <v>0</v>
      </c>
      <c r="FJ22" s="299">
        <f>(Table1[[#This Row],[SubTot]]-Table1[[#This Row],[SubFee]])+(Table1[[#This Row],[UnsubTot]]-Table1[[#This Row],[UnsubFee]])+(Table1[[#This Row],[PLUSTot]]-Table1[[#This Row],[PLUSFee]])+Table1[[#This Row],[PrivTot]]+Table1[[#This Row],[TOTot]]+Table1[[#This Row],[OFundTot]]</f>
        <v>5441.7550000000001</v>
      </c>
      <c r="FK22" s="159">
        <f>Table1[[#This Row],[CostTot]]-Table1[[#This Row],[GiftTot]]</f>
        <v>35765</v>
      </c>
      <c r="FL22" s="175">
        <f>Table1[[#This Row],[NetNeed]]/(1-0.04236)</f>
        <v>31664.555574119709</v>
      </c>
      <c r="FM22" s="176">
        <f>Table1[[#This Row],[NetCost]]-Table1[[#This Row],[CashTot]]-(Table1[[#This Row],[SubTot]]-Table1[[#This Row],[SubFee]])-(Table1[[#This Row],[UnsubTot]]-Table1[[#This Row],[UnsubFee]])-(Table1[[#This Row],[PLUSTot]]-Table1[[#This Row],[PLUSFee]])-Table1[[#This Row],[PrivTot]]-Table1[[#This Row],[TOTot]]-Table1[[#This Row],[OFundTot]]</f>
        <v>30323.244999999999</v>
      </c>
      <c r="FN22" s="177"/>
      <c r="FO22" s="162"/>
      <c r="FP22" s="162"/>
    </row>
    <row r="23" spans="1:172" s="160" customFormat="1" ht="15" x14ac:dyDescent="0.25">
      <c r="A23" s="267">
        <v>196234</v>
      </c>
      <c r="B23" s="113" t="str">
        <f>VLOOKUP(Table1[[#This Row],[SyStudentId]],SSR!$A$2:$CC$4982,4,FALSE)</f>
        <v>Mejia Palma</v>
      </c>
      <c r="C23" s="113" t="str">
        <f>VLOOKUP(Table1[[#This Row],[SyStudentId]],SSR!$A$2:$CC$4982,5,FALSE)</f>
        <v>Wilfredo</v>
      </c>
      <c r="D23" s="113" t="str">
        <f>VLOOKUP(Table1[[#This Row],[SyStudentId]],SSR!$A$2:$CC$4982,6,FALSE)</f>
        <v>Mejia Palma, Wilfredo</v>
      </c>
      <c r="E23" s="113" t="str">
        <f>CONCATENATE(Table1[[#This Row],[FirstName]]," ",Table1[[#This Row],[LastName]])</f>
        <v>Wilfredo Mejia Palma</v>
      </c>
      <c r="F23" s="112"/>
      <c r="G23" s="114"/>
      <c r="H23" s="114"/>
      <c r="I23" s="114"/>
      <c r="J23" s="115"/>
      <c r="K23" s="116"/>
      <c r="L23" s="112" t="str">
        <f>IFERROR(VLOOKUP(Table1[[#This Row],[SyStudentId]],ISIR!$A$2:$X$999,11,FALSE),"")</f>
        <v/>
      </c>
      <c r="M23" s="113" t="str">
        <f>VLOOKUP(Table1[[#This Row],[SyStudentId]],SSR!$A$2:$CC$4982,7,FALSE)</f>
        <v>Juniormejia29@hotmail.com</v>
      </c>
      <c r="N23" s="113" t="str">
        <f>VLOOKUP(Table1[[#This Row],[SyStudentId]],SSR!$A$2:$CC$4982,8,FALSE)</f>
        <v>1316 sw 27th terrace</v>
      </c>
      <c r="O23" s="113" t="str">
        <f>VLOOKUP(Table1[[#This Row],[SyStudentId]],SSR!$A$2:$CC$4982,9,FALSE)</f>
        <v>Cape Coral</v>
      </c>
      <c r="P23" s="303" t="str">
        <f>VLOOKUP(Table1[[#This Row],[SyStudentId]],SSR!$A$2:$CC$4982,10,FALSE)</f>
        <v>FL</v>
      </c>
      <c r="Q23" s="117" t="str">
        <f>VLOOKUP(Table1[[#This Row],[SyStudentId]],SSR!$A$2:$CC$4982,11,FALSE)</f>
        <v xml:space="preserve">33914     </v>
      </c>
      <c r="R23" s="118">
        <f>VLOOKUP(Table1[[#This Row],[SyStudentId]],SSR!$A$2:$CC$4982,15,FALSE)</f>
        <v>3.4</v>
      </c>
      <c r="S23" s="119">
        <f>VLOOKUP(Table1[[#This Row],[SyStudentId]],SSR!$A$2:$CC$4982,22,FALSE)</f>
        <v>44109</v>
      </c>
      <c r="T23" s="113" t="str">
        <f>VLOOKUP(Table1[[#This Row],[SyStudentId]],SSR!$A$2:$CC$4982,24,FALSE)</f>
        <v>GM</v>
      </c>
      <c r="U23" s="113" t="str">
        <f>IF(VLOOKUP(Table1[[#This Row],[SyStudentId]],SSR!$A$2:$CC$4982,26,FALSE)=0,"Not Selected",VLOOKUP(Table1[[#This Row],[SyStudentId]],SSR!$A$2:$CC$4982,26,FALSE))</f>
        <v>Male</v>
      </c>
      <c r="V23" s="113" t="str">
        <f>VLOOKUP(Table1[[#This Row],[SyStudentId]],SSR!$A$2:$CC$4982,27,FALSE)</f>
        <v xml:space="preserve">HS2020  </v>
      </c>
      <c r="W23" s="113" t="str">
        <f>VLOOKUP(LEFT(Table1[[#This Row],[LastName]],1),Alpha!$A$1:$B$26,2,FALSE)</f>
        <v>Maureen Ranks</v>
      </c>
      <c r="X23" s="149" t="str">
        <f>VLOOKUP(Table1[[#This Row],[FAA]],Alpha!$B$1:$D$26,2,FALSE)</f>
        <v>mranks@neumont.edu</v>
      </c>
      <c r="Y23" s="113">
        <f>VLOOKUP(Table1[[#This Row],[FAA]],Alpha!$B$1:$D$26,3,FALSE)</f>
        <v>8883022894</v>
      </c>
      <c r="Z23" s="113" t="str">
        <f>VLOOKUP(Table1[[#This Row],[SyStudentId]],SSR!$A$2:$CC$4982,30,FALSE)</f>
        <v>16-Accepted</v>
      </c>
      <c r="AA23" s="113" t="str">
        <f>IF(VLOOKUP(Table1[[#This Row],[SyStudentId]],SSR!$A$2:$CC$4982,36,FALSE)="Bachelor of Science","BS Computer Science","Check Program")</f>
        <v>BS Computer Science</v>
      </c>
      <c r="AB23" s="113">
        <f>VLOOKUP(Table1[[#This Row],[SyStudentId]],SSR!$A$2:$CC$4982,37,FALSE)</f>
        <v>0</v>
      </c>
      <c r="AC23" s="113">
        <f>VLOOKUP(Table1[[#This Row],[SyStudentId]],SSR!$A$2:$CC$4982,42,FALSE)</f>
        <v>0</v>
      </c>
      <c r="AD23" s="113" t="str">
        <f>VLOOKUP(Table1[[#This Row],[SyStudentId]],SSR!$A$2:$CC$4982,46,FALSE)</f>
        <v>0</v>
      </c>
      <c r="AE23" s="113" t="str">
        <f>VLOOKUP(Table1[[#This Row],[SyStudentId]],SSR!$A$2:$CC$4982,65,FALSE)</f>
        <v>VI</v>
      </c>
      <c r="AF2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6</v>
      </c>
      <c r="AG23" s="113" t="str">
        <f>VLOOKUP(Table1[[#This Row],[SyStudentId]],SSR!$A$2:$CC$4982,66,FALSE)</f>
        <v>October</v>
      </c>
      <c r="AH23" s="113" t="str">
        <f>IFERROR(VLOOKUP(Table1[[#This Row],[SyStudentId]],ISIR!$A$2:$X$999,7,FALSE),"")</f>
        <v/>
      </c>
      <c r="AI23" s="121" t="str">
        <f>IF(Table1[[#This Row],[EFCRaw]]="","",IF(Table1[[#This Row],[EFCRaw]]="No EFC","No EFC",_xlfn.NUMBERVALUE(Table1[[#This Row],[EFCRaw]])))</f>
        <v/>
      </c>
      <c r="AJ23" s="119" t="str">
        <f>IFERROR(VLOOKUP(Table1[[#This Row],[SyStudentId]],ISIR!$A$2:$X$4999,19,FALSE),"")</f>
        <v/>
      </c>
      <c r="AK23" s="113" t="str">
        <f>IFERROR(VLOOKUP(Table1[[#This Row],[SyStudentId]],ISIR!$A$2:$X$4999,8,FALSE),"")</f>
        <v/>
      </c>
      <c r="AL23" s="132" t="str">
        <f>IF(Table1[[#This Row],[VerReq]]="N","n/a","")</f>
        <v/>
      </c>
      <c r="AM23" s="122"/>
      <c r="AN23" s="122"/>
      <c r="AO23" s="122"/>
      <c r="AP23" s="122"/>
      <c r="AQ23" s="122"/>
      <c r="AR23" s="122"/>
      <c r="AS23" s="122"/>
      <c r="AT23" s="122"/>
      <c r="AU23" s="122"/>
      <c r="AV23" s="122"/>
      <c r="AW23" s="122"/>
      <c r="AX23" s="122"/>
      <c r="AY23" s="122"/>
      <c r="AZ23" s="122"/>
      <c r="BA23" s="122"/>
      <c r="BB23" s="122"/>
      <c r="BC23" s="133"/>
      <c r="BD23" s="140" t="str">
        <f>IF(Table1[[#This Row],[VerReq]]="N","x","")</f>
        <v/>
      </c>
      <c r="BE23" s="140" t="str">
        <f>IF(Table1[[#This Row],[VerReq]]="N","x","")</f>
        <v/>
      </c>
      <c r="BF23" s="140" t="str">
        <f>IF(Table1[[#This Row],[VerReq]]="N","x","")</f>
        <v/>
      </c>
      <c r="BG23" s="140" t="str">
        <f>IF(Table1[[#This Row],[VerReq]]="N","x","")</f>
        <v/>
      </c>
      <c r="BH23" s="140" t="str">
        <f>IF(Table1[[#This Row],[VerReq]]="N","x","")</f>
        <v/>
      </c>
      <c r="BI23" s="140" t="str">
        <f>IF(Table1[[#This Row],[VerReq]]="N","x","")</f>
        <v/>
      </c>
      <c r="BJ23" s="134">
        <f>1-((COUNTBLANK(Table1[[#This Row],[ALESent]:[TaxTran]]))/(COUNT(Table1[[#This Row],[ALESent]:[TaxTran]])+COUNTBLANK(Table1[[#This Row],[ALESent]:[TaxTran]])))</f>
        <v>0</v>
      </c>
      <c r="BK23" s="136">
        <f>IF(VLOOKUP(Table1[[#This Row],[SyStudentId]],SSR!$A$2:$CC$4982,22,FALSE)=44109,44109,"Check Program")</f>
        <v>44109</v>
      </c>
      <c r="BL23" s="124">
        <f>IF(Table1[[#This Row],[AYStart]]=44109,44356,"Check Program")</f>
        <v>44356</v>
      </c>
      <c r="BM23" s="219">
        <v>8505</v>
      </c>
      <c r="BN23" s="219">
        <v>8505</v>
      </c>
      <c r="BO23" s="219">
        <v>8505</v>
      </c>
      <c r="BP23" s="220">
        <f t="shared" si="0"/>
        <v>25515</v>
      </c>
      <c r="BQ23" s="221">
        <v>3300</v>
      </c>
      <c r="BR23" s="219">
        <v>400</v>
      </c>
      <c r="BS23" s="219">
        <v>400</v>
      </c>
      <c r="BT23" s="220">
        <f t="shared" si="1"/>
        <v>4100</v>
      </c>
      <c r="BU23" s="219">
        <v>2100</v>
      </c>
      <c r="BV23" s="219">
        <v>2100</v>
      </c>
      <c r="BW23" s="219">
        <v>2100</v>
      </c>
      <c r="BX23" s="220">
        <f t="shared" si="2"/>
        <v>6300</v>
      </c>
      <c r="BY23" s="275">
        <v>1200</v>
      </c>
      <c r="BZ23" s="275">
        <v>1200</v>
      </c>
      <c r="CA23" s="275">
        <v>1200</v>
      </c>
      <c r="CB23" s="220">
        <f>SUM(Table1[[#This Row],[LEQ1]:[LEQ3]])</f>
        <v>3600</v>
      </c>
      <c r="CC23" s="275">
        <v>0</v>
      </c>
      <c r="CD23" s="275">
        <v>0</v>
      </c>
      <c r="CE23" s="275">
        <v>0</v>
      </c>
      <c r="CF23" s="220">
        <f>SUM(Table1[[#This Row],[OthCostQ1]:[OthCostQ3]])</f>
        <v>0</v>
      </c>
      <c r="CG23" s="220">
        <f>(Table1[[#This Row],[T&amp;FTot]]+Table1[[#This Row],[B&amp;STot]]+Table1[[#This Row],[HousTot]]+Table1[[#This Row],[LETot]]+Table1[[#This Row],[OthCostTot]])</f>
        <v>39515</v>
      </c>
      <c r="CH23" s="250"/>
      <c r="CI23" s="250"/>
      <c r="CJ23" s="250"/>
      <c r="CK23" s="251">
        <f>SUM(Table1[[#This Row],[SEOGQ1]:[SEOGQ3]])</f>
        <v>0</v>
      </c>
      <c r="CL23" s="250">
        <f>IFERROR(ROUNDUP(Table1[[#This Row],[PellTot]]/3,0),0)</f>
        <v>0</v>
      </c>
      <c r="CM23" s="250">
        <f>IFERROR(ROUND(Table1[[#This Row],[PellTot]]/3,0),0)</f>
        <v>0</v>
      </c>
      <c r="CN23" s="250">
        <f>IFERROR(ROUNDDOWN(Table1[[#This Row],[PellTot]]/3,0),0)</f>
        <v>0</v>
      </c>
      <c r="CO23" s="251">
        <f>IFERROR(LOOKUP(Table1[EFC],Pell_Table[#Data],Pell_Table[Pell Amt]),0)</f>
        <v>0</v>
      </c>
      <c r="CP23" s="250">
        <f>Table1[[#This Row],[AccessTot]]/3</f>
        <v>0</v>
      </c>
      <c r="CQ23" s="250">
        <f>Table1[[#This Row],[AccessTot]]/3</f>
        <v>0</v>
      </c>
      <c r="CR23" s="250">
        <f>Table1[[#This Row],[AccessTot]]/3</f>
        <v>0</v>
      </c>
      <c r="CS23" s="251">
        <f>IF(Table1[[#This Row],[PellTot]]&gt;0,1500,0)</f>
        <v>0</v>
      </c>
      <c r="CT23" s="250">
        <f>Table1[[#This Row],[AchiTot]]/3</f>
        <v>750</v>
      </c>
      <c r="CU23" s="250">
        <f>Table1[[#This Row],[AchiTot]]/3</f>
        <v>750</v>
      </c>
      <c r="CV23" s="250">
        <f>Table1[[#This Row],[AchiTot]]/3</f>
        <v>750</v>
      </c>
      <c r="CW23" s="252">
        <f>IF(Table1[[#This Row],[Rank]]="","",IF(Table1[[#This Row],[Rank]]=1,5100,IF(Table1[[#This Row],[Rank]]=2,4500,IF(Table1[[#This Row],[Rank]]=3,3900,IF(Table1[[#This Row],[Rank]]=4,3750,IF(Table1[[#This Row],[Rank]]=5,3000,IF(Table1[[#This Row],[Rank]]=6,2250,0)))))))</f>
        <v>2250</v>
      </c>
      <c r="CX23" s="250">
        <f>Table1[[#This Row],[UTTot]]/3</f>
        <v>0</v>
      </c>
      <c r="CY23" s="250">
        <f>Table1[[#This Row],[UTTot]]/3</f>
        <v>0</v>
      </c>
      <c r="CZ23" s="250">
        <f>Table1[[#This Row],[UTTot]]/3</f>
        <v>0</v>
      </c>
      <c r="DA23" s="251">
        <f>IF(Table1[[#This Row],[State]]="UT",9000,0)</f>
        <v>0</v>
      </c>
      <c r="DB23" s="250">
        <f>Table1[[#This Row],[WITTot]]/3</f>
        <v>0</v>
      </c>
      <c r="DC23" s="250">
        <f>Table1[[#This Row],[WITTot]]/3</f>
        <v>0</v>
      </c>
      <c r="DD23" s="250">
        <f>Table1[[#This Row],[WITTot]]/3</f>
        <v>0</v>
      </c>
      <c r="DE23" s="251">
        <f>IF(Table1[[#This Row],[Gender]]="Female",3000,0)</f>
        <v>0</v>
      </c>
      <c r="DF23" s="250">
        <f>Table1[[#This Row],[SerTot]]/3</f>
        <v>0</v>
      </c>
      <c r="DG23" s="250">
        <f>Table1[[#This Row],[SerTot]]/3</f>
        <v>0</v>
      </c>
      <c r="DH23" s="250">
        <f>Table1[[#This Row],[SerTot]]/3</f>
        <v>0</v>
      </c>
      <c r="DI23" s="252"/>
      <c r="DJ23" s="250"/>
      <c r="DK23" s="250"/>
      <c r="DL23" s="250"/>
      <c r="DM23" s="252"/>
      <c r="DN23" s="250">
        <f>Table1[[#This Row],[MatTot]]/3</f>
        <v>0</v>
      </c>
      <c r="DO23" s="250">
        <f>Table1[[#This Row],[MatTot]]/3</f>
        <v>0</v>
      </c>
      <c r="DP23" s="250">
        <f>Table1[[#This Row],[MatTot]]/3</f>
        <v>0</v>
      </c>
      <c r="DQ23" s="252">
        <v>0</v>
      </c>
      <c r="DR23" s="250">
        <f>Table1[[#This Row],[OutTot]]/3</f>
        <v>0</v>
      </c>
      <c r="DS23" s="250">
        <f>Table1[[#This Row],[OutTot]]/3</f>
        <v>0</v>
      </c>
      <c r="DT23" s="250">
        <f>Table1[[#This Row],[OutTot]]/3</f>
        <v>0</v>
      </c>
      <c r="DU23" s="252">
        <v>0</v>
      </c>
      <c r="DV23" s="250">
        <v>0</v>
      </c>
      <c r="DW23" s="250">
        <v>0</v>
      </c>
      <c r="DX23" s="250">
        <v>0</v>
      </c>
      <c r="DY23" s="252">
        <f>SUM(Table1[[#This Row],[VAQ1]:[VAQ3]])</f>
        <v>0</v>
      </c>
      <c r="DZ23" s="250">
        <v>0</v>
      </c>
      <c r="EA23" s="250">
        <v>0</v>
      </c>
      <c r="EB23" s="250">
        <v>0</v>
      </c>
      <c r="EC23" s="252">
        <f>SUM(Table1[[#This Row],[OthGrantQ1]:[OthGrantQ3]])</f>
        <v>0</v>
      </c>
      <c r="ED23" s="263">
        <f>Table1[[#This Row],[SEOGTot]]+Table1[[#This Row],[PellTot]]+Table1[[#This Row],[AccessTot]]+Table1[[#This Row],[AchiTot]]+Table1[[#This Row],[UTTot]]+Table1[[#This Row],[WITTot]]+Table1[[#This Row],[SerTot]]+Table1[[#This Row],[TranTot]]+Table1[[#This Row],[MatTot]]+Table1[[#This Row],[OutTot]]+Table1[[#This Row],[VATot]]+Table1[[#This Row],[OthGrantTot]]</f>
        <v>2250</v>
      </c>
      <c r="EE23" s="249"/>
      <c r="EF23" s="237"/>
      <c r="EG23" s="237"/>
      <c r="EH23" s="232">
        <f>SUM(Table1[[#This Row],[CashQ1]]:Table1[[#This Row],[CashQ3]])</f>
        <v>0</v>
      </c>
      <c r="EI23" s="271">
        <f>ROUND((Table1[[#This Row],[SubTot]]/3)/1.01059,0)</f>
        <v>1154</v>
      </c>
      <c r="EJ23" s="234">
        <f>ROUND((Table1[[#This Row],[SubTot]]/3)/1.01059,0)</f>
        <v>1154</v>
      </c>
      <c r="EK23" s="234">
        <f>ROUNDUP((Table1[[#This Row],[SubTot]]/3)/1.01059,0)</f>
        <v>1155</v>
      </c>
      <c r="EL23" s="235">
        <v>3500</v>
      </c>
      <c r="EM23" s="240">
        <f>Table1[[#This Row],[SubTot]]*0.01059</f>
        <v>37.065000000000005</v>
      </c>
      <c r="EN23" s="234">
        <f>ROUND((Table1[[#This Row],[UnsubTot]]/3)/1.01062,0)</f>
        <v>660</v>
      </c>
      <c r="EO23" s="234">
        <f>ROUND((Table1[[#This Row],[UnsubTot]]/3)/1.01062,0)</f>
        <v>660</v>
      </c>
      <c r="EP23" s="234">
        <f>ROUNDDOWN((Table1[[#This Row],[UnsubTot]]/3)/1.01062,0)</f>
        <v>659</v>
      </c>
      <c r="EQ23" s="235">
        <f>IF(Table1[D/I]="I",6000,2000)</f>
        <v>2000</v>
      </c>
      <c r="ER23" s="240">
        <f>Table1[[#This Row],[UnsubTot]]*0.01059</f>
        <v>21.18</v>
      </c>
      <c r="ES23" s="234">
        <f>ROUND((Table1[[#This Row],[PLUSTot]]/3)/1.04236,0)</f>
        <v>0</v>
      </c>
      <c r="ET23" s="234">
        <f>ROUND((Table1[[#This Row],[PLUSTot]]/3)/1.04236,0)</f>
        <v>0</v>
      </c>
      <c r="EU23" s="234">
        <f>ROUND((Table1[[#This Row],[PLUSTot]]/3)/1.04236,0)</f>
        <v>0</v>
      </c>
      <c r="EV23" s="235">
        <v>0</v>
      </c>
      <c r="EW23" s="239">
        <f>Table1[[#This Row],[PLUSTot]]*0.04248</f>
        <v>0</v>
      </c>
      <c r="EX23" s="237"/>
      <c r="EY23" s="237"/>
      <c r="EZ23" s="237"/>
      <c r="FA23" s="232">
        <f>SUM(Table1[[#This Row],[PrivQ1]:[PrivQ3]])</f>
        <v>0</v>
      </c>
      <c r="FB23" s="237"/>
      <c r="FC23" s="237"/>
      <c r="FD23" s="237"/>
      <c r="FE23" s="232">
        <f>SUM(Table1[[#This Row],[TOQ1]:[TOQ3]])</f>
        <v>0</v>
      </c>
      <c r="FF23" s="237"/>
      <c r="FG23" s="237"/>
      <c r="FH23" s="237"/>
      <c r="FI23" s="232">
        <f>SUM(Table1[[#This Row],[OFundQ1]:[OFundQ3]])</f>
        <v>0</v>
      </c>
      <c r="FJ23" s="238">
        <f>(Table1[[#This Row],[SubTot]]-Table1[[#This Row],[SubFee]])+(Table1[[#This Row],[UnsubTot]]-Table1[[#This Row],[UnsubFee]])+(Table1[[#This Row],[PLUSTot]]-Table1[[#This Row],[PLUSFee]])+Table1[[#This Row],[PrivTot]]+Table1[[#This Row],[TOTot]]+Table1[[#This Row],[OFundTot]]</f>
        <v>5441.7550000000001</v>
      </c>
      <c r="FK23" s="125">
        <f>Table1[[#This Row],[CostTot]]-Table1[[#This Row],[GiftTot]]</f>
        <v>37265</v>
      </c>
      <c r="FL23" s="139">
        <f>Table1[[#This Row],[NetNeed]]/(1-0.04248)</f>
        <v>33235.070807920463</v>
      </c>
      <c r="FM23" s="131">
        <f>Table1[[#This Row],[NetCost]]-Table1[[#This Row],[CashTot]]-(Table1[[#This Row],[SubTot]]-Table1[[#This Row],[SubFee]])-(Table1[[#This Row],[UnsubTot]]-Table1[[#This Row],[UnsubFee]])-(Table1[[#This Row],[PLUSTot]]-Table1[[#This Row],[PLUSFee]])-Table1[[#This Row],[PrivTot]]-Table1[[#This Row],[TOTot]]-Table1[[#This Row],[OFundTot]]</f>
        <v>31823.245000000003</v>
      </c>
      <c r="FN23" s="161"/>
      <c r="FO23" s="113"/>
      <c r="FP23" s="113"/>
    </row>
    <row r="24" spans="1:172" s="160" customFormat="1" ht="15" x14ac:dyDescent="0.25">
      <c r="A24" s="267">
        <v>198388</v>
      </c>
      <c r="B24" s="113" t="str">
        <f>VLOOKUP(Table1[[#This Row],[SyStudentId]],SSR!$A$2:$CC$4982,4,FALSE)</f>
        <v>Mejia</v>
      </c>
      <c r="C24" s="113" t="str">
        <f>VLOOKUP(Table1[[#This Row],[SyStudentId]],SSR!$A$2:$CC$4982,5,FALSE)</f>
        <v>Jared</v>
      </c>
      <c r="D24" s="113" t="str">
        <f>VLOOKUP(Table1[[#This Row],[SyStudentId]],SSR!$A$2:$CC$4982,6,FALSE)</f>
        <v>Mejia, Jared</v>
      </c>
      <c r="E24" s="113" t="str">
        <f>CONCATENATE(Table1[[#This Row],[FirstName]]," ",Table1[[#This Row],[LastName]])</f>
        <v>Jared Mejia</v>
      </c>
      <c r="F24" s="112">
        <v>1</v>
      </c>
      <c r="G24" s="114"/>
      <c r="H24" s="114"/>
      <c r="I24" s="114">
        <v>43782</v>
      </c>
      <c r="J24" s="115"/>
      <c r="K24" s="116"/>
      <c r="L24" s="112" t="str">
        <f>IFERROR(VLOOKUP(Table1[[#This Row],[SyStudentId]],ISIR!$A$2:$X$999,11,FALSE),"")</f>
        <v>X</v>
      </c>
      <c r="M24" s="113" t="str">
        <f>VLOOKUP(Table1[[#This Row],[SyStudentId]],SSR!$A$2:$CC$4982,7,FALSE)</f>
        <v>jaredmejia187@gmail.com</v>
      </c>
      <c r="N24" s="113" t="str">
        <f>VLOOKUP(Table1[[#This Row],[SyStudentId]],SSR!$A$2:$CC$4982,8,FALSE)</f>
        <v>1924 Norwood Street</v>
      </c>
      <c r="O24" s="113" t="str">
        <f>VLOOKUP(Table1[[#This Row],[SyStudentId]],SSR!$A$2:$CC$4982,9,FALSE)</f>
        <v>Los Angeles</v>
      </c>
      <c r="P24" s="290" t="str">
        <f>VLOOKUP(Table1[[#This Row],[SyStudentId]],SSR!$A$2:$CC$4982,10,FALSE)</f>
        <v>CA</v>
      </c>
      <c r="Q24" s="117" t="str">
        <f>VLOOKUP(Table1[[#This Row],[SyStudentId]],SSR!$A$2:$CC$4982,11,FALSE)</f>
        <v xml:space="preserve">90007     </v>
      </c>
      <c r="R24" s="118">
        <f>VLOOKUP(Table1[[#This Row],[SyStudentId]],SSR!$A$2:$CC$4982,15,FALSE)</f>
        <v>3.65</v>
      </c>
      <c r="S24" s="119">
        <f>VLOOKUP(Table1[[#This Row],[SyStudentId]],SSR!$A$2:$CC$4982,22,FALSE)</f>
        <v>44109</v>
      </c>
      <c r="T24" s="113" t="str">
        <f>VLOOKUP(Table1[[#This Row],[SyStudentId]],SSR!$A$2:$CC$4982,24,FALSE)</f>
        <v>MN</v>
      </c>
      <c r="U24" s="113" t="str">
        <f>IF(VLOOKUP(Table1[[#This Row],[SyStudentId]],SSR!$A$2:$CC$4982,26,FALSE)=0,"Not Selected",VLOOKUP(Table1[[#This Row],[SyStudentId]],SSR!$A$2:$CC$4982,26,FALSE))</f>
        <v>Male</v>
      </c>
      <c r="V24" s="113" t="str">
        <f>VLOOKUP(Table1[[#This Row],[SyStudentId]],SSR!$A$2:$CC$4982,27,FALSE)</f>
        <v xml:space="preserve">HS2020  </v>
      </c>
      <c r="W24" s="113" t="str">
        <f>VLOOKUP(LEFT(Table1[[#This Row],[LastName]],1),Alpha!$A$1:$B$26,2,FALSE)</f>
        <v>Maureen Ranks</v>
      </c>
      <c r="X24" s="149" t="str">
        <f>VLOOKUP(Table1[[#This Row],[FAA]],Alpha!$B$1:$D$26,2,FALSE)</f>
        <v>mranks@neumont.edu</v>
      </c>
      <c r="Y24" s="113">
        <f>VLOOKUP(Table1[[#This Row],[FAA]],Alpha!$B$1:$D$26,3,FALSE)</f>
        <v>8883022894</v>
      </c>
      <c r="Z24" s="113" t="str">
        <f>VLOOKUP(Table1[[#This Row],[SyStudentId]],SSR!$A$2:$CC$4982,30,FALSE)</f>
        <v>16-Accepted</v>
      </c>
      <c r="AA24" s="113" t="str">
        <f>IF(VLOOKUP(Table1[[#This Row],[SyStudentId]],SSR!$A$2:$CC$4982,36,FALSE)="Bachelor of Science","BS Computer Science","Check Program")</f>
        <v>BS Computer Science</v>
      </c>
      <c r="AB24" s="113">
        <f>VLOOKUP(Table1[[#This Row],[SyStudentId]],SSR!$A$2:$CC$4982,37,FALSE)</f>
        <v>0</v>
      </c>
      <c r="AC24" s="113" t="str">
        <f>VLOOKUP(Table1[[#This Row],[SyStudentId]],SSR!$A$2:$CC$4982,42,FALSE)</f>
        <v xml:space="preserve">1090    </v>
      </c>
      <c r="AD24" s="113" t="str">
        <f>VLOOKUP(Table1[[#This Row],[SyStudentId]],SSR!$A$2:$CC$4982,46,FALSE)</f>
        <v>113</v>
      </c>
      <c r="AE24" s="113" t="str">
        <f>VLOOKUP(Table1[[#This Row],[SyStudentId]],SSR!$A$2:$CC$4982,65,FALSE)</f>
        <v>I</v>
      </c>
      <c r="AF24"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24" s="113" t="str">
        <f>VLOOKUP(Table1[[#This Row],[SyStudentId]],SSR!$A$2:$CC$4982,66,FALSE)</f>
        <v>October</v>
      </c>
      <c r="AH24" s="283">
        <f>IFERROR(VLOOKUP(Table1[[#This Row],[SyStudentId]],ISIR!$A$2:$X$999,7,FALSE),"")</f>
        <v>0</v>
      </c>
      <c r="AI24" s="284">
        <f>IF(Table1[[#This Row],[EFCRaw]]="","",IF(Table1[[#This Row],[EFCRaw]]="No EFC","No EFC",_xlfn.NUMBERVALUE(Table1[[#This Row],[EFCRaw]])))</f>
        <v>0</v>
      </c>
      <c r="AJ24" s="119">
        <f>IFERROR(VLOOKUP(Table1[[#This Row],[SyStudentId]],ISIR!$A$2:$X$4999,19,FALSE),"")</f>
        <v>43790</v>
      </c>
      <c r="AK24" s="113" t="str">
        <f>IFERROR(VLOOKUP(Table1[[#This Row],[SyStudentId]],ISIR!$A$2:$X$4999,8,FALSE),"")</f>
        <v>Y</v>
      </c>
      <c r="AL24" s="132" t="str">
        <f>IF(Table1[[#This Row],[VerReq]]="N","n/a","")</f>
        <v/>
      </c>
      <c r="AM24" s="122"/>
      <c r="AN24" s="122"/>
      <c r="AO24" s="122"/>
      <c r="AP24" s="122"/>
      <c r="AQ24" s="122"/>
      <c r="AR24" s="122"/>
      <c r="AS24" s="122"/>
      <c r="AT24" s="122"/>
      <c r="AU24" s="122"/>
      <c r="AV24" s="122"/>
      <c r="AW24" s="122"/>
      <c r="AX24" s="122"/>
      <c r="AY24" s="122"/>
      <c r="AZ24" s="122"/>
      <c r="BA24" s="122"/>
      <c r="BB24" s="122"/>
      <c r="BC24" s="133"/>
      <c r="BD24" s="140" t="str">
        <f>IF(Table1[[#This Row],[VerReq]]="N","x","")</f>
        <v/>
      </c>
      <c r="BE24" s="140" t="str">
        <f>IF(Table1[[#This Row],[VerReq]]="N","x","")</f>
        <v/>
      </c>
      <c r="BF24" s="140" t="str">
        <f>IF(Table1[[#This Row],[VerReq]]="N","x","")</f>
        <v/>
      </c>
      <c r="BG24" s="140" t="str">
        <f>IF(Table1[[#This Row],[VerReq]]="N","x","")</f>
        <v/>
      </c>
      <c r="BH24" s="140" t="str">
        <f>IF(Table1[[#This Row],[VerReq]]="N","x","")</f>
        <v/>
      </c>
      <c r="BI24" s="140" t="str">
        <f>IF(Table1[[#This Row],[VerReq]]="N","x","")</f>
        <v/>
      </c>
      <c r="BJ24" s="134">
        <f>1-((COUNTBLANK(Table1[[#This Row],[ALESent]:[TaxTran]]))/(COUNT(Table1[[#This Row],[ALESent]:[TaxTran]])+COUNTBLANK(Table1[[#This Row],[ALESent]:[TaxTran]])))</f>
        <v>0</v>
      </c>
      <c r="BK24" s="136">
        <f>IF(VLOOKUP(Table1[[#This Row],[SyStudentId]],SSR!$A$2:$CC$4982,22,FALSE)=44109,44109,"Check Program")</f>
        <v>44109</v>
      </c>
      <c r="BL24" s="124">
        <f>IF(Table1[[#This Row],[AYStart]]=44109,44356,"Check Program")</f>
        <v>44356</v>
      </c>
      <c r="BM24" s="219">
        <v>8505</v>
      </c>
      <c r="BN24" s="219">
        <v>8505</v>
      </c>
      <c r="BO24" s="219">
        <v>8505</v>
      </c>
      <c r="BP24" s="220">
        <f t="shared" si="0"/>
        <v>25515</v>
      </c>
      <c r="BQ24" s="221">
        <v>3300</v>
      </c>
      <c r="BR24" s="219">
        <v>400</v>
      </c>
      <c r="BS24" s="219">
        <v>400</v>
      </c>
      <c r="BT24" s="220">
        <f t="shared" si="1"/>
        <v>4100</v>
      </c>
      <c r="BU24" s="219">
        <v>2100</v>
      </c>
      <c r="BV24" s="219">
        <v>2100</v>
      </c>
      <c r="BW24" s="219">
        <v>2100</v>
      </c>
      <c r="BX24" s="220">
        <f t="shared" si="2"/>
        <v>6300</v>
      </c>
      <c r="BY24" s="275">
        <v>1200</v>
      </c>
      <c r="BZ24" s="275">
        <v>1200</v>
      </c>
      <c r="CA24" s="275">
        <v>1200</v>
      </c>
      <c r="CB24" s="220">
        <f>SUM(Table1[[#This Row],[LEQ1]:[LEQ3]])</f>
        <v>3600</v>
      </c>
      <c r="CC24" s="275">
        <v>0</v>
      </c>
      <c r="CD24" s="275">
        <v>0</v>
      </c>
      <c r="CE24" s="275">
        <v>0</v>
      </c>
      <c r="CF24" s="220">
        <f>SUM(Table1[[#This Row],[OthCostQ1]:[OthCostQ3]])</f>
        <v>0</v>
      </c>
      <c r="CG24" s="220">
        <f>(Table1[[#This Row],[T&amp;FTot]]+Table1[[#This Row],[B&amp;STot]]+Table1[[#This Row],[HousTot]]+Table1[[#This Row],[LETot]]+Table1[[#This Row],[OthCostTot]])</f>
        <v>39515</v>
      </c>
      <c r="CH24" s="250"/>
      <c r="CI24" s="250"/>
      <c r="CJ24" s="250"/>
      <c r="CK24" s="251">
        <f>SUM(Table1[[#This Row],[SEOGQ1]:[SEOGQ3]])</f>
        <v>0</v>
      </c>
      <c r="CL24" s="250">
        <f>IFERROR(ROUNDUP(Table1[[#This Row],[PellTot]]/3,0),0)</f>
        <v>2065</v>
      </c>
      <c r="CM24" s="250">
        <f>IFERROR(ROUND(Table1[[#This Row],[PellTot]]/3,0),0)</f>
        <v>2065</v>
      </c>
      <c r="CN24" s="250">
        <f>IFERROR(ROUNDDOWN(Table1[[#This Row],[PellTot]]/3,0),0)</f>
        <v>2065</v>
      </c>
      <c r="CO24" s="251">
        <f>IFERROR(LOOKUP(Table1[EFC],Pell_Table[#Data],Pell_Table[Pell Amt]),0)</f>
        <v>6195</v>
      </c>
      <c r="CP24" s="250">
        <f>Table1[[#This Row],[AccessTot]]/3</f>
        <v>500</v>
      </c>
      <c r="CQ24" s="250">
        <f>Table1[[#This Row],[AccessTot]]/3</f>
        <v>500</v>
      </c>
      <c r="CR24" s="250">
        <f>Table1[[#This Row],[AccessTot]]/3</f>
        <v>500</v>
      </c>
      <c r="CS24" s="251">
        <f>IF(Table1[[#This Row],[PellTot]]&gt;0,1500,0)</f>
        <v>1500</v>
      </c>
      <c r="CT24" s="250">
        <f>Table1[[#This Row],[AchiTot]]/3</f>
        <v>1700</v>
      </c>
      <c r="CU24" s="250">
        <f>Table1[[#This Row],[AchiTot]]/3</f>
        <v>1700</v>
      </c>
      <c r="CV24" s="250">
        <f>Table1[[#This Row],[AchiTot]]/3</f>
        <v>1700</v>
      </c>
      <c r="CW24" s="252">
        <f>IF(Table1[[#This Row],[Rank]]="","",IF(Table1[[#This Row],[Rank]]=1,5100,IF(Table1[[#This Row],[Rank]]=2,4500,IF(Table1[[#This Row],[Rank]]=3,3900,IF(Table1[[#This Row],[Rank]]=4,3750,IF(Table1[[#This Row],[Rank]]=5,3000,IF(Table1[[#This Row],[Rank]]=6,2250,0)))))))</f>
        <v>5100</v>
      </c>
      <c r="CX24" s="250">
        <f>Table1[[#This Row],[UTTot]]/3</f>
        <v>0</v>
      </c>
      <c r="CY24" s="250">
        <f>Table1[[#This Row],[UTTot]]/3</f>
        <v>0</v>
      </c>
      <c r="CZ24" s="250">
        <f>Table1[[#This Row],[UTTot]]/3</f>
        <v>0</v>
      </c>
      <c r="DA24" s="251">
        <f>IF(Table1[[#This Row],[State]]="UT",9000,0)</f>
        <v>0</v>
      </c>
      <c r="DB24" s="250">
        <f>Table1[[#This Row],[WITTot]]/3</f>
        <v>0</v>
      </c>
      <c r="DC24" s="250">
        <f>Table1[[#This Row],[WITTot]]/3</f>
        <v>0</v>
      </c>
      <c r="DD24" s="250">
        <f>Table1[[#This Row],[WITTot]]/3</f>
        <v>0</v>
      </c>
      <c r="DE24" s="251">
        <f>IF(Table1[[#This Row],[Gender]]="Female",3000,0)</f>
        <v>0</v>
      </c>
      <c r="DF24" s="250">
        <f>Table1[[#This Row],[SerTot]]/3</f>
        <v>0</v>
      </c>
      <c r="DG24" s="250">
        <f>Table1[[#This Row],[SerTot]]/3</f>
        <v>0</v>
      </c>
      <c r="DH24" s="250">
        <f>Table1[[#This Row],[SerTot]]/3</f>
        <v>0</v>
      </c>
      <c r="DI24" s="252"/>
      <c r="DJ24" s="250"/>
      <c r="DK24" s="250"/>
      <c r="DL24" s="250"/>
      <c r="DM24" s="252"/>
      <c r="DN24" s="250">
        <f>Table1[[#This Row],[MatTot]]/3</f>
        <v>0</v>
      </c>
      <c r="DO24" s="250">
        <f>Table1[[#This Row],[MatTot]]/3</f>
        <v>0</v>
      </c>
      <c r="DP24" s="250">
        <f>Table1[[#This Row],[MatTot]]/3</f>
        <v>0</v>
      </c>
      <c r="DQ24" s="252">
        <v>0</v>
      </c>
      <c r="DR24" s="250">
        <f>Table1[[#This Row],[OutTot]]/3</f>
        <v>0</v>
      </c>
      <c r="DS24" s="250">
        <f>Table1[[#This Row],[OutTot]]/3</f>
        <v>0</v>
      </c>
      <c r="DT24" s="250">
        <f>Table1[[#This Row],[OutTot]]/3</f>
        <v>0</v>
      </c>
      <c r="DU24" s="252">
        <v>0</v>
      </c>
      <c r="DV24" s="250">
        <v>0</v>
      </c>
      <c r="DW24" s="250">
        <v>0</v>
      </c>
      <c r="DX24" s="250">
        <v>0</v>
      </c>
      <c r="DY24" s="252">
        <f>SUM(Table1[[#This Row],[VAQ1]:[VAQ3]])</f>
        <v>0</v>
      </c>
      <c r="DZ24" s="250">
        <v>0</v>
      </c>
      <c r="EA24" s="250">
        <v>0</v>
      </c>
      <c r="EB24" s="250">
        <v>0</v>
      </c>
      <c r="EC24" s="252">
        <f>SUM(Table1[[#This Row],[OthGrantQ1]:[OthGrantQ3]])</f>
        <v>0</v>
      </c>
      <c r="ED24" s="263">
        <f>Table1[[#This Row],[SEOGTot]]+Table1[[#This Row],[PellTot]]+Table1[[#This Row],[AccessTot]]+Table1[[#This Row],[AchiTot]]+Table1[[#This Row],[UTTot]]+Table1[[#This Row],[WITTot]]+Table1[[#This Row],[SerTot]]+Table1[[#This Row],[TranTot]]+Table1[[#This Row],[MatTot]]+Table1[[#This Row],[OutTot]]+Table1[[#This Row],[VATot]]+Table1[[#This Row],[OthGrantTot]]</f>
        <v>12795</v>
      </c>
      <c r="EE24" s="249"/>
      <c r="EF24" s="237"/>
      <c r="EG24" s="237"/>
      <c r="EH24" s="232">
        <f>SUM(Table1[[#This Row],[CashQ1]]:Table1[[#This Row],[CashQ3]])</f>
        <v>0</v>
      </c>
      <c r="EI24" s="271">
        <f>ROUND((Table1[[#This Row],[SubTot]]/3)/1.01059,0)</f>
        <v>1154</v>
      </c>
      <c r="EJ24" s="234">
        <f>ROUND((Table1[[#This Row],[SubTot]]/3)/1.01059,0)</f>
        <v>1154</v>
      </c>
      <c r="EK24" s="234">
        <f>ROUNDUP((Table1[[#This Row],[SubTot]]/3)/1.01059,0)</f>
        <v>1155</v>
      </c>
      <c r="EL24" s="235">
        <v>3500</v>
      </c>
      <c r="EM24" s="240">
        <f>Table1[[#This Row],[SubTot]]*0.01059</f>
        <v>37.065000000000005</v>
      </c>
      <c r="EN24" s="234">
        <f>ROUND((Table1[[#This Row],[UnsubTot]]/3)/1.01062,0)</f>
        <v>660</v>
      </c>
      <c r="EO24" s="234">
        <f>ROUND((Table1[[#This Row],[UnsubTot]]/3)/1.01062,0)</f>
        <v>660</v>
      </c>
      <c r="EP24" s="234">
        <f>ROUNDDOWN((Table1[[#This Row],[UnsubTot]]/3)/1.01062,0)</f>
        <v>659</v>
      </c>
      <c r="EQ24" s="235">
        <f>IF(Table1[D/I]="I",6000,2000)</f>
        <v>2000</v>
      </c>
      <c r="ER24" s="240">
        <f>Table1[[#This Row],[UnsubTot]]*0.01059</f>
        <v>21.18</v>
      </c>
      <c r="ES24" s="234">
        <f>ROUND((Table1[[#This Row],[PLUSTot]]/3)/1.04236,0)</f>
        <v>0</v>
      </c>
      <c r="ET24" s="234">
        <f>ROUND((Table1[[#This Row],[PLUSTot]]/3)/1.04236,0)</f>
        <v>0</v>
      </c>
      <c r="EU24" s="234">
        <f>ROUND((Table1[[#This Row],[PLUSTot]]/3)/1.04236,0)</f>
        <v>0</v>
      </c>
      <c r="EV24" s="235">
        <v>0</v>
      </c>
      <c r="EW24" s="239">
        <f>Table1[[#This Row],[PLUSTot]]*0.04248</f>
        <v>0</v>
      </c>
      <c r="EX24" s="237"/>
      <c r="EY24" s="237"/>
      <c r="EZ24" s="237"/>
      <c r="FA24" s="232">
        <f>SUM(Table1[[#This Row],[PrivQ1]:[PrivQ3]])</f>
        <v>0</v>
      </c>
      <c r="FB24" s="237"/>
      <c r="FC24" s="237"/>
      <c r="FD24" s="237"/>
      <c r="FE24" s="232">
        <f>SUM(Table1[[#This Row],[TOQ1]:[TOQ3]])</f>
        <v>0</v>
      </c>
      <c r="FF24" s="237"/>
      <c r="FG24" s="237"/>
      <c r="FH24" s="237"/>
      <c r="FI24" s="232">
        <f>SUM(Table1[[#This Row],[OFundQ1]:[OFundQ3]])</f>
        <v>0</v>
      </c>
      <c r="FJ24" s="238">
        <f>(Table1[[#This Row],[SubTot]]-Table1[[#This Row],[SubFee]])+(Table1[[#This Row],[UnsubTot]]-Table1[[#This Row],[UnsubFee]])+(Table1[[#This Row],[PLUSTot]]-Table1[[#This Row],[PLUSFee]])+Table1[[#This Row],[PrivTot]]+Table1[[#This Row],[TOTot]]+Table1[[#This Row],[OFundTot]]</f>
        <v>5441.7550000000001</v>
      </c>
      <c r="FK24" s="125">
        <f>Table1[[#This Row],[CostTot]]-Table1[[#This Row],[GiftTot]]</f>
        <v>26720</v>
      </c>
      <c r="FL24" s="139">
        <f>Table1[[#This Row],[NetNeed]]/(1-0.04248)</f>
        <v>22222.246010527193</v>
      </c>
      <c r="FM24" s="131">
        <f>Table1[[#This Row],[NetCost]]-Table1[[#This Row],[CashTot]]-(Table1[[#This Row],[SubTot]]-Table1[[#This Row],[SubFee]])-(Table1[[#This Row],[UnsubTot]]-Table1[[#This Row],[UnsubFee]])-(Table1[[#This Row],[PLUSTot]]-Table1[[#This Row],[PLUSFee]])-Table1[[#This Row],[PrivTot]]-Table1[[#This Row],[TOTot]]-Table1[[#This Row],[OFundTot]]</f>
        <v>21278.244999999999</v>
      </c>
      <c r="FN24" s="161"/>
      <c r="FO24" s="113"/>
      <c r="FP24" s="113"/>
    </row>
    <row r="25" spans="1:172" s="160" customFormat="1" ht="15" x14ac:dyDescent="0.25">
      <c r="A25" s="267">
        <v>195571</v>
      </c>
      <c r="B25" s="113" t="str">
        <f>VLOOKUP(Table1[[#This Row],[SyStudentId]],SSR!$A$2:$CC$4982,4,FALSE)</f>
        <v>Memije</v>
      </c>
      <c r="C25" s="113" t="str">
        <f>VLOOKUP(Table1[[#This Row],[SyStudentId]],SSR!$A$2:$CC$4982,5,FALSE)</f>
        <v>Carlos</v>
      </c>
      <c r="D25" s="113" t="str">
        <f>VLOOKUP(Table1[[#This Row],[SyStudentId]],SSR!$A$2:$CC$4982,6,FALSE)</f>
        <v>Memije, Carlos</v>
      </c>
      <c r="E25" s="113" t="str">
        <f>CONCATENATE(Table1[[#This Row],[FirstName]]," ",Table1[[#This Row],[LastName]])</f>
        <v>Carlos Memije</v>
      </c>
      <c r="F25" s="112">
        <v>2</v>
      </c>
      <c r="G25" s="114">
        <v>43782</v>
      </c>
      <c r="H25" s="114">
        <v>43782</v>
      </c>
      <c r="I25" s="114">
        <v>43782</v>
      </c>
      <c r="J25" s="115"/>
      <c r="K25" s="116"/>
      <c r="L25" s="112" t="str">
        <f>IFERROR(VLOOKUP(Table1[[#This Row],[SyStudentId]],ISIR!$A$2:$X$999,11,FALSE),"")</f>
        <v>D</v>
      </c>
      <c r="M25" s="113" t="str">
        <f>VLOOKUP(Table1[[#This Row],[SyStudentId]],SSR!$A$2:$CC$4982,7,FALSE)</f>
        <v>carlosmemije25@gmail.com</v>
      </c>
      <c r="N25" s="113" t="str">
        <f>VLOOKUP(Table1[[#This Row],[SyStudentId]],SSR!$A$2:$CC$4982,8,FALSE)</f>
        <v>1269 Osprey St</v>
      </c>
      <c r="O25" s="113" t="str">
        <f>VLOOKUP(Table1[[#This Row],[SyStudentId]],SSR!$A$2:$CC$4982,9,FALSE)</f>
        <v>San Jacinto</v>
      </c>
      <c r="P25" s="290" t="str">
        <f>VLOOKUP(Table1[[#This Row],[SyStudentId]],SSR!$A$2:$CC$4982,10,FALSE)</f>
        <v>CA</v>
      </c>
      <c r="Q25" s="117" t="str">
        <f>VLOOKUP(Table1[[#This Row],[SyStudentId]],SSR!$A$2:$CC$4982,11,FALSE)</f>
        <v xml:space="preserve">92583     </v>
      </c>
      <c r="R25" s="118">
        <f>VLOOKUP(Table1[[#This Row],[SyStudentId]],SSR!$A$2:$CC$4982,15,FALSE)</f>
        <v>3.4</v>
      </c>
      <c r="S25" s="119">
        <f>VLOOKUP(Table1[[#This Row],[SyStudentId]],SSR!$A$2:$CC$4982,22,FALSE)</f>
        <v>44109</v>
      </c>
      <c r="T25" s="113" t="str">
        <f>VLOOKUP(Table1[[#This Row],[SyStudentId]],SSR!$A$2:$CC$4982,24,FALSE)</f>
        <v>GM</v>
      </c>
      <c r="U25" s="113" t="str">
        <f>IF(VLOOKUP(Table1[[#This Row],[SyStudentId]],SSR!$A$2:$CC$4982,26,FALSE)=0,"Not Selected",VLOOKUP(Table1[[#This Row],[SyStudentId]],SSR!$A$2:$CC$4982,26,FALSE))</f>
        <v>Male</v>
      </c>
      <c r="V25" s="113" t="str">
        <f>VLOOKUP(Table1[[#This Row],[SyStudentId]],SSR!$A$2:$CC$4982,27,FALSE)</f>
        <v xml:space="preserve">HS2020  </v>
      </c>
      <c r="W25" s="113" t="str">
        <f>VLOOKUP(LEFT(Table1[[#This Row],[LastName]],1),Alpha!$A$1:$B$26,2,FALSE)</f>
        <v>Maureen Ranks</v>
      </c>
      <c r="X25" s="149" t="str">
        <f>VLOOKUP(Table1[[#This Row],[FAA]],Alpha!$B$1:$D$26,2,FALSE)</f>
        <v>mranks@neumont.edu</v>
      </c>
      <c r="Y25" s="113">
        <f>VLOOKUP(Table1[[#This Row],[FAA]],Alpha!$B$1:$D$26,3,FALSE)</f>
        <v>8883022894</v>
      </c>
      <c r="Z25" s="113" t="str">
        <f>VLOOKUP(Table1[[#This Row],[SyStudentId]],SSR!$A$2:$CC$4982,30,FALSE)</f>
        <v>16-Accepted</v>
      </c>
      <c r="AA25" s="113" t="str">
        <f>IF(VLOOKUP(Table1[[#This Row],[SyStudentId]],SSR!$A$2:$CC$4982,36,FALSE)="Bachelor of Science","BS Computer Science","Check Program")</f>
        <v>BS Computer Science</v>
      </c>
      <c r="AB25" s="113">
        <f>VLOOKUP(Table1[[#This Row],[SyStudentId]],SSR!$A$2:$CC$4982,37,FALSE)</f>
        <v>0</v>
      </c>
      <c r="AC25" s="113">
        <f>VLOOKUP(Table1[[#This Row],[SyStudentId]],SSR!$A$2:$CC$4982,42,FALSE)</f>
        <v>0</v>
      </c>
      <c r="AD25" s="113" t="str">
        <f>VLOOKUP(Table1[[#This Row],[SyStudentId]],SSR!$A$2:$CC$4982,46,FALSE)</f>
        <v>0</v>
      </c>
      <c r="AE25" s="113" t="str">
        <f>VLOOKUP(Table1[[#This Row],[SyStudentId]],SSR!$A$2:$CC$4982,65,FALSE)</f>
        <v>VIII</v>
      </c>
      <c r="AF25"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25" s="113" t="str">
        <f>VLOOKUP(Table1[[#This Row],[SyStudentId]],SSR!$A$2:$CC$4982,66,FALSE)</f>
        <v>July-October</v>
      </c>
      <c r="AH25" s="113" t="str">
        <f>IFERROR(VLOOKUP(Table1[[#This Row],[SyStudentId]],ISIR!$A$2:$X$999,7,FALSE),"")</f>
        <v>005262</v>
      </c>
      <c r="AI25" s="121">
        <f>IF(Table1[[#This Row],[EFCRaw]]="","",IF(Table1[[#This Row],[EFCRaw]]="No EFC","No EFC",_xlfn.NUMBERVALUE(Table1[[#This Row],[EFCRaw]])))</f>
        <v>5262</v>
      </c>
      <c r="AJ25" s="119">
        <f>IFERROR(VLOOKUP(Table1[[#This Row],[SyStudentId]],ISIR!$A$2:$X$4999,19,FALSE),"")</f>
        <v>43790</v>
      </c>
      <c r="AK25" s="113" t="str">
        <f>IFERROR(VLOOKUP(Table1[[#This Row],[SyStudentId]],ISIR!$A$2:$X$4999,8,FALSE),"")</f>
        <v>Y</v>
      </c>
      <c r="AL25" s="132" t="str">
        <f>IF(Table1[[#This Row],[VerReq]]="N","n/a","")</f>
        <v/>
      </c>
      <c r="AM25" s="122"/>
      <c r="AN25" s="122"/>
      <c r="AO25" s="122">
        <v>43772</v>
      </c>
      <c r="AP25" s="122">
        <v>43772</v>
      </c>
      <c r="AQ25" s="122">
        <v>43772</v>
      </c>
      <c r="AR25" s="122"/>
      <c r="AS25" s="122"/>
      <c r="AT25" s="122"/>
      <c r="AU25" s="122"/>
      <c r="AV25" s="122"/>
      <c r="AW25" s="122"/>
      <c r="AX25" s="122"/>
      <c r="AY25" s="122"/>
      <c r="AZ25" s="122"/>
      <c r="BA25" s="122"/>
      <c r="BB25" s="122"/>
      <c r="BC25" s="133"/>
      <c r="BD25" s="140" t="str">
        <f>IF(Table1[[#This Row],[VerReq]]="N","x","")</f>
        <v/>
      </c>
      <c r="BE25" s="140" t="str">
        <f>IF(Table1[[#This Row],[VerReq]]="N","x","")</f>
        <v/>
      </c>
      <c r="BF25" s="140" t="str">
        <f>IF(Table1[[#This Row],[VerReq]]="N","x","")</f>
        <v/>
      </c>
      <c r="BG25" s="140" t="str">
        <f>IF(Table1[[#This Row],[VerReq]]="N","x","")</f>
        <v/>
      </c>
      <c r="BH25" s="140" t="str">
        <f>IF(Table1[[#This Row],[VerReq]]="N","x","")</f>
        <v/>
      </c>
      <c r="BI25" s="140" t="str">
        <f>IF(Table1[[#This Row],[VerReq]]="N","x","")</f>
        <v/>
      </c>
      <c r="BJ25" s="134">
        <f>1-((COUNTBLANK(Table1[[#This Row],[ALESent]:[TaxTran]]))/(COUNT(Table1[[#This Row],[ALESent]:[TaxTran]])+COUNTBLANK(Table1[[#This Row],[ALESent]:[TaxTran]])))</f>
        <v>0.13043478260869568</v>
      </c>
      <c r="BK25" s="136">
        <f>IF(VLOOKUP(Table1[[#This Row],[SyStudentId]],SSR!$A$2:$CC$4982,22,FALSE)=44109,44109,"Check Program")</f>
        <v>44109</v>
      </c>
      <c r="BL25" s="124">
        <f>IF(Table1[[#This Row],[AYStart]]=44109,44356,"Check Program")</f>
        <v>44356</v>
      </c>
      <c r="BM25" s="219">
        <v>8505</v>
      </c>
      <c r="BN25" s="219">
        <v>8505</v>
      </c>
      <c r="BO25" s="219">
        <v>8505</v>
      </c>
      <c r="BP25" s="220">
        <f t="shared" si="0"/>
        <v>25515</v>
      </c>
      <c r="BQ25" s="221">
        <v>3300</v>
      </c>
      <c r="BR25" s="219">
        <v>400</v>
      </c>
      <c r="BS25" s="219">
        <v>400</v>
      </c>
      <c r="BT25" s="220">
        <f t="shared" si="1"/>
        <v>4100</v>
      </c>
      <c r="BU25" s="219">
        <v>2100</v>
      </c>
      <c r="BV25" s="219">
        <v>2100</v>
      </c>
      <c r="BW25" s="219">
        <v>2100</v>
      </c>
      <c r="BX25" s="220">
        <f t="shared" si="2"/>
        <v>6300</v>
      </c>
      <c r="BY25" s="275">
        <v>1200</v>
      </c>
      <c r="BZ25" s="275">
        <v>1200</v>
      </c>
      <c r="CA25" s="275">
        <v>1200</v>
      </c>
      <c r="CB25" s="220">
        <f>SUM(Table1[[#This Row],[LEQ1]:[LEQ3]])</f>
        <v>3600</v>
      </c>
      <c r="CC25" s="275">
        <v>0</v>
      </c>
      <c r="CD25" s="275">
        <v>0</v>
      </c>
      <c r="CE25" s="275">
        <v>0</v>
      </c>
      <c r="CF25" s="220">
        <f>SUM(Table1[[#This Row],[OthCostQ1]:[OthCostQ3]])</f>
        <v>0</v>
      </c>
      <c r="CG25" s="220">
        <f>(Table1[[#This Row],[T&amp;FTot]]+Table1[[#This Row],[B&amp;STot]]+Table1[[#This Row],[HousTot]]+Table1[[#This Row],[LETot]]+Table1[[#This Row],[OthCostTot]])</f>
        <v>39515</v>
      </c>
      <c r="CH25" s="250"/>
      <c r="CI25" s="250"/>
      <c r="CJ25" s="250"/>
      <c r="CK25" s="251">
        <f>SUM(Table1[[#This Row],[SEOGQ1]:[SEOGQ3]])</f>
        <v>0</v>
      </c>
      <c r="CL25" s="250">
        <f>IFERROR(ROUNDUP(Table1[[#This Row],[PellTot]]/3,0),0)</f>
        <v>315</v>
      </c>
      <c r="CM25" s="250">
        <f>IFERROR(ROUND(Table1[[#This Row],[PellTot]]/3,0),0)</f>
        <v>315</v>
      </c>
      <c r="CN25" s="250">
        <f>IFERROR(ROUNDDOWN(Table1[[#This Row],[PellTot]]/3,0),0)</f>
        <v>315</v>
      </c>
      <c r="CO25" s="251">
        <f>IFERROR(LOOKUP(Table1[EFC],Pell_Table[#Data],Pell_Table[Pell Amt]),0)</f>
        <v>945</v>
      </c>
      <c r="CP25" s="250">
        <f>Table1[[#This Row],[AccessTot]]/3</f>
        <v>500</v>
      </c>
      <c r="CQ25" s="250">
        <f>Table1[[#This Row],[AccessTot]]/3</f>
        <v>500</v>
      </c>
      <c r="CR25" s="250">
        <f>Table1[[#This Row],[AccessTot]]/3</f>
        <v>500</v>
      </c>
      <c r="CS25" s="251">
        <f>IF(Table1[[#This Row],[PellTot]]&gt;0,1500,0)</f>
        <v>1500</v>
      </c>
      <c r="CT25" s="250">
        <f>Table1[[#This Row],[AchiTot]]/3</f>
        <v>0</v>
      </c>
      <c r="CU25" s="250">
        <f>Table1[[#This Row],[AchiTot]]/3</f>
        <v>0</v>
      </c>
      <c r="CV25" s="250">
        <f>Table1[[#This Row],[AchiTot]]/3</f>
        <v>0</v>
      </c>
      <c r="CW25" s="252">
        <f>IF(Table1[[#This Row],[Rank]]="","",IF(Table1[[#This Row],[Rank]]=1,5100,IF(Table1[[#This Row],[Rank]]=2,4500,IF(Table1[[#This Row],[Rank]]=3,3900,IF(Table1[[#This Row],[Rank]]=4,3750,IF(Table1[[#This Row],[Rank]]=5,3000,IF(Table1[[#This Row],[Rank]]=6,2250,0)))))))</f>
        <v>0</v>
      </c>
      <c r="CX25" s="250">
        <f>Table1[[#This Row],[UTTot]]/3</f>
        <v>0</v>
      </c>
      <c r="CY25" s="250">
        <f>Table1[[#This Row],[UTTot]]/3</f>
        <v>0</v>
      </c>
      <c r="CZ25" s="250">
        <f>Table1[[#This Row],[UTTot]]/3</f>
        <v>0</v>
      </c>
      <c r="DA25" s="251">
        <f>IF(Table1[[#This Row],[State]]="UT",9000,0)</f>
        <v>0</v>
      </c>
      <c r="DB25" s="250">
        <f>Table1[[#This Row],[WITTot]]/3</f>
        <v>0</v>
      </c>
      <c r="DC25" s="250">
        <f>Table1[[#This Row],[WITTot]]/3</f>
        <v>0</v>
      </c>
      <c r="DD25" s="250">
        <f>Table1[[#This Row],[WITTot]]/3</f>
        <v>0</v>
      </c>
      <c r="DE25" s="251">
        <f>IF(Table1[[#This Row],[Gender]]="Female",3000,0)</f>
        <v>0</v>
      </c>
      <c r="DF25" s="250">
        <f>Table1[[#This Row],[SerTot]]/3</f>
        <v>0</v>
      </c>
      <c r="DG25" s="250">
        <f>Table1[[#This Row],[SerTot]]/3</f>
        <v>0</v>
      </c>
      <c r="DH25" s="250">
        <f>Table1[[#This Row],[SerTot]]/3</f>
        <v>0</v>
      </c>
      <c r="DI25" s="252"/>
      <c r="DJ25" s="250"/>
      <c r="DK25" s="250"/>
      <c r="DL25" s="250"/>
      <c r="DM25" s="252"/>
      <c r="DN25" s="250">
        <f>Table1[[#This Row],[MatTot]]/3</f>
        <v>0</v>
      </c>
      <c r="DO25" s="250">
        <f>Table1[[#This Row],[MatTot]]/3</f>
        <v>0</v>
      </c>
      <c r="DP25" s="250">
        <f>Table1[[#This Row],[MatTot]]/3</f>
        <v>0</v>
      </c>
      <c r="DQ25" s="252">
        <v>0</v>
      </c>
      <c r="DR25" s="250">
        <f>Table1[[#This Row],[OutTot]]/3</f>
        <v>0</v>
      </c>
      <c r="DS25" s="250">
        <f>Table1[[#This Row],[OutTot]]/3</f>
        <v>0</v>
      </c>
      <c r="DT25" s="250">
        <f>Table1[[#This Row],[OutTot]]/3</f>
        <v>0</v>
      </c>
      <c r="DU25" s="252">
        <v>0</v>
      </c>
      <c r="DV25" s="250">
        <v>0</v>
      </c>
      <c r="DW25" s="250">
        <v>0</v>
      </c>
      <c r="DX25" s="250">
        <v>0</v>
      </c>
      <c r="DY25" s="252">
        <f>SUM(Table1[[#This Row],[VAQ1]:[VAQ3]])</f>
        <v>0</v>
      </c>
      <c r="DZ25" s="250">
        <v>0</v>
      </c>
      <c r="EA25" s="250">
        <v>0</v>
      </c>
      <c r="EB25" s="250">
        <v>0</v>
      </c>
      <c r="EC25" s="252">
        <f>SUM(Table1[[#This Row],[OthGrantQ1]:[OthGrantQ3]])</f>
        <v>0</v>
      </c>
      <c r="ED25" s="263">
        <f>Table1[[#This Row],[SEOGTot]]+Table1[[#This Row],[PellTot]]+Table1[[#This Row],[AccessTot]]+Table1[[#This Row],[AchiTot]]+Table1[[#This Row],[UTTot]]+Table1[[#This Row],[WITTot]]+Table1[[#This Row],[SerTot]]+Table1[[#This Row],[TranTot]]+Table1[[#This Row],[MatTot]]+Table1[[#This Row],[OutTot]]+Table1[[#This Row],[VATot]]+Table1[[#This Row],[OthGrantTot]]</f>
        <v>2445</v>
      </c>
      <c r="EE25" s="249"/>
      <c r="EF25" s="237"/>
      <c r="EG25" s="237"/>
      <c r="EH25" s="232">
        <f>SUM(Table1[[#This Row],[CashQ1]]:Table1[[#This Row],[CashQ3]])</f>
        <v>0</v>
      </c>
      <c r="EI25" s="271">
        <f>ROUND((Table1[[#This Row],[SubTot]]/3)/1.01059,0)</f>
        <v>1154</v>
      </c>
      <c r="EJ25" s="234">
        <f>ROUND((Table1[[#This Row],[SubTot]]/3)/1.01059,0)</f>
        <v>1154</v>
      </c>
      <c r="EK25" s="234">
        <f>ROUNDUP((Table1[[#This Row],[SubTot]]/3)/1.01059,0)</f>
        <v>1155</v>
      </c>
      <c r="EL25" s="235">
        <v>3500</v>
      </c>
      <c r="EM25" s="240">
        <f>Table1[[#This Row],[SubTot]]*0.01059</f>
        <v>37.065000000000005</v>
      </c>
      <c r="EN25" s="234">
        <f>ROUND((Table1[[#This Row],[UnsubTot]]/3)/1.01062,0)</f>
        <v>660</v>
      </c>
      <c r="EO25" s="234">
        <f>ROUND((Table1[[#This Row],[UnsubTot]]/3)/1.01062,0)</f>
        <v>660</v>
      </c>
      <c r="EP25" s="234">
        <f>ROUNDDOWN((Table1[[#This Row],[UnsubTot]]/3)/1.01062,0)</f>
        <v>659</v>
      </c>
      <c r="EQ25" s="235">
        <f>IF(Table1[D/I]="I",6000,2000)</f>
        <v>2000</v>
      </c>
      <c r="ER25" s="240">
        <f>Table1[[#This Row],[UnsubTot]]*0.01059</f>
        <v>21.18</v>
      </c>
      <c r="ES25" s="234">
        <f>ROUND((Table1[[#This Row],[PLUSTot]]/3)/1.04236,0)</f>
        <v>0</v>
      </c>
      <c r="ET25" s="234">
        <f>ROUND((Table1[[#This Row],[PLUSTot]]/3)/1.04236,0)</f>
        <v>0</v>
      </c>
      <c r="EU25" s="234">
        <f>ROUND((Table1[[#This Row],[PLUSTot]]/3)/1.04236,0)</f>
        <v>0</v>
      </c>
      <c r="EV25" s="235">
        <v>0</v>
      </c>
      <c r="EW25" s="239">
        <f>Table1[[#This Row],[PLUSTot]]*0.04248</f>
        <v>0</v>
      </c>
      <c r="EX25" s="237"/>
      <c r="EY25" s="237"/>
      <c r="EZ25" s="237"/>
      <c r="FA25" s="232">
        <f>SUM(Table1[[#This Row],[PrivQ1]:[PrivQ3]])</f>
        <v>0</v>
      </c>
      <c r="FB25" s="237"/>
      <c r="FC25" s="237"/>
      <c r="FD25" s="237"/>
      <c r="FE25" s="232">
        <f>SUM(Table1[[#This Row],[TOQ1]:[TOQ3]])</f>
        <v>0</v>
      </c>
      <c r="FF25" s="237"/>
      <c r="FG25" s="237"/>
      <c r="FH25" s="237"/>
      <c r="FI25" s="232">
        <f>SUM(Table1[[#This Row],[OFundQ1]:[OFundQ3]])</f>
        <v>0</v>
      </c>
      <c r="FJ25" s="238">
        <f>(Table1[[#This Row],[SubTot]]-Table1[[#This Row],[SubFee]])+(Table1[[#This Row],[UnsubTot]]-Table1[[#This Row],[UnsubFee]])+(Table1[[#This Row],[PLUSTot]]-Table1[[#This Row],[PLUSFee]])+Table1[[#This Row],[PrivTot]]+Table1[[#This Row],[TOTot]]+Table1[[#This Row],[OFundTot]]</f>
        <v>5441.7550000000001</v>
      </c>
      <c r="FK25" s="125">
        <f>Table1[[#This Row],[CostTot]]-Table1[[#This Row],[GiftTot]]</f>
        <v>37070</v>
      </c>
      <c r="FL25" s="139">
        <f>Table1[[#This Row],[NetNeed]]/(1-0.04248)</f>
        <v>33031.419709248898</v>
      </c>
      <c r="FM25" s="131">
        <f>Table1[[#This Row],[NetCost]]-Table1[[#This Row],[CashTot]]-(Table1[[#This Row],[SubTot]]-Table1[[#This Row],[SubFee]])-(Table1[[#This Row],[UnsubTot]]-Table1[[#This Row],[UnsubFee]])-(Table1[[#This Row],[PLUSTot]]-Table1[[#This Row],[PLUSFee]])-Table1[[#This Row],[PrivTot]]-Table1[[#This Row],[TOTot]]-Table1[[#This Row],[OFundTot]]</f>
        <v>31628.245000000003</v>
      </c>
      <c r="FN25" s="161"/>
      <c r="FO25" s="113"/>
      <c r="FP25" s="113"/>
    </row>
    <row r="26" spans="1:172" s="160" customFormat="1" ht="15" x14ac:dyDescent="0.25">
      <c r="A26" s="267">
        <v>195768</v>
      </c>
      <c r="B26" s="113" t="str">
        <f>VLOOKUP(Table1[[#This Row],[SyStudentId]],SSR!$A$2:$CC$4982,4,FALSE)</f>
        <v>Mendoza</v>
      </c>
      <c r="C26" s="113" t="str">
        <f>VLOOKUP(Table1[[#This Row],[SyStudentId]],SSR!$A$2:$CC$4982,5,FALSE)</f>
        <v>Yeimi</v>
      </c>
      <c r="D26" s="113" t="str">
        <f>VLOOKUP(Table1[[#This Row],[SyStudentId]],SSR!$A$2:$CC$4982,6,FALSE)</f>
        <v>Mendoza, Yeimi</v>
      </c>
      <c r="E26" s="113" t="str">
        <f>CONCATENATE(Table1[[#This Row],[FirstName]]," ",Table1[[#This Row],[LastName]])</f>
        <v>Yeimi Mendoza</v>
      </c>
      <c r="F26" s="112"/>
      <c r="G26" s="114"/>
      <c r="H26" s="114"/>
      <c r="I26" s="114"/>
      <c r="J26" s="115" t="s">
        <v>5311</v>
      </c>
      <c r="K26" s="116"/>
      <c r="L26" s="112" t="str">
        <f>IFERROR(VLOOKUP(Table1[[#This Row],[SyStudentId]],ISIR!$A$2:$X$999,11,FALSE),"")</f>
        <v/>
      </c>
      <c r="M26" s="113" t="str">
        <f>VLOOKUP(Table1[[#This Row],[SyStudentId]],SSR!$A$2:$CC$4982,7,FALSE)</f>
        <v>yeimi0721mendoza@gmail.com</v>
      </c>
      <c r="N26" s="113" t="str">
        <f>VLOOKUP(Table1[[#This Row],[SyStudentId]],SSR!$A$2:$CC$4982,8,FALSE)</f>
        <v>1115 old hwy 7 south lot 15A</v>
      </c>
      <c r="O26" s="113" t="str">
        <f>VLOOKUP(Table1[[#This Row],[SyStudentId]],SSR!$A$2:$CC$4982,9,FALSE)</f>
        <v>Dardanelle</v>
      </c>
      <c r="P26" s="292" t="str">
        <f>VLOOKUP(Table1[[#This Row],[SyStudentId]],SSR!$A$2:$CC$4982,10,FALSE)</f>
        <v>AR</v>
      </c>
      <c r="Q26" s="117" t="str">
        <f>VLOOKUP(Table1[[#This Row],[SyStudentId]],SSR!$A$2:$CC$4982,11,FALSE)</f>
        <v xml:space="preserve">72834     </v>
      </c>
      <c r="R26" s="118">
        <f>VLOOKUP(Table1[[#This Row],[SyStudentId]],SSR!$A$2:$CC$4982,15,FALSE)</f>
        <v>3.12</v>
      </c>
      <c r="S26" s="119">
        <f>VLOOKUP(Table1[[#This Row],[SyStudentId]],SSR!$A$2:$CC$4982,22,FALSE)</f>
        <v>44109</v>
      </c>
      <c r="T26" s="113" t="str">
        <f>VLOOKUP(Table1[[#This Row],[SyStudentId]],SSR!$A$2:$CC$4982,24,FALSE)</f>
        <v>JT</v>
      </c>
      <c r="U26" s="113" t="str">
        <f>IF(VLOOKUP(Table1[[#This Row],[SyStudentId]],SSR!$A$2:$CC$4982,26,FALSE)=0,"Not Selected",VLOOKUP(Table1[[#This Row],[SyStudentId]],SSR!$A$2:$CC$4982,26,FALSE))</f>
        <v>Female</v>
      </c>
      <c r="V26" s="113" t="str">
        <f>VLOOKUP(Table1[[#This Row],[SyStudentId]],SSR!$A$2:$CC$4982,27,FALSE)</f>
        <v xml:space="preserve">HS2020  </v>
      </c>
      <c r="W26" s="113" t="str">
        <f>VLOOKUP(LEFT(Table1[[#This Row],[LastName]],1),Alpha!$A$1:$B$26,2,FALSE)</f>
        <v>Maureen Ranks</v>
      </c>
      <c r="X26" s="149" t="str">
        <f>VLOOKUP(Table1[[#This Row],[FAA]],Alpha!$B$1:$D$26,2,FALSE)</f>
        <v>mranks@neumont.edu</v>
      </c>
      <c r="Y26" s="113">
        <f>VLOOKUP(Table1[[#This Row],[FAA]],Alpha!$B$1:$D$26,3,FALSE)</f>
        <v>8883022894</v>
      </c>
      <c r="Z26" s="113" t="str">
        <f>VLOOKUP(Table1[[#This Row],[SyStudentId]],SSR!$A$2:$CC$4982,30,FALSE)</f>
        <v>16-Accepted</v>
      </c>
      <c r="AA26" s="113" t="str">
        <f>IF(VLOOKUP(Table1[[#This Row],[SyStudentId]],SSR!$A$2:$CC$4982,36,FALSE)="Bachelor of Science","BS Computer Science","Check Program")</f>
        <v>BS Computer Science</v>
      </c>
      <c r="AB26" s="113" t="str">
        <f>VLOOKUP(Table1[[#This Row],[SyStudentId]],SSR!$A$2:$CC$4982,37,FALSE)</f>
        <v xml:space="preserve">20      </v>
      </c>
      <c r="AC26" s="113">
        <f>VLOOKUP(Table1[[#This Row],[SyStudentId]],SSR!$A$2:$CC$4982,42,FALSE)</f>
        <v>0</v>
      </c>
      <c r="AD26" s="113" t="str">
        <f>VLOOKUP(Table1[[#This Row],[SyStudentId]],SSR!$A$2:$CC$4982,46,FALSE)</f>
        <v>97</v>
      </c>
      <c r="AE26" s="113" t="str">
        <f>VLOOKUP(Table1[[#This Row],[SyStudentId]],SSR!$A$2:$CC$4982,65,FALSE)</f>
        <v>V</v>
      </c>
      <c r="AF26"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5</v>
      </c>
      <c r="AG26" s="113" t="str">
        <f>VLOOKUP(Table1[[#This Row],[SyStudentId]],SSR!$A$2:$CC$4982,66,FALSE)</f>
        <v>November</v>
      </c>
      <c r="AH26" s="113" t="str">
        <f>IFERROR(VLOOKUP(Table1[[#This Row],[SyStudentId]],ISIR!$A$2:$X$999,7,FALSE),"")</f>
        <v/>
      </c>
      <c r="AI26" s="121" t="str">
        <f>IF(Table1[[#This Row],[EFCRaw]]="","",IF(Table1[[#This Row],[EFCRaw]]="No EFC","No EFC",_xlfn.NUMBERVALUE(Table1[[#This Row],[EFCRaw]])))</f>
        <v/>
      </c>
      <c r="AJ26" s="119" t="str">
        <f>IFERROR(VLOOKUP(Table1[[#This Row],[SyStudentId]],ISIR!$A$2:$X$4999,19,FALSE),"")</f>
        <v/>
      </c>
      <c r="AK26" s="113" t="str">
        <f>IFERROR(VLOOKUP(Table1[[#This Row],[SyStudentId]],ISIR!$A$2:$X$4999,8,FALSE),"")</f>
        <v/>
      </c>
      <c r="AL26" s="132" t="str">
        <f>IF(Table1[[#This Row],[VerReq]]="N","n/a","")</f>
        <v/>
      </c>
      <c r="AM26" s="122"/>
      <c r="AN26" s="122"/>
      <c r="AO26" s="122"/>
      <c r="AP26" s="122"/>
      <c r="AQ26" s="122"/>
      <c r="AR26" s="122"/>
      <c r="AS26" s="122"/>
      <c r="AT26" s="122"/>
      <c r="AU26" s="122"/>
      <c r="AV26" s="122"/>
      <c r="AW26" s="122"/>
      <c r="AX26" s="122"/>
      <c r="AY26" s="122"/>
      <c r="AZ26" s="122"/>
      <c r="BA26" s="122"/>
      <c r="BB26" s="122"/>
      <c r="BC26" s="133"/>
      <c r="BD26" s="140" t="str">
        <f>IF(Table1[[#This Row],[VerReq]]="N","x","")</f>
        <v/>
      </c>
      <c r="BE26" s="140" t="str">
        <f>IF(Table1[[#This Row],[VerReq]]="N","x","")</f>
        <v/>
      </c>
      <c r="BF26" s="140" t="str">
        <f>IF(Table1[[#This Row],[VerReq]]="N","x","")</f>
        <v/>
      </c>
      <c r="BG26" s="140" t="str">
        <f>IF(Table1[[#This Row],[VerReq]]="N","x","")</f>
        <v/>
      </c>
      <c r="BH26" s="140" t="str">
        <f>IF(Table1[[#This Row],[VerReq]]="N","x","")</f>
        <v/>
      </c>
      <c r="BI26" s="140" t="str">
        <f>IF(Table1[[#This Row],[VerReq]]="N","x","")</f>
        <v/>
      </c>
      <c r="BJ26" s="134">
        <f>1-((COUNTBLANK(Table1[[#This Row],[ALESent]:[TaxTran]]))/(COUNT(Table1[[#This Row],[ALESent]:[TaxTran]])+COUNTBLANK(Table1[[#This Row],[ALESent]:[TaxTran]])))</f>
        <v>0</v>
      </c>
      <c r="BK26" s="136">
        <f>IF(VLOOKUP(Table1[[#This Row],[SyStudentId]],SSR!$A$2:$CC$4982,22,FALSE)=44109,44109,"Check Program")</f>
        <v>44109</v>
      </c>
      <c r="BL26" s="124">
        <f>IF(Table1[[#This Row],[AYStart]]=44109,44356,"Check Program")</f>
        <v>44356</v>
      </c>
      <c r="BM26" s="219">
        <v>8505</v>
      </c>
      <c r="BN26" s="219">
        <v>8505</v>
      </c>
      <c r="BO26" s="219">
        <v>8505</v>
      </c>
      <c r="BP26" s="220">
        <f t="shared" si="0"/>
        <v>25515</v>
      </c>
      <c r="BQ26" s="221">
        <v>3300</v>
      </c>
      <c r="BR26" s="219">
        <v>400</v>
      </c>
      <c r="BS26" s="219">
        <v>400</v>
      </c>
      <c r="BT26" s="220">
        <f t="shared" si="1"/>
        <v>4100</v>
      </c>
      <c r="BU26" s="219">
        <v>2100</v>
      </c>
      <c r="BV26" s="219">
        <v>2100</v>
      </c>
      <c r="BW26" s="219">
        <v>2100</v>
      </c>
      <c r="BX26" s="220">
        <f t="shared" si="2"/>
        <v>6300</v>
      </c>
      <c r="BY26" s="275">
        <v>1200</v>
      </c>
      <c r="BZ26" s="275">
        <v>1200</v>
      </c>
      <c r="CA26" s="275">
        <v>1200</v>
      </c>
      <c r="CB26" s="220">
        <f>SUM(Table1[[#This Row],[LEQ1]:[LEQ3]])</f>
        <v>3600</v>
      </c>
      <c r="CC26" s="275"/>
      <c r="CD26" s="275"/>
      <c r="CE26" s="275"/>
      <c r="CF26" s="220">
        <f>SUM(Table1[[#This Row],[OthCostQ1]:[OthCostQ3]])</f>
        <v>0</v>
      </c>
      <c r="CG26" s="220">
        <f>(Table1[[#This Row],[T&amp;FTot]]+Table1[[#This Row],[B&amp;STot]]+Table1[[#This Row],[HousTot]]+Table1[[#This Row],[LETot]]+Table1[[#This Row],[OthCostTot]])</f>
        <v>39515</v>
      </c>
      <c r="CH26" s="250"/>
      <c r="CI26" s="250"/>
      <c r="CJ26" s="250"/>
      <c r="CK26" s="251">
        <f>SUM(Table1[[#This Row],[SEOGQ1]:[SEOGQ3]])</f>
        <v>0</v>
      </c>
      <c r="CL26" s="250">
        <f>IFERROR(ROUNDUP(Table1[[#This Row],[PellTot]]/3,0),0)</f>
        <v>0</v>
      </c>
      <c r="CM26" s="250">
        <f>IFERROR(ROUND(Table1[[#This Row],[PellTot]]/3,0),0)</f>
        <v>0</v>
      </c>
      <c r="CN26" s="250">
        <f>IFERROR(ROUNDDOWN(Table1[[#This Row],[PellTot]]/3,0),0)</f>
        <v>0</v>
      </c>
      <c r="CO26" s="251">
        <f>IFERROR(LOOKUP(Table1[EFC],Pell_Table[#Data],Pell_Table[Pell Amt]),0)</f>
        <v>0</v>
      </c>
      <c r="CP26" s="250">
        <f>Table1[[#This Row],[AccessTot]]/3</f>
        <v>0</v>
      </c>
      <c r="CQ26" s="250">
        <f>Table1[[#This Row],[AccessTot]]/3</f>
        <v>0</v>
      </c>
      <c r="CR26" s="250">
        <f>Table1[[#This Row],[AccessTot]]/3</f>
        <v>0</v>
      </c>
      <c r="CS26" s="251">
        <f>IF(Table1[[#This Row],[PellTot]]&gt;0,1500,0)</f>
        <v>0</v>
      </c>
      <c r="CT26" s="250">
        <f>Table1[[#This Row],[AchiTot]]/3</f>
        <v>1000</v>
      </c>
      <c r="CU26" s="250">
        <f>Table1[[#This Row],[AchiTot]]/3</f>
        <v>1000</v>
      </c>
      <c r="CV26" s="250">
        <f>Table1[[#This Row],[AchiTot]]/3</f>
        <v>1000</v>
      </c>
      <c r="CW26" s="252">
        <f>IF(Table1[[#This Row],[Rank]]="","",IF(Table1[[#This Row],[Rank]]=1,5100,IF(Table1[[#This Row],[Rank]]=2,4500,IF(Table1[[#This Row],[Rank]]=3,3900,IF(Table1[[#This Row],[Rank]]=4,3750,IF(Table1[[#This Row],[Rank]]=5,3000,IF(Table1[[#This Row],[Rank]]=6,2250,0)))))))</f>
        <v>3000</v>
      </c>
      <c r="CX26" s="250">
        <f>Table1[[#This Row],[UTTot]]/3</f>
        <v>0</v>
      </c>
      <c r="CY26" s="250">
        <f>Table1[[#This Row],[UTTot]]/3</f>
        <v>0</v>
      </c>
      <c r="CZ26" s="250">
        <f>Table1[[#This Row],[UTTot]]/3</f>
        <v>0</v>
      </c>
      <c r="DA26" s="251">
        <f>IF(Table1[[#This Row],[State]]="UT",9000,0)</f>
        <v>0</v>
      </c>
      <c r="DB26" s="250">
        <f>Table1[[#This Row],[WITTot]]/3</f>
        <v>1000</v>
      </c>
      <c r="DC26" s="250">
        <f>Table1[[#This Row],[WITTot]]/3</f>
        <v>1000</v>
      </c>
      <c r="DD26" s="250">
        <f>Table1[[#This Row],[WITTot]]/3</f>
        <v>1000</v>
      </c>
      <c r="DE26" s="251">
        <f>IF(Table1[[#This Row],[Gender]]="Female",3000,0)</f>
        <v>3000</v>
      </c>
      <c r="DF26" s="250">
        <f>Table1[[#This Row],[SerTot]]/3</f>
        <v>0</v>
      </c>
      <c r="DG26" s="250">
        <f>Table1[[#This Row],[SerTot]]/3</f>
        <v>0</v>
      </c>
      <c r="DH26" s="250">
        <f>Table1[[#This Row],[SerTot]]/3</f>
        <v>0</v>
      </c>
      <c r="DI26" s="252"/>
      <c r="DJ26" s="250"/>
      <c r="DK26" s="250"/>
      <c r="DL26" s="250"/>
      <c r="DM26" s="252"/>
      <c r="DN26" s="250">
        <f>Table1[[#This Row],[MatTot]]/3</f>
        <v>0</v>
      </c>
      <c r="DO26" s="250">
        <f>Table1[[#This Row],[MatTot]]/3</f>
        <v>0</v>
      </c>
      <c r="DP26" s="250">
        <f>Table1[[#This Row],[MatTot]]/3</f>
        <v>0</v>
      </c>
      <c r="DQ26" s="252"/>
      <c r="DR26" s="250">
        <f>Table1[[#This Row],[OutTot]]/3</f>
        <v>0</v>
      </c>
      <c r="DS26" s="250">
        <f>Table1[[#This Row],[OutTot]]/3</f>
        <v>0</v>
      </c>
      <c r="DT26" s="250">
        <f>Table1[[#This Row],[OutTot]]/3</f>
        <v>0</v>
      </c>
      <c r="DU26" s="252"/>
      <c r="DV26" s="250"/>
      <c r="DW26" s="250"/>
      <c r="DX26" s="250"/>
      <c r="DY26" s="252">
        <f>SUM(Table1[[#This Row],[VAQ1]:[VAQ3]])</f>
        <v>0</v>
      </c>
      <c r="DZ26" s="250"/>
      <c r="EA26" s="250"/>
      <c r="EB26" s="250"/>
      <c r="EC26" s="252">
        <f>SUM(Table1[[#This Row],[OthGrantQ1]:[OthGrantQ3]])</f>
        <v>0</v>
      </c>
      <c r="ED26" s="263">
        <f>Table1[[#This Row],[SEOGTot]]+Table1[[#This Row],[PellTot]]+Table1[[#This Row],[AccessTot]]+Table1[[#This Row],[AchiTot]]+Table1[[#This Row],[UTTot]]+Table1[[#This Row],[WITTot]]+Table1[[#This Row],[SerTot]]+Table1[[#This Row],[TranTot]]+Table1[[#This Row],[MatTot]]+Table1[[#This Row],[OutTot]]+Table1[[#This Row],[VATot]]+Table1[[#This Row],[OthGrantTot]]</f>
        <v>6000</v>
      </c>
      <c r="EE26" s="249"/>
      <c r="EF26" s="237"/>
      <c r="EG26" s="237"/>
      <c r="EH26" s="232">
        <f>SUM(Table1[[#This Row],[CashQ1]]:Table1[[#This Row],[CashQ3]])</f>
        <v>0</v>
      </c>
      <c r="EI26" s="271">
        <f>ROUND((Table1[[#This Row],[SubTot]]/3)/1.01059,0)</f>
        <v>0</v>
      </c>
      <c r="EJ26" s="234">
        <f>ROUND((Table1[[#This Row],[SubTot]]/3)/1.01059,0)</f>
        <v>0</v>
      </c>
      <c r="EK26" s="234">
        <f>ROUNDUP((Table1[[#This Row],[SubTot]]/3)/1.01059,0)</f>
        <v>0</v>
      </c>
      <c r="EL26" s="235"/>
      <c r="EM26" s="240">
        <f>Table1[[#This Row],[SubTot]]*0.01059</f>
        <v>0</v>
      </c>
      <c r="EN26" s="234">
        <f>ROUND((Table1[[#This Row],[UnsubTot]]/3)/1.01062,0)</f>
        <v>660</v>
      </c>
      <c r="EO26" s="234">
        <f>ROUND((Table1[[#This Row],[UnsubTot]]/3)/1.01062,0)</f>
        <v>660</v>
      </c>
      <c r="EP26" s="234">
        <f>ROUNDDOWN((Table1[[#This Row],[UnsubTot]]/3)/1.01062,0)</f>
        <v>659</v>
      </c>
      <c r="EQ26" s="235">
        <f>IF(Table1[D/I]="I",6000,2000)</f>
        <v>2000</v>
      </c>
      <c r="ER26" s="240">
        <f>Table1[[#This Row],[UnsubTot]]*0.01062</f>
        <v>21.24</v>
      </c>
      <c r="ES26" s="234">
        <f>ROUND((Table1[[#This Row],[PLUSTot]]/3)/1.04248,0)</f>
        <v>0</v>
      </c>
      <c r="ET26" s="234">
        <f>ROUND((Table1[[#This Row],[PLUSTot]]/3)/1.04248,0)</f>
        <v>0</v>
      </c>
      <c r="EU26" s="234">
        <f>ROUND((Table1[[#This Row],[PLUSTot]]/3)/1.04248,0)</f>
        <v>0</v>
      </c>
      <c r="EV26" s="235"/>
      <c r="EW26" s="239">
        <f>Table1[[#This Row],[PLUSTot]]*0.04248</f>
        <v>0</v>
      </c>
      <c r="EX26" s="237"/>
      <c r="EY26" s="237"/>
      <c r="EZ26" s="237"/>
      <c r="FA26" s="232">
        <f>SUM(Table1[[#This Row],[PrivQ1]:[PrivQ3]])</f>
        <v>0</v>
      </c>
      <c r="FB26" s="237"/>
      <c r="FC26" s="237"/>
      <c r="FD26" s="237"/>
      <c r="FE26" s="232">
        <f>SUM(Table1[[#This Row],[TOQ1]:[TOQ3]])</f>
        <v>0</v>
      </c>
      <c r="FF26" s="237"/>
      <c r="FG26" s="237"/>
      <c r="FH26" s="237"/>
      <c r="FI26" s="232">
        <f>SUM(Table1[[#This Row],[OFundQ1]:[OFundQ3]])</f>
        <v>0</v>
      </c>
      <c r="FJ26" s="238">
        <f>(Table1[[#This Row],[SubTot]]-Table1[[#This Row],[SubFee]])+(Table1[[#This Row],[UnsubTot]]-Table1[[#This Row],[UnsubFee]])+(Table1[[#This Row],[PLUSTot]]-Table1[[#This Row],[PLUSFee]])+Table1[[#This Row],[PrivTot]]+Table1[[#This Row],[TOTot]]+Table1[[#This Row],[OFundTot]]</f>
        <v>1978.76</v>
      </c>
      <c r="FK26" s="125">
        <f>Table1[[#This Row],[CostTot]]-Table1[[#This Row],[GiftTot]]</f>
        <v>33515</v>
      </c>
      <c r="FL26" s="139">
        <f>Table1[[#This Row],[NetNeed]]/(1-0.04248)</f>
        <v>32935.332943437214</v>
      </c>
      <c r="FM26" s="131">
        <f>Table1[[#This Row],[NetCost]]-Table1[[#This Row],[CashTot]]-(Table1[[#This Row],[SubTot]]-Table1[[#This Row],[SubFee]])-(Table1[[#This Row],[UnsubTot]]-Table1[[#This Row],[UnsubFee]])-(Table1[[#This Row],[PLUSTot]]-Table1[[#This Row],[PLUSFee]])-Table1[[#This Row],[PrivTot]]-Table1[[#This Row],[TOTot]]-Table1[[#This Row],[OFundTot]]</f>
        <v>31536.240000000002</v>
      </c>
      <c r="FN26" s="161"/>
      <c r="FO26" s="113"/>
      <c r="FP26" s="113"/>
    </row>
    <row r="27" spans="1:172" s="160" customFormat="1" ht="15" x14ac:dyDescent="0.25">
      <c r="A27" s="267">
        <v>194764</v>
      </c>
      <c r="B27" s="113" t="str">
        <f>VLOOKUP(Table1[[#This Row],[SyStudentId]],SSR!$A$2:$CC$4982,4,FALSE)</f>
        <v>Mikelevicius</v>
      </c>
      <c r="C27" s="113" t="str">
        <f>VLOOKUP(Table1[[#This Row],[SyStudentId]],SSR!$A$2:$CC$4982,5,FALSE)</f>
        <v>Viktorija</v>
      </c>
      <c r="D27" s="113" t="str">
        <f>VLOOKUP(Table1[[#This Row],[SyStudentId]],SSR!$A$2:$CC$4982,6,FALSE)</f>
        <v>Mikelevicius, Viktorija</v>
      </c>
      <c r="E27" s="113" t="str">
        <f>CONCATENATE(Table1[[#This Row],[FirstName]]," ",Table1[[#This Row],[LastName]])</f>
        <v>Viktorija Mikelevicius</v>
      </c>
      <c r="F27" s="112"/>
      <c r="G27" s="114"/>
      <c r="H27" s="114"/>
      <c r="I27" s="114"/>
      <c r="J27" s="115"/>
      <c r="K27" s="116"/>
      <c r="L27" s="112" t="str">
        <f>IFERROR(VLOOKUP(Table1[[#This Row],[SyStudentId]],ISIR!$A$2:$X$999,11,FALSE),"")</f>
        <v/>
      </c>
      <c r="M27" s="113" t="str">
        <f>VLOOKUP(Table1[[#This Row],[SyStudentId]],SSR!$A$2:$CC$4982,7,FALSE)</f>
        <v>viktorija02@comcast.net</v>
      </c>
      <c r="N27" s="113" t="str">
        <f>VLOOKUP(Table1[[#This Row],[SyStudentId]],SSR!$A$2:$CC$4982,8,FALSE)</f>
        <v>7159 S Eudora Ct</v>
      </c>
      <c r="O27" s="113" t="str">
        <f>VLOOKUP(Table1[[#This Row],[SyStudentId]],SSR!$A$2:$CC$4982,9,FALSE)</f>
        <v>Centennial</v>
      </c>
      <c r="P27" s="234" t="str">
        <f>VLOOKUP(Table1[[#This Row],[SyStudentId]],SSR!$A$2:$CC$4982,10,FALSE)</f>
        <v>CO</v>
      </c>
      <c r="Q27" s="117" t="str">
        <f>VLOOKUP(Table1[[#This Row],[SyStudentId]],SSR!$A$2:$CC$4982,11,FALSE)</f>
        <v>80122-2433</v>
      </c>
      <c r="R27" s="118">
        <f>VLOOKUP(Table1[[#This Row],[SyStudentId]],SSR!$A$2:$CC$4982,15,FALSE)</f>
        <v>4</v>
      </c>
      <c r="S27" s="119">
        <f>VLOOKUP(Table1[[#This Row],[SyStudentId]],SSR!$A$2:$CC$4982,22,FALSE)</f>
        <v>44109</v>
      </c>
      <c r="T27" s="113" t="str">
        <f>VLOOKUP(Table1[[#This Row],[SyStudentId]],SSR!$A$2:$CC$4982,24,FALSE)</f>
        <v>JT</v>
      </c>
      <c r="U27" s="113" t="str">
        <f>IF(VLOOKUP(Table1[[#This Row],[SyStudentId]],SSR!$A$2:$CC$4982,26,FALSE)=0,"Not Selected",VLOOKUP(Table1[[#This Row],[SyStudentId]],SSR!$A$2:$CC$4982,26,FALSE))</f>
        <v>Female</v>
      </c>
      <c r="V27" s="113" t="str">
        <f>VLOOKUP(Table1[[#This Row],[SyStudentId]],SSR!$A$2:$CC$4982,27,FALSE)</f>
        <v xml:space="preserve">HS2020  </v>
      </c>
      <c r="W27" s="113" t="str">
        <f>VLOOKUP(LEFT(Table1[[#This Row],[LastName]],1),Alpha!$A$1:$B$26,2,FALSE)</f>
        <v>Maureen Ranks</v>
      </c>
      <c r="X27" s="149" t="str">
        <f>VLOOKUP(Table1[[#This Row],[FAA]],Alpha!$B$1:$D$26,2,FALSE)</f>
        <v>mranks@neumont.edu</v>
      </c>
      <c r="Y27" s="113">
        <f>VLOOKUP(Table1[[#This Row],[FAA]],Alpha!$B$1:$D$26,3,FALSE)</f>
        <v>8883022894</v>
      </c>
      <c r="Z27" s="113" t="str">
        <f>VLOOKUP(Table1[[#This Row],[SyStudentId]],SSR!$A$2:$CC$4982,30,FALSE)</f>
        <v>16-Accepted</v>
      </c>
      <c r="AA27" s="113" t="str">
        <f>IF(VLOOKUP(Table1[[#This Row],[SyStudentId]],SSR!$A$2:$CC$4982,36,FALSE)="Bachelor of Science","BS Computer Science","Check Program")</f>
        <v>BS Computer Science</v>
      </c>
      <c r="AB27" s="113">
        <f>VLOOKUP(Table1[[#This Row],[SyStudentId]],SSR!$A$2:$CC$4982,37,FALSE)</f>
        <v>0</v>
      </c>
      <c r="AC27" s="113" t="str">
        <f>VLOOKUP(Table1[[#This Row],[SyStudentId]],SSR!$A$2:$CC$4982,42,FALSE)</f>
        <v xml:space="preserve">1390    </v>
      </c>
      <c r="AD27" s="113" t="str">
        <f>VLOOKUP(Table1[[#This Row],[SyStudentId]],SSR!$A$2:$CC$4982,46,FALSE)</f>
        <v>133</v>
      </c>
      <c r="AE27" s="113" t="str">
        <f>VLOOKUP(Table1[[#This Row],[SyStudentId]],SSR!$A$2:$CC$4982,65,FALSE)</f>
        <v>I</v>
      </c>
      <c r="AF27"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27" s="113" t="str">
        <f>VLOOKUP(Table1[[#This Row],[SyStudentId]],SSR!$A$2:$CC$4982,66,FALSE)</f>
        <v>July-October</v>
      </c>
      <c r="AH27" s="113" t="str">
        <f>IFERROR(VLOOKUP(Table1[[#This Row],[SyStudentId]],ISIR!$A$2:$X$999,7,FALSE),"")</f>
        <v/>
      </c>
      <c r="AI27" s="121" t="str">
        <f>IF(Table1[[#This Row],[EFCRaw]]="","",IF(Table1[[#This Row],[EFCRaw]]="No EFC","No EFC",_xlfn.NUMBERVALUE(Table1[[#This Row],[EFCRaw]])))</f>
        <v/>
      </c>
      <c r="AJ27" s="119" t="str">
        <f>IFERROR(VLOOKUP(Table1[[#This Row],[SyStudentId]],ISIR!$A$2:$X$4999,19,FALSE),"")</f>
        <v/>
      </c>
      <c r="AK27" s="113" t="str">
        <f>IFERROR(VLOOKUP(Table1[[#This Row],[SyStudentId]],ISIR!$A$2:$X$4999,8,FALSE),"")</f>
        <v/>
      </c>
      <c r="AL27" s="132" t="str">
        <f>IF(Table1[[#This Row],[VerReq]]="N","n/a","")</f>
        <v/>
      </c>
      <c r="AM27" s="122"/>
      <c r="AN27" s="122"/>
      <c r="AO27" s="122"/>
      <c r="AP27" s="122"/>
      <c r="AQ27" s="122"/>
      <c r="AR27" s="122"/>
      <c r="AS27" s="122"/>
      <c r="AT27" s="122"/>
      <c r="AU27" s="122"/>
      <c r="AV27" s="122"/>
      <c r="AW27" s="122"/>
      <c r="AX27" s="122"/>
      <c r="AY27" s="122"/>
      <c r="AZ27" s="122"/>
      <c r="BA27" s="122"/>
      <c r="BB27" s="122"/>
      <c r="BC27" s="133"/>
      <c r="BD27" s="140" t="str">
        <f>IF(Table1[[#This Row],[VerReq]]="N","x","")</f>
        <v/>
      </c>
      <c r="BE27" s="140" t="str">
        <f>IF(Table1[[#This Row],[VerReq]]="N","x","")</f>
        <v/>
      </c>
      <c r="BF27" s="140" t="str">
        <f>IF(Table1[[#This Row],[VerReq]]="N","x","")</f>
        <v/>
      </c>
      <c r="BG27" s="140" t="str">
        <f>IF(Table1[[#This Row],[VerReq]]="N","x","")</f>
        <v/>
      </c>
      <c r="BH27" s="140" t="str">
        <f>IF(Table1[[#This Row],[VerReq]]="N","x","")</f>
        <v/>
      </c>
      <c r="BI27" s="140" t="str">
        <f>IF(Table1[[#This Row],[VerReq]]="N","x","")</f>
        <v/>
      </c>
      <c r="BJ27" s="134">
        <f>1-((COUNTBLANK(Table1[[#This Row],[ALESent]:[TaxTran]]))/(COUNT(Table1[[#This Row],[ALESent]:[TaxTran]])+COUNTBLANK(Table1[[#This Row],[ALESent]:[TaxTran]])))</f>
        <v>0</v>
      </c>
      <c r="BK27" s="136">
        <f>IF(VLOOKUP(Table1[[#This Row],[SyStudentId]],SSR!$A$2:$CC$4982,22,FALSE)=44109,44109,"Check Program")</f>
        <v>44109</v>
      </c>
      <c r="BL27" s="124">
        <f>IF(Table1[[#This Row],[AYStart]]=44109,44356,"Check Program")</f>
        <v>44356</v>
      </c>
      <c r="BM27" s="219">
        <v>8505</v>
      </c>
      <c r="BN27" s="219">
        <v>8505</v>
      </c>
      <c r="BO27" s="219">
        <v>8505</v>
      </c>
      <c r="BP27" s="220">
        <f t="shared" si="0"/>
        <v>25515</v>
      </c>
      <c r="BQ27" s="221">
        <v>3300</v>
      </c>
      <c r="BR27" s="219">
        <v>400</v>
      </c>
      <c r="BS27" s="219">
        <v>400</v>
      </c>
      <c r="BT27" s="220">
        <f t="shared" si="1"/>
        <v>4100</v>
      </c>
      <c r="BU27" s="219">
        <v>2100</v>
      </c>
      <c r="BV27" s="219">
        <v>2100</v>
      </c>
      <c r="BW27" s="219">
        <v>2100</v>
      </c>
      <c r="BX27" s="220">
        <f t="shared" si="2"/>
        <v>6300</v>
      </c>
      <c r="BY27" s="275">
        <v>1200</v>
      </c>
      <c r="BZ27" s="275">
        <v>1200</v>
      </c>
      <c r="CA27" s="275">
        <v>1200</v>
      </c>
      <c r="CB27" s="220">
        <f>SUM(Table1[[#This Row],[LEQ1]:[LEQ3]])</f>
        <v>3600</v>
      </c>
      <c r="CC27" s="275">
        <v>0</v>
      </c>
      <c r="CD27" s="275">
        <v>0</v>
      </c>
      <c r="CE27" s="275">
        <v>0</v>
      </c>
      <c r="CF27" s="220">
        <f>SUM(Table1[[#This Row],[OthCostQ1]:[OthCostQ3]])</f>
        <v>0</v>
      </c>
      <c r="CG27" s="220">
        <f>(Table1[[#This Row],[T&amp;FTot]]+Table1[[#This Row],[B&amp;STot]]+Table1[[#This Row],[HousTot]]+Table1[[#This Row],[LETot]]+Table1[[#This Row],[OthCostTot]])</f>
        <v>39515</v>
      </c>
      <c r="CH27" s="250"/>
      <c r="CI27" s="250"/>
      <c r="CJ27" s="250"/>
      <c r="CK27" s="251">
        <f>SUM(Table1[[#This Row],[SEOGQ1]:[SEOGQ3]])</f>
        <v>0</v>
      </c>
      <c r="CL27" s="250">
        <f>IFERROR(ROUNDUP(Table1[[#This Row],[PellTot]]/3,0),0)</f>
        <v>0</v>
      </c>
      <c r="CM27" s="250">
        <f>IFERROR(ROUND(Table1[[#This Row],[PellTot]]/3,0),0)</f>
        <v>0</v>
      </c>
      <c r="CN27" s="250">
        <f>IFERROR(ROUNDDOWN(Table1[[#This Row],[PellTot]]/3,0),0)</f>
        <v>0</v>
      </c>
      <c r="CO27" s="251">
        <f>IFERROR(LOOKUP(Table1[EFC],Pell_Table[#Data],Pell_Table[Pell Amt]),0)</f>
        <v>0</v>
      </c>
      <c r="CP27" s="250">
        <f>Table1[[#This Row],[AccessTot]]/3</f>
        <v>0</v>
      </c>
      <c r="CQ27" s="250">
        <f>Table1[[#This Row],[AccessTot]]/3</f>
        <v>0</v>
      </c>
      <c r="CR27" s="250">
        <f>Table1[[#This Row],[AccessTot]]/3</f>
        <v>0</v>
      </c>
      <c r="CS27" s="251">
        <f>IF(Table1[[#This Row],[PellTot]]&gt;0,1500,0)</f>
        <v>0</v>
      </c>
      <c r="CT27" s="250">
        <f>Table1[[#This Row],[AchiTot]]/3</f>
        <v>1700</v>
      </c>
      <c r="CU27" s="250">
        <f>Table1[[#This Row],[AchiTot]]/3</f>
        <v>1700</v>
      </c>
      <c r="CV27" s="250">
        <f>Table1[[#This Row],[AchiTot]]/3</f>
        <v>1700</v>
      </c>
      <c r="CW27" s="252">
        <f>IF(Table1[[#This Row],[Rank]]="","",IF(Table1[[#This Row],[Rank]]=1,5100,IF(Table1[[#This Row],[Rank]]=2,4500,IF(Table1[[#This Row],[Rank]]=3,3900,IF(Table1[[#This Row],[Rank]]=4,3750,IF(Table1[[#This Row],[Rank]]=5,3000,IF(Table1[[#This Row],[Rank]]=6,2250,0)))))))</f>
        <v>5100</v>
      </c>
      <c r="CX27" s="250">
        <f>Table1[[#This Row],[UTTot]]/3</f>
        <v>0</v>
      </c>
      <c r="CY27" s="250">
        <f>Table1[[#This Row],[UTTot]]/3</f>
        <v>0</v>
      </c>
      <c r="CZ27" s="250">
        <f>Table1[[#This Row],[UTTot]]/3</f>
        <v>0</v>
      </c>
      <c r="DA27" s="251">
        <f>IF(Table1[[#This Row],[State]]="UT",9000,0)</f>
        <v>0</v>
      </c>
      <c r="DB27" s="250">
        <f>Table1[[#This Row],[WITTot]]/3</f>
        <v>1000</v>
      </c>
      <c r="DC27" s="250">
        <f>Table1[[#This Row],[WITTot]]/3</f>
        <v>1000</v>
      </c>
      <c r="DD27" s="250">
        <f>Table1[[#This Row],[WITTot]]/3</f>
        <v>1000</v>
      </c>
      <c r="DE27" s="251">
        <f>IF(Table1[[#This Row],[Gender]]="Female",3000,0)</f>
        <v>3000</v>
      </c>
      <c r="DF27" s="250">
        <f>Table1[[#This Row],[SerTot]]/3</f>
        <v>0</v>
      </c>
      <c r="DG27" s="250">
        <f>Table1[[#This Row],[SerTot]]/3</f>
        <v>0</v>
      </c>
      <c r="DH27" s="250">
        <f>Table1[[#This Row],[SerTot]]/3</f>
        <v>0</v>
      </c>
      <c r="DI27" s="252"/>
      <c r="DJ27" s="250"/>
      <c r="DK27" s="250"/>
      <c r="DL27" s="250"/>
      <c r="DM27" s="252"/>
      <c r="DN27" s="250">
        <f>Table1[[#This Row],[MatTot]]/3</f>
        <v>0</v>
      </c>
      <c r="DO27" s="250">
        <f>Table1[[#This Row],[MatTot]]/3</f>
        <v>0</v>
      </c>
      <c r="DP27" s="250">
        <f>Table1[[#This Row],[MatTot]]/3</f>
        <v>0</v>
      </c>
      <c r="DQ27" s="252">
        <v>0</v>
      </c>
      <c r="DR27" s="250">
        <f>Table1[[#This Row],[OutTot]]/3</f>
        <v>0</v>
      </c>
      <c r="DS27" s="250">
        <f>Table1[[#This Row],[OutTot]]/3</f>
        <v>0</v>
      </c>
      <c r="DT27" s="250">
        <f>Table1[[#This Row],[OutTot]]/3</f>
        <v>0</v>
      </c>
      <c r="DU27" s="252">
        <v>0</v>
      </c>
      <c r="DV27" s="250">
        <v>0</v>
      </c>
      <c r="DW27" s="250">
        <v>0</v>
      </c>
      <c r="DX27" s="250">
        <v>0</v>
      </c>
      <c r="DY27" s="252">
        <f>SUM(Table1[[#This Row],[VAQ1]:[VAQ3]])</f>
        <v>0</v>
      </c>
      <c r="DZ27" s="250">
        <v>0</v>
      </c>
      <c r="EA27" s="250">
        <v>0</v>
      </c>
      <c r="EB27" s="250">
        <v>0</v>
      </c>
      <c r="EC27" s="252">
        <f>SUM(Table1[[#This Row],[OthGrantQ1]:[OthGrantQ3]])</f>
        <v>0</v>
      </c>
      <c r="ED27" s="263">
        <f>Table1[[#This Row],[SEOGTot]]+Table1[[#This Row],[PellTot]]+Table1[[#This Row],[AccessTot]]+Table1[[#This Row],[AchiTot]]+Table1[[#This Row],[UTTot]]+Table1[[#This Row],[WITTot]]+Table1[[#This Row],[SerTot]]+Table1[[#This Row],[TranTot]]+Table1[[#This Row],[MatTot]]+Table1[[#This Row],[OutTot]]+Table1[[#This Row],[VATot]]+Table1[[#This Row],[OthGrantTot]]</f>
        <v>8100</v>
      </c>
      <c r="EE27" s="249"/>
      <c r="EF27" s="237"/>
      <c r="EG27" s="237"/>
      <c r="EH27" s="232">
        <f>SUM(Table1[[#This Row],[CashQ1]]:Table1[[#This Row],[CashQ3]])</f>
        <v>0</v>
      </c>
      <c r="EI27" s="271">
        <f>ROUND((Table1[[#This Row],[SubTot]]/3)/1.01059,0)</f>
        <v>1154</v>
      </c>
      <c r="EJ27" s="234">
        <f>ROUND((Table1[[#This Row],[SubTot]]/3)/1.01059,0)</f>
        <v>1154</v>
      </c>
      <c r="EK27" s="234">
        <f>ROUNDUP((Table1[[#This Row],[SubTot]]/3)/1.01059,0)</f>
        <v>1155</v>
      </c>
      <c r="EL27" s="235">
        <v>3500</v>
      </c>
      <c r="EM27" s="240">
        <f>Table1[[#This Row],[SubTot]]*0.01059</f>
        <v>37.065000000000005</v>
      </c>
      <c r="EN27" s="234">
        <f>ROUND((Table1[[#This Row],[UnsubTot]]/3)/1.01062,0)</f>
        <v>660</v>
      </c>
      <c r="EO27" s="234">
        <f>ROUND((Table1[[#This Row],[UnsubTot]]/3)/1.01062,0)</f>
        <v>660</v>
      </c>
      <c r="EP27" s="234">
        <f>ROUNDDOWN((Table1[[#This Row],[UnsubTot]]/3)/1.01062,0)</f>
        <v>659</v>
      </c>
      <c r="EQ27" s="235">
        <f>IF(Table1[D/I]="I",6000,2000)</f>
        <v>2000</v>
      </c>
      <c r="ER27" s="240">
        <f>Table1[[#This Row],[UnsubTot]]*0.01059</f>
        <v>21.18</v>
      </c>
      <c r="ES27" s="234">
        <f>ROUND((Table1[[#This Row],[PLUSTot]]/3)/1.04236,0)</f>
        <v>0</v>
      </c>
      <c r="ET27" s="234">
        <f>ROUND((Table1[[#This Row],[PLUSTot]]/3)/1.04236,0)</f>
        <v>0</v>
      </c>
      <c r="EU27" s="234">
        <f>ROUND((Table1[[#This Row],[PLUSTot]]/3)/1.04236,0)</f>
        <v>0</v>
      </c>
      <c r="EV27" s="235">
        <v>0</v>
      </c>
      <c r="EW27" s="239">
        <f>Table1[[#This Row],[PLUSTot]]*0.04248</f>
        <v>0</v>
      </c>
      <c r="EX27" s="237"/>
      <c r="EY27" s="237"/>
      <c r="EZ27" s="237"/>
      <c r="FA27" s="232">
        <f>SUM(Table1[[#This Row],[PrivQ1]:[PrivQ3]])</f>
        <v>0</v>
      </c>
      <c r="FB27" s="237"/>
      <c r="FC27" s="237"/>
      <c r="FD27" s="237"/>
      <c r="FE27" s="232">
        <f>SUM(Table1[[#This Row],[TOQ1]:[TOQ3]])</f>
        <v>0</v>
      </c>
      <c r="FF27" s="237"/>
      <c r="FG27" s="237"/>
      <c r="FH27" s="237"/>
      <c r="FI27" s="232">
        <f>SUM(Table1[[#This Row],[OFundQ1]:[OFundQ3]])</f>
        <v>0</v>
      </c>
      <c r="FJ27" s="238">
        <f>(Table1[[#This Row],[SubTot]]-Table1[[#This Row],[SubFee]])+(Table1[[#This Row],[UnsubTot]]-Table1[[#This Row],[UnsubFee]])+(Table1[[#This Row],[PLUSTot]]-Table1[[#This Row],[PLUSFee]])+Table1[[#This Row],[PrivTot]]+Table1[[#This Row],[TOTot]]+Table1[[#This Row],[OFundTot]]</f>
        <v>5441.7550000000001</v>
      </c>
      <c r="FK27" s="125">
        <f>Table1[[#This Row],[CostTot]]-Table1[[#This Row],[GiftTot]]</f>
        <v>31415</v>
      </c>
      <c r="FL27" s="139">
        <f>Table1[[#This Row],[NetNeed]]/(1-0.04248)</f>
        <v>27125.537847773412</v>
      </c>
      <c r="FM27" s="131">
        <f>Table1[[#This Row],[NetCost]]-Table1[[#This Row],[CashTot]]-(Table1[[#This Row],[SubTot]]-Table1[[#This Row],[SubFee]])-(Table1[[#This Row],[UnsubTot]]-Table1[[#This Row],[UnsubFee]])-(Table1[[#This Row],[PLUSTot]]-Table1[[#This Row],[PLUSFee]])-Table1[[#This Row],[PrivTot]]-Table1[[#This Row],[TOTot]]-Table1[[#This Row],[OFundTot]]</f>
        <v>25973.244999999999</v>
      </c>
      <c r="FN27" s="161"/>
      <c r="FO27" s="113"/>
      <c r="FP27" s="113"/>
    </row>
    <row r="28" spans="1:172" s="160" customFormat="1" ht="15" x14ac:dyDescent="0.25">
      <c r="A28" s="329">
        <v>197750</v>
      </c>
      <c r="B28" s="113" t="str">
        <f>VLOOKUP(Table1[[#This Row],[SyStudentId]],SSR!$A$2:$CC$4982,4,FALSE)</f>
        <v>Miklasz</v>
      </c>
      <c r="C28" s="113" t="str">
        <f>VLOOKUP(Table1[[#This Row],[SyStudentId]],SSR!$A$2:$CC$4982,5,FALSE)</f>
        <v>Mikayla</v>
      </c>
      <c r="D28" s="113" t="str">
        <f>VLOOKUP(Table1[[#This Row],[SyStudentId]],SSR!$A$2:$CC$4982,6,FALSE)</f>
        <v>Miklasz, Mikayla</v>
      </c>
      <c r="E28" s="113" t="str">
        <f>CONCATENATE(Table1[[#This Row],[FirstName]]," ",Table1[[#This Row],[LastName]])</f>
        <v>Mikayla Miklasz</v>
      </c>
      <c r="F28" s="112"/>
      <c r="G28" s="114"/>
      <c r="H28" s="114"/>
      <c r="I28" s="114"/>
      <c r="J28" s="115"/>
      <c r="K28" s="116"/>
      <c r="L28" s="112" t="str">
        <f>IFERROR(VLOOKUP(Table1[[#This Row],[SyStudentId]],ISIR!$A$2:$X$999,11,FALSE),"")</f>
        <v/>
      </c>
      <c r="M28" s="113" t="str">
        <f>VLOOKUP(Table1[[#This Row],[SyStudentId]],SSR!$A$2:$CC$4982,7,FALSE)</f>
        <v>mmmiklasz@cps.edu</v>
      </c>
      <c r="N28" s="113" t="str">
        <f>VLOOKUP(Table1[[#This Row],[SyStudentId]],SSR!$A$2:$CC$4982,8,FALSE)</f>
        <v>6089 N Navarre Ave</v>
      </c>
      <c r="O28" s="113" t="str">
        <f>VLOOKUP(Table1[[#This Row],[SyStudentId]],SSR!$A$2:$CC$4982,9,FALSE)</f>
        <v>Chicago</v>
      </c>
      <c r="P28" s="292" t="str">
        <f>VLOOKUP(Table1[[#This Row],[SyStudentId]],SSR!$A$2:$CC$4982,10,FALSE)</f>
        <v>IL</v>
      </c>
      <c r="Q28" s="117" t="str">
        <f>VLOOKUP(Table1[[#This Row],[SyStudentId]],SSR!$A$2:$CC$4982,11,FALSE)</f>
        <v>60631-2614</v>
      </c>
      <c r="R28" s="118">
        <f>VLOOKUP(Table1[[#This Row],[SyStudentId]],SSR!$A$2:$CC$4982,15,FALSE)</f>
        <v>3.8</v>
      </c>
      <c r="S28" s="119">
        <f>VLOOKUP(Table1[[#This Row],[SyStudentId]],SSR!$A$2:$CC$4982,22,FALSE)</f>
        <v>44109</v>
      </c>
      <c r="T28" s="113" t="str">
        <f>VLOOKUP(Table1[[#This Row],[SyStudentId]],SSR!$A$2:$CC$4982,24,FALSE)</f>
        <v>GM</v>
      </c>
      <c r="U28" s="113" t="str">
        <f>IF(VLOOKUP(Table1[[#This Row],[SyStudentId]],SSR!$A$2:$CC$4982,26,FALSE)=0,"Not Selected",VLOOKUP(Table1[[#This Row],[SyStudentId]],SSR!$A$2:$CC$4982,26,FALSE))</f>
        <v>Female</v>
      </c>
      <c r="V28" s="113" t="str">
        <f>VLOOKUP(Table1[[#This Row],[SyStudentId]],SSR!$A$2:$CC$4982,27,FALSE)</f>
        <v xml:space="preserve">HS2020  </v>
      </c>
      <c r="W28" s="113" t="str">
        <f>VLOOKUP(LEFT(Table1[[#This Row],[LastName]],1),Alpha!$A$1:$B$26,2,FALSE)</f>
        <v>Maureen Ranks</v>
      </c>
      <c r="X28" s="149" t="str">
        <f>VLOOKUP(Table1[[#This Row],[FAA]],Alpha!$B$1:$D$26,2,FALSE)</f>
        <v>mranks@neumont.edu</v>
      </c>
      <c r="Y28" s="113">
        <f>VLOOKUP(Table1[[#This Row],[FAA]],Alpha!$B$1:$D$26,3,FALSE)</f>
        <v>8883022894</v>
      </c>
      <c r="Z28" s="113" t="str">
        <f>VLOOKUP(Table1[[#This Row],[SyStudentId]],SSR!$A$2:$CC$4982,30,FALSE)</f>
        <v>16-Accepted</v>
      </c>
      <c r="AA28" s="113" t="str">
        <f>IF(VLOOKUP(Table1[[#This Row],[SyStudentId]],SSR!$A$2:$CC$4982,36,FALSE)="Bachelor of Science","BS Computer Science","Check Program")</f>
        <v>BS Computer Science</v>
      </c>
      <c r="AB28" s="113">
        <f>VLOOKUP(Table1[[#This Row],[SyStudentId]],SSR!$A$2:$CC$4982,37,FALSE)</f>
        <v>0</v>
      </c>
      <c r="AC28" s="113">
        <f>VLOOKUP(Table1[[#This Row],[SyStudentId]],SSR!$A$2:$CC$4982,42,FALSE)</f>
        <v>0</v>
      </c>
      <c r="AD28" s="113" t="str">
        <f>VLOOKUP(Table1[[#This Row],[SyStudentId]],SSR!$A$2:$CC$4982,46,FALSE)</f>
        <v>0</v>
      </c>
      <c r="AE28" s="113" t="str">
        <f>VLOOKUP(Table1[[#This Row],[SyStudentId]],SSR!$A$2:$CC$4982,65,FALSE)</f>
        <v>III</v>
      </c>
      <c r="AF28"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28" s="113" t="str">
        <f>VLOOKUP(Table1[[#This Row],[SyStudentId]],SSR!$A$2:$CC$4982,66,FALSE)</f>
        <v>July-October</v>
      </c>
      <c r="AH28" s="113" t="str">
        <f>IFERROR(VLOOKUP(Table1[[#This Row],[SyStudentId]],ISIR!$A$2:$X$999,7,FALSE),"")</f>
        <v/>
      </c>
      <c r="AI28" s="121" t="str">
        <f>IF(Table1[[#This Row],[EFCRaw]]="","",IF(Table1[[#This Row],[EFCRaw]]="No EFC","No EFC",_xlfn.NUMBERVALUE(Table1[[#This Row],[EFCRaw]])))</f>
        <v/>
      </c>
      <c r="AJ28" s="119" t="str">
        <f>IFERROR(VLOOKUP(Table1[[#This Row],[SyStudentId]],ISIR!$A$2:$X$4999,19,FALSE),"")</f>
        <v/>
      </c>
      <c r="AK28" s="113" t="str">
        <f>IFERROR(VLOOKUP(Table1[[#This Row],[SyStudentId]],ISIR!$A$2:$X$4999,8,FALSE),"")</f>
        <v/>
      </c>
      <c r="AL28" s="132" t="str">
        <f>IF(Table1[[#This Row],[VerReq]]="N","n/a","")</f>
        <v/>
      </c>
      <c r="AM28" s="122"/>
      <c r="AN28" s="122"/>
      <c r="AO28" s="122"/>
      <c r="AP28" s="122"/>
      <c r="AQ28" s="122"/>
      <c r="AR28" s="122"/>
      <c r="AS28" s="122"/>
      <c r="AT28" s="122"/>
      <c r="AU28" s="122"/>
      <c r="AV28" s="122"/>
      <c r="AW28" s="122"/>
      <c r="AX28" s="122"/>
      <c r="AY28" s="122"/>
      <c r="AZ28" s="122"/>
      <c r="BA28" s="122"/>
      <c r="BB28" s="122"/>
      <c r="BC28" s="133"/>
      <c r="BD28" s="140" t="str">
        <f>IF(Table1[[#This Row],[VerReq]]="N","x","")</f>
        <v/>
      </c>
      <c r="BE28" s="140" t="str">
        <f>IF(Table1[[#This Row],[VerReq]]="N","x","")</f>
        <v/>
      </c>
      <c r="BF28" s="140" t="str">
        <f>IF(Table1[[#This Row],[VerReq]]="N","x","")</f>
        <v/>
      </c>
      <c r="BG28" s="140" t="str">
        <f>IF(Table1[[#This Row],[VerReq]]="N","x","")</f>
        <v/>
      </c>
      <c r="BH28" s="140" t="str">
        <f>IF(Table1[[#This Row],[VerReq]]="N","x","")</f>
        <v/>
      </c>
      <c r="BI28" s="140" t="str">
        <f>IF(Table1[[#This Row],[VerReq]]="N","x","")</f>
        <v/>
      </c>
      <c r="BJ28" s="134">
        <f>1-((COUNTBLANK(Table1[[#This Row],[ALESent]:[TaxTran]]))/(COUNT(Table1[[#This Row],[ALESent]:[TaxTran]])+COUNTBLANK(Table1[[#This Row],[ALESent]:[TaxTran]])))</f>
        <v>0</v>
      </c>
      <c r="BK28" s="136">
        <f>IF(VLOOKUP(Table1[[#This Row],[SyStudentId]],SSR!$A$2:$CC$4982,22,FALSE)=44109,44109,"Check Program")</f>
        <v>44109</v>
      </c>
      <c r="BL28" s="124">
        <f>IF(Table1[[#This Row],[AYStart]]=44109,44356,"Check Program")</f>
        <v>44356</v>
      </c>
      <c r="BM28" s="219">
        <v>8505</v>
      </c>
      <c r="BN28" s="219">
        <v>8505</v>
      </c>
      <c r="BO28" s="219">
        <v>8505</v>
      </c>
      <c r="BP28" s="220">
        <f t="shared" si="0"/>
        <v>25515</v>
      </c>
      <c r="BQ28" s="221">
        <v>3300</v>
      </c>
      <c r="BR28" s="219">
        <v>400</v>
      </c>
      <c r="BS28" s="219">
        <v>400</v>
      </c>
      <c r="BT28" s="220">
        <f t="shared" si="1"/>
        <v>4100</v>
      </c>
      <c r="BU28" s="219">
        <v>2100</v>
      </c>
      <c r="BV28" s="219">
        <v>2100</v>
      </c>
      <c r="BW28" s="219">
        <v>2100</v>
      </c>
      <c r="BX28" s="220">
        <f t="shared" si="2"/>
        <v>6300</v>
      </c>
      <c r="BY28" s="275">
        <v>1200</v>
      </c>
      <c r="BZ28" s="275">
        <v>1200</v>
      </c>
      <c r="CA28" s="275">
        <v>1200</v>
      </c>
      <c r="CB28" s="220">
        <f>SUM(Table1[[#This Row],[LEQ1]:[LEQ3]])</f>
        <v>3600</v>
      </c>
      <c r="CC28" s="275">
        <v>0</v>
      </c>
      <c r="CD28" s="275">
        <v>0</v>
      </c>
      <c r="CE28" s="275">
        <v>0</v>
      </c>
      <c r="CF28" s="220">
        <f>SUM(Table1[[#This Row],[OthCostQ1]:[OthCostQ3]])</f>
        <v>0</v>
      </c>
      <c r="CG28" s="220">
        <f>(Table1[[#This Row],[T&amp;FTot]]+Table1[[#This Row],[B&amp;STot]]+Table1[[#This Row],[HousTot]]+Table1[[#This Row],[LETot]]+Table1[[#This Row],[OthCostTot]])</f>
        <v>39515</v>
      </c>
      <c r="CH28" s="250"/>
      <c r="CI28" s="250"/>
      <c r="CJ28" s="250"/>
      <c r="CK28" s="251">
        <f>SUM(Table1[[#This Row],[SEOGQ1]:[SEOGQ3]])</f>
        <v>0</v>
      </c>
      <c r="CL28" s="250">
        <f>IFERROR(ROUNDUP(Table1[[#This Row],[PellTot]]/3,0),0)</f>
        <v>0</v>
      </c>
      <c r="CM28" s="250">
        <f>IFERROR(ROUND(Table1[[#This Row],[PellTot]]/3,0),0)</f>
        <v>0</v>
      </c>
      <c r="CN28" s="250">
        <f>IFERROR(ROUNDDOWN(Table1[[#This Row],[PellTot]]/3,0),0)</f>
        <v>0</v>
      </c>
      <c r="CO28" s="251">
        <f>IFERROR(LOOKUP(Table1[EFC],Pell_Table[#Data],Pell_Table[Pell Amt]),0)</f>
        <v>0</v>
      </c>
      <c r="CP28" s="250">
        <f>Table1[[#This Row],[AccessTot]]/3</f>
        <v>0</v>
      </c>
      <c r="CQ28" s="250">
        <f>Table1[[#This Row],[AccessTot]]/3</f>
        <v>0</v>
      </c>
      <c r="CR28" s="250">
        <f>Table1[[#This Row],[AccessTot]]/3</f>
        <v>0</v>
      </c>
      <c r="CS28" s="251">
        <f>IF(Table1[[#This Row],[PellTot]]&gt;0,1500,0)</f>
        <v>0</v>
      </c>
      <c r="CT28" s="250">
        <f>Table1[[#This Row],[AchiTot]]/3</f>
        <v>1300</v>
      </c>
      <c r="CU28" s="250">
        <f>Table1[[#This Row],[AchiTot]]/3</f>
        <v>1300</v>
      </c>
      <c r="CV28" s="250">
        <f>Table1[[#This Row],[AchiTot]]/3</f>
        <v>1300</v>
      </c>
      <c r="CW28" s="252">
        <f>IF(Table1[[#This Row],[Rank]]="","",IF(Table1[[#This Row],[Rank]]=1,5100,IF(Table1[[#This Row],[Rank]]=2,4500,IF(Table1[[#This Row],[Rank]]=3,3900,IF(Table1[[#This Row],[Rank]]=4,3750,IF(Table1[[#This Row],[Rank]]=5,3000,IF(Table1[[#This Row],[Rank]]=6,2250,0)))))))</f>
        <v>3900</v>
      </c>
      <c r="CX28" s="250">
        <f>Table1[[#This Row],[UTTot]]/3</f>
        <v>0</v>
      </c>
      <c r="CY28" s="250">
        <f>Table1[[#This Row],[UTTot]]/3</f>
        <v>0</v>
      </c>
      <c r="CZ28" s="250">
        <f>Table1[[#This Row],[UTTot]]/3</f>
        <v>0</v>
      </c>
      <c r="DA28" s="251">
        <f>IF(Table1[[#This Row],[State]]="UT",9000,0)</f>
        <v>0</v>
      </c>
      <c r="DB28" s="250">
        <f>Table1[[#This Row],[WITTot]]/3</f>
        <v>1000</v>
      </c>
      <c r="DC28" s="250">
        <f>Table1[[#This Row],[WITTot]]/3</f>
        <v>1000</v>
      </c>
      <c r="DD28" s="250">
        <f>Table1[[#This Row],[WITTot]]/3</f>
        <v>1000</v>
      </c>
      <c r="DE28" s="251">
        <f>IF(Table1[[#This Row],[Gender]]="Female",3000,0)</f>
        <v>3000</v>
      </c>
      <c r="DF28" s="250">
        <f>Table1[[#This Row],[SerTot]]/3</f>
        <v>0</v>
      </c>
      <c r="DG28" s="250">
        <f>Table1[[#This Row],[SerTot]]/3</f>
        <v>0</v>
      </c>
      <c r="DH28" s="250">
        <f>Table1[[#This Row],[SerTot]]/3</f>
        <v>0</v>
      </c>
      <c r="DI28" s="252"/>
      <c r="DJ28" s="250"/>
      <c r="DK28" s="250"/>
      <c r="DL28" s="250"/>
      <c r="DM28" s="252"/>
      <c r="DN28" s="250">
        <f>Table1[[#This Row],[MatTot]]/3</f>
        <v>0</v>
      </c>
      <c r="DO28" s="250">
        <f>Table1[[#This Row],[MatTot]]/3</f>
        <v>0</v>
      </c>
      <c r="DP28" s="250">
        <f>Table1[[#This Row],[MatTot]]/3</f>
        <v>0</v>
      </c>
      <c r="DQ28" s="252">
        <v>0</v>
      </c>
      <c r="DR28" s="250">
        <f>Table1[[#This Row],[OutTot]]/3</f>
        <v>0</v>
      </c>
      <c r="DS28" s="250">
        <f>Table1[[#This Row],[OutTot]]/3</f>
        <v>0</v>
      </c>
      <c r="DT28" s="250">
        <f>Table1[[#This Row],[OutTot]]/3</f>
        <v>0</v>
      </c>
      <c r="DU28" s="252">
        <v>0</v>
      </c>
      <c r="DV28" s="250">
        <v>0</v>
      </c>
      <c r="DW28" s="250">
        <v>0</v>
      </c>
      <c r="DX28" s="250">
        <v>0</v>
      </c>
      <c r="DY28" s="252">
        <f>SUM(Table1[[#This Row],[VAQ1]:[VAQ3]])</f>
        <v>0</v>
      </c>
      <c r="DZ28" s="250">
        <v>0</v>
      </c>
      <c r="EA28" s="250">
        <v>0</v>
      </c>
      <c r="EB28" s="250">
        <v>0</v>
      </c>
      <c r="EC28" s="252">
        <f>SUM(Table1[[#This Row],[OthGrantQ1]:[OthGrantQ3]])</f>
        <v>0</v>
      </c>
      <c r="ED28" s="263">
        <f>Table1[[#This Row],[SEOGTot]]+Table1[[#This Row],[PellTot]]+Table1[[#This Row],[AccessTot]]+Table1[[#This Row],[AchiTot]]+Table1[[#This Row],[UTTot]]+Table1[[#This Row],[WITTot]]+Table1[[#This Row],[SerTot]]+Table1[[#This Row],[TranTot]]+Table1[[#This Row],[MatTot]]+Table1[[#This Row],[OutTot]]+Table1[[#This Row],[VATot]]+Table1[[#This Row],[OthGrantTot]]</f>
        <v>6900</v>
      </c>
      <c r="EE28" s="249"/>
      <c r="EF28" s="237"/>
      <c r="EG28" s="237"/>
      <c r="EH28" s="232">
        <f>SUM(Table1[[#This Row],[CashQ1]]:Table1[[#This Row],[CashQ3]])</f>
        <v>0</v>
      </c>
      <c r="EI28" s="271">
        <f>ROUND((Table1[[#This Row],[SubTot]]/3)/1.01059,0)</f>
        <v>1154</v>
      </c>
      <c r="EJ28" s="234">
        <f>ROUND((Table1[[#This Row],[SubTot]]/3)/1.01059,0)</f>
        <v>1154</v>
      </c>
      <c r="EK28" s="234">
        <f>ROUNDUP((Table1[[#This Row],[SubTot]]/3)/1.01059,0)</f>
        <v>1155</v>
      </c>
      <c r="EL28" s="235">
        <v>3500</v>
      </c>
      <c r="EM28" s="240">
        <f>Table1[[#This Row],[SubTot]]*0.01059</f>
        <v>37.065000000000005</v>
      </c>
      <c r="EN28" s="234">
        <f>ROUND((Table1[[#This Row],[UnsubTot]]/3)/1.01062,0)</f>
        <v>660</v>
      </c>
      <c r="EO28" s="234">
        <f>ROUND((Table1[[#This Row],[UnsubTot]]/3)/1.01062,0)</f>
        <v>660</v>
      </c>
      <c r="EP28" s="234">
        <f>ROUNDDOWN((Table1[[#This Row],[UnsubTot]]/3)/1.01062,0)</f>
        <v>659</v>
      </c>
      <c r="EQ28" s="235">
        <f>IF(Table1[D/I]="I",6000,2000)</f>
        <v>2000</v>
      </c>
      <c r="ER28" s="240">
        <f>Table1[[#This Row],[UnsubTot]]*0.01059</f>
        <v>21.18</v>
      </c>
      <c r="ES28" s="234">
        <f>ROUND((Table1[[#This Row],[PLUSTot]]/3)/1.04236,0)</f>
        <v>0</v>
      </c>
      <c r="ET28" s="234">
        <f>ROUND((Table1[[#This Row],[PLUSTot]]/3)/1.04236,0)</f>
        <v>0</v>
      </c>
      <c r="EU28" s="234">
        <f>ROUND((Table1[[#This Row],[PLUSTot]]/3)/1.04236,0)</f>
        <v>0</v>
      </c>
      <c r="EV28" s="235">
        <v>0</v>
      </c>
      <c r="EW28" s="239">
        <f>Table1[[#This Row],[PLUSTot]]*0.04248</f>
        <v>0</v>
      </c>
      <c r="EX28" s="237"/>
      <c r="EY28" s="237"/>
      <c r="EZ28" s="237"/>
      <c r="FA28" s="232">
        <f>SUM(Table1[[#This Row],[PrivQ1]:[PrivQ3]])</f>
        <v>0</v>
      </c>
      <c r="FB28" s="237"/>
      <c r="FC28" s="237"/>
      <c r="FD28" s="237"/>
      <c r="FE28" s="232">
        <f>SUM(Table1[[#This Row],[TOQ1]:[TOQ3]])</f>
        <v>0</v>
      </c>
      <c r="FF28" s="237"/>
      <c r="FG28" s="237"/>
      <c r="FH28" s="237"/>
      <c r="FI28" s="232">
        <f>SUM(Table1[[#This Row],[OFundQ1]:[OFundQ3]])</f>
        <v>0</v>
      </c>
      <c r="FJ28" s="238">
        <f>(Table1[[#This Row],[SubTot]]-Table1[[#This Row],[SubFee]])+(Table1[[#This Row],[UnsubTot]]-Table1[[#This Row],[UnsubFee]])+(Table1[[#This Row],[PLUSTot]]-Table1[[#This Row],[PLUSFee]])+Table1[[#This Row],[PrivTot]]+Table1[[#This Row],[TOTot]]+Table1[[#This Row],[OFundTot]]</f>
        <v>5441.7550000000001</v>
      </c>
      <c r="FK28" s="125">
        <f>Table1[[#This Row],[CostTot]]-Table1[[#This Row],[GiftTot]]</f>
        <v>32615</v>
      </c>
      <c r="FL28" s="139">
        <f>Table1[[#This Row],[NetNeed]]/(1-0.04248)</f>
        <v>28378.775378059985</v>
      </c>
      <c r="FM28" s="131">
        <f>Table1[[#This Row],[NetCost]]-Table1[[#This Row],[CashTot]]-(Table1[[#This Row],[SubTot]]-Table1[[#This Row],[SubFee]])-(Table1[[#This Row],[UnsubTot]]-Table1[[#This Row],[UnsubFee]])-(Table1[[#This Row],[PLUSTot]]-Table1[[#This Row],[PLUSFee]])-Table1[[#This Row],[PrivTot]]-Table1[[#This Row],[TOTot]]-Table1[[#This Row],[OFundTot]]</f>
        <v>27173.244999999999</v>
      </c>
      <c r="FN28" s="161"/>
      <c r="FO28" s="113"/>
      <c r="FP28" s="113"/>
    </row>
    <row r="29" spans="1:172" s="160" customFormat="1" ht="15" x14ac:dyDescent="0.25">
      <c r="A29" s="267">
        <v>195955</v>
      </c>
      <c r="B29" s="113" t="str">
        <f>VLOOKUP(Table1[[#This Row],[SyStudentId]],SSR!$A$2:$CC$4982,4,FALSE)</f>
        <v>Millar</v>
      </c>
      <c r="C29" s="113" t="str">
        <f>VLOOKUP(Table1[[#This Row],[SyStudentId]],SSR!$A$2:$CC$4982,5,FALSE)</f>
        <v>Hudson</v>
      </c>
      <c r="D29" s="113" t="str">
        <f>VLOOKUP(Table1[[#This Row],[SyStudentId]],SSR!$A$2:$CC$4982,6,FALSE)</f>
        <v>Millar, Hudson</v>
      </c>
      <c r="E29" s="113" t="str">
        <f>CONCATENATE(Table1[[#This Row],[FirstName]]," ",Table1[[#This Row],[LastName]])</f>
        <v>Hudson Millar</v>
      </c>
      <c r="F29" s="112">
        <v>1</v>
      </c>
      <c r="G29" s="114"/>
      <c r="H29" s="114"/>
      <c r="I29" s="114">
        <v>43776</v>
      </c>
      <c r="J29" s="115"/>
      <c r="K29" s="116"/>
      <c r="L29" s="112" t="str">
        <f>IFERROR(VLOOKUP(Table1[[#This Row],[SyStudentId]],ISIR!$A$2:$X$999,11,FALSE),"")</f>
        <v>D</v>
      </c>
      <c r="M29" s="113" t="str">
        <f>VLOOKUP(Table1[[#This Row],[SyStudentId]],SSR!$A$2:$CC$4982,7,FALSE)</f>
        <v>hudmill@gmail.com</v>
      </c>
      <c r="N29" s="113" t="str">
        <f>VLOOKUP(Table1[[#This Row],[SyStudentId]],SSR!$A$2:$CC$4982,8,FALSE)</f>
        <v>315 Toscavilla Blvd.</v>
      </c>
      <c r="O29" s="113" t="str">
        <f>VLOOKUP(Table1[[#This Row],[SyStudentId]],SSR!$A$2:$CC$4982,9,FALSE)</f>
        <v>Nokomis</v>
      </c>
      <c r="P29" s="303" t="str">
        <f>VLOOKUP(Table1[[#This Row],[SyStudentId]],SSR!$A$2:$CC$4982,10,FALSE)</f>
        <v>FL</v>
      </c>
      <c r="Q29" s="117" t="str">
        <f>VLOOKUP(Table1[[#This Row],[SyStudentId]],SSR!$A$2:$CC$4982,11,FALSE)</f>
        <v xml:space="preserve">34275     </v>
      </c>
      <c r="R29" s="118">
        <f>VLOOKUP(Table1[[#This Row],[SyStudentId]],SSR!$A$2:$CC$4982,15,FALSE)</f>
        <v>3.6665999999999999</v>
      </c>
      <c r="S29" s="119">
        <f>VLOOKUP(Table1[[#This Row],[SyStudentId]],SSR!$A$2:$CC$4982,22,FALSE)</f>
        <v>44109</v>
      </c>
      <c r="T29" s="113" t="str">
        <f>VLOOKUP(Table1[[#This Row],[SyStudentId]],SSR!$A$2:$CC$4982,24,FALSE)</f>
        <v>MN</v>
      </c>
      <c r="U29" s="113" t="str">
        <f>IF(VLOOKUP(Table1[[#This Row],[SyStudentId]],SSR!$A$2:$CC$4982,26,FALSE)=0,"Not Selected",VLOOKUP(Table1[[#This Row],[SyStudentId]],SSR!$A$2:$CC$4982,26,FALSE))</f>
        <v>Male</v>
      </c>
      <c r="V29" s="113" t="str">
        <f>VLOOKUP(Table1[[#This Row],[SyStudentId]],SSR!$A$2:$CC$4982,27,FALSE)</f>
        <v xml:space="preserve">HS2020  </v>
      </c>
      <c r="W29" s="113" t="str">
        <f>VLOOKUP(LEFT(Table1[[#This Row],[LastName]],1),Alpha!$A$1:$B$26,2,FALSE)</f>
        <v>Maureen Ranks</v>
      </c>
      <c r="X29" s="149" t="str">
        <f>VLOOKUP(Table1[[#This Row],[FAA]],Alpha!$B$1:$D$26,2,FALSE)</f>
        <v>mranks@neumont.edu</v>
      </c>
      <c r="Y29" s="113">
        <f>VLOOKUP(Table1[[#This Row],[FAA]],Alpha!$B$1:$D$26,3,FALSE)</f>
        <v>8883022894</v>
      </c>
      <c r="Z29" s="113" t="str">
        <f>VLOOKUP(Table1[[#This Row],[SyStudentId]],SSR!$A$2:$CC$4982,30,FALSE)</f>
        <v>16-Accepted</v>
      </c>
      <c r="AA29" s="113" t="str">
        <f>IF(VLOOKUP(Table1[[#This Row],[SyStudentId]],SSR!$A$2:$CC$4982,36,FALSE)="Bachelor of Science","BS Computer Science","Check Program")</f>
        <v>BS Computer Science</v>
      </c>
      <c r="AB29" s="113">
        <f>VLOOKUP(Table1[[#This Row],[SyStudentId]],SSR!$A$2:$CC$4982,37,FALSE)</f>
        <v>0</v>
      </c>
      <c r="AC29" s="113" t="str">
        <f>VLOOKUP(Table1[[#This Row],[SyStudentId]],SSR!$A$2:$CC$4982,42,FALSE)</f>
        <v xml:space="preserve">1550    </v>
      </c>
      <c r="AD29" s="113" t="str">
        <f>VLOOKUP(Table1[[#This Row],[SyStudentId]],SSR!$A$2:$CC$4982,46,FALSE)</f>
        <v>137</v>
      </c>
      <c r="AE29" s="113" t="str">
        <f>VLOOKUP(Table1[[#This Row],[SyStudentId]],SSR!$A$2:$CC$4982,65,FALSE)</f>
        <v>I</v>
      </c>
      <c r="AF29"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29" s="113" t="str">
        <f>VLOOKUP(Table1[[#This Row],[SyStudentId]],SSR!$A$2:$CC$4982,66,FALSE)</f>
        <v>July-October</v>
      </c>
      <c r="AH29" s="113" t="str">
        <f>IFERROR(VLOOKUP(Table1[[#This Row],[SyStudentId]],ISIR!$A$2:$X$999,7,FALSE),"")</f>
        <v>157022</v>
      </c>
      <c r="AI29" s="121">
        <f>IF(Table1[[#This Row],[EFCRaw]]="","",IF(Table1[[#This Row],[EFCRaw]]="No EFC","No EFC",_xlfn.NUMBERVALUE(Table1[[#This Row],[EFCRaw]])))</f>
        <v>157022</v>
      </c>
      <c r="AJ29" s="119">
        <f>IFERROR(VLOOKUP(Table1[[#This Row],[SyStudentId]],ISIR!$A$2:$X$4999,19,FALSE),"")</f>
        <v>43774</v>
      </c>
      <c r="AK29" s="113" t="str">
        <f>IFERROR(VLOOKUP(Table1[[#This Row],[SyStudentId]],ISIR!$A$2:$X$4999,8,FALSE),"")</f>
        <v>N</v>
      </c>
      <c r="AL29" s="132" t="str">
        <f>IF(Table1[[#This Row],[VerReq]]="N","n/a","")</f>
        <v>n/a</v>
      </c>
      <c r="AM29" s="122"/>
      <c r="AN29" s="122"/>
      <c r="AO29" s="122"/>
      <c r="AP29" s="122"/>
      <c r="AQ29" s="122"/>
      <c r="AR29" s="122"/>
      <c r="AS29" s="122"/>
      <c r="AT29" s="122"/>
      <c r="AU29" s="122"/>
      <c r="AV29" s="122"/>
      <c r="AW29" s="122"/>
      <c r="AX29" s="122"/>
      <c r="AY29" s="122"/>
      <c r="AZ29" s="122"/>
      <c r="BA29" s="122"/>
      <c r="BB29" s="122"/>
      <c r="BC29" s="133"/>
      <c r="BD29" s="140" t="str">
        <f>IF(Table1[[#This Row],[VerReq]]="N","x","")</f>
        <v>x</v>
      </c>
      <c r="BE29" s="140" t="str">
        <f>IF(Table1[[#This Row],[VerReq]]="N","x","")</f>
        <v>x</v>
      </c>
      <c r="BF29" s="140" t="str">
        <f>IF(Table1[[#This Row],[VerReq]]="N","x","")</f>
        <v>x</v>
      </c>
      <c r="BG29" s="140" t="str">
        <f>IF(Table1[[#This Row],[VerReq]]="N","x","")</f>
        <v>x</v>
      </c>
      <c r="BH29" s="140" t="str">
        <f>IF(Table1[[#This Row],[VerReq]]="N","x","")</f>
        <v>x</v>
      </c>
      <c r="BI29" s="140" t="str">
        <f>IF(Table1[[#This Row],[VerReq]]="N","x","")</f>
        <v>x</v>
      </c>
      <c r="BJ29" s="134">
        <f>1-((COUNTBLANK(Table1[[#This Row],[ALESent]:[TaxTran]]))/(COUNT(Table1[[#This Row],[ALESent]:[TaxTran]])+COUNTBLANK(Table1[[#This Row],[ALESent]:[TaxTran]])))</f>
        <v>0</v>
      </c>
      <c r="BK29" s="136">
        <f>IF(VLOOKUP(Table1[[#This Row],[SyStudentId]],SSR!$A$2:$CC$4982,22,FALSE)=44109,44109,"Check Program")</f>
        <v>44109</v>
      </c>
      <c r="BL29" s="124">
        <f>IF(Table1[[#This Row],[AYStart]]=44109,44356,"Check Program")</f>
        <v>44356</v>
      </c>
      <c r="BM29" s="219">
        <v>8505</v>
      </c>
      <c r="BN29" s="219">
        <v>8505</v>
      </c>
      <c r="BO29" s="219">
        <v>8505</v>
      </c>
      <c r="BP29" s="220">
        <f t="shared" si="0"/>
        <v>25515</v>
      </c>
      <c r="BQ29" s="221">
        <v>3300</v>
      </c>
      <c r="BR29" s="219">
        <v>400</v>
      </c>
      <c r="BS29" s="219">
        <v>400</v>
      </c>
      <c r="BT29" s="220">
        <f t="shared" si="1"/>
        <v>4100</v>
      </c>
      <c r="BU29" s="219">
        <v>2100</v>
      </c>
      <c r="BV29" s="219">
        <v>2100</v>
      </c>
      <c r="BW29" s="219">
        <v>2100</v>
      </c>
      <c r="BX29" s="220">
        <f t="shared" si="2"/>
        <v>6300</v>
      </c>
      <c r="BY29" s="275">
        <v>1200</v>
      </c>
      <c r="BZ29" s="275">
        <v>1200</v>
      </c>
      <c r="CA29" s="275">
        <v>1200</v>
      </c>
      <c r="CB29" s="220">
        <f>SUM(Table1[[#This Row],[LEQ1]:[LEQ3]])</f>
        <v>3600</v>
      </c>
      <c r="CC29" s="275">
        <v>0</v>
      </c>
      <c r="CD29" s="275">
        <v>0</v>
      </c>
      <c r="CE29" s="275">
        <v>0</v>
      </c>
      <c r="CF29" s="220">
        <f>SUM(Table1[[#This Row],[OthCostQ1]:[OthCostQ3]])</f>
        <v>0</v>
      </c>
      <c r="CG29" s="220">
        <f>(Table1[[#This Row],[T&amp;FTot]]+Table1[[#This Row],[B&amp;STot]]+Table1[[#This Row],[HousTot]]+Table1[[#This Row],[LETot]]+Table1[[#This Row],[OthCostTot]])</f>
        <v>39515</v>
      </c>
      <c r="CH29" s="250"/>
      <c r="CI29" s="250"/>
      <c r="CJ29" s="250"/>
      <c r="CK29" s="251">
        <f>SUM(Table1[[#This Row],[SEOGQ1]:[SEOGQ3]])</f>
        <v>0</v>
      </c>
      <c r="CL29" s="250">
        <f>IFERROR(ROUNDUP(Table1[[#This Row],[PellTot]]/3,0),0)</f>
        <v>0</v>
      </c>
      <c r="CM29" s="250">
        <f>IFERROR(ROUND(Table1[[#This Row],[PellTot]]/3,0),0)</f>
        <v>0</v>
      </c>
      <c r="CN29" s="250">
        <f>IFERROR(ROUNDDOWN(Table1[[#This Row],[PellTot]]/3,0),0)</f>
        <v>0</v>
      </c>
      <c r="CO29" s="251">
        <f>IFERROR(LOOKUP(Table1[EFC],Pell_Table[#Data],Pell_Table[Pell Amt]),0)</f>
        <v>0</v>
      </c>
      <c r="CP29" s="250">
        <f>Table1[[#This Row],[AccessTot]]/3</f>
        <v>0</v>
      </c>
      <c r="CQ29" s="250">
        <f>Table1[[#This Row],[AccessTot]]/3</f>
        <v>0</v>
      </c>
      <c r="CR29" s="250">
        <f>Table1[[#This Row],[AccessTot]]/3</f>
        <v>0</v>
      </c>
      <c r="CS29" s="251">
        <f>IF(Table1[[#This Row],[PellTot]]&gt;0,1500,0)</f>
        <v>0</v>
      </c>
      <c r="CT29" s="250">
        <f>Table1[[#This Row],[AchiTot]]/3</f>
        <v>1700</v>
      </c>
      <c r="CU29" s="250">
        <f>Table1[[#This Row],[AchiTot]]/3</f>
        <v>1700</v>
      </c>
      <c r="CV29" s="250">
        <f>Table1[[#This Row],[AchiTot]]/3</f>
        <v>1700</v>
      </c>
      <c r="CW29" s="252">
        <f>IF(Table1[[#This Row],[Rank]]="","",IF(Table1[[#This Row],[Rank]]=1,5100,IF(Table1[[#This Row],[Rank]]=2,4500,IF(Table1[[#This Row],[Rank]]=3,3900,IF(Table1[[#This Row],[Rank]]=4,3750,IF(Table1[[#This Row],[Rank]]=5,3000,IF(Table1[[#This Row],[Rank]]=6,2250,0)))))))</f>
        <v>5100</v>
      </c>
      <c r="CX29" s="250">
        <f>Table1[[#This Row],[UTTot]]/3</f>
        <v>0</v>
      </c>
      <c r="CY29" s="250">
        <f>Table1[[#This Row],[UTTot]]/3</f>
        <v>0</v>
      </c>
      <c r="CZ29" s="250">
        <f>Table1[[#This Row],[UTTot]]/3</f>
        <v>0</v>
      </c>
      <c r="DA29" s="251">
        <f>IF(Table1[[#This Row],[State]]="UT",9000,0)</f>
        <v>0</v>
      </c>
      <c r="DB29" s="250">
        <f>Table1[[#This Row],[WITTot]]/3</f>
        <v>0</v>
      </c>
      <c r="DC29" s="250">
        <f>Table1[[#This Row],[WITTot]]/3</f>
        <v>0</v>
      </c>
      <c r="DD29" s="250">
        <f>Table1[[#This Row],[WITTot]]/3</f>
        <v>0</v>
      </c>
      <c r="DE29" s="251">
        <f>IF(Table1[[#This Row],[Gender]]="Female",3000,0)</f>
        <v>0</v>
      </c>
      <c r="DF29" s="250">
        <f>Table1[[#This Row],[SerTot]]/3</f>
        <v>0</v>
      </c>
      <c r="DG29" s="250">
        <f>Table1[[#This Row],[SerTot]]/3</f>
        <v>0</v>
      </c>
      <c r="DH29" s="250">
        <f>Table1[[#This Row],[SerTot]]/3</f>
        <v>0</v>
      </c>
      <c r="DI29" s="252"/>
      <c r="DJ29" s="250"/>
      <c r="DK29" s="250"/>
      <c r="DL29" s="250"/>
      <c r="DM29" s="252"/>
      <c r="DN29" s="250">
        <f>Table1[[#This Row],[MatTot]]/3</f>
        <v>0</v>
      </c>
      <c r="DO29" s="250">
        <f>Table1[[#This Row],[MatTot]]/3</f>
        <v>0</v>
      </c>
      <c r="DP29" s="250">
        <f>Table1[[#This Row],[MatTot]]/3</f>
        <v>0</v>
      </c>
      <c r="DQ29" s="252">
        <v>0</v>
      </c>
      <c r="DR29" s="250">
        <f>Table1[[#This Row],[OutTot]]/3</f>
        <v>0</v>
      </c>
      <c r="DS29" s="250">
        <f>Table1[[#This Row],[OutTot]]/3</f>
        <v>0</v>
      </c>
      <c r="DT29" s="250">
        <f>Table1[[#This Row],[OutTot]]/3</f>
        <v>0</v>
      </c>
      <c r="DU29" s="252">
        <v>0</v>
      </c>
      <c r="DV29" s="250">
        <v>0</v>
      </c>
      <c r="DW29" s="250">
        <v>0</v>
      </c>
      <c r="DX29" s="250">
        <v>0</v>
      </c>
      <c r="DY29" s="252">
        <f>SUM(Table1[[#This Row],[VAQ1]:[VAQ3]])</f>
        <v>0</v>
      </c>
      <c r="DZ29" s="250">
        <v>0</v>
      </c>
      <c r="EA29" s="250">
        <v>0</v>
      </c>
      <c r="EB29" s="250">
        <v>0</v>
      </c>
      <c r="EC29" s="252">
        <f>SUM(Table1[[#This Row],[OthGrantQ1]:[OthGrantQ3]])</f>
        <v>0</v>
      </c>
      <c r="ED29" s="263">
        <f>Table1[[#This Row],[SEOGTot]]+Table1[[#This Row],[PellTot]]+Table1[[#This Row],[AccessTot]]+Table1[[#This Row],[AchiTot]]+Table1[[#This Row],[UTTot]]+Table1[[#This Row],[WITTot]]+Table1[[#This Row],[SerTot]]+Table1[[#This Row],[TranTot]]+Table1[[#This Row],[MatTot]]+Table1[[#This Row],[OutTot]]+Table1[[#This Row],[VATot]]+Table1[[#This Row],[OthGrantTot]]</f>
        <v>5100</v>
      </c>
      <c r="EE29" s="249"/>
      <c r="EF29" s="237"/>
      <c r="EG29" s="237"/>
      <c r="EH29" s="232">
        <f>SUM(Table1[[#This Row],[CashQ1]]:Table1[[#This Row],[CashQ3]])</f>
        <v>0</v>
      </c>
      <c r="EI29" s="271">
        <f>ROUND((Table1[[#This Row],[SubTot]]/3)/1.01059,0)</f>
        <v>1154</v>
      </c>
      <c r="EJ29" s="234">
        <f>ROUND((Table1[[#This Row],[SubTot]]/3)/1.01059,0)</f>
        <v>1154</v>
      </c>
      <c r="EK29" s="234">
        <f>ROUNDUP((Table1[[#This Row],[SubTot]]/3)/1.01059,0)</f>
        <v>1155</v>
      </c>
      <c r="EL29" s="235">
        <v>3500</v>
      </c>
      <c r="EM29" s="240">
        <f>Table1[[#This Row],[SubTot]]*0.01059</f>
        <v>37.065000000000005</v>
      </c>
      <c r="EN29" s="234">
        <f>ROUND((Table1[[#This Row],[UnsubTot]]/3)/1.01062,0)</f>
        <v>660</v>
      </c>
      <c r="EO29" s="234">
        <f>ROUND((Table1[[#This Row],[UnsubTot]]/3)/1.01062,0)</f>
        <v>660</v>
      </c>
      <c r="EP29" s="234">
        <f>ROUNDDOWN((Table1[[#This Row],[UnsubTot]]/3)/1.01062,0)</f>
        <v>659</v>
      </c>
      <c r="EQ29" s="235">
        <f>IF(Table1[D/I]="I",6000,2000)</f>
        <v>2000</v>
      </c>
      <c r="ER29" s="240">
        <f>Table1[[#This Row],[UnsubTot]]*0.01059</f>
        <v>21.18</v>
      </c>
      <c r="ES29" s="234">
        <f>ROUND((Table1[[#This Row],[PLUSTot]]/3)/1.04236,0)</f>
        <v>0</v>
      </c>
      <c r="ET29" s="234">
        <f>ROUND((Table1[[#This Row],[PLUSTot]]/3)/1.04236,0)</f>
        <v>0</v>
      </c>
      <c r="EU29" s="234">
        <f>ROUND((Table1[[#This Row],[PLUSTot]]/3)/1.04236,0)</f>
        <v>0</v>
      </c>
      <c r="EV29" s="235">
        <v>0</v>
      </c>
      <c r="EW29" s="239">
        <f>Table1[[#This Row],[PLUSTot]]*0.04248</f>
        <v>0</v>
      </c>
      <c r="EX29" s="237"/>
      <c r="EY29" s="237"/>
      <c r="EZ29" s="237"/>
      <c r="FA29" s="232">
        <f>SUM(Table1[[#This Row],[PrivQ1]:[PrivQ3]])</f>
        <v>0</v>
      </c>
      <c r="FB29" s="237"/>
      <c r="FC29" s="237"/>
      <c r="FD29" s="237"/>
      <c r="FE29" s="232">
        <f>SUM(Table1[[#This Row],[TOQ1]:[TOQ3]])</f>
        <v>0</v>
      </c>
      <c r="FF29" s="237"/>
      <c r="FG29" s="237"/>
      <c r="FH29" s="237"/>
      <c r="FI29" s="232">
        <f>SUM(Table1[[#This Row],[OFundQ1]:[OFundQ3]])</f>
        <v>0</v>
      </c>
      <c r="FJ29" s="238">
        <f>(Table1[[#This Row],[SubTot]]-Table1[[#This Row],[SubFee]])+(Table1[[#This Row],[UnsubTot]]-Table1[[#This Row],[UnsubFee]])+(Table1[[#This Row],[PLUSTot]]-Table1[[#This Row],[PLUSFee]])+Table1[[#This Row],[PrivTot]]+Table1[[#This Row],[TOTot]]+Table1[[#This Row],[OFundTot]]</f>
        <v>5441.7550000000001</v>
      </c>
      <c r="FK29" s="125">
        <f>Table1[[#This Row],[CostTot]]-Table1[[#This Row],[GiftTot]]</f>
        <v>34415</v>
      </c>
      <c r="FL29" s="139">
        <f>Table1[[#This Row],[NetNeed]]/(1-0.04248)</f>
        <v>30258.631673489846</v>
      </c>
      <c r="FM29" s="131">
        <f>Table1[[#This Row],[NetCost]]-Table1[[#This Row],[CashTot]]-(Table1[[#This Row],[SubTot]]-Table1[[#This Row],[SubFee]])-(Table1[[#This Row],[UnsubTot]]-Table1[[#This Row],[UnsubFee]])-(Table1[[#This Row],[PLUSTot]]-Table1[[#This Row],[PLUSFee]])-Table1[[#This Row],[PrivTot]]-Table1[[#This Row],[TOTot]]-Table1[[#This Row],[OFundTot]]</f>
        <v>28973.244999999999</v>
      </c>
      <c r="FN29" s="161"/>
      <c r="FO29" s="113"/>
      <c r="FP29" s="113"/>
    </row>
    <row r="30" spans="1:172" s="160" customFormat="1" ht="15" x14ac:dyDescent="0.25">
      <c r="A30" s="329">
        <v>196102</v>
      </c>
      <c r="B30" s="113" t="str">
        <f>VLOOKUP(Table1[[#This Row],[SyStudentId]],SSR!$A$2:$CC$4982,4,FALSE)</f>
        <v>Miller</v>
      </c>
      <c r="C30" s="113" t="str">
        <f>VLOOKUP(Table1[[#This Row],[SyStudentId]],SSR!$A$2:$CC$4982,5,FALSE)</f>
        <v>Dustin</v>
      </c>
      <c r="D30" s="113" t="str">
        <f>VLOOKUP(Table1[[#This Row],[SyStudentId]],SSR!$A$2:$CC$4982,6,FALSE)</f>
        <v>Miller, Dustin</v>
      </c>
      <c r="E30" s="113" t="str">
        <f>CONCATENATE(Table1[[#This Row],[FirstName]]," ",Table1[[#This Row],[LastName]])</f>
        <v>Dustin Miller</v>
      </c>
      <c r="F30" s="112"/>
      <c r="G30" s="114"/>
      <c r="H30" s="114"/>
      <c r="I30" s="114"/>
      <c r="J30" s="115"/>
      <c r="K30" s="116"/>
      <c r="L30" s="112" t="str">
        <f>IFERROR(VLOOKUP(Table1[[#This Row],[SyStudentId]],ISIR!$A$2:$X$999,11,FALSE),"")</f>
        <v/>
      </c>
      <c r="M30" s="113" t="str">
        <f>VLOOKUP(Table1[[#This Row],[SyStudentId]],SSR!$A$2:$CC$4982,7,FALSE)</f>
        <v>dustinamiller15@gmail.com</v>
      </c>
      <c r="N30" s="113" t="str">
        <f>VLOOKUP(Table1[[#This Row],[SyStudentId]],SSR!$A$2:$CC$4982,8,FALSE)</f>
        <v>331 Timberline Ln</v>
      </c>
      <c r="O30" s="113" t="str">
        <f>VLOOKUP(Table1[[#This Row],[SyStudentId]],SSR!$A$2:$CC$4982,9,FALSE)</f>
        <v>Auburn</v>
      </c>
      <c r="P30" s="290" t="str">
        <f>VLOOKUP(Table1[[#This Row],[SyStudentId]],SSR!$A$2:$CC$4982,10,FALSE)</f>
        <v>CA</v>
      </c>
      <c r="Q30" s="117" t="str">
        <f>VLOOKUP(Table1[[#This Row],[SyStudentId]],SSR!$A$2:$CC$4982,11,FALSE)</f>
        <v xml:space="preserve">95603     </v>
      </c>
      <c r="R30" s="118">
        <f>VLOOKUP(Table1[[#This Row],[SyStudentId]],SSR!$A$2:$CC$4982,15,FALSE)</f>
        <v>3.2608999999999999</v>
      </c>
      <c r="S30" s="119">
        <f>VLOOKUP(Table1[[#This Row],[SyStudentId]],SSR!$A$2:$CC$4982,22,FALSE)</f>
        <v>44109</v>
      </c>
      <c r="T30" s="113" t="str">
        <f>VLOOKUP(Table1[[#This Row],[SyStudentId]],SSR!$A$2:$CC$4982,24,FALSE)</f>
        <v>MN</v>
      </c>
      <c r="U30" s="113" t="str">
        <f>IF(VLOOKUP(Table1[[#This Row],[SyStudentId]],SSR!$A$2:$CC$4982,26,FALSE)=0,"Not Selected",VLOOKUP(Table1[[#This Row],[SyStudentId]],SSR!$A$2:$CC$4982,26,FALSE))</f>
        <v>Male</v>
      </c>
      <c r="V30" s="113" t="str">
        <f>VLOOKUP(Table1[[#This Row],[SyStudentId]],SSR!$A$2:$CC$4982,27,FALSE)</f>
        <v xml:space="preserve">HS2020  </v>
      </c>
      <c r="W30" s="113" t="str">
        <f>VLOOKUP(LEFT(Table1[[#This Row],[LastName]],1),Alpha!$A$1:$B$26,2,FALSE)</f>
        <v>Maureen Ranks</v>
      </c>
      <c r="X30" s="149" t="str">
        <f>VLOOKUP(Table1[[#This Row],[FAA]],Alpha!$B$1:$D$26,2,FALSE)</f>
        <v>mranks@neumont.edu</v>
      </c>
      <c r="Y30" s="113">
        <f>VLOOKUP(Table1[[#This Row],[FAA]],Alpha!$B$1:$D$26,3,FALSE)</f>
        <v>8883022894</v>
      </c>
      <c r="Z30" s="113" t="str">
        <f>VLOOKUP(Table1[[#This Row],[SyStudentId]],SSR!$A$2:$CC$4982,30,FALSE)</f>
        <v>18-Pending Enrollment</v>
      </c>
      <c r="AA30" s="113" t="str">
        <f>IF(VLOOKUP(Table1[[#This Row],[SyStudentId]],SSR!$A$2:$CC$4982,36,FALSE)="Bachelor of Science","BS Computer Science","Check Program")</f>
        <v>BS Computer Science</v>
      </c>
      <c r="AB30" s="113">
        <f>VLOOKUP(Table1[[#This Row],[SyStudentId]],SSR!$A$2:$CC$4982,37,FALSE)</f>
        <v>0</v>
      </c>
      <c r="AC30" s="113">
        <f>VLOOKUP(Table1[[#This Row],[SyStudentId]],SSR!$A$2:$CC$4982,42,FALSE)</f>
        <v>0</v>
      </c>
      <c r="AD30" s="113" t="str">
        <f>VLOOKUP(Table1[[#This Row],[SyStudentId]],SSR!$A$2:$CC$4982,46,FALSE)</f>
        <v>0</v>
      </c>
      <c r="AE30" s="113" t="str">
        <f>VLOOKUP(Table1[[#This Row],[SyStudentId]],SSR!$A$2:$CC$4982,65,FALSE)</f>
        <v>V</v>
      </c>
      <c r="AF30"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5</v>
      </c>
      <c r="AG30" s="113" t="str">
        <f>VLOOKUP(Table1[[#This Row],[SyStudentId]],SSR!$A$2:$CC$4982,66,FALSE)</f>
        <v>July-October</v>
      </c>
      <c r="AH30" s="113" t="str">
        <f>IFERROR(VLOOKUP(Table1[[#This Row],[SyStudentId]],ISIR!$A$2:$X$999,7,FALSE),"")</f>
        <v/>
      </c>
      <c r="AI30" s="121" t="str">
        <f>IF(Table1[[#This Row],[EFCRaw]]="","",IF(Table1[[#This Row],[EFCRaw]]="No EFC","No EFC",_xlfn.NUMBERVALUE(Table1[[#This Row],[EFCRaw]])))</f>
        <v/>
      </c>
      <c r="AJ30" s="119" t="str">
        <f>IFERROR(VLOOKUP(Table1[[#This Row],[SyStudentId]],ISIR!$A$2:$X$4999,19,FALSE),"")</f>
        <v/>
      </c>
      <c r="AK30" s="113" t="str">
        <f>IFERROR(VLOOKUP(Table1[[#This Row],[SyStudentId]],ISIR!$A$2:$X$4999,8,FALSE),"")</f>
        <v/>
      </c>
      <c r="AL30" s="132" t="str">
        <f>IF(Table1[[#This Row],[VerReq]]="N","n/a","")</f>
        <v/>
      </c>
      <c r="AM30" s="122"/>
      <c r="AN30" s="122"/>
      <c r="AO30" s="122"/>
      <c r="AP30" s="122"/>
      <c r="AQ30" s="122"/>
      <c r="AR30" s="122"/>
      <c r="AS30" s="122"/>
      <c r="AT30" s="122"/>
      <c r="AU30" s="122"/>
      <c r="AV30" s="122"/>
      <c r="AW30" s="122"/>
      <c r="AX30" s="122"/>
      <c r="AY30" s="122"/>
      <c r="AZ30" s="122"/>
      <c r="BA30" s="122"/>
      <c r="BB30" s="122"/>
      <c r="BC30" s="133"/>
      <c r="BD30" s="140" t="str">
        <f>IF(Table1[[#This Row],[VerReq]]="N","x","")</f>
        <v/>
      </c>
      <c r="BE30" s="140" t="str">
        <f>IF(Table1[[#This Row],[VerReq]]="N","x","")</f>
        <v/>
      </c>
      <c r="BF30" s="140" t="str">
        <f>IF(Table1[[#This Row],[VerReq]]="N","x","")</f>
        <v/>
      </c>
      <c r="BG30" s="140" t="str">
        <f>IF(Table1[[#This Row],[VerReq]]="N","x","")</f>
        <v/>
      </c>
      <c r="BH30" s="140" t="str">
        <f>IF(Table1[[#This Row],[VerReq]]="N","x","")</f>
        <v/>
      </c>
      <c r="BI30" s="140" t="str">
        <f>IF(Table1[[#This Row],[VerReq]]="N","x","")</f>
        <v/>
      </c>
      <c r="BJ30" s="134">
        <f>1-((COUNTBLANK(Table1[[#This Row],[ALESent]:[TaxTran]]))/(COUNT(Table1[[#This Row],[ALESent]:[TaxTran]])+COUNTBLANK(Table1[[#This Row],[ALESent]:[TaxTran]])))</f>
        <v>0</v>
      </c>
      <c r="BK30" s="136">
        <f>IF(VLOOKUP(Table1[[#This Row],[SyStudentId]],SSR!$A$2:$CC$4982,22,FALSE)=44109,44109,"Check Program")</f>
        <v>44109</v>
      </c>
      <c r="BL30" s="124">
        <f>IF(Table1[[#This Row],[AYStart]]=44109,44356,"Check Program")</f>
        <v>44356</v>
      </c>
      <c r="BM30" s="219">
        <v>8505</v>
      </c>
      <c r="BN30" s="219">
        <v>8505</v>
      </c>
      <c r="BO30" s="219">
        <v>8505</v>
      </c>
      <c r="BP30" s="220">
        <f t="shared" si="0"/>
        <v>25515</v>
      </c>
      <c r="BQ30" s="221">
        <v>3300</v>
      </c>
      <c r="BR30" s="219">
        <v>400</v>
      </c>
      <c r="BS30" s="219">
        <v>400</v>
      </c>
      <c r="BT30" s="220">
        <f t="shared" si="1"/>
        <v>4100</v>
      </c>
      <c r="BU30" s="219">
        <v>2100</v>
      </c>
      <c r="BV30" s="219">
        <v>2100</v>
      </c>
      <c r="BW30" s="219">
        <v>2100</v>
      </c>
      <c r="BX30" s="220">
        <f t="shared" si="2"/>
        <v>6300</v>
      </c>
      <c r="BY30" s="275">
        <v>1200</v>
      </c>
      <c r="BZ30" s="275">
        <v>1200</v>
      </c>
      <c r="CA30" s="275">
        <v>1200</v>
      </c>
      <c r="CB30" s="220">
        <f>SUM(Table1[[#This Row],[LEQ1]:[LEQ3]])</f>
        <v>3600</v>
      </c>
      <c r="CC30" s="275">
        <v>0</v>
      </c>
      <c r="CD30" s="275">
        <v>0</v>
      </c>
      <c r="CE30" s="275">
        <v>0</v>
      </c>
      <c r="CF30" s="220">
        <f>SUM(Table1[[#This Row],[OthCostQ1]:[OthCostQ3]])</f>
        <v>0</v>
      </c>
      <c r="CG30" s="220">
        <f>(Table1[[#This Row],[T&amp;FTot]]+Table1[[#This Row],[B&amp;STot]]+Table1[[#This Row],[HousTot]]+Table1[[#This Row],[LETot]]+Table1[[#This Row],[OthCostTot]])</f>
        <v>39515</v>
      </c>
      <c r="CH30" s="250"/>
      <c r="CI30" s="250"/>
      <c r="CJ30" s="250"/>
      <c r="CK30" s="251">
        <f>SUM(Table1[[#This Row],[SEOGQ1]:[SEOGQ3]])</f>
        <v>0</v>
      </c>
      <c r="CL30" s="250">
        <f>IFERROR(ROUNDUP(Table1[[#This Row],[PellTot]]/3,0),0)</f>
        <v>0</v>
      </c>
      <c r="CM30" s="250">
        <f>IFERROR(ROUND(Table1[[#This Row],[PellTot]]/3,0),0)</f>
        <v>0</v>
      </c>
      <c r="CN30" s="250">
        <f>IFERROR(ROUNDDOWN(Table1[[#This Row],[PellTot]]/3,0),0)</f>
        <v>0</v>
      </c>
      <c r="CO30" s="251">
        <f>IFERROR(LOOKUP(Table1[EFC],Pell_Table[#Data],Pell_Table[Pell Amt]),0)</f>
        <v>0</v>
      </c>
      <c r="CP30" s="250">
        <f>Table1[[#This Row],[AccessTot]]/3</f>
        <v>0</v>
      </c>
      <c r="CQ30" s="250">
        <f>Table1[[#This Row],[AccessTot]]/3</f>
        <v>0</v>
      </c>
      <c r="CR30" s="250">
        <f>Table1[[#This Row],[AccessTot]]/3</f>
        <v>0</v>
      </c>
      <c r="CS30" s="251">
        <f>IF(Table1[[#This Row],[PellTot]]&gt;0,1500,0)</f>
        <v>0</v>
      </c>
      <c r="CT30" s="250">
        <f>Table1[[#This Row],[AchiTot]]/3</f>
        <v>1000</v>
      </c>
      <c r="CU30" s="250">
        <f>Table1[[#This Row],[AchiTot]]/3</f>
        <v>1000</v>
      </c>
      <c r="CV30" s="250">
        <f>Table1[[#This Row],[AchiTot]]/3</f>
        <v>1000</v>
      </c>
      <c r="CW30" s="252">
        <f>IF(Table1[[#This Row],[Rank]]="","",IF(Table1[[#This Row],[Rank]]=1,5100,IF(Table1[[#This Row],[Rank]]=2,4500,IF(Table1[[#This Row],[Rank]]=3,3900,IF(Table1[[#This Row],[Rank]]=4,3750,IF(Table1[[#This Row],[Rank]]=5,3000,IF(Table1[[#This Row],[Rank]]=6,2250,0)))))))</f>
        <v>3000</v>
      </c>
      <c r="CX30" s="250">
        <f>Table1[[#This Row],[UTTot]]/3</f>
        <v>0</v>
      </c>
      <c r="CY30" s="250">
        <f>Table1[[#This Row],[UTTot]]/3</f>
        <v>0</v>
      </c>
      <c r="CZ30" s="250">
        <f>Table1[[#This Row],[UTTot]]/3</f>
        <v>0</v>
      </c>
      <c r="DA30" s="251">
        <f>IF(Table1[[#This Row],[State]]="UT",9000,0)</f>
        <v>0</v>
      </c>
      <c r="DB30" s="250">
        <f>Table1[[#This Row],[WITTot]]/3</f>
        <v>0</v>
      </c>
      <c r="DC30" s="250">
        <f>Table1[[#This Row],[WITTot]]/3</f>
        <v>0</v>
      </c>
      <c r="DD30" s="250">
        <f>Table1[[#This Row],[WITTot]]/3</f>
        <v>0</v>
      </c>
      <c r="DE30" s="251">
        <f>IF(Table1[[#This Row],[Gender]]="Female",3000,0)</f>
        <v>0</v>
      </c>
      <c r="DF30" s="250">
        <f>Table1[[#This Row],[SerTot]]/3</f>
        <v>0</v>
      </c>
      <c r="DG30" s="250">
        <f>Table1[[#This Row],[SerTot]]/3</f>
        <v>0</v>
      </c>
      <c r="DH30" s="250">
        <f>Table1[[#This Row],[SerTot]]/3</f>
        <v>0</v>
      </c>
      <c r="DI30" s="252"/>
      <c r="DJ30" s="250"/>
      <c r="DK30" s="250"/>
      <c r="DL30" s="250"/>
      <c r="DM30" s="252"/>
      <c r="DN30" s="250">
        <f>Table1[[#This Row],[MatTot]]/3</f>
        <v>0</v>
      </c>
      <c r="DO30" s="250">
        <f>Table1[[#This Row],[MatTot]]/3</f>
        <v>0</v>
      </c>
      <c r="DP30" s="250">
        <f>Table1[[#This Row],[MatTot]]/3</f>
        <v>0</v>
      </c>
      <c r="DQ30" s="252">
        <v>0</v>
      </c>
      <c r="DR30" s="250">
        <f>Table1[[#This Row],[OutTot]]/3</f>
        <v>0</v>
      </c>
      <c r="DS30" s="250">
        <f>Table1[[#This Row],[OutTot]]/3</f>
        <v>0</v>
      </c>
      <c r="DT30" s="250">
        <f>Table1[[#This Row],[OutTot]]/3</f>
        <v>0</v>
      </c>
      <c r="DU30" s="252">
        <v>0</v>
      </c>
      <c r="DV30" s="250">
        <v>0</v>
      </c>
      <c r="DW30" s="250">
        <v>0</v>
      </c>
      <c r="DX30" s="250">
        <v>0</v>
      </c>
      <c r="DY30" s="252">
        <f>SUM(Table1[[#This Row],[VAQ1]:[VAQ3]])</f>
        <v>0</v>
      </c>
      <c r="DZ30" s="250">
        <v>0</v>
      </c>
      <c r="EA30" s="250">
        <v>0</v>
      </c>
      <c r="EB30" s="250">
        <v>0</v>
      </c>
      <c r="EC30" s="252">
        <f>SUM(Table1[[#This Row],[OthGrantQ1]:[OthGrantQ3]])</f>
        <v>0</v>
      </c>
      <c r="ED30" s="263">
        <f>Table1[[#This Row],[SEOGTot]]+Table1[[#This Row],[PellTot]]+Table1[[#This Row],[AccessTot]]+Table1[[#This Row],[AchiTot]]+Table1[[#This Row],[UTTot]]+Table1[[#This Row],[WITTot]]+Table1[[#This Row],[SerTot]]+Table1[[#This Row],[TranTot]]+Table1[[#This Row],[MatTot]]+Table1[[#This Row],[OutTot]]+Table1[[#This Row],[VATot]]+Table1[[#This Row],[OthGrantTot]]</f>
        <v>3000</v>
      </c>
      <c r="EE30" s="249"/>
      <c r="EF30" s="237"/>
      <c r="EG30" s="237"/>
      <c r="EH30" s="232">
        <f>SUM(Table1[[#This Row],[CashQ1]]:Table1[[#This Row],[CashQ3]])</f>
        <v>0</v>
      </c>
      <c r="EI30" s="271">
        <f>ROUND((Table1[[#This Row],[SubTot]]/3)/1.01059,0)</f>
        <v>1154</v>
      </c>
      <c r="EJ30" s="234">
        <f>ROUND((Table1[[#This Row],[SubTot]]/3)/1.01059,0)</f>
        <v>1154</v>
      </c>
      <c r="EK30" s="234">
        <f>ROUNDUP((Table1[[#This Row],[SubTot]]/3)/1.01059,0)</f>
        <v>1155</v>
      </c>
      <c r="EL30" s="235">
        <v>3500</v>
      </c>
      <c r="EM30" s="240">
        <f>Table1[[#This Row],[SubTot]]*0.01059</f>
        <v>37.065000000000005</v>
      </c>
      <c r="EN30" s="234">
        <f>ROUND((Table1[[#This Row],[UnsubTot]]/3)/1.01062,0)</f>
        <v>660</v>
      </c>
      <c r="EO30" s="234">
        <f>ROUND((Table1[[#This Row],[UnsubTot]]/3)/1.01062,0)</f>
        <v>660</v>
      </c>
      <c r="EP30" s="234">
        <f>ROUNDDOWN((Table1[[#This Row],[UnsubTot]]/3)/1.01062,0)</f>
        <v>659</v>
      </c>
      <c r="EQ30" s="235">
        <f>IF(Table1[D/I]="I",6000,2000)</f>
        <v>2000</v>
      </c>
      <c r="ER30" s="240">
        <f>Table1[[#This Row],[UnsubTot]]*0.01059</f>
        <v>21.18</v>
      </c>
      <c r="ES30" s="234">
        <f>ROUND((Table1[[#This Row],[PLUSTot]]/3)/1.04236,0)</f>
        <v>0</v>
      </c>
      <c r="ET30" s="234">
        <f>ROUND((Table1[[#This Row],[PLUSTot]]/3)/1.04236,0)</f>
        <v>0</v>
      </c>
      <c r="EU30" s="234">
        <f>ROUND((Table1[[#This Row],[PLUSTot]]/3)/1.04236,0)</f>
        <v>0</v>
      </c>
      <c r="EV30" s="235">
        <v>0</v>
      </c>
      <c r="EW30" s="239">
        <f>Table1[[#This Row],[PLUSTot]]*0.04248</f>
        <v>0</v>
      </c>
      <c r="EX30" s="237"/>
      <c r="EY30" s="237"/>
      <c r="EZ30" s="237"/>
      <c r="FA30" s="232">
        <f>SUM(Table1[[#This Row],[PrivQ1]:[PrivQ3]])</f>
        <v>0</v>
      </c>
      <c r="FB30" s="237"/>
      <c r="FC30" s="237"/>
      <c r="FD30" s="237"/>
      <c r="FE30" s="232">
        <f>SUM(Table1[[#This Row],[TOQ1]:[TOQ3]])</f>
        <v>0</v>
      </c>
      <c r="FF30" s="237"/>
      <c r="FG30" s="237"/>
      <c r="FH30" s="237"/>
      <c r="FI30" s="232">
        <f>SUM(Table1[[#This Row],[OFundQ1]:[OFundQ3]])</f>
        <v>0</v>
      </c>
      <c r="FJ30" s="238">
        <f>(Table1[[#This Row],[SubTot]]-Table1[[#This Row],[SubFee]])+(Table1[[#This Row],[UnsubTot]]-Table1[[#This Row],[UnsubFee]])+(Table1[[#This Row],[PLUSTot]]-Table1[[#This Row],[PLUSFee]])+Table1[[#This Row],[PrivTot]]+Table1[[#This Row],[TOTot]]+Table1[[#This Row],[OFundTot]]</f>
        <v>5441.7550000000001</v>
      </c>
      <c r="FK30" s="125">
        <f>Table1[[#This Row],[CostTot]]-Table1[[#This Row],[GiftTot]]</f>
        <v>36515</v>
      </c>
      <c r="FL30" s="139">
        <f>Table1[[#This Row],[NetNeed]]/(1-0.04248)</f>
        <v>32451.797351491354</v>
      </c>
      <c r="FM30" s="131">
        <f>Table1[[#This Row],[NetCost]]-Table1[[#This Row],[CashTot]]-(Table1[[#This Row],[SubTot]]-Table1[[#This Row],[SubFee]])-(Table1[[#This Row],[UnsubTot]]-Table1[[#This Row],[UnsubFee]])-(Table1[[#This Row],[PLUSTot]]-Table1[[#This Row],[PLUSFee]])-Table1[[#This Row],[PrivTot]]-Table1[[#This Row],[TOTot]]-Table1[[#This Row],[OFundTot]]</f>
        <v>31073.245000000003</v>
      </c>
      <c r="FN30" s="161"/>
      <c r="FO30" s="113"/>
      <c r="FP30" s="113"/>
    </row>
    <row r="31" spans="1:172" s="160" customFormat="1" ht="15" x14ac:dyDescent="0.25">
      <c r="A31" s="267">
        <v>193933</v>
      </c>
      <c r="B31" s="113" t="str">
        <f>VLOOKUP(Table1[[#This Row],[SyStudentId]],SSR!$A$2:$CC$4982,4,FALSE)</f>
        <v>Minix</v>
      </c>
      <c r="C31" s="113" t="str">
        <f>VLOOKUP(Table1[[#This Row],[SyStudentId]],SSR!$A$2:$CC$4982,5,FALSE)</f>
        <v>Haylee</v>
      </c>
      <c r="D31" s="113" t="str">
        <f>VLOOKUP(Table1[[#This Row],[SyStudentId]],SSR!$A$2:$CC$4982,6,FALSE)</f>
        <v>Minix, Haylee</v>
      </c>
      <c r="E31" s="113" t="str">
        <f>CONCATENATE(Table1[[#This Row],[FirstName]]," ",Table1[[#This Row],[LastName]])</f>
        <v>Haylee Minix</v>
      </c>
      <c r="F31" s="112">
        <v>1</v>
      </c>
      <c r="G31" s="114">
        <v>43776</v>
      </c>
      <c r="H31" s="114">
        <v>43776</v>
      </c>
      <c r="I31" s="114">
        <v>43776</v>
      </c>
      <c r="J31" s="115"/>
      <c r="K31" s="116" t="s">
        <v>708</v>
      </c>
      <c r="L31" s="112" t="str">
        <f>IFERROR(VLOOKUP(Table1[[#This Row],[SyStudentId]],ISIR!$A$2:$X$999,11,FALSE),"")</f>
        <v/>
      </c>
      <c r="M31" s="113" t="str">
        <f>VLOOKUP(Table1[[#This Row],[SyStudentId]],SSR!$A$2:$CC$4982,7,FALSE)</f>
        <v>hayleeminix@gmail.com</v>
      </c>
      <c r="N31" s="113" t="str">
        <f>VLOOKUP(Table1[[#This Row],[SyStudentId]],SSR!$A$2:$CC$4982,8,FALSE)</f>
        <v>256 April Way</v>
      </c>
      <c r="O31" s="113" t="str">
        <f>VLOOKUP(Table1[[#This Row],[SyStudentId]],SSR!$A$2:$CC$4982,9,FALSE)</f>
        <v>Winchester</v>
      </c>
      <c r="P31" s="113" t="str">
        <f>VLOOKUP(Table1[[#This Row],[SyStudentId]],SSR!$A$2:$CC$4982,10,FALSE)</f>
        <v>KY</v>
      </c>
      <c r="Q31" s="117" t="str">
        <f>VLOOKUP(Table1[[#This Row],[SyStudentId]],SSR!$A$2:$CC$4982,11,FALSE)</f>
        <v>40391-8347</v>
      </c>
      <c r="R31" s="118">
        <f>VLOOKUP(Table1[[#This Row],[SyStudentId]],SSR!$A$2:$CC$4982,15,FALSE)</f>
        <v>3.6</v>
      </c>
      <c r="S31" s="119">
        <f>VLOOKUP(Table1[[#This Row],[SyStudentId]],SSR!$A$2:$CC$4982,22,FALSE)</f>
        <v>44109</v>
      </c>
      <c r="T31" s="113" t="str">
        <f>VLOOKUP(Table1[[#This Row],[SyStudentId]],SSR!$A$2:$CC$4982,24,FALSE)</f>
        <v>GM</v>
      </c>
      <c r="U31" s="113" t="str">
        <f>IF(VLOOKUP(Table1[[#This Row],[SyStudentId]],SSR!$A$2:$CC$4982,26,FALSE)=0,"Not Selected",VLOOKUP(Table1[[#This Row],[SyStudentId]],SSR!$A$2:$CC$4982,26,FALSE))</f>
        <v>Female</v>
      </c>
      <c r="V31" s="113" t="str">
        <f>VLOOKUP(Table1[[#This Row],[SyStudentId]],SSR!$A$2:$CC$4982,27,FALSE)</f>
        <v xml:space="preserve">HS2020  </v>
      </c>
      <c r="W31" s="113" t="str">
        <f>VLOOKUP(LEFT(Table1[[#This Row],[LastName]],1),Alpha!$A$1:$B$26,2,FALSE)</f>
        <v>Maureen Ranks</v>
      </c>
      <c r="X31" s="149" t="str">
        <f>VLOOKUP(Table1[[#This Row],[FAA]],Alpha!$B$1:$D$26,2,FALSE)</f>
        <v>mranks@neumont.edu</v>
      </c>
      <c r="Y31" s="113">
        <f>VLOOKUP(Table1[[#This Row],[FAA]],Alpha!$B$1:$D$26,3,FALSE)</f>
        <v>8883022894</v>
      </c>
      <c r="Z31" s="113" t="str">
        <f>VLOOKUP(Table1[[#This Row],[SyStudentId]],SSR!$A$2:$CC$4982,30,FALSE)</f>
        <v>16-Accepted</v>
      </c>
      <c r="AA31" s="113" t="str">
        <f>IF(VLOOKUP(Table1[[#This Row],[SyStudentId]],SSR!$A$2:$CC$4982,36,FALSE)="Bachelor of Science","BS Computer Science","Check Program")</f>
        <v>BS Computer Science</v>
      </c>
      <c r="AB31" s="113" t="str">
        <f>VLOOKUP(Table1[[#This Row],[SyStudentId]],SSR!$A$2:$CC$4982,37,FALSE)</f>
        <v xml:space="preserve">22      </v>
      </c>
      <c r="AC31" s="113">
        <f>VLOOKUP(Table1[[#This Row],[SyStudentId]],SSR!$A$2:$CC$4982,42,FALSE)</f>
        <v>0</v>
      </c>
      <c r="AD31" s="113" t="str">
        <f>VLOOKUP(Table1[[#This Row],[SyStudentId]],SSR!$A$2:$CC$4982,46,FALSE)</f>
        <v>110</v>
      </c>
      <c r="AE31" s="113" t="str">
        <f>VLOOKUP(Table1[[#This Row],[SyStudentId]],SSR!$A$2:$CC$4982,65,FALSE)</f>
        <v>III</v>
      </c>
      <c r="AF31"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31" s="113" t="str">
        <f>VLOOKUP(Table1[[#This Row],[SyStudentId]],SSR!$A$2:$CC$4982,66,FALSE)</f>
        <v>July-October</v>
      </c>
      <c r="AH31" s="113" t="str">
        <f>IFERROR(VLOOKUP(Table1[[#This Row],[SyStudentId]],ISIR!$A$2:$X$999,7,FALSE),"")</f>
        <v/>
      </c>
      <c r="AI31" s="121" t="str">
        <f>IF(Table1[[#This Row],[EFCRaw]]="","",IF(Table1[[#This Row],[EFCRaw]]="No EFC","No EFC",_xlfn.NUMBERVALUE(Table1[[#This Row],[EFCRaw]])))</f>
        <v/>
      </c>
      <c r="AJ31" s="119" t="str">
        <f>IFERROR(VLOOKUP(Table1[[#This Row],[SyStudentId]],ISIR!$A$2:$X$4999,19,FALSE),"")</f>
        <v/>
      </c>
      <c r="AK31" s="113" t="str">
        <f>IFERROR(VLOOKUP(Table1[[#This Row],[SyStudentId]],ISIR!$A$2:$X$4999,8,FALSE),"")</f>
        <v/>
      </c>
      <c r="AL31" s="132" t="str">
        <f>IF(Table1[[#This Row],[VerReq]]="N","n/a","")</f>
        <v/>
      </c>
      <c r="AM31" s="122"/>
      <c r="AN31" s="122"/>
      <c r="AO31" s="122"/>
      <c r="AP31" s="122"/>
      <c r="AQ31" s="122"/>
      <c r="AR31" s="122"/>
      <c r="AS31" s="122"/>
      <c r="AT31" s="122"/>
      <c r="AU31" s="122"/>
      <c r="AV31" s="122"/>
      <c r="AW31" s="122"/>
      <c r="AX31" s="122"/>
      <c r="AY31" s="122"/>
      <c r="AZ31" s="122"/>
      <c r="BA31" s="122"/>
      <c r="BB31" s="122"/>
      <c r="BC31" s="133"/>
      <c r="BD31" s="140" t="str">
        <f>IF(Table1[[#This Row],[VerReq]]="N","x","")</f>
        <v/>
      </c>
      <c r="BE31" s="140" t="str">
        <f>IF(Table1[[#This Row],[VerReq]]="N","x","")</f>
        <v/>
      </c>
      <c r="BF31" s="140" t="str">
        <f>IF(Table1[[#This Row],[VerReq]]="N","x","")</f>
        <v/>
      </c>
      <c r="BG31" s="140" t="str">
        <f>IF(Table1[[#This Row],[VerReq]]="N","x","")</f>
        <v/>
      </c>
      <c r="BH31" s="140" t="str">
        <f>IF(Table1[[#This Row],[VerReq]]="N","x","")</f>
        <v/>
      </c>
      <c r="BI31" s="140" t="str">
        <f>IF(Table1[[#This Row],[VerReq]]="N","x","")</f>
        <v/>
      </c>
      <c r="BJ31" s="134">
        <f>1-((COUNTBLANK(Table1[[#This Row],[ALESent]:[TaxTran]]))/(COUNT(Table1[[#This Row],[ALESent]:[TaxTran]])+COUNTBLANK(Table1[[#This Row],[ALESent]:[TaxTran]])))</f>
        <v>0</v>
      </c>
      <c r="BK31" s="136">
        <f>IF(VLOOKUP(Table1[[#This Row],[SyStudentId]],SSR!$A$2:$CC$4982,22,FALSE)=44109,44109,"Check Program")</f>
        <v>44109</v>
      </c>
      <c r="BL31" s="124">
        <f>IF(Table1[[#This Row],[AYStart]]=44109,44356,"Check Program")</f>
        <v>44356</v>
      </c>
      <c r="BM31" s="219">
        <v>8505</v>
      </c>
      <c r="BN31" s="219">
        <v>8505</v>
      </c>
      <c r="BO31" s="219">
        <v>8505</v>
      </c>
      <c r="BP31" s="220">
        <f t="shared" si="0"/>
        <v>25515</v>
      </c>
      <c r="BQ31" s="221">
        <v>3300</v>
      </c>
      <c r="BR31" s="219">
        <v>400</v>
      </c>
      <c r="BS31" s="219">
        <v>400</v>
      </c>
      <c r="BT31" s="220">
        <f t="shared" si="1"/>
        <v>4100</v>
      </c>
      <c r="BU31" s="219">
        <v>2100</v>
      </c>
      <c r="BV31" s="219">
        <v>2100</v>
      </c>
      <c r="BW31" s="219">
        <v>2100</v>
      </c>
      <c r="BX31" s="220">
        <f t="shared" si="2"/>
        <v>6300</v>
      </c>
      <c r="BY31" s="275">
        <v>1200</v>
      </c>
      <c r="BZ31" s="275">
        <v>1200</v>
      </c>
      <c r="CA31" s="275">
        <v>1200</v>
      </c>
      <c r="CB31" s="220">
        <f>SUM(Table1[[#This Row],[LEQ1]:[LEQ3]])</f>
        <v>3600</v>
      </c>
      <c r="CC31" s="275">
        <v>0</v>
      </c>
      <c r="CD31" s="275">
        <v>0</v>
      </c>
      <c r="CE31" s="275">
        <v>0</v>
      </c>
      <c r="CF31" s="220">
        <f>SUM(Table1[[#This Row],[OthCostQ1]:[OthCostQ3]])</f>
        <v>0</v>
      </c>
      <c r="CG31" s="220">
        <f>(Table1[[#This Row],[T&amp;FTot]]+Table1[[#This Row],[B&amp;STot]]+Table1[[#This Row],[HousTot]]+Table1[[#This Row],[LETot]]+Table1[[#This Row],[OthCostTot]])</f>
        <v>39515</v>
      </c>
      <c r="CH31" s="250"/>
      <c r="CI31" s="250"/>
      <c r="CJ31" s="250"/>
      <c r="CK31" s="251">
        <f>SUM(Table1[[#This Row],[SEOGQ1]:[SEOGQ3]])</f>
        <v>0</v>
      </c>
      <c r="CL31" s="250">
        <f>IFERROR(ROUNDUP(Table1[[#This Row],[PellTot]]/3,0),0)</f>
        <v>0</v>
      </c>
      <c r="CM31" s="250">
        <f>IFERROR(ROUND(Table1[[#This Row],[PellTot]]/3,0),0)</f>
        <v>0</v>
      </c>
      <c r="CN31" s="250">
        <f>IFERROR(ROUNDDOWN(Table1[[#This Row],[PellTot]]/3,0),0)</f>
        <v>0</v>
      </c>
      <c r="CO31" s="251">
        <f>IFERROR(LOOKUP(Table1[EFC],Pell_Table[#Data],Pell_Table[Pell Amt]),0)</f>
        <v>0</v>
      </c>
      <c r="CP31" s="250">
        <f>Table1[[#This Row],[AccessTot]]/3</f>
        <v>0</v>
      </c>
      <c r="CQ31" s="250">
        <f>Table1[[#This Row],[AccessTot]]/3</f>
        <v>0</v>
      </c>
      <c r="CR31" s="250">
        <f>Table1[[#This Row],[AccessTot]]/3</f>
        <v>0</v>
      </c>
      <c r="CS31" s="251">
        <f>IF(Table1[[#This Row],[PellTot]]&gt;0,1500,0)</f>
        <v>0</v>
      </c>
      <c r="CT31" s="250">
        <f>Table1[[#This Row],[AchiTot]]/3</f>
        <v>1300</v>
      </c>
      <c r="CU31" s="250">
        <f>Table1[[#This Row],[AchiTot]]/3</f>
        <v>1300</v>
      </c>
      <c r="CV31" s="250">
        <f>Table1[[#This Row],[AchiTot]]/3</f>
        <v>1300</v>
      </c>
      <c r="CW31" s="252">
        <f>IF(Table1[[#This Row],[Rank]]="","",IF(Table1[[#This Row],[Rank]]=1,5100,IF(Table1[[#This Row],[Rank]]=2,4500,IF(Table1[[#This Row],[Rank]]=3,3900,IF(Table1[[#This Row],[Rank]]=4,3750,IF(Table1[[#This Row],[Rank]]=5,3000,IF(Table1[[#This Row],[Rank]]=6,2250,0)))))))</f>
        <v>3900</v>
      </c>
      <c r="CX31" s="250">
        <f>Table1[[#This Row],[UTTot]]/3</f>
        <v>0</v>
      </c>
      <c r="CY31" s="250">
        <f>Table1[[#This Row],[UTTot]]/3</f>
        <v>0</v>
      </c>
      <c r="CZ31" s="250">
        <f>Table1[[#This Row],[UTTot]]/3</f>
        <v>0</v>
      </c>
      <c r="DA31" s="251">
        <f>IF(Table1[[#This Row],[State]]="UT",9000,0)</f>
        <v>0</v>
      </c>
      <c r="DB31" s="250">
        <f>Table1[[#This Row],[WITTot]]/3</f>
        <v>1000</v>
      </c>
      <c r="DC31" s="250">
        <f>Table1[[#This Row],[WITTot]]/3</f>
        <v>1000</v>
      </c>
      <c r="DD31" s="250">
        <f>Table1[[#This Row],[WITTot]]/3</f>
        <v>1000</v>
      </c>
      <c r="DE31" s="251">
        <f>IF(Table1[[#This Row],[Gender]]="Female",3000,0)</f>
        <v>3000</v>
      </c>
      <c r="DF31" s="250">
        <f>Table1[[#This Row],[SerTot]]/3</f>
        <v>0</v>
      </c>
      <c r="DG31" s="250">
        <f>Table1[[#This Row],[SerTot]]/3</f>
        <v>0</v>
      </c>
      <c r="DH31" s="250">
        <f>Table1[[#This Row],[SerTot]]/3</f>
        <v>0</v>
      </c>
      <c r="DI31" s="252"/>
      <c r="DJ31" s="250"/>
      <c r="DK31" s="250"/>
      <c r="DL31" s="250"/>
      <c r="DM31" s="252"/>
      <c r="DN31" s="250">
        <f>Table1[[#This Row],[MatTot]]/3</f>
        <v>0</v>
      </c>
      <c r="DO31" s="250">
        <f>Table1[[#This Row],[MatTot]]/3</f>
        <v>0</v>
      </c>
      <c r="DP31" s="250">
        <f>Table1[[#This Row],[MatTot]]/3</f>
        <v>0</v>
      </c>
      <c r="DQ31" s="252">
        <v>0</v>
      </c>
      <c r="DR31" s="250">
        <f>Table1[[#This Row],[OutTot]]/3</f>
        <v>0</v>
      </c>
      <c r="DS31" s="250">
        <f>Table1[[#This Row],[OutTot]]/3</f>
        <v>0</v>
      </c>
      <c r="DT31" s="250">
        <f>Table1[[#This Row],[OutTot]]/3</f>
        <v>0</v>
      </c>
      <c r="DU31" s="252">
        <v>0</v>
      </c>
      <c r="DV31" s="250">
        <v>0</v>
      </c>
      <c r="DW31" s="250">
        <v>0</v>
      </c>
      <c r="DX31" s="250">
        <v>0</v>
      </c>
      <c r="DY31" s="252">
        <f>SUM(Table1[[#This Row],[VAQ1]:[VAQ3]])</f>
        <v>0</v>
      </c>
      <c r="DZ31" s="250">
        <v>0</v>
      </c>
      <c r="EA31" s="250">
        <v>0</v>
      </c>
      <c r="EB31" s="250">
        <v>0</v>
      </c>
      <c r="EC31" s="252">
        <f>SUM(Table1[[#This Row],[OthGrantQ1]:[OthGrantQ3]])</f>
        <v>0</v>
      </c>
      <c r="ED31" s="263">
        <f>Table1[[#This Row],[SEOGTot]]+Table1[[#This Row],[PellTot]]+Table1[[#This Row],[AccessTot]]+Table1[[#This Row],[AchiTot]]+Table1[[#This Row],[UTTot]]+Table1[[#This Row],[WITTot]]+Table1[[#This Row],[SerTot]]+Table1[[#This Row],[TranTot]]+Table1[[#This Row],[MatTot]]+Table1[[#This Row],[OutTot]]+Table1[[#This Row],[VATot]]+Table1[[#This Row],[OthGrantTot]]</f>
        <v>6900</v>
      </c>
      <c r="EE31" s="249"/>
      <c r="EF31" s="237"/>
      <c r="EG31" s="237"/>
      <c r="EH31" s="232">
        <f>SUM(Table1[[#This Row],[CashQ1]]:Table1[[#This Row],[CashQ3]])</f>
        <v>0</v>
      </c>
      <c r="EI31" s="271">
        <f>ROUND((Table1[[#This Row],[SubTot]]/3)/1.01059,0)</f>
        <v>1154</v>
      </c>
      <c r="EJ31" s="234">
        <f>ROUND((Table1[[#This Row],[SubTot]]/3)/1.01059,0)</f>
        <v>1154</v>
      </c>
      <c r="EK31" s="234">
        <f>ROUNDUP((Table1[[#This Row],[SubTot]]/3)/1.01059,0)</f>
        <v>1155</v>
      </c>
      <c r="EL31" s="235">
        <v>3500</v>
      </c>
      <c r="EM31" s="240">
        <f>Table1[[#This Row],[SubTot]]*0.01059</f>
        <v>37.065000000000005</v>
      </c>
      <c r="EN31" s="234">
        <f>ROUND((Table1[[#This Row],[UnsubTot]]/3)/1.01062,0)</f>
        <v>660</v>
      </c>
      <c r="EO31" s="234">
        <f>ROUND((Table1[[#This Row],[UnsubTot]]/3)/1.01062,0)</f>
        <v>660</v>
      </c>
      <c r="EP31" s="234">
        <f>ROUNDDOWN((Table1[[#This Row],[UnsubTot]]/3)/1.01062,0)</f>
        <v>659</v>
      </c>
      <c r="EQ31" s="235">
        <f>IF(Table1[D/I]="I",6000,2000)</f>
        <v>2000</v>
      </c>
      <c r="ER31" s="240">
        <f>Table1[[#This Row],[UnsubTot]]*0.01059</f>
        <v>21.18</v>
      </c>
      <c r="ES31" s="234">
        <f>ROUND((Table1[[#This Row],[PLUSTot]]/3)/1.04236,0)</f>
        <v>0</v>
      </c>
      <c r="ET31" s="234">
        <f>ROUND((Table1[[#This Row],[PLUSTot]]/3)/1.04236,0)</f>
        <v>0</v>
      </c>
      <c r="EU31" s="234">
        <f>ROUND((Table1[[#This Row],[PLUSTot]]/3)/1.04236,0)</f>
        <v>0</v>
      </c>
      <c r="EV31" s="235">
        <v>0</v>
      </c>
      <c r="EW31" s="239">
        <f>Table1[[#This Row],[PLUSTot]]*0.04248</f>
        <v>0</v>
      </c>
      <c r="EX31" s="237"/>
      <c r="EY31" s="237"/>
      <c r="EZ31" s="237"/>
      <c r="FA31" s="232">
        <f>SUM(Table1[[#This Row],[PrivQ1]:[PrivQ3]])</f>
        <v>0</v>
      </c>
      <c r="FB31" s="237"/>
      <c r="FC31" s="237"/>
      <c r="FD31" s="237"/>
      <c r="FE31" s="232">
        <f>SUM(Table1[[#This Row],[TOQ1]:[TOQ3]])</f>
        <v>0</v>
      </c>
      <c r="FF31" s="237"/>
      <c r="FG31" s="237"/>
      <c r="FH31" s="237"/>
      <c r="FI31" s="232">
        <f>SUM(Table1[[#This Row],[OFundQ1]:[OFundQ3]])</f>
        <v>0</v>
      </c>
      <c r="FJ31" s="238">
        <f>(Table1[[#This Row],[SubTot]]-Table1[[#This Row],[SubFee]])+(Table1[[#This Row],[UnsubTot]]-Table1[[#This Row],[UnsubFee]])+(Table1[[#This Row],[PLUSTot]]-Table1[[#This Row],[PLUSFee]])+Table1[[#This Row],[PrivTot]]+Table1[[#This Row],[TOTot]]+Table1[[#This Row],[OFundTot]]</f>
        <v>5441.7550000000001</v>
      </c>
      <c r="FK31" s="125">
        <f>Table1[[#This Row],[CostTot]]-Table1[[#This Row],[GiftTot]]</f>
        <v>32615</v>
      </c>
      <c r="FL31" s="139">
        <f>Table1[[#This Row],[NetNeed]]/(1-0.04248)</f>
        <v>28378.775378059985</v>
      </c>
      <c r="FM31" s="131">
        <f>Table1[[#This Row],[NetCost]]-Table1[[#This Row],[CashTot]]-(Table1[[#This Row],[SubTot]]-Table1[[#This Row],[SubFee]])-(Table1[[#This Row],[UnsubTot]]-Table1[[#This Row],[UnsubFee]])-(Table1[[#This Row],[PLUSTot]]-Table1[[#This Row],[PLUSFee]])-Table1[[#This Row],[PrivTot]]-Table1[[#This Row],[TOTot]]-Table1[[#This Row],[OFundTot]]</f>
        <v>27173.244999999999</v>
      </c>
      <c r="FN31" s="161"/>
      <c r="FO31" s="113"/>
      <c r="FP31" s="113"/>
    </row>
    <row r="32" spans="1:172" s="160" customFormat="1" ht="15" x14ac:dyDescent="0.25">
      <c r="A32" s="267">
        <v>193767</v>
      </c>
      <c r="B32" s="113" t="str">
        <f>VLOOKUP(Table1[[#This Row],[SyStudentId]],SSR!$A$2:$CC$4982,4,FALSE)</f>
        <v>Modi</v>
      </c>
      <c r="C32" s="113" t="str">
        <f>VLOOKUP(Table1[[#This Row],[SyStudentId]],SSR!$A$2:$CC$4982,5,FALSE)</f>
        <v>Vraj</v>
      </c>
      <c r="D32" s="113" t="str">
        <f>VLOOKUP(Table1[[#This Row],[SyStudentId]],SSR!$A$2:$CC$4982,6,FALSE)</f>
        <v>Modi, Vraj</v>
      </c>
      <c r="E32" s="113" t="str">
        <f>CONCATENATE(Table1[[#This Row],[FirstName]]," ",Table1[[#This Row],[LastName]])</f>
        <v>Vraj Modi</v>
      </c>
      <c r="F32" s="112">
        <v>1</v>
      </c>
      <c r="G32" s="114"/>
      <c r="H32" s="114"/>
      <c r="I32" s="114">
        <v>43781</v>
      </c>
      <c r="J32" s="115"/>
      <c r="K32" s="116"/>
      <c r="L32" s="112" t="str">
        <f>IFERROR(VLOOKUP(Table1[[#This Row],[SyStudentId]],ISIR!$A$2:$X$999,11,FALSE),"")</f>
        <v>D</v>
      </c>
      <c r="M32" s="113" t="str">
        <f>VLOOKUP(Table1[[#This Row],[SyStudentId]],SSR!$A$2:$CC$4982,7,FALSE)</f>
        <v>vrajmodi70@gmail.com</v>
      </c>
      <c r="N32" s="113" t="str">
        <f>VLOOKUP(Table1[[#This Row],[SyStudentId]],SSR!$A$2:$CC$4982,8,FALSE)</f>
        <v>112 Long Beach Dr.</v>
      </c>
      <c r="O32" s="113" t="str">
        <f>VLOOKUP(Table1[[#This Row],[SyStudentId]],SSR!$A$2:$CC$4982,9,FALSE)</f>
        <v>Hot Springs</v>
      </c>
      <c r="P32" s="292" t="str">
        <f>VLOOKUP(Table1[[#This Row],[SyStudentId]],SSR!$A$2:$CC$4982,10,FALSE)</f>
        <v>AR</v>
      </c>
      <c r="Q32" s="117" t="str">
        <f>VLOOKUP(Table1[[#This Row],[SyStudentId]],SSR!$A$2:$CC$4982,11,FALSE)</f>
        <v xml:space="preserve">71913     </v>
      </c>
      <c r="R32" s="118">
        <f>VLOOKUP(Table1[[#This Row],[SyStudentId]],SSR!$A$2:$CC$4982,15,FALSE)</f>
        <v>3.65</v>
      </c>
      <c r="S32" s="119">
        <f>VLOOKUP(Table1[[#This Row],[SyStudentId]],SSR!$A$2:$CC$4982,22,FALSE)</f>
        <v>44109</v>
      </c>
      <c r="T32" s="113" t="str">
        <f>VLOOKUP(Table1[[#This Row],[SyStudentId]],SSR!$A$2:$CC$4982,24,FALSE)</f>
        <v>JT</v>
      </c>
      <c r="U32" s="113" t="str">
        <f>IF(VLOOKUP(Table1[[#This Row],[SyStudentId]],SSR!$A$2:$CC$4982,26,FALSE)=0,"Not Selected",VLOOKUP(Table1[[#This Row],[SyStudentId]],SSR!$A$2:$CC$4982,26,FALSE))</f>
        <v>Male</v>
      </c>
      <c r="V32" s="113" t="str">
        <f>VLOOKUP(Table1[[#This Row],[SyStudentId]],SSR!$A$2:$CC$4982,27,FALSE)</f>
        <v xml:space="preserve">HS2020  </v>
      </c>
      <c r="W32" s="113" t="str">
        <f>VLOOKUP(LEFT(Table1[[#This Row],[LastName]],1),Alpha!$A$1:$B$26,2,FALSE)</f>
        <v>Maureen Ranks</v>
      </c>
      <c r="X32" s="149" t="str">
        <f>VLOOKUP(Table1[[#This Row],[FAA]],Alpha!$B$1:$D$26,2,FALSE)</f>
        <v>mranks@neumont.edu</v>
      </c>
      <c r="Y32" s="113">
        <f>VLOOKUP(Table1[[#This Row],[FAA]],Alpha!$B$1:$D$26,3,FALSE)</f>
        <v>8883022894</v>
      </c>
      <c r="Z32" s="113" t="str">
        <f>VLOOKUP(Table1[[#This Row],[SyStudentId]],SSR!$A$2:$CC$4982,30,FALSE)</f>
        <v>16-Accepted</v>
      </c>
      <c r="AA32" s="113" t="str">
        <f>IF(VLOOKUP(Table1[[#This Row],[SyStudentId]],SSR!$A$2:$CC$4982,36,FALSE)="Bachelor of Science","BS Computer Science","Check Program")</f>
        <v>BS Computer Science</v>
      </c>
      <c r="AB32" s="113" t="str">
        <f>VLOOKUP(Table1[[#This Row],[SyStudentId]],SSR!$A$2:$CC$4982,37,FALSE)</f>
        <v xml:space="preserve">27      </v>
      </c>
      <c r="AC32" s="113">
        <f>VLOOKUP(Table1[[#This Row],[SyStudentId]],SSR!$A$2:$CC$4982,42,FALSE)</f>
        <v>0</v>
      </c>
      <c r="AD32" s="113" t="str">
        <f>VLOOKUP(Table1[[#This Row],[SyStudentId]],SSR!$A$2:$CC$4982,46,FALSE)</f>
        <v>119</v>
      </c>
      <c r="AE32" s="113" t="str">
        <f>VLOOKUP(Table1[[#This Row],[SyStudentId]],SSR!$A$2:$CC$4982,65,FALSE)</f>
        <v>I</v>
      </c>
      <c r="AF32"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32" s="113" t="str">
        <f>VLOOKUP(Table1[[#This Row],[SyStudentId]],SSR!$A$2:$CC$4982,66,FALSE)</f>
        <v>July-October</v>
      </c>
      <c r="AH32" s="113" t="str">
        <f>IFERROR(VLOOKUP(Table1[[#This Row],[SyStudentId]],ISIR!$A$2:$X$999,7,FALSE),"")</f>
        <v>021496</v>
      </c>
      <c r="AI32" s="121">
        <f>IF(Table1[[#This Row],[EFCRaw]]="","",IF(Table1[[#This Row],[EFCRaw]]="No EFC","No EFC",_xlfn.NUMBERVALUE(Table1[[#This Row],[EFCRaw]])))</f>
        <v>21496</v>
      </c>
      <c r="AJ32" s="119">
        <f>IFERROR(VLOOKUP(Table1[[#This Row],[SyStudentId]],ISIR!$A$2:$X$4999,19,FALSE),"")</f>
        <v>43774</v>
      </c>
      <c r="AK32" s="113" t="str">
        <f>IFERROR(VLOOKUP(Table1[[#This Row],[SyStudentId]],ISIR!$A$2:$X$4999,8,FALSE),"")</f>
        <v>N</v>
      </c>
      <c r="AL32" s="132" t="str">
        <f>IF(Table1[[#This Row],[VerReq]]="N","n/a","")</f>
        <v>n/a</v>
      </c>
      <c r="AM32" s="122"/>
      <c r="AN32" s="122"/>
      <c r="AO32" s="122"/>
      <c r="AP32" s="122"/>
      <c r="AQ32" s="122"/>
      <c r="AR32" s="122"/>
      <c r="AS32" s="122"/>
      <c r="AT32" s="122"/>
      <c r="AU32" s="122"/>
      <c r="AV32" s="122"/>
      <c r="AW32" s="122"/>
      <c r="AX32" s="122"/>
      <c r="AY32" s="122"/>
      <c r="AZ32" s="122"/>
      <c r="BA32" s="122"/>
      <c r="BB32" s="122"/>
      <c r="BC32" s="133"/>
      <c r="BD32" s="140" t="str">
        <f>IF(Table1[[#This Row],[VerReq]]="N","x","")</f>
        <v>x</v>
      </c>
      <c r="BE32" s="140" t="str">
        <f>IF(Table1[[#This Row],[VerReq]]="N","x","")</f>
        <v>x</v>
      </c>
      <c r="BF32" s="140" t="str">
        <f>IF(Table1[[#This Row],[VerReq]]="N","x","")</f>
        <v>x</v>
      </c>
      <c r="BG32" s="140" t="str">
        <f>IF(Table1[[#This Row],[VerReq]]="N","x","")</f>
        <v>x</v>
      </c>
      <c r="BH32" s="140" t="str">
        <f>IF(Table1[[#This Row],[VerReq]]="N","x","")</f>
        <v>x</v>
      </c>
      <c r="BI32" s="140" t="str">
        <f>IF(Table1[[#This Row],[VerReq]]="N","x","")</f>
        <v>x</v>
      </c>
      <c r="BJ32" s="134">
        <f>1-((COUNTBLANK(Table1[[#This Row],[ALESent]:[TaxTran]]))/(COUNT(Table1[[#This Row],[ALESent]:[TaxTran]])+COUNTBLANK(Table1[[#This Row],[ALESent]:[TaxTran]])))</f>
        <v>0</v>
      </c>
      <c r="BK32" s="136">
        <f>IF(VLOOKUP(Table1[[#This Row],[SyStudentId]],SSR!$A$2:$CC$4982,22,FALSE)=44109,44109,"Check Program")</f>
        <v>44109</v>
      </c>
      <c r="BL32" s="124">
        <f>IF(Table1[[#This Row],[AYStart]]=44109,44356,"Check Program")</f>
        <v>44356</v>
      </c>
      <c r="BM32" s="219">
        <v>8505</v>
      </c>
      <c r="BN32" s="219">
        <v>8505</v>
      </c>
      <c r="BO32" s="219">
        <v>8505</v>
      </c>
      <c r="BP32" s="220">
        <f t="shared" si="0"/>
        <v>25515</v>
      </c>
      <c r="BQ32" s="221">
        <v>3300</v>
      </c>
      <c r="BR32" s="219">
        <v>400</v>
      </c>
      <c r="BS32" s="219">
        <v>400</v>
      </c>
      <c r="BT32" s="220">
        <f t="shared" si="1"/>
        <v>4100</v>
      </c>
      <c r="BU32" s="219">
        <v>2100</v>
      </c>
      <c r="BV32" s="219">
        <v>2100</v>
      </c>
      <c r="BW32" s="219">
        <v>2100</v>
      </c>
      <c r="BX32" s="220">
        <f t="shared" si="2"/>
        <v>6300</v>
      </c>
      <c r="BY32" s="275">
        <v>1200</v>
      </c>
      <c r="BZ32" s="275">
        <v>1200</v>
      </c>
      <c r="CA32" s="275">
        <v>1200</v>
      </c>
      <c r="CB32" s="220">
        <f>SUM(Table1[[#This Row],[LEQ1]:[LEQ3]])</f>
        <v>3600</v>
      </c>
      <c r="CC32" s="275">
        <v>0</v>
      </c>
      <c r="CD32" s="275">
        <v>0</v>
      </c>
      <c r="CE32" s="275">
        <v>0</v>
      </c>
      <c r="CF32" s="220">
        <f>SUM(Table1[[#This Row],[OthCostQ1]:[OthCostQ3]])</f>
        <v>0</v>
      </c>
      <c r="CG32" s="220">
        <f>(Table1[[#This Row],[T&amp;FTot]]+Table1[[#This Row],[B&amp;STot]]+Table1[[#This Row],[HousTot]]+Table1[[#This Row],[LETot]]+Table1[[#This Row],[OthCostTot]])</f>
        <v>39515</v>
      </c>
      <c r="CH32" s="250"/>
      <c r="CI32" s="250"/>
      <c r="CJ32" s="250"/>
      <c r="CK32" s="251">
        <f>SUM(Table1[[#This Row],[SEOGQ1]:[SEOGQ3]])</f>
        <v>0</v>
      </c>
      <c r="CL32" s="250">
        <f>IFERROR(ROUNDUP(Table1[[#This Row],[PellTot]]/3,0),0)</f>
        <v>0</v>
      </c>
      <c r="CM32" s="250">
        <f>IFERROR(ROUND(Table1[[#This Row],[PellTot]]/3,0),0)</f>
        <v>0</v>
      </c>
      <c r="CN32" s="250">
        <f>IFERROR(ROUNDDOWN(Table1[[#This Row],[PellTot]]/3,0),0)</f>
        <v>0</v>
      </c>
      <c r="CO32" s="251">
        <f>IFERROR(LOOKUP(Table1[EFC],Pell_Table[#Data],Pell_Table[Pell Amt]),0)</f>
        <v>0</v>
      </c>
      <c r="CP32" s="250">
        <f>Table1[[#This Row],[AccessTot]]/3</f>
        <v>0</v>
      </c>
      <c r="CQ32" s="250">
        <f>Table1[[#This Row],[AccessTot]]/3</f>
        <v>0</v>
      </c>
      <c r="CR32" s="250">
        <f>Table1[[#This Row],[AccessTot]]/3</f>
        <v>0</v>
      </c>
      <c r="CS32" s="251">
        <f>IF(Table1[[#This Row],[PellTot]]&gt;0,1500,0)</f>
        <v>0</v>
      </c>
      <c r="CT32" s="250">
        <f>Table1[[#This Row],[AchiTot]]/3</f>
        <v>1700</v>
      </c>
      <c r="CU32" s="250">
        <f>Table1[[#This Row],[AchiTot]]/3</f>
        <v>1700</v>
      </c>
      <c r="CV32" s="250">
        <f>Table1[[#This Row],[AchiTot]]/3</f>
        <v>1700</v>
      </c>
      <c r="CW32" s="252">
        <f>IF(Table1[[#This Row],[Rank]]="","",IF(Table1[[#This Row],[Rank]]=1,5100,IF(Table1[[#This Row],[Rank]]=2,4500,IF(Table1[[#This Row],[Rank]]=3,3900,IF(Table1[[#This Row],[Rank]]=4,3750,IF(Table1[[#This Row],[Rank]]=5,3000,IF(Table1[[#This Row],[Rank]]=6,2250,0)))))))</f>
        <v>5100</v>
      </c>
      <c r="CX32" s="250">
        <f>Table1[[#This Row],[UTTot]]/3</f>
        <v>0</v>
      </c>
      <c r="CY32" s="250">
        <f>Table1[[#This Row],[UTTot]]/3</f>
        <v>0</v>
      </c>
      <c r="CZ32" s="250">
        <f>Table1[[#This Row],[UTTot]]/3</f>
        <v>0</v>
      </c>
      <c r="DA32" s="251">
        <f>IF(Table1[[#This Row],[State]]="UT",9000,0)</f>
        <v>0</v>
      </c>
      <c r="DB32" s="250">
        <f>Table1[[#This Row],[WITTot]]/3</f>
        <v>0</v>
      </c>
      <c r="DC32" s="250">
        <f>Table1[[#This Row],[WITTot]]/3</f>
        <v>0</v>
      </c>
      <c r="DD32" s="250">
        <f>Table1[[#This Row],[WITTot]]/3</f>
        <v>0</v>
      </c>
      <c r="DE32" s="251">
        <f>IF(Table1[[#This Row],[Gender]]="Female",3000,0)</f>
        <v>0</v>
      </c>
      <c r="DF32" s="250">
        <f>Table1[[#This Row],[SerTot]]/3</f>
        <v>0</v>
      </c>
      <c r="DG32" s="250">
        <f>Table1[[#This Row],[SerTot]]/3</f>
        <v>0</v>
      </c>
      <c r="DH32" s="250">
        <f>Table1[[#This Row],[SerTot]]/3</f>
        <v>0</v>
      </c>
      <c r="DI32" s="252"/>
      <c r="DJ32" s="250"/>
      <c r="DK32" s="250"/>
      <c r="DL32" s="250"/>
      <c r="DM32" s="252"/>
      <c r="DN32" s="250">
        <f>Table1[[#This Row],[MatTot]]/3</f>
        <v>0</v>
      </c>
      <c r="DO32" s="250">
        <f>Table1[[#This Row],[MatTot]]/3</f>
        <v>0</v>
      </c>
      <c r="DP32" s="250">
        <f>Table1[[#This Row],[MatTot]]/3</f>
        <v>0</v>
      </c>
      <c r="DQ32" s="252">
        <v>0</v>
      </c>
      <c r="DR32" s="250">
        <f>Table1[[#This Row],[OutTot]]/3</f>
        <v>0</v>
      </c>
      <c r="DS32" s="250">
        <f>Table1[[#This Row],[OutTot]]/3</f>
        <v>0</v>
      </c>
      <c r="DT32" s="250">
        <f>Table1[[#This Row],[OutTot]]/3</f>
        <v>0</v>
      </c>
      <c r="DU32" s="252">
        <v>0</v>
      </c>
      <c r="DV32" s="250">
        <v>0</v>
      </c>
      <c r="DW32" s="250">
        <v>0</v>
      </c>
      <c r="DX32" s="250">
        <v>0</v>
      </c>
      <c r="DY32" s="252">
        <f>SUM(Table1[[#This Row],[VAQ1]:[VAQ3]])</f>
        <v>0</v>
      </c>
      <c r="DZ32" s="250">
        <v>0</v>
      </c>
      <c r="EA32" s="250">
        <v>0</v>
      </c>
      <c r="EB32" s="250">
        <v>0</v>
      </c>
      <c r="EC32" s="252">
        <f>SUM(Table1[[#This Row],[OthGrantQ1]:[OthGrantQ3]])</f>
        <v>0</v>
      </c>
      <c r="ED32" s="263">
        <f>Table1[[#This Row],[SEOGTot]]+Table1[[#This Row],[PellTot]]+Table1[[#This Row],[AccessTot]]+Table1[[#This Row],[AchiTot]]+Table1[[#This Row],[UTTot]]+Table1[[#This Row],[WITTot]]+Table1[[#This Row],[SerTot]]+Table1[[#This Row],[TranTot]]+Table1[[#This Row],[MatTot]]+Table1[[#This Row],[OutTot]]+Table1[[#This Row],[VATot]]+Table1[[#This Row],[OthGrantTot]]</f>
        <v>5100</v>
      </c>
      <c r="EE32" s="249"/>
      <c r="EF32" s="237"/>
      <c r="EG32" s="237"/>
      <c r="EH32" s="232">
        <f>SUM(Table1[[#This Row],[CashQ1]]:Table1[[#This Row],[CashQ3]])</f>
        <v>0</v>
      </c>
      <c r="EI32" s="271">
        <f>ROUND((Table1[[#This Row],[SubTot]]/3)/1.01059,0)</f>
        <v>1154</v>
      </c>
      <c r="EJ32" s="234">
        <f>ROUND((Table1[[#This Row],[SubTot]]/3)/1.01059,0)</f>
        <v>1154</v>
      </c>
      <c r="EK32" s="234">
        <f>ROUNDUP((Table1[[#This Row],[SubTot]]/3)/1.01059,0)</f>
        <v>1155</v>
      </c>
      <c r="EL32" s="235">
        <v>3500</v>
      </c>
      <c r="EM32" s="240">
        <f>Table1[[#This Row],[SubTot]]*0.01059</f>
        <v>37.065000000000005</v>
      </c>
      <c r="EN32" s="234">
        <f>ROUND((Table1[[#This Row],[UnsubTot]]/3)/1.01062,0)</f>
        <v>660</v>
      </c>
      <c r="EO32" s="234">
        <f>ROUND((Table1[[#This Row],[UnsubTot]]/3)/1.01062,0)</f>
        <v>660</v>
      </c>
      <c r="EP32" s="234">
        <f>ROUNDDOWN((Table1[[#This Row],[UnsubTot]]/3)/1.01062,0)</f>
        <v>659</v>
      </c>
      <c r="EQ32" s="235">
        <f>IF(Table1[D/I]="I",6000,2000)</f>
        <v>2000</v>
      </c>
      <c r="ER32" s="240">
        <f>Table1[[#This Row],[UnsubTot]]*0.01059</f>
        <v>21.18</v>
      </c>
      <c r="ES32" s="234">
        <f>ROUND((Table1[[#This Row],[PLUSTot]]/3)/1.04236,0)</f>
        <v>0</v>
      </c>
      <c r="ET32" s="234">
        <f>ROUND((Table1[[#This Row],[PLUSTot]]/3)/1.04236,0)</f>
        <v>0</v>
      </c>
      <c r="EU32" s="234">
        <f>ROUND((Table1[[#This Row],[PLUSTot]]/3)/1.04236,0)</f>
        <v>0</v>
      </c>
      <c r="EV32" s="235">
        <v>0</v>
      </c>
      <c r="EW32" s="239">
        <f>Table1[[#This Row],[PLUSTot]]*0.04248</f>
        <v>0</v>
      </c>
      <c r="EX32" s="237"/>
      <c r="EY32" s="237"/>
      <c r="EZ32" s="237"/>
      <c r="FA32" s="232">
        <f>SUM(Table1[[#This Row],[PrivQ1]:[PrivQ3]])</f>
        <v>0</v>
      </c>
      <c r="FB32" s="237"/>
      <c r="FC32" s="237"/>
      <c r="FD32" s="237"/>
      <c r="FE32" s="232">
        <f>SUM(Table1[[#This Row],[TOQ1]:[TOQ3]])</f>
        <v>0</v>
      </c>
      <c r="FF32" s="237"/>
      <c r="FG32" s="237"/>
      <c r="FH32" s="237"/>
      <c r="FI32" s="232">
        <f>SUM(Table1[[#This Row],[OFundQ1]:[OFundQ3]])</f>
        <v>0</v>
      </c>
      <c r="FJ32" s="238">
        <f>(Table1[[#This Row],[SubTot]]-Table1[[#This Row],[SubFee]])+(Table1[[#This Row],[UnsubTot]]-Table1[[#This Row],[UnsubFee]])+(Table1[[#This Row],[PLUSTot]]-Table1[[#This Row],[PLUSFee]])+Table1[[#This Row],[PrivTot]]+Table1[[#This Row],[TOTot]]+Table1[[#This Row],[OFundTot]]</f>
        <v>5441.7550000000001</v>
      </c>
      <c r="FK32" s="125">
        <f>Table1[[#This Row],[CostTot]]-Table1[[#This Row],[GiftTot]]</f>
        <v>34415</v>
      </c>
      <c r="FL32" s="139">
        <f>Table1[[#This Row],[NetNeed]]/(1-0.04248)</f>
        <v>30258.631673489846</v>
      </c>
      <c r="FM32" s="131">
        <f>Table1[[#This Row],[NetCost]]-Table1[[#This Row],[CashTot]]-(Table1[[#This Row],[SubTot]]-Table1[[#This Row],[SubFee]])-(Table1[[#This Row],[UnsubTot]]-Table1[[#This Row],[UnsubFee]])-(Table1[[#This Row],[PLUSTot]]-Table1[[#This Row],[PLUSFee]])-Table1[[#This Row],[PrivTot]]-Table1[[#This Row],[TOTot]]-Table1[[#This Row],[OFundTot]]</f>
        <v>28973.244999999999</v>
      </c>
      <c r="FN32" s="161"/>
      <c r="FO32" s="113"/>
      <c r="FP32" s="113"/>
    </row>
    <row r="33" spans="1:172" s="160" customFormat="1" ht="15" x14ac:dyDescent="0.25">
      <c r="A33" s="267">
        <v>197837</v>
      </c>
      <c r="B33" s="113" t="str">
        <f>VLOOKUP(Table1[[#This Row],[SyStudentId]],SSR!$A$2:$CC$4982,4,FALSE)</f>
        <v>Moffett</v>
      </c>
      <c r="C33" s="113" t="str">
        <f>VLOOKUP(Table1[[#This Row],[SyStudentId]],SSR!$A$2:$CC$4982,5,FALSE)</f>
        <v>Michael</v>
      </c>
      <c r="D33" s="113" t="str">
        <f>VLOOKUP(Table1[[#This Row],[SyStudentId]],SSR!$A$2:$CC$4982,6,FALSE)</f>
        <v>Moffett, Michael</v>
      </c>
      <c r="E33" s="113" t="str">
        <f>CONCATENATE(Table1[[#This Row],[FirstName]]," ",Table1[[#This Row],[LastName]])</f>
        <v>Michael Moffett</v>
      </c>
      <c r="F33" s="112"/>
      <c r="G33" s="114"/>
      <c r="H33" s="114"/>
      <c r="I33" s="114"/>
      <c r="J33" s="115"/>
      <c r="K33" s="116"/>
      <c r="L33" s="112" t="str">
        <f>IFERROR(VLOOKUP(Table1[[#This Row],[SyStudentId]],ISIR!$A$2:$X$999,11,FALSE),"")</f>
        <v>D</v>
      </c>
      <c r="M33" s="113" t="str">
        <f>VLOOKUP(Table1[[#This Row],[SyStudentId]],SSR!$A$2:$CC$4982,7,FALSE)</f>
        <v>mkemoff@gmail.com</v>
      </c>
      <c r="N33" s="113" t="str">
        <f>VLOOKUP(Table1[[#This Row],[SyStudentId]],SSR!$A$2:$CC$4982,8,FALSE)</f>
        <v>27326 Freda St</v>
      </c>
      <c r="O33" s="113" t="str">
        <f>VLOOKUP(Table1[[#This Row],[SyStudentId]],SSR!$A$2:$CC$4982,9,FALSE)</f>
        <v>Lacombe</v>
      </c>
      <c r="P33" s="113" t="str">
        <f>VLOOKUP(Table1[[#This Row],[SyStudentId]],SSR!$A$2:$CC$4982,10,FALSE)</f>
        <v>LA</v>
      </c>
      <c r="Q33" s="117" t="str">
        <f>VLOOKUP(Table1[[#This Row],[SyStudentId]],SSR!$A$2:$CC$4982,11,FALSE)</f>
        <v xml:space="preserve">70445     </v>
      </c>
      <c r="R33" s="118">
        <f>VLOOKUP(Table1[[#This Row],[SyStudentId]],SSR!$A$2:$CC$4982,15,FALSE)</f>
        <v>3.1363599999999998</v>
      </c>
      <c r="S33" s="119">
        <f>VLOOKUP(Table1[[#This Row],[SyStudentId]],SSR!$A$2:$CC$4982,22,FALSE)</f>
        <v>44109</v>
      </c>
      <c r="T33" s="113" t="str">
        <f>VLOOKUP(Table1[[#This Row],[SyStudentId]],SSR!$A$2:$CC$4982,24,FALSE)</f>
        <v>MN</v>
      </c>
      <c r="U33" s="113" t="str">
        <f>IF(VLOOKUP(Table1[[#This Row],[SyStudentId]],SSR!$A$2:$CC$4982,26,FALSE)=0,"Not Selected",VLOOKUP(Table1[[#This Row],[SyStudentId]],SSR!$A$2:$CC$4982,26,FALSE))</f>
        <v>Male</v>
      </c>
      <c r="V33" s="113" t="str">
        <f>VLOOKUP(Table1[[#This Row],[SyStudentId]],SSR!$A$2:$CC$4982,27,FALSE)</f>
        <v xml:space="preserve">HS2020  </v>
      </c>
      <c r="W33" s="113" t="str">
        <f>VLOOKUP(LEFT(Table1[[#This Row],[LastName]],1),Alpha!$A$1:$B$26,2,FALSE)</f>
        <v>Maureen Ranks</v>
      </c>
      <c r="X33" s="149" t="str">
        <f>VLOOKUP(Table1[[#This Row],[FAA]],Alpha!$B$1:$D$26,2,FALSE)</f>
        <v>mranks@neumont.edu</v>
      </c>
      <c r="Y33" s="113">
        <f>VLOOKUP(Table1[[#This Row],[FAA]],Alpha!$B$1:$D$26,3,FALSE)</f>
        <v>8883022894</v>
      </c>
      <c r="Z33" s="113" t="str">
        <f>VLOOKUP(Table1[[#This Row],[SyStudentId]],SSR!$A$2:$CC$4982,30,FALSE)</f>
        <v>16-Accepted</v>
      </c>
      <c r="AA33" s="113" t="str">
        <f>IF(VLOOKUP(Table1[[#This Row],[SyStudentId]],SSR!$A$2:$CC$4982,36,FALSE)="Bachelor of Science","BS Computer Science","Check Program")</f>
        <v>BS Computer Science</v>
      </c>
      <c r="AB33" s="113">
        <f>VLOOKUP(Table1[[#This Row],[SyStudentId]],SSR!$A$2:$CC$4982,37,FALSE)</f>
        <v>0</v>
      </c>
      <c r="AC33" s="113">
        <f>VLOOKUP(Table1[[#This Row],[SyStudentId]],SSR!$A$2:$CC$4982,42,FALSE)</f>
        <v>0</v>
      </c>
      <c r="AD33" s="113" t="str">
        <f>VLOOKUP(Table1[[#This Row],[SyStudentId]],SSR!$A$2:$CC$4982,46,FALSE)</f>
        <v>0</v>
      </c>
      <c r="AE33" s="113" t="str">
        <f>VLOOKUP(Table1[[#This Row],[SyStudentId]],SSR!$A$2:$CC$4982,65,FALSE)</f>
        <v>IX</v>
      </c>
      <c r="AF3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33" s="113" t="str">
        <f>VLOOKUP(Table1[[#This Row],[SyStudentId]],SSR!$A$2:$CC$4982,66,FALSE)</f>
        <v>July-October</v>
      </c>
      <c r="AH33" s="113" t="str">
        <f>IFERROR(VLOOKUP(Table1[[#This Row],[SyStudentId]],ISIR!$A$2:$X$999,7,FALSE),"")</f>
        <v>009695</v>
      </c>
      <c r="AI33" s="121">
        <f>IF(Table1[[#This Row],[EFCRaw]]="","",IF(Table1[[#This Row],[EFCRaw]]="No EFC","No EFC",_xlfn.NUMBERVALUE(Table1[[#This Row],[EFCRaw]])))</f>
        <v>9695</v>
      </c>
      <c r="AJ33" s="119">
        <f>IFERROR(VLOOKUP(Table1[[#This Row],[SyStudentId]],ISIR!$A$2:$X$4999,19,FALSE),"")</f>
        <v>43804</v>
      </c>
      <c r="AK33" s="113" t="str">
        <f>IFERROR(VLOOKUP(Table1[[#This Row],[SyStudentId]],ISIR!$A$2:$X$4999,8,FALSE),"")</f>
        <v>N</v>
      </c>
      <c r="AL33" s="132" t="str">
        <f>IF(Table1[[#This Row],[VerReq]]="N","n/a","")</f>
        <v>n/a</v>
      </c>
      <c r="AM33" s="122"/>
      <c r="AN33" s="122"/>
      <c r="AO33" s="122"/>
      <c r="AP33" s="122"/>
      <c r="AQ33" s="122"/>
      <c r="AR33" s="122"/>
      <c r="AS33" s="122"/>
      <c r="AT33" s="122"/>
      <c r="AU33" s="122"/>
      <c r="AV33" s="122"/>
      <c r="AW33" s="122"/>
      <c r="AX33" s="122"/>
      <c r="AY33" s="122"/>
      <c r="AZ33" s="122"/>
      <c r="BA33" s="122"/>
      <c r="BB33" s="122"/>
      <c r="BC33" s="133"/>
      <c r="BD33" s="140" t="str">
        <f>IF(Table1[[#This Row],[VerReq]]="N","x","")</f>
        <v>x</v>
      </c>
      <c r="BE33" s="140" t="str">
        <f>IF(Table1[[#This Row],[VerReq]]="N","x","")</f>
        <v>x</v>
      </c>
      <c r="BF33" s="140" t="str">
        <f>IF(Table1[[#This Row],[VerReq]]="N","x","")</f>
        <v>x</v>
      </c>
      <c r="BG33" s="140" t="str">
        <f>IF(Table1[[#This Row],[VerReq]]="N","x","")</f>
        <v>x</v>
      </c>
      <c r="BH33" s="140" t="str">
        <f>IF(Table1[[#This Row],[VerReq]]="N","x","")</f>
        <v>x</v>
      </c>
      <c r="BI33" s="140" t="str">
        <f>IF(Table1[[#This Row],[VerReq]]="N","x","")</f>
        <v>x</v>
      </c>
      <c r="BJ33" s="134">
        <f>1-((COUNTBLANK(Table1[[#This Row],[ALESent]:[TaxTran]]))/(COUNT(Table1[[#This Row],[ALESent]:[TaxTran]])+COUNTBLANK(Table1[[#This Row],[ALESent]:[TaxTran]])))</f>
        <v>0</v>
      </c>
      <c r="BK33" s="136">
        <f>IF(VLOOKUP(Table1[[#This Row],[SyStudentId]],SSR!$A$2:$CC$4982,22,FALSE)=44109,44109,"Check Program")</f>
        <v>44109</v>
      </c>
      <c r="BL33" s="124">
        <f>IF(Table1[[#This Row],[AYStart]]=44109,44356,"Check Program")</f>
        <v>44356</v>
      </c>
      <c r="BM33" s="219">
        <v>8505</v>
      </c>
      <c r="BN33" s="219">
        <v>8505</v>
      </c>
      <c r="BO33" s="219">
        <v>8505</v>
      </c>
      <c r="BP33" s="220">
        <f t="shared" si="0"/>
        <v>25515</v>
      </c>
      <c r="BQ33" s="221">
        <v>3300</v>
      </c>
      <c r="BR33" s="219">
        <v>400</v>
      </c>
      <c r="BS33" s="219">
        <v>400</v>
      </c>
      <c r="BT33" s="220">
        <f t="shared" si="1"/>
        <v>4100</v>
      </c>
      <c r="BU33" s="219">
        <v>2100</v>
      </c>
      <c r="BV33" s="219">
        <v>2100</v>
      </c>
      <c r="BW33" s="219">
        <v>2100</v>
      </c>
      <c r="BX33" s="220">
        <f t="shared" si="2"/>
        <v>6300</v>
      </c>
      <c r="BY33" s="275">
        <v>1200</v>
      </c>
      <c r="BZ33" s="275">
        <v>1200</v>
      </c>
      <c r="CA33" s="275">
        <v>1200</v>
      </c>
      <c r="CB33" s="220">
        <f>SUM(Table1[[#This Row],[LEQ1]:[LEQ3]])</f>
        <v>3600</v>
      </c>
      <c r="CC33" s="275">
        <v>0</v>
      </c>
      <c r="CD33" s="275">
        <v>0</v>
      </c>
      <c r="CE33" s="275">
        <v>0</v>
      </c>
      <c r="CF33" s="220">
        <f>SUM(Table1[[#This Row],[OthCostQ1]:[OthCostQ3]])</f>
        <v>0</v>
      </c>
      <c r="CG33" s="220">
        <f>(Table1[[#This Row],[T&amp;FTot]]+Table1[[#This Row],[B&amp;STot]]+Table1[[#This Row],[HousTot]]+Table1[[#This Row],[LETot]]+Table1[[#This Row],[OthCostTot]])</f>
        <v>39515</v>
      </c>
      <c r="CH33" s="250"/>
      <c r="CI33" s="250"/>
      <c r="CJ33" s="250"/>
      <c r="CK33" s="251">
        <f>SUM(Table1[[#This Row],[SEOGQ1]:[SEOGQ3]])</f>
        <v>0</v>
      </c>
      <c r="CL33" s="250">
        <f>IFERROR(ROUNDUP(Table1[[#This Row],[PellTot]]/3,0),0)</f>
        <v>0</v>
      </c>
      <c r="CM33" s="250">
        <f>IFERROR(ROUND(Table1[[#This Row],[PellTot]]/3,0),0)</f>
        <v>0</v>
      </c>
      <c r="CN33" s="250">
        <f>IFERROR(ROUNDDOWN(Table1[[#This Row],[PellTot]]/3,0),0)</f>
        <v>0</v>
      </c>
      <c r="CO33" s="251">
        <f>IFERROR(LOOKUP(Table1[EFC],Pell_Table[#Data],Pell_Table[Pell Amt]),0)</f>
        <v>0</v>
      </c>
      <c r="CP33" s="250">
        <f>Table1[[#This Row],[AccessTot]]/3</f>
        <v>0</v>
      </c>
      <c r="CQ33" s="250">
        <f>Table1[[#This Row],[AccessTot]]/3</f>
        <v>0</v>
      </c>
      <c r="CR33" s="250">
        <f>Table1[[#This Row],[AccessTot]]/3</f>
        <v>0</v>
      </c>
      <c r="CS33" s="251">
        <f>IF(Table1[[#This Row],[PellTot]]&gt;0,1500,0)</f>
        <v>0</v>
      </c>
      <c r="CT33" s="250">
        <f>Table1[[#This Row],[AchiTot]]/3</f>
        <v>0</v>
      </c>
      <c r="CU33" s="250">
        <f>Table1[[#This Row],[AchiTot]]/3</f>
        <v>0</v>
      </c>
      <c r="CV33" s="250">
        <f>Table1[[#This Row],[AchiTot]]/3</f>
        <v>0</v>
      </c>
      <c r="CW33" s="252">
        <f>IF(Table1[[#This Row],[Rank]]="","",IF(Table1[[#This Row],[Rank]]=1,5100,IF(Table1[[#This Row],[Rank]]=2,4500,IF(Table1[[#This Row],[Rank]]=3,3900,IF(Table1[[#This Row],[Rank]]=4,3750,IF(Table1[[#This Row],[Rank]]=5,3000,IF(Table1[[#This Row],[Rank]]=6,2250,0)))))))</f>
        <v>0</v>
      </c>
      <c r="CX33" s="250">
        <f>Table1[[#This Row],[UTTot]]/3</f>
        <v>0</v>
      </c>
      <c r="CY33" s="250">
        <f>Table1[[#This Row],[UTTot]]/3</f>
        <v>0</v>
      </c>
      <c r="CZ33" s="250">
        <f>Table1[[#This Row],[UTTot]]/3</f>
        <v>0</v>
      </c>
      <c r="DA33" s="251">
        <f>IF(Table1[[#This Row],[State]]="UT",9000,0)</f>
        <v>0</v>
      </c>
      <c r="DB33" s="250">
        <f>Table1[[#This Row],[WITTot]]/3</f>
        <v>0</v>
      </c>
      <c r="DC33" s="250">
        <f>Table1[[#This Row],[WITTot]]/3</f>
        <v>0</v>
      </c>
      <c r="DD33" s="250">
        <f>Table1[[#This Row],[WITTot]]/3</f>
        <v>0</v>
      </c>
      <c r="DE33" s="251">
        <f>IF(Table1[[#This Row],[Gender]]="Female",3000,0)</f>
        <v>0</v>
      </c>
      <c r="DF33" s="250">
        <f>Table1[[#This Row],[SerTot]]/3</f>
        <v>0</v>
      </c>
      <c r="DG33" s="250">
        <f>Table1[[#This Row],[SerTot]]/3</f>
        <v>0</v>
      </c>
      <c r="DH33" s="250">
        <f>Table1[[#This Row],[SerTot]]/3</f>
        <v>0</v>
      </c>
      <c r="DI33" s="252"/>
      <c r="DJ33" s="250"/>
      <c r="DK33" s="250"/>
      <c r="DL33" s="250"/>
      <c r="DM33" s="252"/>
      <c r="DN33" s="250">
        <f>Table1[[#This Row],[MatTot]]/3</f>
        <v>0</v>
      </c>
      <c r="DO33" s="250">
        <f>Table1[[#This Row],[MatTot]]/3</f>
        <v>0</v>
      </c>
      <c r="DP33" s="250">
        <f>Table1[[#This Row],[MatTot]]/3</f>
        <v>0</v>
      </c>
      <c r="DQ33" s="252">
        <v>0</v>
      </c>
      <c r="DR33" s="250">
        <f>Table1[[#This Row],[OutTot]]/3</f>
        <v>0</v>
      </c>
      <c r="DS33" s="250">
        <f>Table1[[#This Row],[OutTot]]/3</f>
        <v>0</v>
      </c>
      <c r="DT33" s="250">
        <f>Table1[[#This Row],[OutTot]]/3</f>
        <v>0</v>
      </c>
      <c r="DU33" s="252">
        <v>0</v>
      </c>
      <c r="DV33" s="250">
        <v>0</v>
      </c>
      <c r="DW33" s="250">
        <v>0</v>
      </c>
      <c r="DX33" s="250">
        <v>0</v>
      </c>
      <c r="DY33" s="252">
        <f>SUM(Table1[[#This Row],[VAQ1]:[VAQ3]])</f>
        <v>0</v>
      </c>
      <c r="DZ33" s="250">
        <v>0</v>
      </c>
      <c r="EA33" s="250">
        <v>0</v>
      </c>
      <c r="EB33" s="250">
        <v>0</v>
      </c>
      <c r="EC33" s="252">
        <f>SUM(Table1[[#This Row],[OthGrantQ1]:[OthGrantQ3]])</f>
        <v>0</v>
      </c>
      <c r="ED33" s="263">
        <f>Table1[[#This Row],[SEOGTot]]+Table1[[#This Row],[PellTot]]+Table1[[#This Row],[AccessTot]]+Table1[[#This Row],[AchiTot]]+Table1[[#This Row],[UTTot]]+Table1[[#This Row],[WITTot]]+Table1[[#This Row],[SerTot]]+Table1[[#This Row],[TranTot]]+Table1[[#This Row],[MatTot]]+Table1[[#This Row],[OutTot]]+Table1[[#This Row],[VATot]]+Table1[[#This Row],[OthGrantTot]]</f>
        <v>0</v>
      </c>
      <c r="EE33" s="249"/>
      <c r="EF33" s="237"/>
      <c r="EG33" s="237"/>
      <c r="EH33" s="232">
        <f>SUM(Table1[[#This Row],[CashQ1]]:Table1[[#This Row],[CashQ3]])</f>
        <v>0</v>
      </c>
      <c r="EI33" s="271">
        <f>ROUND((Table1[[#This Row],[SubTot]]/3)/1.01059,0)</f>
        <v>1154</v>
      </c>
      <c r="EJ33" s="234">
        <f>ROUND((Table1[[#This Row],[SubTot]]/3)/1.01059,0)</f>
        <v>1154</v>
      </c>
      <c r="EK33" s="234">
        <f>ROUNDUP((Table1[[#This Row],[SubTot]]/3)/1.01059,0)</f>
        <v>1155</v>
      </c>
      <c r="EL33" s="235">
        <v>3500</v>
      </c>
      <c r="EM33" s="240">
        <f>Table1[[#This Row],[SubTot]]*0.01059</f>
        <v>37.065000000000005</v>
      </c>
      <c r="EN33" s="234">
        <f>ROUND((Table1[[#This Row],[UnsubTot]]/3)/1.01062,0)</f>
        <v>660</v>
      </c>
      <c r="EO33" s="234">
        <f>ROUND((Table1[[#This Row],[UnsubTot]]/3)/1.01062,0)</f>
        <v>660</v>
      </c>
      <c r="EP33" s="234">
        <f>ROUNDDOWN((Table1[[#This Row],[UnsubTot]]/3)/1.01062,0)</f>
        <v>659</v>
      </c>
      <c r="EQ33" s="235">
        <f>IF(Table1[D/I]="I",6000,2000)</f>
        <v>2000</v>
      </c>
      <c r="ER33" s="240">
        <f>Table1[[#This Row],[UnsubTot]]*0.01059</f>
        <v>21.18</v>
      </c>
      <c r="ES33" s="234">
        <f>ROUND((Table1[[#This Row],[PLUSTot]]/3)/1.04236,0)</f>
        <v>0</v>
      </c>
      <c r="ET33" s="234">
        <f>ROUND((Table1[[#This Row],[PLUSTot]]/3)/1.04236,0)</f>
        <v>0</v>
      </c>
      <c r="EU33" s="234">
        <f>ROUND((Table1[[#This Row],[PLUSTot]]/3)/1.04236,0)</f>
        <v>0</v>
      </c>
      <c r="EV33" s="235">
        <v>0</v>
      </c>
      <c r="EW33" s="239">
        <f>Table1[[#This Row],[PLUSTot]]*0.04248</f>
        <v>0</v>
      </c>
      <c r="EX33" s="237"/>
      <c r="EY33" s="237"/>
      <c r="EZ33" s="237"/>
      <c r="FA33" s="232">
        <f>SUM(Table1[[#This Row],[PrivQ1]:[PrivQ3]])</f>
        <v>0</v>
      </c>
      <c r="FB33" s="237"/>
      <c r="FC33" s="237"/>
      <c r="FD33" s="237"/>
      <c r="FE33" s="232">
        <f>SUM(Table1[[#This Row],[TOQ1]:[TOQ3]])</f>
        <v>0</v>
      </c>
      <c r="FF33" s="237"/>
      <c r="FG33" s="237"/>
      <c r="FH33" s="237"/>
      <c r="FI33" s="232">
        <f>SUM(Table1[[#This Row],[OFundQ1]:[OFundQ3]])</f>
        <v>0</v>
      </c>
      <c r="FJ33" s="238">
        <f>(Table1[[#This Row],[SubTot]]-Table1[[#This Row],[SubFee]])+(Table1[[#This Row],[UnsubTot]]-Table1[[#This Row],[UnsubFee]])+(Table1[[#This Row],[PLUSTot]]-Table1[[#This Row],[PLUSFee]])+Table1[[#This Row],[PrivTot]]+Table1[[#This Row],[TOTot]]+Table1[[#This Row],[OFundTot]]</f>
        <v>5441.7550000000001</v>
      </c>
      <c r="FK33" s="125">
        <f>Table1[[#This Row],[CostTot]]-Table1[[#This Row],[GiftTot]]</f>
        <v>39515</v>
      </c>
      <c r="FL33" s="139">
        <f>Table1[[#This Row],[NetNeed]]/(1-0.04248)</f>
        <v>35584.891177207784</v>
      </c>
      <c r="FM33" s="131">
        <f>Table1[[#This Row],[NetCost]]-Table1[[#This Row],[CashTot]]-(Table1[[#This Row],[SubTot]]-Table1[[#This Row],[SubFee]])-(Table1[[#This Row],[UnsubTot]]-Table1[[#This Row],[UnsubFee]])-(Table1[[#This Row],[PLUSTot]]-Table1[[#This Row],[PLUSFee]])-Table1[[#This Row],[PrivTot]]-Table1[[#This Row],[TOTot]]-Table1[[#This Row],[OFundTot]]</f>
        <v>34073.245000000003</v>
      </c>
      <c r="FN33" s="161"/>
      <c r="FO33" s="113"/>
      <c r="FP33" s="113"/>
    </row>
    <row r="34" spans="1:172" s="160" customFormat="1" ht="15" x14ac:dyDescent="0.25">
      <c r="A34" s="267">
        <v>198550</v>
      </c>
      <c r="B34" s="113" t="str">
        <f>VLOOKUP(Table1[[#This Row],[SyStudentId]],SSR!$A$2:$CC$4982,4,FALSE)</f>
        <v>Monroe</v>
      </c>
      <c r="C34" s="113" t="str">
        <f>VLOOKUP(Table1[[#This Row],[SyStudentId]],SSR!$A$2:$CC$4982,5,FALSE)</f>
        <v>Colton</v>
      </c>
      <c r="D34" s="113" t="str">
        <f>VLOOKUP(Table1[[#This Row],[SyStudentId]],SSR!$A$2:$CC$4982,6,FALSE)</f>
        <v>Monroe, Colton</v>
      </c>
      <c r="E34" s="113" t="str">
        <f>CONCATENATE(Table1[[#This Row],[FirstName]]," ",Table1[[#This Row],[LastName]])</f>
        <v>Colton Monroe</v>
      </c>
      <c r="F34" s="112"/>
      <c r="G34" s="114"/>
      <c r="H34" s="114"/>
      <c r="I34" s="114"/>
      <c r="J34" s="115"/>
      <c r="K34" s="116"/>
      <c r="L34" s="112" t="str">
        <f>IFERROR(VLOOKUP(Table1[[#This Row],[SyStudentId]],ISIR!$A$2:$X$999,11,FALSE),"")</f>
        <v/>
      </c>
      <c r="M34" s="113" t="str">
        <f>VLOOKUP(Table1[[#This Row],[SyStudentId]],SSR!$A$2:$CC$4982,7,FALSE)</f>
        <v>GameninjaX2@gmail.com</v>
      </c>
      <c r="N34" s="113" t="str">
        <f>VLOOKUP(Table1[[#This Row],[SyStudentId]],SSR!$A$2:$CC$4982,8,FALSE)</f>
        <v>600 N 80 E</v>
      </c>
      <c r="O34" s="113" t="str">
        <f>VLOOKUP(Table1[[#This Row],[SyStudentId]],SSR!$A$2:$CC$4982,9,FALSE)</f>
        <v>FILLMORE</v>
      </c>
      <c r="P34" s="113" t="str">
        <f>VLOOKUP(Table1[[#This Row],[SyStudentId]],SSR!$A$2:$CC$4982,10,FALSE)</f>
        <v>UT</v>
      </c>
      <c r="Q34" s="117" t="str">
        <f>VLOOKUP(Table1[[#This Row],[SyStudentId]],SSR!$A$2:$CC$4982,11,FALSE)</f>
        <v xml:space="preserve">84631     </v>
      </c>
      <c r="R34" s="118">
        <f>VLOOKUP(Table1[[#This Row],[SyStudentId]],SSR!$A$2:$CC$4982,15,FALSE)</f>
        <v>0</v>
      </c>
      <c r="S34" s="119">
        <f>VLOOKUP(Table1[[#This Row],[SyStudentId]],SSR!$A$2:$CC$4982,22,FALSE)</f>
        <v>44109</v>
      </c>
      <c r="T34" s="113" t="str">
        <f>VLOOKUP(Table1[[#This Row],[SyStudentId]],SSR!$A$2:$CC$4982,24,FALSE)</f>
        <v>MR</v>
      </c>
      <c r="U34" s="113" t="str">
        <f>IF(VLOOKUP(Table1[[#This Row],[SyStudentId]],SSR!$A$2:$CC$4982,26,FALSE)=0,"Not Selected",VLOOKUP(Table1[[#This Row],[SyStudentId]],SSR!$A$2:$CC$4982,26,FALSE))</f>
        <v>Male</v>
      </c>
      <c r="V34" s="113" t="str">
        <f>VLOOKUP(Table1[[#This Row],[SyStudentId]],SSR!$A$2:$CC$4982,27,FALSE)</f>
        <v xml:space="preserve">HS2020  </v>
      </c>
      <c r="W34" s="113" t="str">
        <f>VLOOKUP(LEFT(Table1[[#This Row],[LastName]],1),Alpha!$A$1:$B$26,2,FALSE)</f>
        <v>Maureen Ranks</v>
      </c>
      <c r="X34" s="149" t="str">
        <f>VLOOKUP(Table1[[#This Row],[FAA]],Alpha!$B$1:$D$26,2,FALSE)</f>
        <v>mranks@neumont.edu</v>
      </c>
      <c r="Y34" s="113">
        <f>VLOOKUP(Table1[[#This Row],[FAA]],Alpha!$B$1:$D$26,3,FALSE)</f>
        <v>8883022894</v>
      </c>
      <c r="Z34" s="156" t="str">
        <f>VLOOKUP(Table1[[#This Row],[SyStudentId]],SSR!$A$2:$CC$4982,30,FALSE)</f>
        <v>16-Accepted</v>
      </c>
      <c r="AA34" s="113" t="str">
        <f>IF(VLOOKUP(Table1[[#This Row],[SyStudentId]],SSR!$A$2:$CC$4982,36,FALSE)="Bachelor of Science","BS Computer Science","Check Program")</f>
        <v>BS Computer Science</v>
      </c>
      <c r="AB34" s="113" t="str">
        <f>VLOOKUP(Table1[[#This Row],[SyStudentId]],SSR!$A$2:$CC$4982,37,FALSE)</f>
        <v xml:space="preserve">24      </v>
      </c>
      <c r="AC34" s="113">
        <f>VLOOKUP(Table1[[#This Row],[SyStudentId]],SSR!$A$2:$CC$4982,42,FALSE)</f>
        <v>0</v>
      </c>
      <c r="AD34" s="113" t="str">
        <f>VLOOKUP(Table1[[#This Row],[SyStudentId]],SSR!$A$2:$CC$4982,46,FALSE)</f>
        <v>0</v>
      </c>
      <c r="AE34" s="113" t="str">
        <f>VLOOKUP(Table1[[#This Row],[SyStudentId]],SSR!$A$2:$CC$4982,65,FALSE)</f>
        <v>IX</v>
      </c>
      <c r="AF34"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34" s="113" t="str">
        <f>VLOOKUP(Table1[[#This Row],[SyStudentId]],SSR!$A$2:$CC$4982,66,FALSE)</f>
        <v>October</v>
      </c>
      <c r="AH34" s="113" t="str">
        <f>IFERROR(VLOOKUP(Table1[[#This Row],[SyStudentId]],ISIR!$A$2:$X$999,7,FALSE),"")</f>
        <v/>
      </c>
      <c r="AI34" s="121" t="str">
        <f>IF(Table1[[#This Row],[EFCRaw]]="","",IF(Table1[[#This Row],[EFCRaw]]="No EFC","No EFC",_xlfn.NUMBERVALUE(Table1[[#This Row],[EFCRaw]])))</f>
        <v/>
      </c>
      <c r="AJ34" s="119" t="str">
        <f>IFERROR(VLOOKUP(Table1[[#This Row],[SyStudentId]],ISIR!$A$2:$X$4999,19,FALSE),"")</f>
        <v/>
      </c>
      <c r="AK34" s="113" t="str">
        <f>IFERROR(VLOOKUP(Table1[[#This Row],[SyStudentId]],ISIR!$A$2:$X$4999,8,FALSE),"")</f>
        <v/>
      </c>
      <c r="AL34" s="132" t="str">
        <f>IF(Table1[[#This Row],[VerReq]]="N","n/a","")</f>
        <v/>
      </c>
      <c r="AM34" s="122"/>
      <c r="AN34" s="122"/>
      <c r="AO34" s="122"/>
      <c r="AP34" s="122"/>
      <c r="AQ34" s="122"/>
      <c r="AR34" s="122"/>
      <c r="AS34" s="122"/>
      <c r="AT34" s="122"/>
      <c r="AU34" s="122"/>
      <c r="AV34" s="122"/>
      <c r="AW34" s="122"/>
      <c r="AX34" s="122"/>
      <c r="AY34" s="122"/>
      <c r="AZ34" s="122"/>
      <c r="BA34" s="122"/>
      <c r="BB34" s="122"/>
      <c r="BC34" s="133"/>
      <c r="BD34" s="140" t="str">
        <f>IF(Table1[[#This Row],[VerReq]]="N","x","")</f>
        <v/>
      </c>
      <c r="BE34" s="140" t="str">
        <f>IF(Table1[[#This Row],[VerReq]]="N","x","")</f>
        <v/>
      </c>
      <c r="BF34" s="140" t="str">
        <f>IF(Table1[[#This Row],[VerReq]]="N","x","")</f>
        <v/>
      </c>
      <c r="BG34" s="140" t="str">
        <f>IF(Table1[[#This Row],[VerReq]]="N","x","")</f>
        <v/>
      </c>
      <c r="BH34" s="140" t="str">
        <f>IF(Table1[[#This Row],[VerReq]]="N","x","")</f>
        <v/>
      </c>
      <c r="BI34" s="140" t="str">
        <f>IF(Table1[[#This Row],[VerReq]]="N","x","")</f>
        <v/>
      </c>
      <c r="BJ34" s="123">
        <f>1-((COUNTBLANK(Table1[[#This Row],[ALESent]:[TaxTran]]))/(COUNT(Table1[[#This Row],[ALESent]:[TaxTran]])+COUNTBLANK(Table1[[#This Row],[ALESent]:[TaxTran]])))</f>
        <v>0</v>
      </c>
      <c r="BK34" s="136">
        <f>IF(VLOOKUP(Table1[[#This Row],[SyStudentId]],SSR!$A$2:$CC$4982,22,FALSE)=44109,44109,"Check Program")</f>
        <v>44109</v>
      </c>
      <c r="BL34" s="124">
        <f>IF(Table1[[#This Row],[AYStart]]=44109,44356,"Check Program")</f>
        <v>44356</v>
      </c>
      <c r="BM34" s="219">
        <v>8505</v>
      </c>
      <c r="BN34" s="219">
        <v>8505</v>
      </c>
      <c r="BO34" s="219">
        <v>8505</v>
      </c>
      <c r="BP34" s="220">
        <f t="shared" si="0"/>
        <v>25515</v>
      </c>
      <c r="BQ34" s="221">
        <v>3300</v>
      </c>
      <c r="BR34" s="219">
        <v>400</v>
      </c>
      <c r="BS34" s="219">
        <v>400</v>
      </c>
      <c r="BT34" s="220">
        <f t="shared" si="1"/>
        <v>4100</v>
      </c>
      <c r="BU34" s="219">
        <v>2100</v>
      </c>
      <c r="BV34" s="219">
        <v>2100</v>
      </c>
      <c r="BW34" s="219">
        <v>2100</v>
      </c>
      <c r="BX34" s="220">
        <f t="shared" si="2"/>
        <v>6300</v>
      </c>
      <c r="BY34" s="275">
        <v>1200</v>
      </c>
      <c r="BZ34" s="275">
        <v>1200</v>
      </c>
      <c r="CA34" s="275">
        <v>1200</v>
      </c>
      <c r="CB34" s="220">
        <f>SUM(Table1[[#This Row],[LEQ1]:[LEQ3]])</f>
        <v>3600</v>
      </c>
      <c r="CC34" s="275"/>
      <c r="CD34" s="275"/>
      <c r="CE34" s="275"/>
      <c r="CF34" s="220">
        <f>SUM(Table1[[#This Row],[OthCostQ1]:[OthCostQ3]])</f>
        <v>0</v>
      </c>
      <c r="CG34" s="220">
        <f>(Table1[[#This Row],[T&amp;FTot]]+Table1[[#This Row],[B&amp;STot]]+Table1[[#This Row],[HousTot]]+Table1[[#This Row],[LETot]]+Table1[[#This Row],[OthCostTot]])</f>
        <v>39515</v>
      </c>
      <c r="CH34" s="250"/>
      <c r="CI34" s="250"/>
      <c r="CJ34" s="250"/>
      <c r="CK34" s="251">
        <f>SUM(Table1[[#This Row],[SEOGQ1]:[SEOGQ3]])</f>
        <v>0</v>
      </c>
      <c r="CL34" s="250">
        <f>IFERROR(ROUNDUP(Table1[[#This Row],[PellTot]]/3,0),0)</f>
        <v>0</v>
      </c>
      <c r="CM34" s="250">
        <f>IFERROR(ROUND(Table1[[#This Row],[PellTot]]/3,0),0)</f>
        <v>0</v>
      </c>
      <c r="CN34" s="250">
        <f>IFERROR(ROUNDDOWN(Table1[[#This Row],[PellTot]]/3,0),0)</f>
        <v>0</v>
      </c>
      <c r="CO34" s="251">
        <f>IFERROR(LOOKUP(Table1[EFC],Pell_Table[#Data],Pell_Table[Pell Amt]),0)</f>
        <v>0</v>
      </c>
      <c r="CP34" s="250">
        <f>Table1[[#This Row],[AccessTot]]/3</f>
        <v>0</v>
      </c>
      <c r="CQ34" s="250">
        <f>Table1[[#This Row],[AccessTot]]/3</f>
        <v>0</v>
      </c>
      <c r="CR34" s="250">
        <f>Table1[[#This Row],[AccessTot]]/3</f>
        <v>0</v>
      </c>
      <c r="CS34" s="251">
        <f>IF(Table1[[#This Row],[PellTot]]&gt;0,1500,0)</f>
        <v>0</v>
      </c>
      <c r="CT34" s="250">
        <f>Table1[[#This Row],[AchiTot]]/3</f>
        <v>0</v>
      </c>
      <c r="CU34" s="250">
        <f>Table1[[#This Row],[AchiTot]]/3</f>
        <v>0</v>
      </c>
      <c r="CV34" s="250">
        <f>Table1[[#This Row],[AchiTot]]/3</f>
        <v>0</v>
      </c>
      <c r="CW34" s="252">
        <f>IF(Table1[[#This Row],[Rank]]="","",IF(Table1[[#This Row],[Rank]]=1,5100,IF(Table1[[#This Row],[Rank]]=2,4500,IF(Table1[[#This Row],[Rank]]=3,3900,IF(Table1[[#This Row],[Rank]]=4,3750,IF(Table1[[#This Row],[Rank]]=5,3000,IF(Table1[[#This Row],[Rank]]=6,2250,0)))))))</f>
        <v>0</v>
      </c>
      <c r="CX34" s="250">
        <f>Table1[[#This Row],[UTTot]]/3</f>
        <v>3000</v>
      </c>
      <c r="CY34" s="250">
        <f>Table1[[#This Row],[UTTot]]/3</f>
        <v>3000</v>
      </c>
      <c r="CZ34" s="250">
        <f>Table1[[#This Row],[UTTot]]/3</f>
        <v>3000</v>
      </c>
      <c r="DA34" s="251">
        <f>IF(Table1[[#This Row],[State]]="UT",9000,0)</f>
        <v>9000</v>
      </c>
      <c r="DB34" s="250">
        <f>Table1[[#This Row],[WITTot]]/3</f>
        <v>0</v>
      </c>
      <c r="DC34" s="250">
        <f>Table1[[#This Row],[WITTot]]/3</f>
        <v>0</v>
      </c>
      <c r="DD34" s="250">
        <f>Table1[[#This Row],[WITTot]]/3</f>
        <v>0</v>
      </c>
      <c r="DE34" s="251">
        <f>IF(Table1[[#This Row],[Gender]]="Female",3000,0)</f>
        <v>0</v>
      </c>
      <c r="DF34" s="250">
        <f>Table1[[#This Row],[SerTot]]/3</f>
        <v>0</v>
      </c>
      <c r="DG34" s="250">
        <f>Table1[[#This Row],[SerTot]]/3</f>
        <v>0</v>
      </c>
      <c r="DH34" s="250">
        <f>Table1[[#This Row],[SerTot]]/3</f>
        <v>0</v>
      </c>
      <c r="DI34" s="252"/>
      <c r="DJ34" s="250"/>
      <c r="DK34" s="250"/>
      <c r="DL34" s="250"/>
      <c r="DM34" s="252"/>
      <c r="DN34" s="250">
        <f>Table1[[#This Row],[MatTot]]/3</f>
        <v>0</v>
      </c>
      <c r="DO34" s="250">
        <f>Table1[[#This Row],[MatTot]]/3</f>
        <v>0</v>
      </c>
      <c r="DP34" s="250">
        <f>Table1[[#This Row],[MatTot]]/3</f>
        <v>0</v>
      </c>
      <c r="DQ34" s="252"/>
      <c r="DR34" s="250">
        <f>Table1[[#This Row],[OutTot]]/3</f>
        <v>0</v>
      </c>
      <c r="DS34" s="250">
        <f>Table1[[#This Row],[OutTot]]/3</f>
        <v>0</v>
      </c>
      <c r="DT34" s="250">
        <f>Table1[[#This Row],[OutTot]]/3</f>
        <v>0</v>
      </c>
      <c r="DU34" s="252"/>
      <c r="DV34" s="250"/>
      <c r="DW34" s="250"/>
      <c r="DX34" s="250"/>
      <c r="DY34" s="252">
        <f>SUM(Table1[[#This Row],[VAQ1]:[VAQ3]])</f>
        <v>0</v>
      </c>
      <c r="DZ34" s="250"/>
      <c r="EA34" s="250"/>
      <c r="EB34" s="250"/>
      <c r="EC34" s="252">
        <f>SUM(Table1[[#This Row],[OthGrantQ1]:[OthGrantQ3]])</f>
        <v>0</v>
      </c>
      <c r="ED34" s="263">
        <f>Table1[[#This Row],[SEOGTot]]+Table1[[#This Row],[PellTot]]+Table1[[#This Row],[AccessTot]]+Table1[[#This Row],[AchiTot]]+Table1[[#This Row],[UTTot]]+Table1[[#This Row],[WITTot]]+Table1[[#This Row],[SerTot]]+Table1[[#This Row],[TranTot]]+Table1[[#This Row],[MatTot]]+Table1[[#This Row],[OutTot]]+Table1[[#This Row],[VATot]]+Table1[[#This Row],[OthGrantTot]]</f>
        <v>9000</v>
      </c>
      <c r="EE34" s="249"/>
      <c r="EF34" s="237"/>
      <c r="EG34" s="237"/>
      <c r="EH34" s="232">
        <f>SUM(Table1[[#This Row],[CashQ1]]:Table1[[#This Row],[CashQ3]])</f>
        <v>0</v>
      </c>
      <c r="EI34" s="271">
        <f>ROUND((Table1[[#This Row],[SubTot]]/3)/1.01059,0)</f>
        <v>0</v>
      </c>
      <c r="EJ34" s="234">
        <f>ROUND((Table1[[#This Row],[SubTot]]/3)/1.01059,0)</f>
        <v>0</v>
      </c>
      <c r="EK34" s="234">
        <f>ROUNDUP((Table1[[#This Row],[SubTot]]/3)/1.01059,0)</f>
        <v>0</v>
      </c>
      <c r="EL34" s="235"/>
      <c r="EM34" s="240">
        <f>Table1[[#This Row],[SubTot]]*0.01059</f>
        <v>0</v>
      </c>
      <c r="EN34" s="234">
        <f>ROUND((Table1[[#This Row],[UnsubTot]]/3)/1.01062,0)</f>
        <v>660</v>
      </c>
      <c r="EO34" s="234">
        <f>ROUND((Table1[[#This Row],[UnsubTot]]/3)/1.01062,0)</f>
        <v>660</v>
      </c>
      <c r="EP34" s="234">
        <f>ROUNDDOWN((Table1[[#This Row],[UnsubTot]]/3)/1.01062,0)</f>
        <v>659</v>
      </c>
      <c r="EQ34" s="235">
        <f>IF(Table1[D/I]="I",6000,2000)</f>
        <v>2000</v>
      </c>
      <c r="ER34" s="240">
        <f>Table1[[#This Row],[UnsubTot]]*0.01062</f>
        <v>21.24</v>
      </c>
      <c r="ES34" s="234">
        <f>ROUND((Table1[[#This Row],[PLUSTot]]/3)/1.04248,0)</f>
        <v>0</v>
      </c>
      <c r="ET34" s="234">
        <f>ROUND((Table1[[#This Row],[PLUSTot]]/3)/1.04248,0)</f>
        <v>0</v>
      </c>
      <c r="EU34" s="234">
        <f>ROUND((Table1[[#This Row],[PLUSTot]]/3)/1.04248,0)</f>
        <v>0</v>
      </c>
      <c r="EV34" s="235"/>
      <c r="EW34" s="239">
        <f>Table1[[#This Row],[PLUSTot]]*0.04248</f>
        <v>0</v>
      </c>
      <c r="EX34" s="237"/>
      <c r="EY34" s="237"/>
      <c r="EZ34" s="237"/>
      <c r="FA34" s="232">
        <f>SUM(Table1[[#This Row],[PrivQ1]:[PrivQ3]])</f>
        <v>0</v>
      </c>
      <c r="FB34" s="237"/>
      <c r="FC34" s="237"/>
      <c r="FD34" s="237"/>
      <c r="FE34" s="232">
        <f>SUM(Table1[[#This Row],[TOQ1]:[TOQ3]])</f>
        <v>0</v>
      </c>
      <c r="FF34" s="237"/>
      <c r="FG34" s="237"/>
      <c r="FH34" s="237"/>
      <c r="FI34" s="232">
        <f>SUM(Table1[[#This Row],[OFundQ1]:[OFundQ3]])</f>
        <v>0</v>
      </c>
      <c r="FJ34" s="239">
        <f>(Table1[[#This Row],[SubTot]]-Table1[[#This Row],[SubFee]])+(Table1[[#This Row],[UnsubTot]]-Table1[[#This Row],[UnsubFee]])+(Table1[[#This Row],[PLUSTot]]-Table1[[#This Row],[PLUSFee]])+Table1[[#This Row],[PrivTot]]+Table1[[#This Row],[TOTot]]+Table1[[#This Row],[OFundTot]]</f>
        <v>1978.76</v>
      </c>
      <c r="FK34" s="125">
        <f>Table1[[#This Row],[CostTot]]-Table1[[#This Row],[GiftTot]]</f>
        <v>30515</v>
      </c>
      <c r="FL34" s="130">
        <f>Table1[[#This Row],[NetNeed]]/(1-0.04248)</f>
        <v>29802.239117720779</v>
      </c>
      <c r="FM34" s="131">
        <f>Table1[[#This Row],[NetCost]]-Table1[[#This Row],[CashTot]]-(Table1[[#This Row],[SubTot]]-Table1[[#This Row],[SubFee]])-(Table1[[#This Row],[UnsubTot]]-Table1[[#This Row],[UnsubFee]])-(Table1[[#This Row],[PLUSTot]]-Table1[[#This Row],[PLUSFee]])-Table1[[#This Row],[PrivTot]]-Table1[[#This Row],[TOTot]]-Table1[[#This Row],[OFundTot]]</f>
        <v>28536.240000000002</v>
      </c>
      <c r="FN34" s="161"/>
      <c r="FO34" s="113"/>
      <c r="FP34" s="113"/>
    </row>
    <row r="35" spans="1:172" s="160" customFormat="1" ht="15" x14ac:dyDescent="0.25">
      <c r="A35" s="267">
        <v>196589</v>
      </c>
      <c r="B35" s="113" t="str">
        <f>VLOOKUP(Table1[[#This Row],[SyStudentId]],SSR!$A$2:$CC$4982,4,FALSE)</f>
        <v>Moore</v>
      </c>
      <c r="C35" s="113" t="str">
        <f>VLOOKUP(Table1[[#This Row],[SyStudentId]],SSR!$A$2:$CC$4982,5,FALSE)</f>
        <v>Ashlyn</v>
      </c>
      <c r="D35" s="113" t="str">
        <f>VLOOKUP(Table1[[#This Row],[SyStudentId]],SSR!$A$2:$CC$4982,6,FALSE)</f>
        <v>Moore, Ashlyn</v>
      </c>
      <c r="E35" s="113" t="str">
        <f>CONCATENATE(Table1[[#This Row],[FirstName]]," ",Table1[[#This Row],[LastName]])</f>
        <v>Ashlyn Moore</v>
      </c>
      <c r="F35" s="112"/>
      <c r="G35" s="114"/>
      <c r="H35" s="114"/>
      <c r="I35" s="114"/>
      <c r="J35" s="115" t="s">
        <v>6041</v>
      </c>
      <c r="K35" s="116"/>
      <c r="L35" s="112" t="str">
        <f>IFERROR(VLOOKUP(Table1[[#This Row],[SyStudentId]],ISIR!$A$2:$X$999,11,FALSE),"")</f>
        <v/>
      </c>
      <c r="M35" s="113" t="str">
        <f>VLOOKUP(Table1[[#This Row],[SyStudentId]],SSR!$A$2:$CC$4982,7,FALSE)</f>
        <v>nylhsa0114@gmail.com</v>
      </c>
      <c r="N35" s="113" t="str">
        <f>VLOOKUP(Table1[[#This Row],[SyStudentId]],SSR!$A$2:$CC$4982,8,FALSE)</f>
        <v>177 WILLIAM WARREN RD.</v>
      </c>
      <c r="O35" s="113" t="str">
        <f>VLOOKUP(Table1[[#This Row],[SyStudentId]],SSR!$A$2:$CC$4982,9,FALSE)</f>
        <v>COLLINS</v>
      </c>
      <c r="P35" s="113" t="str">
        <f>VLOOKUP(Table1[[#This Row],[SyStudentId]],SSR!$A$2:$CC$4982,10,FALSE)</f>
        <v>MS</v>
      </c>
      <c r="Q35" s="117" t="str">
        <f>VLOOKUP(Table1[[#This Row],[SyStudentId]],SSR!$A$2:$CC$4982,11,FALSE)</f>
        <v xml:space="preserve">39428     </v>
      </c>
      <c r="R35" s="118">
        <f>VLOOKUP(Table1[[#This Row],[SyStudentId]],SSR!$A$2:$CC$4982,15,FALSE)</f>
        <v>3.5552000000000001</v>
      </c>
      <c r="S35" s="119">
        <f>VLOOKUP(Table1[[#This Row],[SyStudentId]],SSR!$A$2:$CC$4982,22,FALSE)</f>
        <v>44109</v>
      </c>
      <c r="T35" s="113" t="str">
        <f>VLOOKUP(Table1[[#This Row],[SyStudentId]],SSR!$A$2:$CC$4982,24,FALSE)</f>
        <v>MN</v>
      </c>
      <c r="U35" s="113" t="str">
        <f>IF(VLOOKUP(Table1[[#This Row],[SyStudentId]],SSR!$A$2:$CC$4982,26,FALSE)=0,"Not Selected",VLOOKUP(Table1[[#This Row],[SyStudentId]],SSR!$A$2:$CC$4982,26,FALSE))</f>
        <v>Female</v>
      </c>
      <c r="V35" s="113" t="str">
        <f>VLOOKUP(Table1[[#This Row],[SyStudentId]],SSR!$A$2:$CC$4982,27,FALSE)</f>
        <v xml:space="preserve">HS2020  </v>
      </c>
      <c r="W35" s="113" t="str">
        <f>VLOOKUP(LEFT(Table1[[#This Row],[LastName]],1),Alpha!$A$1:$B$26,2,FALSE)</f>
        <v>Maureen Ranks</v>
      </c>
      <c r="X35" s="149" t="str">
        <f>VLOOKUP(Table1[[#This Row],[FAA]],Alpha!$B$1:$D$26,2,FALSE)</f>
        <v>mranks@neumont.edu</v>
      </c>
      <c r="Y35" s="113">
        <f>VLOOKUP(Table1[[#This Row],[FAA]],Alpha!$B$1:$D$26,3,FALSE)</f>
        <v>8883022894</v>
      </c>
      <c r="Z35" s="156" t="str">
        <f>VLOOKUP(Table1[[#This Row],[SyStudentId]],SSR!$A$2:$CC$4982,30,FALSE)</f>
        <v>16-Accepted</v>
      </c>
      <c r="AA35" s="113" t="str">
        <f>IF(VLOOKUP(Table1[[#This Row],[SyStudentId]],SSR!$A$2:$CC$4982,36,FALSE)="Bachelor of Science","BS Computer Science","Check Program")</f>
        <v>BS Computer Science</v>
      </c>
      <c r="AB35" s="113" t="str">
        <f>VLOOKUP(Table1[[#This Row],[SyStudentId]],SSR!$A$2:$CC$4982,37,FALSE)</f>
        <v xml:space="preserve">22      </v>
      </c>
      <c r="AC35" s="113">
        <f>VLOOKUP(Table1[[#This Row],[SyStudentId]],SSR!$A$2:$CC$4982,42,FALSE)</f>
        <v>0</v>
      </c>
      <c r="AD35" s="113" t="str">
        <f>VLOOKUP(Table1[[#This Row],[SyStudentId]],SSR!$A$2:$CC$4982,46,FALSE)</f>
        <v>110</v>
      </c>
      <c r="AE35" s="113" t="str">
        <f>VLOOKUP(Table1[[#This Row],[SyStudentId]],SSR!$A$2:$CC$4982,65,FALSE)</f>
        <v>IV</v>
      </c>
      <c r="AF35"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4</v>
      </c>
      <c r="AG35" s="113" t="str">
        <f>VLOOKUP(Table1[[#This Row],[SyStudentId]],SSR!$A$2:$CC$4982,66,FALSE)</f>
        <v>November</v>
      </c>
      <c r="AH35" s="113" t="str">
        <f>IFERROR(VLOOKUP(Table1[[#This Row],[SyStudentId]],ISIR!$A$2:$X$999,7,FALSE),"")</f>
        <v/>
      </c>
      <c r="AI35" s="121" t="str">
        <f>IF(Table1[[#This Row],[EFCRaw]]="","",IF(Table1[[#This Row],[EFCRaw]]="No EFC","No EFC",_xlfn.NUMBERVALUE(Table1[[#This Row],[EFCRaw]])))</f>
        <v/>
      </c>
      <c r="AJ35" s="119" t="str">
        <f>IFERROR(VLOOKUP(Table1[[#This Row],[SyStudentId]],ISIR!$A$2:$X$4999,19,FALSE),"")</f>
        <v/>
      </c>
      <c r="AK35" s="113" t="str">
        <f>IFERROR(VLOOKUP(Table1[[#This Row],[SyStudentId]],ISIR!$A$2:$X$4999,8,FALSE),"")</f>
        <v/>
      </c>
      <c r="AL35" s="132" t="str">
        <f>IF(Table1[[#This Row],[VerReq]]="N","n/a","")</f>
        <v/>
      </c>
      <c r="AM35" s="122"/>
      <c r="AN35" s="122"/>
      <c r="AO35" s="122"/>
      <c r="AP35" s="122"/>
      <c r="AQ35" s="122"/>
      <c r="AR35" s="122"/>
      <c r="AS35" s="122"/>
      <c r="AT35" s="122"/>
      <c r="AU35" s="122"/>
      <c r="AV35" s="122"/>
      <c r="AW35" s="122"/>
      <c r="AX35" s="122"/>
      <c r="AY35" s="122"/>
      <c r="AZ35" s="122"/>
      <c r="BA35" s="122"/>
      <c r="BB35" s="122"/>
      <c r="BC35" s="133"/>
      <c r="BD35" s="140" t="str">
        <f>IF(Table1[[#This Row],[VerReq]]="N","x","")</f>
        <v/>
      </c>
      <c r="BE35" s="140" t="str">
        <f>IF(Table1[[#This Row],[VerReq]]="N","x","")</f>
        <v/>
      </c>
      <c r="BF35" s="140" t="str">
        <f>IF(Table1[[#This Row],[VerReq]]="N","x","")</f>
        <v/>
      </c>
      <c r="BG35" s="140" t="str">
        <f>IF(Table1[[#This Row],[VerReq]]="N","x","")</f>
        <v/>
      </c>
      <c r="BH35" s="140" t="str">
        <f>IF(Table1[[#This Row],[VerReq]]="N","x","")</f>
        <v/>
      </c>
      <c r="BI35" s="140" t="str">
        <f>IF(Table1[[#This Row],[VerReq]]="N","x","")</f>
        <v/>
      </c>
      <c r="BJ35" s="123">
        <f>1-((COUNTBLANK(Table1[[#This Row],[ALESent]:[TaxTran]]))/(COUNT(Table1[[#This Row],[ALESent]:[TaxTran]])+COUNTBLANK(Table1[[#This Row],[ALESent]:[TaxTran]])))</f>
        <v>0</v>
      </c>
      <c r="BK35" s="136">
        <f>IF(VLOOKUP(Table1[[#This Row],[SyStudentId]],SSR!$A$2:$CC$4982,22,FALSE)=44109,44109,"Check Program")</f>
        <v>44109</v>
      </c>
      <c r="BL35" s="124">
        <f>IF(Table1[[#This Row],[AYStart]]=44109,44356,"Check Program")</f>
        <v>44356</v>
      </c>
      <c r="BM35" s="219">
        <v>8505</v>
      </c>
      <c r="BN35" s="219">
        <v>8505</v>
      </c>
      <c r="BO35" s="219">
        <v>8505</v>
      </c>
      <c r="BP35" s="220">
        <f t="shared" si="0"/>
        <v>25515</v>
      </c>
      <c r="BQ35" s="221">
        <v>3300</v>
      </c>
      <c r="BR35" s="219">
        <v>400</v>
      </c>
      <c r="BS35" s="219">
        <v>400</v>
      </c>
      <c r="BT35" s="220">
        <f t="shared" si="1"/>
        <v>4100</v>
      </c>
      <c r="BU35" s="219">
        <v>2100</v>
      </c>
      <c r="BV35" s="219">
        <v>2100</v>
      </c>
      <c r="BW35" s="219">
        <v>2100</v>
      </c>
      <c r="BX35" s="220">
        <f t="shared" si="2"/>
        <v>6300</v>
      </c>
      <c r="BY35" s="275">
        <v>1200</v>
      </c>
      <c r="BZ35" s="275">
        <v>1200</v>
      </c>
      <c r="CA35" s="275">
        <v>1200</v>
      </c>
      <c r="CB35" s="220">
        <f>SUM(Table1[[#This Row],[LEQ1]:[LEQ3]])</f>
        <v>3600</v>
      </c>
      <c r="CC35" s="275"/>
      <c r="CD35" s="275"/>
      <c r="CE35" s="275"/>
      <c r="CF35" s="220">
        <f>SUM(Table1[[#This Row],[OthCostQ1]:[OthCostQ3]])</f>
        <v>0</v>
      </c>
      <c r="CG35" s="220">
        <f>(Table1[[#This Row],[T&amp;FTot]]+Table1[[#This Row],[B&amp;STot]]+Table1[[#This Row],[HousTot]]+Table1[[#This Row],[LETot]]+Table1[[#This Row],[OthCostTot]])</f>
        <v>39515</v>
      </c>
      <c r="CH35" s="250"/>
      <c r="CI35" s="250"/>
      <c r="CJ35" s="250"/>
      <c r="CK35" s="251">
        <f>SUM(Table1[[#This Row],[SEOGQ1]:[SEOGQ3]])</f>
        <v>0</v>
      </c>
      <c r="CL35" s="250">
        <f>IFERROR(ROUNDUP(Table1[[#This Row],[PellTot]]/3,0),0)</f>
        <v>0</v>
      </c>
      <c r="CM35" s="250">
        <f>IFERROR(ROUND(Table1[[#This Row],[PellTot]]/3,0),0)</f>
        <v>0</v>
      </c>
      <c r="CN35" s="250">
        <f>IFERROR(ROUNDDOWN(Table1[[#This Row],[PellTot]]/3,0),0)</f>
        <v>0</v>
      </c>
      <c r="CO35" s="251">
        <f>IFERROR(LOOKUP(Table1[EFC],Pell_Table[#Data],Pell_Table[Pell Amt]),0)</f>
        <v>0</v>
      </c>
      <c r="CP35" s="250">
        <f>Table1[[#This Row],[AccessTot]]/3</f>
        <v>0</v>
      </c>
      <c r="CQ35" s="250">
        <f>Table1[[#This Row],[AccessTot]]/3</f>
        <v>0</v>
      </c>
      <c r="CR35" s="250">
        <f>Table1[[#This Row],[AccessTot]]/3</f>
        <v>0</v>
      </c>
      <c r="CS35" s="251">
        <f>IF(Table1[[#This Row],[PellTot]]&gt;0,1500,0)</f>
        <v>0</v>
      </c>
      <c r="CT35" s="250">
        <f>Table1[[#This Row],[AchiTot]]/3</f>
        <v>1250</v>
      </c>
      <c r="CU35" s="250">
        <f>Table1[[#This Row],[AchiTot]]/3</f>
        <v>1250</v>
      </c>
      <c r="CV35" s="250">
        <f>Table1[[#This Row],[AchiTot]]/3</f>
        <v>1250</v>
      </c>
      <c r="CW35" s="252">
        <f>IF(Table1[[#This Row],[Rank]]="","",IF(Table1[[#This Row],[Rank]]=1,5100,IF(Table1[[#This Row],[Rank]]=2,4500,IF(Table1[[#This Row],[Rank]]=3,3900,IF(Table1[[#This Row],[Rank]]=4,3750,IF(Table1[[#This Row],[Rank]]=5,3000,IF(Table1[[#This Row],[Rank]]=6,2250,0)))))))</f>
        <v>3750</v>
      </c>
      <c r="CX35" s="250">
        <f>Table1[[#This Row],[UTTot]]/3</f>
        <v>0</v>
      </c>
      <c r="CY35" s="250">
        <f>Table1[[#This Row],[UTTot]]/3</f>
        <v>0</v>
      </c>
      <c r="CZ35" s="250">
        <f>Table1[[#This Row],[UTTot]]/3</f>
        <v>0</v>
      </c>
      <c r="DA35" s="251">
        <f>IF(Table1[[#This Row],[State]]="UT",9000,0)</f>
        <v>0</v>
      </c>
      <c r="DB35" s="250">
        <f>Table1[[#This Row],[WITTot]]/3</f>
        <v>1000</v>
      </c>
      <c r="DC35" s="250">
        <f>Table1[[#This Row],[WITTot]]/3</f>
        <v>1000</v>
      </c>
      <c r="DD35" s="250">
        <f>Table1[[#This Row],[WITTot]]/3</f>
        <v>1000</v>
      </c>
      <c r="DE35" s="251">
        <f>IF(Table1[[#This Row],[Gender]]="Female",3000,0)</f>
        <v>3000</v>
      </c>
      <c r="DF35" s="250">
        <f>Table1[[#This Row],[SerTot]]/3</f>
        <v>0</v>
      </c>
      <c r="DG35" s="250">
        <f>Table1[[#This Row],[SerTot]]/3</f>
        <v>0</v>
      </c>
      <c r="DH35" s="250">
        <f>Table1[[#This Row],[SerTot]]/3</f>
        <v>0</v>
      </c>
      <c r="DI35" s="252"/>
      <c r="DJ35" s="250"/>
      <c r="DK35" s="250"/>
      <c r="DL35" s="250"/>
      <c r="DM35" s="252"/>
      <c r="DN35" s="250">
        <f>Table1[[#This Row],[MatTot]]/3</f>
        <v>0</v>
      </c>
      <c r="DO35" s="250">
        <f>Table1[[#This Row],[MatTot]]/3</f>
        <v>0</v>
      </c>
      <c r="DP35" s="250">
        <f>Table1[[#This Row],[MatTot]]/3</f>
        <v>0</v>
      </c>
      <c r="DQ35" s="252"/>
      <c r="DR35" s="250">
        <f>Table1[[#This Row],[OutTot]]/3</f>
        <v>0</v>
      </c>
      <c r="DS35" s="250">
        <f>Table1[[#This Row],[OutTot]]/3</f>
        <v>0</v>
      </c>
      <c r="DT35" s="250">
        <f>Table1[[#This Row],[OutTot]]/3</f>
        <v>0</v>
      </c>
      <c r="DU35" s="252"/>
      <c r="DV35" s="250"/>
      <c r="DW35" s="250"/>
      <c r="DX35" s="250"/>
      <c r="DY35" s="252">
        <f>SUM(Table1[[#This Row],[VAQ1]:[VAQ3]])</f>
        <v>0</v>
      </c>
      <c r="DZ35" s="250"/>
      <c r="EA35" s="250"/>
      <c r="EB35" s="250"/>
      <c r="EC35" s="252">
        <f>SUM(Table1[[#This Row],[OthGrantQ1]:[OthGrantQ3]])</f>
        <v>0</v>
      </c>
      <c r="ED35" s="263">
        <f>Table1[[#This Row],[SEOGTot]]+Table1[[#This Row],[PellTot]]+Table1[[#This Row],[AccessTot]]+Table1[[#This Row],[AchiTot]]+Table1[[#This Row],[UTTot]]+Table1[[#This Row],[WITTot]]+Table1[[#This Row],[SerTot]]+Table1[[#This Row],[TranTot]]+Table1[[#This Row],[MatTot]]+Table1[[#This Row],[OutTot]]+Table1[[#This Row],[VATot]]+Table1[[#This Row],[OthGrantTot]]</f>
        <v>6750</v>
      </c>
      <c r="EE35" s="249"/>
      <c r="EF35" s="237"/>
      <c r="EG35" s="237"/>
      <c r="EH35" s="232">
        <f>SUM(Table1[[#This Row],[CashQ1]]:Table1[[#This Row],[CashQ3]])</f>
        <v>0</v>
      </c>
      <c r="EI35" s="271">
        <f>ROUND((Table1[[#This Row],[SubTot]]/3)/1.01059,0)</f>
        <v>0</v>
      </c>
      <c r="EJ35" s="234">
        <f>ROUND((Table1[[#This Row],[SubTot]]/3)/1.01059,0)</f>
        <v>0</v>
      </c>
      <c r="EK35" s="234">
        <f>ROUNDUP((Table1[[#This Row],[SubTot]]/3)/1.01059,0)</f>
        <v>0</v>
      </c>
      <c r="EL35" s="235"/>
      <c r="EM35" s="240">
        <f>Table1[[#This Row],[SubTot]]*0.01059</f>
        <v>0</v>
      </c>
      <c r="EN35" s="234">
        <f>ROUND((Table1[[#This Row],[UnsubTot]]/3)/1.01062,0)</f>
        <v>660</v>
      </c>
      <c r="EO35" s="234">
        <f>ROUND((Table1[[#This Row],[UnsubTot]]/3)/1.01062,0)</f>
        <v>660</v>
      </c>
      <c r="EP35" s="234">
        <f>ROUNDDOWN((Table1[[#This Row],[UnsubTot]]/3)/1.01062,0)</f>
        <v>659</v>
      </c>
      <c r="EQ35" s="235">
        <f>IF(Table1[D/I]="I",6000,2000)</f>
        <v>2000</v>
      </c>
      <c r="ER35" s="240">
        <f>Table1[[#This Row],[UnsubTot]]*0.01062</f>
        <v>21.24</v>
      </c>
      <c r="ES35" s="234">
        <f>ROUND((Table1[[#This Row],[PLUSTot]]/3)/1.04248,0)</f>
        <v>0</v>
      </c>
      <c r="ET35" s="234">
        <f>ROUND((Table1[[#This Row],[PLUSTot]]/3)/1.04248,0)</f>
        <v>0</v>
      </c>
      <c r="EU35" s="234">
        <f>ROUND((Table1[[#This Row],[PLUSTot]]/3)/1.04248,0)</f>
        <v>0</v>
      </c>
      <c r="EV35" s="235"/>
      <c r="EW35" s="239">
        <f>Table1[[#This Row],[PLUSTot]]*0.04248</f>
        <v>0</v>
      </c>
      <c r="EX35" s="237"/>
      <c r="EY35" s="237"/>
      <c r="EZ35" s="237"/>
      <c r="FA35" s="232">
        <f>SUM(Table1[[#This Row],[PrivQ1]:[PrivQ3]])</f>
        <v>0</v>
      </c>
      <c r="FB35" s="237"/>
      <c r="FC35" s="237"/>
      <c r="FD35" s="237"/>
      <c r="FE35" s="232">
        <f>SUM(Table1[[#This Row],[TOQ1]:[TOQ3]])</f>
        <v>0</v>
      </c>
      <c r="FF35" s="237"/>
      <c r="FG35" s="237"/>
      <c r="FH35" s="237"/>
      <c r="FI35" s="232">
        <f>SUM(Table1[[#This Row],[OFundQ1]:[OFundQ3]])</f>
        <v>0</v>
      </c>
      <c r="FJ35" s="239">
        <f>(Table1[[#This Row],[SubTot]]-Table1[[#This Row],[SubFee]])+(Table1[[#This Row],[UnsubTot]]-Table1[[#This Row],[UnsubFee]])+(Table1[[#This Row],[PLUSTot]]-Table1[[#This Row],[PLUSFee]])+Table1[[#This Row],[PrivTot]]+Table1[[#This Row],[TOTot]]+Table1[[#This Row],[OFundTot]]</f>
        <v>1978.76</v>
      </c>
      <c r="FK35" s="125">
        <f>Table1[[#This Row],[CostTot]]-Table1[[#This Row],[GiftTot]]</f>
        <v>32765</v>
      </c>
      <c r="FL35" s="130">
        <f>Table1[[#This Row],[NetNeed]]/(1-0.04248)</f>
        <v>32152.059487008104</v>
      </c>
      <c r="FM35" s="131">
        <f>Table1[[#This Row],[NetCost]]-Table1[[#This Row],[CashTot]]-(Table1[[#This Row],[SubTot]]-Table1[[#This Row],[SubFee]])-(Table1[[#This Row],[UnsubTot]]-Table1[[#This Row],[UnsubFee]])-(Table1[[#This Row],[PLUSTot]]-Table1[[#This Row],[PLUSFee]])-Table1[[#This Row],[PrivTot]]-Table1[[#This Row],[TOTot]]-Table1[[#This Row],[OFundTot]]</f>
        <v>30786.240000000002</v>
      </c>
      <c r="FN35" s="161"/>
      <c r="FO35" s="113"/>
      <c r="FP35" s="113"/>
    </row>
    <row r="36" spans="1:172" s="160" customFormat="1" ht="15" x14ac:dyDescent="0.25">
      <c r="A36" s="267">
        <v>195417</v>
      </c>
      <c r="B36" s="113" t="str">
        <f>VLOOKUP(Table1[[#This Row],[SyStudentId]],SSR!$A$2:$CC$4982,4,FALSE)</f>
        <v>Moore</v>
      </c>
      <c r="C36" s="113" t="str">
        <f>VLOOKUP(Table1[[#This Row],[SyStudentId]],SSR!$A$2:$CC$4982,5,FALSE)</f>
        <v>Christopher</v>
      </c>
      <c r="D36" s="113" t="str">
        <f>VLOOKUP(Table1[[#This Row],[SyStudentId]],SSR!$A$2:$CC$4982,6,FALSE)</f>
        <v>Moore, Christopher</v>
      </c>
      <c r="E36" s="113" t="str">
        <f>CONCATENATE(Table1[[#This Row],[FirstName]]," ",Table1[[#This Row],[LastName]])</f>
        <v>Christopher Moore</v>
      </c>
      <c r="F36" s="112">
        <v>1</v>
      </c>
      <c r="G36" s="114">
        <v>43776</v>
      </c>
      <c r="H36" s="114">
        <v>43782</v>
      </c>
      <c r="I36" s="114">
        <v>43782</v>
      </c>
      <c r="J36" s="115"/>
      <c r="K36" s="116" t="s">
        <v>605</v>
      </c>
      <c r="L36" s="112" t="str">
        <f>IFERROR(VLOOKUP(Table1[[#This Row],[SyStudentId]],ISIR!$A$2:$X$999,11,FALSE),"")</f>
        <v>D</v>
      </c>
      <c r="M36" s="113" t="str">
        <f>VLOOKUP(Table1[[#This Row],[SyStudentId]],SSR!$A$2:$CC$4982,7,FALSE)</f>
        <v>Cj.Moore2279@gmail.com</v>
      </c>
      <c r="N36" s="113" t="str">
        <f>VLOOKUP(Table1[[#This Row],[SyStudentId]],SSR!$A$2:$CC$4982,8,FALSE)</f>
        <v>129 West Terrell St</v>
      </c>
      <c r="O36" s="113" t="str">
        <f>VLOOKUP(Table1[[#This Row],[SyStudentId]],SSR!$A$2:$CC$4982,9,FALSE)</f>
        <v>Greensboro</v>
      </c>
      <c r="P36" s="303" t="str">
        <f>VLOOKUP(Table1[[#This Row],[SyStudentId]],SSR!$A$2:$CC$4982,10,FALSE)</f>
        <v>NC</v>
      </c>
      <c r="Q36" s="117" t="str">
        <f>VLOOKUP(Table1[[#This Row],[SyStudentId]],SSR!$A$2:$CC$4982,11,FALSE)</f>
        <v xml:space="preserve">27406     </v>
      </c>
      <c r="R36" s="118">
        <f>VLOOKUP(Table1[[#This Row],[SyStudentId]],SSR!$A$2:$CC$4982,15,FALSE)</f>
        <v>3.1667000000000001</v>
      </c>
      <c r="S36" s="119">
        <f>VLOOKUP(Table1[[#This Row],[SyStudentId]],SSR!$A$2:$CC$4982,22,FALSE)</f>
        <v>44109</v>
      </c>
      <c r="T36" s="113" t="str">
        <f>VLOOKUP(Table1[[#This Row],[SyStudentId]],SSR!$A$2:$CC$4982,24,FALSE)</f>
        <v>MN</v>
      </c>
      <c r="U36" s="113" t="str">
        <f>IF(VLOOKUP(Table1[[#This Row],[SyStudentId]],SSR!$A$2:$CC$4982,26,FALSE)=0,"Not Selected",VLOOKUP(Table1[[#This Row],[SyStudentId]],SSR!$A$2:$CC$4982,26,FALSE))</f>
        <v>Male</v>
      </c>
      <c r="V36" s="113" t="str">
        <f>VLOOKUP(Table1[[#This Row],[SyStudentId]],SSR!$A$2:$CC$4982,27,FALSE)</f>
        <v xml:space="preserve">HS2020  </v>
      </c>
      <c r="W36" s="113" t="str">
        <f>VLOOKUP(LEFT(Table1[[#This Row],[LastName]],1),Alpha!$A$1:$B$26,2,FALSE)</f>
        <v>Maureen Ranks</v>
      </c>
      <c r="X36" s="149" t="str">
        <f>VLOOKUP(Table1[[#This Row],[FAA]],Alpha!$B$1:$D$26,2,FALSE)</f>
        <v>mranks@neumont.edu</v>
      </c>
      <c r="Y36" s="113">
        <f>VLOOKUP(Table1[[#This Row],[FAA]],Alpha!$B$1:$D$26,3,FALSE)</f>
        <v>8883022894</v>
      </c>
      <c r="Z36" s="113" t="str">
        <f>VLOOKUP(Table1[[#This Row],[SyStudentId]],SSR!$A$2:$CC$4982,30,FALSE)</f>
        <v>16-Accepted</v>
      </c>
      <c r="AA36" s="113" t="str">
        <f>IF(VLOOKUP(Table1[[#This Row],[SyStudentId]],SSR!$A$2:$CC$4982,36,FALSE)="Bachelor of Science","BS Computer Science","Check Program")</f>
        <v>BS Computer Science</v>
      </c>
      <c r="AB36" s="113">
        <f>VLOOKUP(Table1[[#This Row],[SyStudentId]],SSR!$A$2:$CC$4982,37,FALSE)</f>
        <v>0</v>
      </c>
      <c r="AC36" s="113">
        <f>VLOOKUP(Table1[[#This Row],[SyStudentId]],SSR!$A$2:$CC$4982,42,FALSE)</f>
        <v>0</v>
      </c>
      <c r="AD36" s="113" t="str">
        <f>VLOOKUP(Table1[[#This Row],[SyStudentId]],SSR!$A$2:$CC$4982,46,FALSE)</f>
        <v>0</v>
      </c>
      <c r="AE36" s="113" t="str">
        <f>VLOOKUP(Table1[[#This Row],[SyStudentId]],SSR!$A$2:$CC$4982,65,FALSE)</f>
        <v>VIII</v>
      </c>
      <c r="AF36"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36" s="113" t="str">
        <f>VLOOKUP(Table1[[#This Row],[SyStudentId]],SSR!$A$2:$CC$4982,66,FALSE)</f>
        <v>July-October</v>
      </c>
      <c r="AH36" s="113" t="str">
        <f>IFERROR(VLOOKUP(Table1[[#This Row],[SyStudentId]],ISIR!$A$2:$X$999,7,FALSE),"")</f>
        <v>000000</v>
      </c>
      <c r="AI36" s="121">
        <f>IF(Table1[[#This Row],[EFCRaw]]="","",IF(Table1[[#This Row],[EFCRaw]]="No EFC","No EFC",_xlfn.NUMBERVALUE(Table1[[#This Row],[EFCRaw]])))</f>
        <v>0</v>
      </c>
      <c r="AJ36" s="119">
        <f>IFERROR(VLOOKUP(Table1[[#This Row],[SyStudentId]],ISIR!$A$2:$X$4999,19,FALSE),"")</f>
        <v>43776</v>
      </c>
      <c r="AK36" s="113" t="str">
        <f>IFERROR(VLOOKUP(Table1[[#This Row],[SyStudentId]],ISIR!$A$2:$X$4999,8,FALSE),"")</f>
        <v>N</v>
      </c>
      <c r="AL36" s="132" t="str">
        <f>IF(Table1[[#This Row],[VerReq]]="N","n/a","")</f>
        <v>n/a</v>
      </c>
      <c r="AM36" s="122">
        <v>43782</v>
      </c>
      <c r="AN36" s="122">
        <v>43782</v>
      </c>
      <c r="AO36" s="122">
        <v>43782</v>
      </c>
      <c r="AP36" s="122"/>
      <c r="AQ36" s="122"/>
      <c r="AR36" s="122"/>
      <c r="AS36" s="122"/>
      <c r="AT36" s="122"/>
      <c r="AU36" s="122"/>
      <c r="AV36" s="122"/>
      <c r="AW36" s="122"/>
      <c r="AX36" s="122"/>
      <c r="AY36" s="122"/>
      <c r="AZ36" s="122"/>
      <c r="BA36" s="122"/>
      <c r="BB36" s="122"/>
      <c r="BC36" s="133"/>
      <c r="BD36" s="140" t="str">
        <f>IF(Table1[[#This Row],[VerReq]]="N","x","")</f>
        <v>x</v>
      </c>
      <c r="BE36" s="140" t="str">
        <f>IF(Table1[[#This Row],[VerReq]]="N","x","")</f>
        <v>x</v>
      </c>
      <c r="BF36" s="140" t="str">
        <f>IF(Table1[[#This Row],[VerReq]]="N","x","")</f>
        <v>x</v>
      </c>
      <c r="BG36" s="140" t="str">
        <f>IF(Table1[[#This Row],[VerReq]]="N","x","")</f>
        <v>x</v>
      </c>
      <c r="BH36" s="140" t="str">
        <f>IF(Table1[[#This Row],[VerReq]]="N","x","")</f>
        <v>x</v>
      </c>
      <c r="BI36" s="140" t="str">
        <f>IF(Table1[[#This Row],[VerReq]]="N","x","")</f>
        <v>x</v>
      </c>
      <c r="BJ36" s="123">
        <f>1-((COUNTBLANK(Table1[[#This Row],[ALESent]:[TaxTran]]))/(COUNT(Table1[[#This Row],[ALESent]:[TaxTran]])+COUNTBLANK(Table1[[#This Row],[ALESent]:[TaxTran]])))</f>
        <v>0.17647058823529416</v>
      </c>
      <c r="BK36" s="136">
        <f>IF(VLOOKUP(Table1[[#This Row],[SyStudentId]],SSR!$A$2:$CC$4982,22,FALSE)=44109,44109,"Check Program")</f>
        <v>44109</v>
      </c>
      <c r="BL36" s="124">
        <f>IF(Table1[[#This Row],[AYStart]]=44109,44356,"Check Program")</f>
        <v>44356</v>
      </c>
      <c r="BM36" s="219">
        <v>8505</v>
      </c>
      <c r="BN36" s="219">
        <v>8505</v>
      </c>
      <c r="BO36" s="219">
        <v>8505</v>
      </c>
      <c r="BP36" s="220">
        <f t="shared" si="0"/>
        <v>25515</v>
      </c>
      <c r="BQ36" s="221">
        <v>3300</v>
      </c>
      <c r="BR36" s="219">
        <v>400</v>
      </c>
      <c r="BS36" s="219">
        <v>400</v>
      </c>
      <c r="BT36" s="220">
        <f t="shared" si="1"/>
        <v>4100</v>
      </c>
      <c r="BU36" s="219">
        <v>2100</v>
      </c>
      <c r="BV36" s="219">
        <v>2100</v>
      </c>
      <c r="BW36" s="219">
        <v>2100</v>
      </c>
      <c r="BX36" s="220">
        <f t="shared" si="2"/>
        <v>6300</v>
      </c>
      <c r="BY36" s="275">
        <v>1200</v>
      </c>
      <c r="BZ36" s="275">
        <v>1200</v>
      </c>
      <c r="CA36" s="275">
        <v>1200</v>
      </c>
      <c r="CB36" s="220">
        <f>SUM(Table1[[#This Row],[LEQ1]:[LEQ3]])</f>
        <v>3600</v>
      </c>
      <c r="CC36" s="275">
        <v>0</v>
      </c>
      <c r="CD36" s="275">
        <v>0</v>
      </c>
      <c r="CE36" s="275">
        <v>0</v>
      </c>
      <c r="CF36" s="220">
        <f>SUM(Table1[[#This Row],[OthCostQ1]:[OthCostQ3]])</f>
        <v>0</v>
      </c>
      <c r="CG36" s="220">
        <f>(Table1[[#This Row],[T&amp;FTot]]+Table1[[#This Row],[B&amp;STot]]+Table1[[#This Row],[HousTot]]+Table1[[#This Row],[LETot]]+Table1[[#This Row],[OthCostTot]])</f>
        <v>39515</v>
      </c>
      <c r="CH36" s="250"/>
      <c r="CI36" s="250"/>
      <c r="CJ36" s="250"/>
      <c r="CK36" s="251">
        <f>SUM(Table1[[#This Row],[SEOGQ1]:[SEOGQ3]])</f>
        <v>0</v>
      </c>
      <c r="CL36" s="250">
        <f>IFERROR(ROUNDUP(Table1[[#This Row],[PellTot]]/3,0),0)</f>
        <v>2065</v>
      </c>
      <c r="CM36" s="250">
        <f>IFERROR(ROUND(Table1[[#This Row],[PellTot]]/3,0),0)</f>
        <v>2065</v>
      </c>
      <c r="CN36" s="250">
        <f>IFERROR(ROUNDDOWN(Table1[[#This Row],[PellTot]]/3,0),0)</f>
        <v>2065</v>
      </c>
      <c r="CO36" s="251">
        <f>IFERROR(LOOKUP(Table1[EFC],Pell_Table[#Data],Pell_Table[Pell Amt]),0)</f>
        <v>6195</v>
      </c>
      <c r="CP36" s="250">
        <f>Table1[[#This Row],[AccessTot]]/3</f>
        <v>500</v>
      </c>
      <c r="CQ36" s="250">
        <f>Table1[[#This Row],[AccessTot]]/3</f>
        <v>500</v>
      </c>
      <c r="CR36" s="250">
        <f>Table1[[#This Row],[AccessTot]]/3</f>
        <v>500</v>
      </c>
      <c r="CS36" s="251">
        <f>IF(Table1[[#This Row],[PellTot]]&gt;0,1500,0)</f>
        <v>1500</v>
      </c>
      <c r="CT36" s="250">
        <f>Table1[[#This Row],[AchiTot]]/3</f>
        <v>0</v>
      </c>
      <c r="CU36" s="250">
        <f>Table1[[#This Row],[AchiTot]]/3</f>
        <v>0</v>
      </c>
      <c r="CV36" s="250">
        <f>Table1[[#This Row],[AchiTot]]/3</f>
        <v>0</v>
      </c>
      <c r="CW36" s="252">
        <f>IF(Table1[[#This Row],[Rank]]="","",IF(Table1[[#This Row],[Rank]]=1,5100,IF(Table1[[#This Row],[Rank]]=2,4500,IF(Table1[[#This Row],[Rank]]=3,3900,IF(Table1[[#This Row],[Rank]]=4,3750,IF(Table1[[#This Row],[Rank]]=5,3000,IF(Table1[[#This Row],[Rank]]=6,2250,0)))))))</f>
        <v>0</v>
      </c>
      <c r="CX36" s="250">
        <f>Table1[[#This Row],[UTTot]]/3</f>
        <v>0</v>
      </c>
      <c r="CY36" s="250">
        <f>Table1[[#This Row],[UTTot]]/3</f>
        <v>0</v>
      </c>
      <c r="CZ36" s="250">
        <f>Table1[[#This Row],[UTTot]]/3</f>
        <v>0</v>
      </c>
      <c r="DA36" s="251">
        <f>IF(Table1[[#This Row],[State]]="UT",9000,0)</f>
        <v>0</v>
      </c>
      <c r="DB36" s="250">
        <f>Table1[[#This Row],[WITTot]]/3</f>
        <v>0</v>
      </c>
      <c r="DC36" s="250">
        <f>Table1[[#This Row],[WITTot]]/3</f>
        <v>0</v>
      </c>
      <c r="DD36" s="250">
        <f>Table1[[#This Row],[WITTot]]/3</f>
        <v>0</v>
      </c>
      <c r="DE36" s="251">
        <f>IF(Table1[[#This Row],[Gender]]="Female",3000,0)</f>
        <v>0</v>
      </c>
      <c r="DF36" s="250">
        <f>Table1[[#This Row],[SerTot]]/3</f>
        <v>0</v>
      </c>
      <c r="DG36" s="250">
        <f>Table1[[#This Row],[SerTot]]/3</f>
        <v>0</v>
      </c>
      <c r="DH36" s="250">
        <f>Table1[[#This Row],[SerTot]]/3</f>
        <v>0</v>
      </c>
      <c r="DI36" s="252"/>
      <c r="DJ36" s="250"/>
      <c r="DK36" s="250"/>
      <c r="DL36" s="250"/>
      <c r="DM36" s="252"/>
      <c r="DN36" s="250">
        <f>Table1[[#This Row],[MatTot]]/3</f>
        <v>0</v>
      </c>
      <c r="DO36" s="250">
        <f>Table1[[#This Row],[MatTot]]/3</f>
        <v>0</v>
      </c>
      <c r="DP36" s="250">
        <f>Table1[[#This Row],[MatTot]]/3</f>
        <v>0</v>
      </c>
      <c r="DQ36" s="252">
        <v>0</v>
      </c>
      <c r="DR36" s="250">
        <f>Table1[[#This Row],[OutTot]]/3</f>
        <v>0</v>
      </c>
      <c r="DS36" s="250">
        <f>Table1[[#This Row],[OutTot]]/3</f>
        <v>0</v>
      </c>
      <c r="DT36" s="250">
        <f>Table1[[#This Row],[OutTot]]/3</f>
        <v>0</v>
      </c>
      <c r="DU36" s="252">
        <v>0</v>
      </c>
      <c r="DV36" s="250">
        <v>0</v>
      </c>
      <c r="DW36" s="250">
        <v>0</v>
      </c>
      <c r="DX36" s="250">
        <v>0</v>
      </c>
      <c r="DY36" s="252">
        <f>SUM(Table1[[#This Row],[VAQ1]:[VAQ3]])</f>
        <v>0</v>
      </c>
      <c r="DZ36" s="250">
        <v>0</v>
      </c>
      <c r="EA36" s="250">
        <v>0</v>
      </c>
      <c r="EB36" s="250">
        <v>0</v>
      </c>
      <c r="EC36" s="252">
        <f>SUM(Table1[[#This Row],[OthGrantQ1]:[OthGrantQ3]])</f>
        <v>0</v>
      </c>
      <c r="ED36" s="263">
        <f>Table1[[#This Row],[SEOGTot]]+Table1[[#This Row],[PellTot]]+Table1[[#This Row],[AccessTot]]+Table1[[#This Row],[AchiTot]]+Table1[[#This Row],[UTTot]]+Table1[[#This Row],[WITTot]]+Table1[[#This Row],[SerTot]]+Table1[[#This Row],[TranTot]]+Table1[[#This Row],[MatTot]]+Table1[[#This Row],[OutTot]]+Table1[[#This Row],[VATot]]+Table1[[#This Row],[OthGrantTot]]</f>
        <v>7695</v>
      </c>
      <c r="EE36" s="249"/>
      <c r="EF36" s="237"/>
      <c r="EG36" s="237"/>
      <c r="EH36" s="232">
        <f>SUM(Table1[[#This Row],[CashQ1]]:Table1[[#This Row],[CashQ3]])</f>
        <v>0</v>
      </c>
      <c r="EI36" s="271">
        <f>ROUND((Table1[[#This Row],[SubTot]]/3)/1.01059,0)</f>
        <v>1154</v>
      </c>
      <c r="EJ36" s="234">
        <f>ROUND((Table1[[#This Row],[SubTot]]/3)/1.01059,0)</f>
        <v>1154</v>
      </c>
      <c r="EK36" s="234">
        <f>ROUNDUP((Table1[[#This Row],[SubTot]]/3)/1.01059,0)</f>
        <v>1155</v>
      </c>
      <c r="EL36" s="235">
        <v>3500</v>
      </c>
      <c r="EM36" s="240">
        <f>Table1[[#This Row],[SubTot]]*0.01059</f>
        <v>37.065000000000005</v>
      </c>
      <c r="EN36" s="234">
        <f>ROUND((Table1[[#This Row],[UnsubTot]]/3)/1.01062,0)</f>
        <v>660</v>
      </c>
      <c r="EO36" s="234">
        <f>ROUND((Table1[[#This Row],[UnsubTot]]/3)/1.01062,0)</f>
        <v>660</v>
      </c>
      <c r="EP36" s="234">
        <f>ROUNDDOWN((Table1[[#This Row],[UnsubTot]]/3)/1.01062,0)</f>
        <v>659</v>
      </c>
      <c r="EQ36" s="235">
        <f>IF(Table1[D/I]="I",6000,2000)</f>
        <v>2000</v>
      </c>
      <c r="ER36" s="240">
        <f>Table1[[#This Row],[UnsubTot]]*0.01059</f>
        <v>21.18</v>
      </c>
      <c r="ES36" s="234">
        <f>ROUND((Table1[[#This Row],[PLUSTot]]/3)/1.04236,0)</f>
        <v>8810</v>
      </c>
      <c r="ET36" s="234">
        <f>ROUND((Table1[[#This Row],[PLUSTot]]/3)/1.04236,0)</f>
        <v>8810</v>
      </c>
      <c r="EU36" s="234">
        <f>ROUND((Table1[[#This Row],[PLUSTot]]/3)/1.04236,0)</f>
        <v>8810</v>
      </c>
      <c r="EV36" s="235">
        <v>27549</v>
      </c>
      <c r="EW36" s="239">
        <f>Table1[[#This Row],[PLUSTot]]*0.04248</f>
        <v>1170.28152</v>
      </c>
      <c r="EX36" s="237"/>
      <c r="EY36" s="237"/>
      <c r="EZ36" s="237"/>
      <c r="FA36" s="232">
        <f>SUM(Table1[[#This Row],[PrivQ1]:[PrivQ3]])</f>
        <v>0</v>
      </c>
      <c r="FB36" s="237"/>
      <c r="FC36" s="237"/>
      <c r="FD36" s="237"/>
      <c r="FE36" s="232">
        <f>SUM(Table1[[#This Row],[TOQ1]:[TOQ3]])</f>
        <v>0</v>
      </c>
      <c r="FF36" s="237"/>
      <c r="FG36" s="237"/>
      <c r="FH36" s="237"/>
      <c r="FI36" s="232">
        <f>SUM(Table1[[#This Row],[OFundQ1]:[OFundQ3]])</f>
        <v>0</v>
      </c>
      <c r="FJ36" s="239">
        <f>(Table1[[#This Row],[SubTot]]-Table1[[#This Row],[SubFee]])+(Table1[[#This Row],[UnsubTot]]-Table1[[#This Row],[UnsubFee]])+(Table1[[#This Row],[PLUSTot]]-Table1[[#This Row],[PLUSFee]])+Table1[[#This Row],[PrivTot]]+Table1[[#This Row],[TOTot]]+Table1[[#This Row],[OFundTot]]</f>
        <v>31820.473480000001</v>
      </c>
      <c r="FK36" s="125">
        <f>Table1[[#This Row],[CostTot]]-Table1[[#This Row],[GiftTot]]</f>
        <v>31820</v>
      </c>
      <c r="FL36" s="130">
        <f>Table1[[#This Row],[NetNeed]]/(1-0.04248)</f>
        <v>-0.49448575486732749</v>
      </c>
      <c r="FM36" s="131">
        <f>Table1[[#This Row],[NetCost]]-Table1[[#This Row],[CashTot]]-(Table1[[#This Row],[SubTot]]-Table1[[#This Row],[SubFee]])-(Table1[[#This Row],[UnsubTot]]-Table1[[#This Row],[UnsubFee]])-(Table1[[#This Row],[PLUSTot]]-Table1[[#This Row],[PLUSFee]])-Table1[[#This Row],[PrivTot]]-Table1[[#This Row],[TOTot]]-Table1[[#This Row],[OFundTot]]</f>
        <v>-0.47348000000056345</v>
      </c>
      <c r="FN36" s="161"/>
      <c r="FO36" s="113"/>
      <c r="FP36" s="113"/>
    </row>
    <row r="37" spans="1:172" s="180" customFormat="1" ht="15" x14ac:dyDescent="0.25">
      <c r="A37" s="267">
        <v>193609</v>
      </c>
      <c r="B37" s="113" t="str">
        <f>VLOOKUP(Table1[[#This Row],[SyStudentId]],SSR!$A$2:$CC$4982,4,FALSE)</f>
        <v>Morgan</v>
      </c>
      <c r="C37" s="113" t="str">
        <f>VLOOKUP(Table1[[#This Row],[SyStudentId]],SSR!$A$2:$CC$4982,5,FALSE)</f>
        <v>Brock</v>
      </c>
      <c r="D37" s="113" t="str">
        <f>VLOOKUP(Table1[[#This Row],[SyStudentId]],SSR!$A$2:$CC$4982,6,FALSE)</f>
        <v>Morgan, Brock</v>
      </c>
      <c r="E37" s="113" t="str">
        <f>CONCATENATE(Table1[[#This Row],[FirstName]]," ",Table1[[#This Row],[LastName]])</f>
        <v>Brock Morgan</v>
      </c>
      <c r="F37" s="112"/>
      <c r="G37" s="114"/>
      <c r="H37" s="114"/>
      <c r="I37" s="114"/>
      <c r="J37" s="115"/>
      <c r="K37" s="116"/>
      <c r="L37" s="112" t="str">
        <f>IFERROR(VLOOKUP(Table1[[#This Row],[SyStudentId]],ISIR!$A$2:$X$999,11,FALSE),"")</f>
        <v/>
      </c>
      <c r="M37" s="113" t="str">
        <f>VLOOKUP(Table1[[#This Row],[SyStudentId]],SSR!$A$2:$CC$4982,7,FALSE)</f>
        <v>Treybcmorgan27@gmail.com</v>
      </c>
      <c r="N37" s="113" t="str">
        <f>VLOOKUP(Table1[[#This Row],[SyStudentId]],SSR!$A$2:$CC$4982,8,FALSE)</f>
        <v>3420 Denver Dr</v>
      </c>
      <c r="O37" s="113" t="str">
        <f>VLOOKUP(Table1[[#This Row],[SyStudentId]],SSR!$A$2:$CC$4982,9,FALSE)</f>
        <v>McKinney</v>
      </c>
      <c r="P37" s="113" t="str">
        <f>VLOOKUP(Table1[[#This Row],[SyStudentId]],SSR!$A$2:$CC$4982,10,FALSE)</f>
        <v>TX</v>
      </c>
      <c r="Q37" s="117" t="str">
        <f>VLOOKUP(Table1[[#This Row],[SyStudentId]],SSR!$A$2:$CC$4982,11,FALSE)</f>
        <v xml:space="preserve">75070     </v>
      </c>
      <c r="R37" s="118">
        <f>VLOOKUP(Table1[[#This Row],[SyStudentId]],SSR!$A$2:$CC$4982,15,FALSE)</f>
        <v>3.0889000000000002</v>
      </c>
      <c r="S37" s="119">
        <f>VLOOKUP(Table1[[#This Row],[SyStudentId]],SSR!$A$2:$CC$4982,22,FALSE)</f>
        <v>44109</v>
      </c>
      <c r="T37" s="113" t="str">
        <f>VLOOKUP(Table1[[#This Row],[SyStudentId]],SSR!$A$2:$CC$4982,24,FALSE)</f>
        <v>MN</v>
      </c>
      <c r="U37" s="113" t="str">
        <f>IF(VLOOKUP(Table1[[#This Row],[SyStudentId]],SSR!$A$2:$CC$4982,26,FALSE)=0,"Not Selected",VLOOKUP(Table1[[#This Row],[SyStudentId]],SSR!$A$2:$CC$4982,26,FALSE))</f>
        <v>Male</v>
      </c>
      <c r="V37" s="113" t="str">
        <f>VLOOKUP(Table1[[#This Row],[SyStudentId]],SSR!$A$2:$CC$4982,27,FALSE)</f>
        <v xml:space="preserve">HS2020  </v>
      </c>
      <c r="W37" s="113" t="str">
        <f>VLOOKUP(LEFT(Table1[[#This Row],[LastName]],1),Alpha!$A$1:$B$26,2,FALSE)</f>
        <v>Maureen Ranks</v>
      </c>
      <c r="X37" s="149" t="str">
        <f>VLOOKUP(Table1[[#This Row],[FAA]],Alpha!$B$1:$D$26,2,FALSE)</f>
        <v>mranks@neumont.edu</v>
      </c>
      <c r="Y37" s="113">
        <f>VLOOKUP(Table1[[#This Row],[FAA]],Alpha!$B$1:$D$26,3,FALSE)</f>
        <v>8883022894</v>
      </c>
      <c r="Z37" s="113" t="str">
        <f>VLOOKUP(Table1[[#This Row],[SyStudentId]],SSR!$A$2:$CC$4982,30,FALSE)</f>
        <v>16-Accepted</v>
      </c>
      <c r="AA37" s="113" t="str">
        <f>IF(VLOOKUP(Table1[[#This Row],[SyStudentId]],SSR!$A$2:$CC$4982,36,FALSE)="Bachelor of Science","BS Computer Science","Check Program")</f>
        <v>BS Computer Science</v>
      </c>
      <c r="AB37" s="113" t="str">
        <f>VLOOKUP(Table1[[#This Row],[SyStudentId]],SSR!$A$2:$CC$4982,37,FALSE)</f>
        <v xml:space="preserve">26      </v>
      </c>
      <c r="AC37" s="113" t="str">
        <f>VLOOKUP(Table1[[#This Row],[SyStudentId]],SSR!$A$2:$CC$4982,42,FALSE)</f>
        <v xml:space="preserve">1180    </v>
      </c>
      <c r="AD37" s="113" t="str">
        <f>VLOOKUP(Table1[[#This Row],[SyStudentId]],SSR!$A$2:$CC$4982,46,FALSE)</f>
        <v>108</v>
      </c>
      <c r="AE37" s="113" t="str">
        <f>VLOOKUP(Table1[[#This Row],[SyStudentId]],SSR!$A$2:$CC$4982,65,FALSE)</f>
        <v>II</v>
      </c>
      <c r="AF37"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2</v>
      </c>
      <c r="AG37" s="113" t="str">
        <f>VLOOKUP(Table1[[#This Row],[SyStudentId]],SSR!$A$2:$CC$4982,66,FALSE)</f>
        <v>July-October</v>
      </c>
      <c r="AH37" s="113" t="str">
        <f>IFERROR(VLOOKUP(Table1[[#This Row],[SyStudentId]],ISIR!$A$2:$X$999,7,FALSE),"")</f>
        <v/>
      </c>
      <c r="AI37" s="121" t="str">
        <f>IF(Table1[[#This Row],[EFCRaw]]="","",IF(Table1[[#This Row],[EFCRaw]]="No EFC","No EFC",_xlfn.NUMBERVALUE(Table1[[#This Row],[EFCRaw]])))</f>
        <v/>
      </c>
      <c r="AJ37" s="119" t="str">
        <f>IFERROR(VLOOKUP(Table1[[#This Row],[SyStudentId]],ISIR!$A$2:$X$4999,19,FALSE),"")</f>
        <v/>
      </c>
      <c r="AK37" s="113" t="str">
        <f>IFERROR(VLOOKUP(Table1[[#This Row],[SyStudentId]],ISIR!$A$2:$X$4999,8,FALSE),"")</f>
        <v/>
      </c>
      <c r="AL37" s="132" t="str">
        <f>IF(Table1[[#This Row],[VerReq]]="N","n/a","")</f>
        <v/>
      </c>
      <c r="AM37" s="122"/>
      <c r="AN37" s="122"/>
      <c r="AO37" s="122"/>
      <c r="AP37" s="122"/>
      <c r="AQ37" s="122"/>
      <c r="AR37" s="122"/>
      <c r="AS37" s="122"/>
      <c r="AT37" s="122"/>
      <c r="AU37" s="122"/>
      <c r="AV37" s="122"/>
      <c r="AW37" s="122"/>
      <c r="AX37" s="122"/>
      <c r="AY37" s="122"/>
      <c r="AZ37" s="122"/>
      <c r="BA37" s="122"/>
      <c r="BB37" s="122"/>
      <c r="BC37" s="133"/>
      <c r="BD37" s="140" t="str">
        <f>IF(Table1[[#This Row],[VerReq]]="N","x","")</f>
        <v/>
      </c>
      <c r="BE37" s="140" t="str">
        <f>IF(Table1[[#This Row],[VerReq]]="N","x","")</f>
        <v/>
      </c>
      <c r="BF37" s="140" t="str">
        <f>IF(Table1[[#This Row],[VerReq]]="N","x","")</f>
        <v/>
      </c>
      <c r="BG37" s="140" t="str">
        <f>IF(Table1[[#This Row],[VerReq]]="N","x","")</f>
        <v/>
      </c>
      <c r="BH37" s="140" t="str">
        <f>IF(Table1[[#This Row],[VerReq]]="N","x","")</f>
        <v/>
      </c>
      <c r="BI37" s="140" t="str">
        <f>IF(Table1[[#This Row],[VerReq]]="N","x","")</f>
        <v/>
      </c>
      <c r="BJ37" s="123">
        <f>1-((COUNTBLANK(Table1[[#This Row],[ALESent]:[TaxTran]]))/(COUNT(Table1[[#This Row],[ALESent]:[TaxTran]])+COUNTBLANK(Table1[[#This Row],[ALESent]:[TaxTran]])))</f>
        <v>0</v>
      </c>
      <c r="BK37" s="136">
        <f>IF(VLOOKUP(Table1[[#This Row],[SyStudentId]],SSR!$A$2:$CC$4982,22,FALSE)=44109,44109,"Check Program")</f>
        <v>44109</v>
      </c>
      <c r="BL37" s="124">
        <f>IF(Table1[[#This Row],[AYStart]]=44109,44356,"Check Program")</f>
        <v>44356</v>
      </c>
      <c r="BM37" s="219">
        <v>8505</v>
      </c>
      <c r="BN37" s="219">
        <v>8505</v>
      </c>
      <c r="BO37" s="219">
        <v>8505</v>
      </c>
      <c r="BP37" s="220">
        <f t="shared" si="0"/>
        <v>25515</v>
      </c>
      <c r="BQ37" s="221">
        <v>3300</v>
      </c>
      <c r="BR37" s="219">
        <v>400</v>
      </c>
      <c r="BS37" s="219">
        <v>400</v>
      </c>
      <c r="BT37" s="220">
        <f t="shared" si="1"/>
        <v>4100</v>
      </c>
      <c r="BU37" s="219">
        <v>2100</v>
      </c>
      <c r="BV37" s="219">
        <v>2100</v>
      </c>
      <c r="BW37" s="219">
        <v>2100</v>
      </c>
      <c r="BX37" s="220">
        <f t="shared" si="2"/>
        <v>6300</v>
      </c>
      <c r="BY37" s="275">
        <v>1200</v>
      </c>
      <c r="BZ37" s="275">
        <v>1200</v>
      </c>
      <c r="CA37" s="275">
        <v>1200</v>
      </c>
      <c r="CB37" s="220">
        <f>SUM(Table1[[#This Row],[LEQ1]:[LEQ3]])</f>
        <v>3600</v>
      </c>
      <c r="CC37" s="275">
        <v>0</v>
      </c>
      <c r="CD37" s="275">
        <v>0</v>
      </c>
      <c r="CE37" s="275">
        <v>0</v>
      </c>
      <c r="CF37" s="220">
        <f>SUM(Table1[[#This Row],[OthCostQ1]:[OthCostQ3]])</f>
        <v>0</v>
      </c>
      <c r="CG37" s="220">
        <f>(Table1[[#This Row],[T&amp;FTot]]+Table1[[#This Row],[B&amp;STot]]+Table1[[#This Row],[HousTot]]+Table1[[#This Row],[LETot]]+Table1[[#This Row],[OthCostTot]])</f>
        <v>39515</v>
      </c>
      <c r="CH37" s="250"/>
      <c r="CI37" s="250"/>
      <c r="CJ37" s="250"/>
      <c r="CK37" s="251">
        <f>SUM(Table1[[#This Row],[SEOGQ1]:[SEOGQ3]])</f>
        <v>0</v>
      </c>
      <c r="CL37" s="250">
        <f>IFERROR(ROUNDUP(Table1[[#This Row],[PellTot]]/3,0),0)</f>
        <v>0</v>
      </c>
      <c r="CM37" s="250">
        <f>IFERROR(ROUND(Table1[[#This Row],[PellTot]]/3,0),0)</f>
        <v>0</v>
      </c>
      <c r="CN37" s="250">
        <f>IFERROR(ROUNDDOWN(Table1[[#This Row],[PellTot]]/3,0),0)</f>
        <v>0</v>
      </c>
      <c r="CO37" s="251">
        <f>IFERROR(LOOKUP(Table1[EFC],Pell_Table[#Data],Pell_Table[Pell Amt]),0)</f>
        <v>0</v>
      </c>
      <c r="CP37" s="250">
        <f>Table1[[#This Row],[AccessTot]]/3</f>
        <v>0</v>
      </c>
      <c r="CQ37" s="250">
        <f>Table1[[#This Row],[AccessTot]]/3</f>
        <v>0</v>
      </c>
      <c r="CR37" s="250">
        <f>Table1[[#This Row],[AccessTot]]/3</f>
        <v>0</v>
      </c>
      <c r="CS37" s="251">
        <f>IF(Table1[[#This Row],[PellTot]]&gt;0,1500,0)</f>
        <v>0</v>
      </c>
      <c r="CT37" s="250">
        <f>Table1[[#This Row],[AchiTot]]/3</f>
        <v>1500</v>
      </c>
      <c r="CU37" s="250">
        <f>Table1[[#This Row],[AchiTot]]/3</f>
        <v>1500</v>
      </c>
      <c r="CV37" s="250">
        <f>Table1[[#This Row],[AchiTot]]/3</f>
        <v>1500</v>
      </c>
      <c r="CW37" s="252">
        <f>IF(Table1[[#This Row],[Rank]]="","",IF(Table1[[#This Row],[Rank]]=1,5100,IF(Table1[[#This Row],[Rank]]=2,4500,IF(Table1[[#This Row],[Rank]]=3,3900,IF(Table1[[#This Row],[Rank]]=4,3750,IF(Table1[[#This Row],[Rank]]=5,3000,IF(Table1[[#This Row],[Rank]]=6,2250,0)))))))</f>
        <v>4500</v>
      </c>
      <c r="CX37" s="250">
        <f>Table1[[#This Row],[UTTot]]/3</f>
        <v>0</v>
      </c>
      <c r="CY37" s="250">
        <f>Table1[[#This Row],[UTTot]]/3</f>
        <v>0</v>
      </c>
      <c r="CZ37" s="250">
        <f>Table1[[#This Row],[UTTot]]/3</f>
        <v>0</v>
      </c>
      <c r="DA37" s="251">
        <f>IF(Table1[[#This Row],[State]]="UT",9000,0)</f>
        <v>0</v>
      </c>
      <c r="DB37" s="250">
        <f>Table1[[#This Row],[WITTot]]/3</f>
        <v>0</v>
      </c>
      <c r="DC37" s="250">
        <f>Table1[[#This Row],[WITTot]]/3</f>
        <v>0</v>
      </c>
      <c r="DD37" s="250">
        <f>Table1[[#This Row],[WITTot]]/3</f>
        <v>0</v>
      </c>
      <c r="DE37" s="251">
        <f>IF(Table1[[#This Row],[Gender]]="Female",3000,0)</f>
        <v>0</v>
      </c>
      <c r="DF37" s="250">
        <f>Table1[[#This Row],[SerTot]]/3</f>
        <v>0</v>
      </c>
      <c r="DG37" s="250">
        <f>Table1[[#This Row],[SerTot]]/3</f>
        <v>0</v>
      </c>
      <c r="DH37" s="250">
        <f>Table1[[#This Row],[SerTot]]/3</f>
        <v>0</v>
      </c>
      <c r="DI37" s="252"/>
      <c r="DJ37" s="250"/>
      <c r="DK37" s="250"/>
      <c r="DL37" s="250"/>
      <c r="DM37" s="252"/>
      <c r="DN37" s="250">
        <f>Table1[[#This Row],[MatTot]]/3</f>
        <v>0</v>
      </c>
      <c r="DO37" s="250">
        <f>Table1[[#This Row],[MatTot]]/3</f>
        <v>0</v>
      </c>
      <c r="DP37" s="250">
        <f>Table1[[#This Row],[MatTot]]/3</f>
        <v>0</v>
      </c>
      <c r="DQ37" s="252">
        <v>0</v>
      </c>
      <c r="DR37" s="250">
        <f>Table1[[#This Row],[OutTot]]/3</f>
        <v>0</v>
      </c>
      <c r="DS37" s="250">
        <f>Table1[[#This Row],[OutTot]]/3</f>
        <v>0</v>
      </c>
      <c r="DT37" s="250">
        <f>Table1[[#This Row],[OutTot]]/3</f>
        <v>0</v>
      </c>
      <c r="DU37" s="252">
        <v>0</v>
      </c>
      <c r="DV37" s="250">
        <v>0</v>
      </c>
      <c r="DW37" s="250">
        <v>0</v>
      </c>
      <c r="DX37" s="250">
        <v>0</v>
      </c>
      <c r="DY37" s="252">
        <f>SUM(Table1[[#This Row],[VAQ1]:[VAQ3]])</f>
        <v>0</v>
      </c>
      <c r="DZ37" s="250">
        <v>0</v>
      </c>
      <c r="EA37" s="250">
        <v>0</v>
      </c>
      <c r="EB37" s="250">
        <v>0</v>
      </c>
      <c r="EC37" s="252">
        <f>SUM(Table1[[#This Row],[OthGrantQ1]:[OthGrantQ3]])</f>
        <v>0</v>
      </c>
      <c r="ED37" s="263">
        <f>Table1[[#This Row],[SEOGTot]]+Table1[[#This Row],[PellTot]]+Table1[[#This Row],[AccessTot]]+Table1[[#This Row],[AchiTot]]+Table1[[#This Row],[UTTot]]+Table1[[#This Row],[WITTot]]+Table1[[#This Row],[SerTot]]+Table1[[#This Row],[TranTot]]+Table1[[#This Row],[MatTot]]+Table1[[#This Row],[OutTot]]+Table1[[#This Row],[VATot]]+Table1[[#This Row],[OthGrantTot]]</f>
        <v>4500</v>
      </c>
      <c r="EE37" s="249"/>
      <c r="EF37" s="237"/>
      <c r="EG37" s="237"/>
      <c r="EH37" s="232">
        <f>SUM(Table1[[#This Row],[CashQ1]]:Table1[[#This Row],[CashQ3]])</f>
        <v>0</v>
      </c>
      <c r="EI37" s="271">
        <f>ROUND((Table1[[#This Row],[SubTot]]/3)/1.01059,0)</f>
        <v>1154</v>
      </c>
      <c r="EJ37" s="234">
        <f>ROUND((Table1[[#This Row],[SubTot]]/3)/1.01059,0)</f>
        <v>1154</v>
      </c>
      <c r="EK37" s="234">
        <f>ROUNDUP((Table1[[#This Row],[SubTot]]/3)/1.01059,0)</f>
        <v>1155</v>
      </c>
      <c r="EL37" s="235">
        <v>3500</v>
      </c>
      <c r="EM37" s="240">
        <f>Table1[[#This Row],[SubTot]]*0.01059</f>
        <v>37.065000000000005</v>
      </c>
      <c r="EN37" s="234">
        <f>ROUND((Table1[[#This Row],[UnsubTot]]/3)/1.01062,0)</f>
        <v>660</v>
      </c>
      <c r="EO37" s="234">
        <f>ROUND((Table1[[#This Row],[UnsubTot]]/3)/1.01062,0)</f>
        <v>660</v>
      </c>
      <c r="EP37" s="234">
        <f>ROUNDDOWN((Table1[[#This Row],[UnsubTot]]/3)/1.01062,0)</f>
        <v>659</v>
      </c>
      <c r="EQ37" s="235">
        <f>IF(Table1[D/I]="I",6000,2000)</f>
        <v>2000</v>
      </c>
      <c r="ER37" s="240">
        <f>Table1[[#This Row],[UnsubTot]]*0.01059</f>
        <v>21.18</v>
      </c>
      <c r="ES37" s="234">
        <f>ROUND((Table1[[#This Row],[PLUSTot]]/3)/1.04236,0)</f>
        <v>0</v>
      </c>
      <c r="ET37" s="234">
        <f>ROUND((Table1[[#This Row],[PLUSTot]]/3)/1.04236,0)</f>
        <v>0</v>
      </c>
      <c r="EU37" s="234">
        <f>ROUND((Table1[[#This Row],[PLUSTot]]/3)/1.04236,0)</f>
        <v>0</v>
      </c>
      <c r="EV37" s="235">
        <v>0</v>
      </c>
      <c r="EW37" s="239">
        <f>Table1[[#This Row],[PLUSTot]]*0.04248</f>
        <v>0</v>
      </c>
      <c r="EX37" s="237"/>
      <c r="EY37" s="237"/>
      <c r="EZ37" s="237"/>
      <c r="FA37" s="232">
        <f>SUM(Table1[[#This Row],[PrivQ1]:[PrivQ3]])</f>
        <v>0</v>
      </c>
      <c r="FB37" s="237"/>
      <c r="FC37" s="237"/>
      <c r="FD37" s="237"/>
      <c r="FE37" s="232">
        <f>SUM(Table1[[#This Row],[TOQ1]:[TOQ3]])</f>
        <v>0</v>
      </c>
      <c r="FF37" s="237"/>
      <c r="FG37" s="237"/>
      <c r="FH37" s="237"/>
      <c r="FI37" s="232">
        <f>SUM(Table1[[#This Row],[OFundQ1]:[OFundQ3]])</f>
        <v>0</v>
      </c>
      <c r="FJ37" s="239">
        <f>(Table1[[#This Row],[SubTot]]-Table1[[#This Row],[SubFee]])+(Table1[[#This Row],[UnsubTot]]-Table1[[#This Row],[UnsubFee]])+(Table1[[#This Row],[PLUSTot]]-Table1[[#This Row],[PLUSFee]])+Table1[[#This Row],[PrivTot]]+Table1[[#This Row],[TOTot]]+Table1[[#This Row],[OFundTot]]</f>
        <v>5441.7550000000001</v>
      </c>
      <c r="FK37" s="125">
        <f>Table1[[#This Row],[CostTot]]-Table1[[#This Row],[GiftTot]]</f>
        <v>35015</v>
      </c>
      <c r="FL37" s="130">
        <f>Table1[[#This Row],[NetNeed]]/(1-0.04248)</f>
        <v>30885.250438633135</v>
      </c>
      <c r="FM37" s="131">
        <f>Table1[[#This Row],[NetCost]]-Table1[[#This Row],[CashTot]]-(Table1[[#This Row],[SubTot]]-Table1[[#This Row],[SubFee]])-(Table1[[#This Row],[UnsubTot]]-Table1[[#This Row],[UnsubFee]])-(Table1[[#This Row],[PLUSTot]]-Table1[[#This Row],[PLUSFee]])-Table1[[#This Row],[PrivTot]]-Table1[[#This Row],[TOTot]]-Table1[[#This Row],[OFundTot]]</f>
        <v>29573.244999999999</v>
      </c>
      <c r="FN37" s="161"/>
      <c r="FO37" s="113"/>
      <c r="FP37" s="113"/>
    </row>
    <row r="38" spans="1:172" s="160" customFormat="1" ht="15" x14ac:dyDescent="0.25">
      <c r="A38" s="267">
        <v>193841</v>
      </c>
      <c r="B38" s="113" t="str">
        <f>VLOOKUP(Table1[[#This Row],[SyStudentId]],SSR!$A$2:$CC$4982,4,FALSE)</f>
        <v>Morgan</v>
      </c>
      <c r="C38" s="113" t="str">
        <f>VLOOKUP(Table1[[#This Row],[SyStudentId]],SSR!$A$2:$CC$4982,5,FALSE)</f>
        <v>Teryn</v>
      </c>
      <c r="D38" s="113" t="str">
        <f>VLOOKUP(Table1[[#This Row],[SyStudentId]],SSR!$A$2:$CC$4982,6,FALSE)</f>
        <v>Morgan, Teryn</v>
      </c>
      <c r="E38" s="113" t="str">
        <f>CONCATENATE(Table1[[#This Row],[FirstName]]," ",Table1[[#This Row],[LastName]])</f>
        <v>Teryn Morgan</v>
      </c>
      <c r="F38" s="112">
        <v>1</v>
      </c>
      <c r="G38" s="114"/>
      <c r="H38" s="114"/>
      <c r="I38" s="114">
        <v>43776</v>
      </c>
      <c r="J38" s="115"/>
      <c r="K38" s="116"/>
      <c r="L38" s="112" t="str">
        <f>IFERROR(VLOOKUP(Table1[[#This Row],[SyStudentId]],ISIR!$A$2:$X$999,11,FALSE),"")</f>
        <v>D</v>
      </c>
      <c r="M38" s="113" t="str">
        <f>VLOOKUP(Table1[[#This Row],[SyStudentId]],SSR!$A$2:$CC$4982,7,FALSE)</f>
        <v>1023802@pinelakeprep.org</v>
      </c>
      <c r="N38" s="113" t="str">
        <f>VLOOKUP(Table1[[#This Row],[SyStudentId]],SSR!$A$2:$CC$4982,8,FALSE)</f>
        <v>129 Deer Run Dr</v>
      </c>
      <c r="O38" s="113" t="str">
        <f>VLOOKUP(Table1[[#This Row],[SyStudentId]],SSR!$A$2:$CC$4982,9,FALSE)</f>
        <v>Troutman</v>
      </c>
      <c r="P38" s="303" t="str">
        <f>VLOOKUP(Table1[[#This Row],[SyStudentId]],SSR!$A$2:$CC$4982,10,FALSE)</f>
        <v>NC</v>
      </c>
      <c r="Q38" s="117" t="str">
        <f>VLOOKUP(Table1[[#This Row],[SyStudentId]],SSR!$A$2:$CC$4982,11,FALSE)</f>
        <v xml:space="preserve">28166     </v>
      </c>
      <c r="R38" s="118">
        <f>VLOOKUP(Table1[[#This Row],[SyStudentId]],SSR!$A$2:$CC$4982,15,FALSE)</f>
        <v>4</v>
      </c>
      <c r="S38" s="119">
        <f>VLOOKUP(Table1[[#This Row],[SyStudentId]],SSR!$A$2:$CC$4982,22,FALSE)</f>
        <v>44109</v>
      </c>
      <c r="T38" s="113" t="str">
        <f>VLOOKUP(Table1[[#This Row],[SyStudentId]],SSR!$A$2:$CC$4982,24,FALSE)</f>
        <v>GM</v>
      </c>
      <c r="U38" s="113" t="str">
        <f>IF(VLOOKUP(Table1[[#This Row],[SyStudentId]],SSR!$A$2:$CC$4982,26,FALSE)=0,"Not Selected",VLOOKUP(Table1[[#This Row],[SyStudentId]],SSR!$A$2:$CC$4982,26,FALSE))</f>
        <v>Female</v>
      </c>
      <c r="V38" s="113" t="str">
        <f>VLOOKUP(Table1[[#This Row],[SyStudentId]],SSR!$A$2:$CC$4982,27,FALSE)</f>
        <v xml:space="preserve">HS2020  </v>
      </c>
      <c r="W38" s="113" t="str">
        <f>VLOOKUP(LEFT(Table1[[#This Row],[LastName]],1),Alpha!$A$1:$B$26,2,FALSE)</f>
        <v>Maureen Ranks</v>
      </c>
      <c r="X38" s="149" t="str">
        <f>VLOOKUP(Table1[[#This Row],[FAA]],Alpha!$B$1:$D$26,2,FALSE)</f>
        <v>mranks@neumont.edu</v>
      </c>
      <c r="Y38" s="113">
        <f>VLOOKUP(Table1[[#This Row],[FAA]],Alpha!$B$1:$D$26,3,FALSE)</f>
        <v>8883022894</v>
      </c>
      <c r="Z38" s="113" t="str">
        <f>VLOOKUP(Table1[[#This Row],[SyStudentId]],SSR!$A$2:$CC$4982,30,FALSE)</f>
        <v>16-Accepted</v>
      </c>
      <c r="AA38" s="113" t="str">
        <f>IF(VLOOKUP(Table1[[#This Row],[SyStudentId]],SSR!$A$2:$CC$4982,36,FALSE)="Bachelor of Science","BS Computer Science","Check Program")</f>
        <v>BS Computer Science</v>
      </c>
      <c r="AB38" s="113" t="str">
        <f>VLOOKUP(Table1[[#This Row],[SyStudentId]],SSR!$A$2:$CC$4982,37,FALSE)</f>
        <v xml:space="preserve">29      </v>
      </c>
      <c r="AC38" s="113">
        <f>VLOOKUP(Table1[[#This Row],[SyStudentId]],SSR!$A$2:$CC$4982,42,FALSE)</f>
        <v>0</v>
      </c>
      <c r="AD38" s="113" t="str">
        <f>VLOOKUP(Table1[[#This Row],[SyStudentId]],SSR!$A$2:$CC$4982,46,FALSE)</f>
        <v>0</v>
      </c>
      <c r="AE38" s="113" t="str">
        <f>VLOOKUP(Table1[[#This Row],[SyStudentId]],SSR!$A$2:$CC$4982,65,FALSE)</f>
        <v>I</v>
      </c>
      <c r="AF38"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38" s="113" t="str">
        <f>VLOOKUP(Table1[[#This Row],[SyStudentId]],SSR!$A$2:$CC$4982,66,FALSE)</f>
        <v>July-October</v>
      </c>
      <c r="AH38" s="113" t="str">
        <f>IFERROR(VLOOKUP(Table1[[#This Row],[SyStudentId]],ISIR!$A$2:$X$999,7,FALSE),"")</f>
        <v>018748</v>
      </c>
      <c r="AI38" s="121">
        <f>IF(Table1[[#This Row],[EFCRaw]]="","",IF(Table1[[#This Row],[EFCRaw]]="No EFC","No EFC",_xlfn.NUMBERVALUE(Table1[[#This Row],[EFCRaw]])))</f>
        <v>18748</v>
      </c>
      <c r="AJ38" s="119">
        <f>IFERROR(VLOOKUP(Table1[[#This Row],[SyStudentId]],ISIR!$A$2:$X$4999,19,FALSE),"")</f>
        <v>43774</v>
      </c>
      <c r="AK38" s="113" t="str">
        <f>IFERROR(VLOOKUP(Table1[[#This Row],[SyStudentId]],ISIR!$A$2:$X$4999,8,FALSE),"")</f>
        <v>N</v>
      </c>
      <c r="AL38" s="132" t="str">
        <f>IF(Table1[[#This Row],[VerReq]]="N","n/a","")</f>
        <v>n/a</v>
      </c>
      <c r="AM38" s="122"/>
      <c r="AN38" s="122"/>
      <c r="AO38" s="122"/>
      <c r="AP38" s="122"/>
      <c r="AQ38" s="122"/>
      <c r="AR38" s="122"/>
      <c r="AS38" s="122"/>
      <c r="AT38" s="122"/>
      <c r="AU38" s="122"/>
      <c r="AV38" s="122"/>
      <c r="AW38" s="122"/>
      <c r="AX38" s="122"/>
      <c r="AY38" s="122"/>
      <c r="AZ38" s="122"/>
      <c r="BA38" s="122"/>
      <c r="BB38" s="122"/>
      <c r="BC38" s="133"/>
      <c r="BD38" s="140" t="str">
        <f>IF(Table1[[#This Row],[VerReq]]="N","x","")</f>
        <v>x</v>
      </c>
      <c r="BE38" s="140" t="str">
        <f>IF(Table1[[#This Row],[VerReq]]="N","x","")</f>
        <v>x</v>
      </c>
      <c r="BF38" s="140" t="str">
        <f>IF(Table1[[#This Row],[VerReq]]="N","x","")</f>
        <v>x</v>
      </c>
      <c r="BG38" s="140" t="str">
        <f>IF(Table1[[#This Row],[VerReq]]="N","x","")</f>
        <v>x</v>
      </c>
      <c r="BH38" s="140" t="str">
        <f>IF(Table1[[#This Row],[VerReq]]="N","x","")</f>
        <v>x</v>
      </c>
      <c r="BI38" s="140" t="str">
        <f>IF(Table1[[#This Row],[VerReq]]="N","x","")</f>
        <v>x</v>
      </c>
      <c r="BJ38" s="123">
        <f>1-((COUNTBLANK(Table1[[#This Row],[ALESent]:[TaxTran]]))/(COUNT(Table1[[#This Row],[ALESent]:[TaxTran]])+COUNTBLANK(Table1[[#This Row],[ALESent]:[TaxTran]])))</f>
        <v>0</v>
      </c>
      <c r="BK38" s="136">
        <f>IF(VLOOKUP(Table1[[#This Row],[SyStudentId]],SSR!$A$2:$CC$4982,22,FALSE)=44109,44109,"Check Program")</f>
        <v>44109</v>
      </c>
      <c r="BL38" s="124">
        <f>IF(Table1[[#This Row],[AYStart]]=44109,44356,"Check Program")</f>
        <v>44356</v>
      </c>
      <c r="BM38" s="219">
        <v>8505</v>
      </c>
      <c r="BN38" s="219">
        <v>8505</v>
      </c>
      <c r="BO38" s="219">
        <v>8505</v>
      </c>
      <c r="BP38" s="220">
        <f t="shared" si="0"/>
        <v>25515</v>
      </c>
      <c r="BQ38" s="221">
        <v>3300</v>
      </c>
      <c r="BR38" s="219">
        <v>400</v>
      </c>
      <c r="BS38" s="219">
        <v>400</v>
      </c>
      <c r="BT38" s="220">
        <f t="shared" si="1"/>
        <v>4100</v>
      </c>
      <c r="BU38" s="219">
        <v>2100</v>
      </c>
      <c r="BV38" s="219">
        <v>2100</v>
      </c>
      <c r="BW38" s="219">
        <v>2100</v>
      </c>
      <c r="BX38" s="220">
        <f t="shared" si="2"/>
        <v>6300</v>
      </c>
      <c r="BY38" s="275">
        <v>1200</v>
      </c>
      <c r="BZ38" s="275">
        <v>1200</v>
      </c>
      <c r="CA38" s="275">
        <v>1200</v>
      </c>
      <c r="CB38" s="220">
        <f>SUM(Table1[[#This Row],[LEQ1]:[LEQ3]])</f>
        <v>3600</v>
      </c>
      <c r="CC38" s="275">
        <v>0</v>
      </c>
      <c r="CD38" s="275">
        <v>0</v>
      </c>
      <c r="CE38" s="275">
        <v>0</v>
      </c>
      <c r="CF38" s="220">
        <f>SUM(Table1[[#This Row],[OthCostQ1]:[OthCostQ3]])</f>
        <v>0</v>
      </c>
      <c r="CG38" s="220">
        <f>(Table1[[#This Row],[T&amp;FTot]]+Table1[[#This Row],[B&amp;STot]]+Table1[[#This Row],[HousTot]]+Table1[[#This Row],[LETot]]+Table1[[#This Row],[OthCostTot]])</f>
        <v>39515</v>
      </c>
      <c r="CH38" s="250"/>
      <c r="CI38" s="250"/>
      <c r="CJ38" s="250"/>
      <c r="CK38" s="251">
        <f>SUM(Table1[[#This Row],[SEOGQ1]:[SEOGQ3]])</f>
        <v>0</v>
      </c>
      <c r="CL38" s="250">
        <f>IFERROR(ROUNDUP(Table1[[#This Row],[PellTot]]/3,0),0)</f>
        <v>0</v>
      </c>
      <c r="CM38" s="250">
        <f>IFERROR(ROUND(Table1[[#This Row],[PellTot]]/3,0),0)</f>
        <v>0</v>
      </c>
      <c r="CN38" s="250">
        <f>IFERROR(ROUNDDOWN(Table1[[#This Row],[PellTot]]/3,0),0)</f>
        <v>0</v>
      </c>
      <c r="CO38" s="251">
        <f>IFERROR(LOOKUP(Table1[EFC],Pell_Table[#Data],Pell_Table[Pell Amt]),0)</f>
        <v>0</v>
      </c>
      <c r="CP38" s="250">
        <f>Table1[[#This Row],[AccessTot]]/3</f>
        <v>0</v>
      </c>
      <c r="CQ38" s="250">
        <f>Table1[[#This Row],[AccessTot]]/3</f>
        <v>0</v>
      </c>
      <c r="CR38" s="250">
        <f>Table1[[#This Row],[AccessTot]]/3</f>
        <v>0</v>
      </c>
      <c r="CS38" s="251">
        <f>IF(Table1[[#This Row],[PellTot]]&gt;0,1500,0)</f>
        <v>0</v>
      </c>
      <c r="CT38" s="250">
        <f>Table1[[#This Row],[AchiTot]]/3</f>
        <v>1700</v>
      </c>
      <c r="CU38" s="250">
        <f>Table1[[#This Row],[AchiTot]]/3</f>
        <v>1700</v>
      </c>
      <c r="CV38" s="250">
        <f>Table1[[#This Row],[AchiTot]]/3</f>
        <v>1700</v>
      </c>
      <c r="CW38" s="252">
        <f>IF(Table1[[#This Row],[Rank]]="","",IF(Table1[[#This Row],[Rank]]=1,5100,IF(Table1[[#This Row],[Rank]]=2,4500,IF(Table1[[#This Row],[Rank]]=3,3900,IF(Table1[[#This Row],[Rank]]=4,3750,IF(Table1[[#This Row],[Rank]]=5,3000,IF(Table1[[#This Row],[Rank]]=6,2250,0)))))))</f>
        <v>5100</v>
      </c>
      <c r="CX38" s="250">
        <f>Table1[[#This Row],[UTTot]]/3</f>
        <v>0</v>
      </c>
      <c r="CY38" s="250">
        <f>Table1[[#This Row],[UTTot]]/3</f>
        <v>0</v>
      </c>
      <c r="CZ38" s="250">
        <f>Table1[[#This Row],[UTTot]]/3</f>
        <v>0</v>
      </c>
      <c r="DA38" s="251">
        <f>IF(Table1[[#This Row],[State]]="UT",9000,0)</f>
        <v>0</v>
      </c>
      <c r="DB38" s="250">
        <f>Table1[[#This Row],[WITTot]]/3</f>
        <v>1000</v>
      </c>
      <c r="DC38" s="250">
        <f>Table1[[#This Row],[WITTot]]/3</f>
        <v>1000</v>
      </c>
      <c r="DD38" s="250">
        <f>Table1[[#This Row],[WITTot]]/3</f>
        <v>1000</v>
      </c>
      <c r="DE38" s="251">
        <f>IF(Table1[[#This Row],[Gender]]="Female",3000,0)</f>
        <v>3000</v>
      </c>
      <c r="DF38" s="250">
        <f>Table1[[#This Row],[SerTot]]/3</f>
        <v>0</v>
      </c>
      <c r="DG38" s="250">
        <f>Table1[[#This Row],[SerTot]]/3</f>
        <v>0</v>
      </c>
      <c r="DH38" s="250">
        <f>Table1[[#This Row],[SerTot]]/3</f>
        <v>0</v>
      </c>
      <c r="DI38" s="252"/>
      <c r="DJ38" s="250"/>
      <c r="DK38" s="250"/>
      <c r="DL38" s="250"/>
      <c r="DM38" s="252"/>
      <c r="DN38" s="250">
        <f>Table1[[#This Row],[MatTot]]/3</f>
        <v>0</v>
      </c>
      <c r="DO38" s="250">
        <f>Table1[[#This Row],[MatTot]]/3</f>
        <v>0</v>
      </c>
      <c r="DP38" s="250">
        <f>Table1[[#This Row],[MatTot]]/3</f>
        <v>0</v>
      </c>
      <c r="DQ38" s="252">
        <v>0</v>
      </c>
      <c r="DR38" s="250">
        <f>Table1[[#This Row],[OutTot]]/3</f>
        <v>0</v>
      </c>
      <c r="DS38" s="250">
        <f>Table1[[#This Row],[OutTot]]/3</f>
        <v>0</v>
      </c>
      <c r="DT38" s="250">
        <f>Table1[[#This Row],[OutTot]]/3</f>
        <v>0</v>
      </c>
      <c r="DU38" s="252">
        <v>0</v>
      </c>
      <c r="DV38" s="250">
        <v>0</v>
      </c>
      <c r="DW38" s="250">
        <v>0</v>
      </c>
      <c r="DX38" s="250">
        <v>0</v>
      </c>
      <c r="DY38" s="252">
        <f>SUM(Table1[[#This Row],[VAQ1]:[VAQ3]])</f>
        <v>0</v>
      </c>
      <c r="DZ38" s="250">
        <v>0</v>
      </c>
      <c r="EA38" s="250">
        <v>0</v>
      </c>
      <c r="EB38" s="250">
        <v>0</v>
      </c>
      <c r="EC38" s="252">
        <f>SUM(Table1[[#This Row],[OthGrantQ1]:[OthGrantQ3]])</f>
        <v>0</v>
      </c>
      <c r="ED38" s="263">
        <f>Table1[[#This Row],[SEOGTot]]+Table1[[#This Row],[PellTot]]+Table1[[#This Row],[AccessTot]]+Table1[[#This Row],[AchiTot]]+Table1[[#This Row],[UTTot]]+Table1[[#This Row],[WITTot]]+Table1[[#This Row],[SerTot]]+Table1[[#This Row],[TranTot]]+Table1[[#This Row],[MatTot]]+Table1[[#This Row],[OutTot]]+Table1[[#This Row],[VATot]]+Table1[[#This Row],[OthGrantTot]]</f>
        <v>8100</v>
      </c>
      <c r="EE38" s="249"/>
      <c r="EF38" s="237"/>
      <c r="EG38" s="237"/>
      <c r="EH38" s="232">
        <f>SUM(Table1[[#This Row],[CashQ1]]:Table1[[#This Row],[CashQ3]])</f>
        <v>0</v>
      </c>
      <c r="EI38" s="271">
        <f>ROUND((Table1[[#This Row],[SubTot]]/3)/1.01059,0)</f>
        <v>1154</v>
      </c>
      <c r="EJ38" s="234">
        <f>ROUND((Table1[[#This Row],[SubTot]]/3)/1.01059,0)</f>
        <v>1154</v>
      </c>
      <c r="EK38" s="234">
        <f>ROUNDUP((Table1[[#This Row],[SubTot]]/3)/1.01059,0)</f>
        <v>1155</v>
      </c>
      <c r="EL38" s="235">
        <v>3500</v>
      </c>
      <c r="EM38" s="240">
        <f>Table1[[#This Row],[SubTot]]*0.01059</f>
        <v>37.065000000000005</v>
      </c>
      <c r="EN38" s="234">
        <f>ROUND((Table1[[#This Row],[UnsubTot]]/3)/1.01062,0)</f>
        <v>660</v>
      </c>
      <c r="EO38" s="234">
        <f>ROUND((Table1[[#This Row],[UnsubTot]]/3)/1.01062,0)</f>
        <v>660</v>
      </c>
      <c r="EP38" s="234">
        <f>ROUNDDOWN((Table1[[#This Row],[UnsubTot]]/3)/1.01062,0)</f>
        <v>659</v>
      </c>
      <c r="EQ38" s="235">
        <f>IF(Table1[D/I]="I",6000,2000)</f>
        <v>2000</v>
      </c>
      <c r="ER38" s="240">
        <f>Table1[[#This Row],[UnsubTot]]*0.01059</f>
        <v>21.18</v>
      </c>
      <c r="ES38" s="234">
        <f>ROUND((Table1[[#This Row],[PLUSTot]]/3)/1.04236,0)</f>
        <v>0</v>
      </c>
      <c r="ET38" s="234">
        <f>ROUND((Table1[[#This Row],[PLUSTot]]/3)/1.04236,0)</f>
        <v>0</v>
      </c>
      <c r="EU38" s="234">
        <f>ROUND((Table1[[#This Row],[PLUSTot]]/3)/1.04236,0)</f>
        <v>0</v>
      </c>
      <c r="EV38" s="235">
        <v>0</v>
      </c>
      <c r="EW38" s="239">
        <f>Table1[[#This Row],[PLUSTot]]*0.04248</f>
        <v>0</v>
      </c>
      <c r="EX38" s="237"/>
      <c r="EY38" s="237"/>
      <c r="EZ38" s="237"/>
      <c r="FA38" s="232">
        <f>SUM(Table1[[#This Row],[PrivQ1]:[PrivQ3]])</f>
        <v>0</v>
      </c>
      <c r="FB38" s="237"/>
      <c r="FC38" s="237"/>
      <c r="FD38" s="237"/>
      <c r="FE38" s="232">
        <f>SUM(Table1[[#This Row],[TOQ1]:[TOQ3]])</f>
        <v>0</v>
      </c>
      <c r="FF38" s="237"/>
      <c r="FG38" s="237"/>
      <c r="FH38" s="237"/>
      <c r="FI38" s="232">
        <f>SUM(Table1[[#This Row],[OFundQ1]:[OFundQ3]])</f>
        <v>0</v>
      </c>
      <c r="FJ38" s="239">
        <f>(Table1[[#This Row],[SubTot]]-Table1[[#This Row],[SubFee]])+(Table1[[#This Row],[UnsubTot]]-Table1[[#This Row],[UnsubFee]])+(Table1[[#This Row],[PLUSTot]]-Table1[[#This Row],[PLUSFee]])+Table1[[#This Row],[PrivTot]]+Table1[[#This Row],[TOTot]]+Table1[[#This Row],[OFundTot]]</f>
        <v>5441.7550000000001</v>
      </c>
      <c r="FK38" s="125">
        <f>Table1[[#This Row],[CostTot]]-Table1[[#This Row],[GiftTot]]</f>
        <v>31415</v>
      </c>
      <c r="FL38" s="130">
        <f>Table1[[#This Row],[NetNeed]]/(1-0.04248)</f>
        <v>27125.537847773412</v>
      </c>
      <c r="FM38" s="131">
        <f>Table1[[#This Row],[NetCost]]-Table1[[#This Row],[CashTot]]-(Table1[[#This Row],[SubTot]]-Table1[[#This Row],[SubFee]])-(Table1[[#This Row],[UnsubTot]]-Table1[[#This Row],[UnsubFee]])-(Table1[[#This Row],[PLUSTot]]-Table1[[#This Row],[PLUSFee]])-Table1[[#This Row],[PrivTot]]-Table1[[#This Row],[TOTot]]-Table1[[#This Row],[OFundTot]]</f>
        <v>25973.244999999999</v>
      </c>
      <c r="FN38" s="161"/>
      <c r="FO38" s="113"/>
      <c r="FP38" s="113"/>
    </row>
    <row r="39" spans="1:172" s="160" customFormat="1" ht="15" x14ac:dyDescent="0.25">
      <c r="A39" s="267">
        <v>198641</v>
      </c>
      <c r="B39" s="113" t="str">
        <f>VLOOKUP(Table1[[#This Row],[SyStudentId]],SSR!$A$2:$CC$4982,4,FALSE)</f>
        <v>Morocho</v>
      </c>
      <c r="C39" s="113" t="str">
        <f>VLOOKUP(Table1[[#This Row],[SyStudentId]],SSR!$A$2:$CC$4982,5,FALSE)</f>
        <v>Gabriel</v>
      </c>
      <c r="D39" s="113" t="str">
        <f>VLOOKUP(Table1[[#This Row],[SyStudentId]],SSR!$A$2:$CC$4982,6,FALSE)</f>
        <v>Morocho, Gabriel</v>
      </c>
      <c r="E39" s="113" t="str">
        <f>CONCATENATE(Table1[[#This Row],[FirstName]]," ",Table1[[#This Row],[LastName]])</f>
        <v>Gabriel Morocho</v>
      </c>
      <c r="F39" s="112"/>
      <c r="G39" s="114"/>
      <c r="H39" s="114"/>
      <c r="I39" s="114"/>
      <c r="J39" s="115" t="s">
        <v>6041</v>
      </c>
      <c r="K39" s="116"/>
      <c r="L39" s="112" t="str">
        <f>IFERROR(VLOOKUP(Table1[[#This Row],[SyStudentId]],ISIR!$A$2:$X$999,11,FALSE),"")</f>
        <v/>
      </c>
      <c r="M39" s="113" t="str">
        <f>VLOOKUP(Table1[[#This Row],[SyStudentId]],SSR!$A$2:$CC$4982,7,FALSE)</f>
        <v>gabriel13-02@hotmail.com</v>
      </c>
      <c r="N39" s="113" t="str">
        <f>VLOOKUP(Table1[[#This Row],[SyStudentId]],SSR!$A$2:$CC$4982,8,FALSE)</f>
        <v>779 40th St Apt 8</v>
      </c>
      <c r="O39" s="113" t="str">
        <f>VLOOKUP(Table1[[#This Row],[SyStudentId]],SSR!$A$2:$CC$4982,9,FALSE)</f>
        <v>Brooklyn</v>
      </c>
      <c r="P39" s="113" t="str">
        <f>VLOOKUP(Table1[[#This Row],[SyStudentId]],SSR!$A$2:$CC$4982,10,FALSE)</f>
        <v>NY</v>
      </c>
      <c r="Q39" s="117" t="str">
        <f>VLOOKUP(Table1[[#This Row],[SyStudentId]],SSR!$A$2:$CC$4982,11,FALSE)</f>
        <v xml:space="preserve">11232     </v>
      </c>
      <c r="R39" s="118">
        <f>VLOOKUP(Table1[[#This Row],[SyStudentId]],SSR!$A$2:$CC$4982,15,FALSE)</f>
        <v>1.8</v>
      </c>
      <c r="S39" s="119">
        <f>VLOOKUP(Table1[[#This Row],[SyStudentId]],SSR!$A$2:$CC$4982,22,FALSE)</f>
        <v>44109</v>
      </c>
      <c r="T39" s="113" t="str">
        <f>VLOOKUP(Table1[[#This Row],[SyStudentId]],SSR!$A$2:$CC$4982,24,FALSE)</f>
        <v>JT</v>
      </c>
      <c r="U39" s="113" t="str">
        <f>IF(VLOOKUP(Table1[[#This Row],[SyStudentId]],SSR!$A$2:$CC$4982,26,FALSE)=0,"Not Selected",VLOOKUP(Table1[[#This Row],[SyStudentId]],SSR!$A$2:$CC$4982,26,FALSE))</f>
        <v>Male</v>
      </c>
      <c r="V39" s="113" t="str">
        <f>VLOOKUP(Table1[[#This Row],[SyStudentId]],SSR!$A$2:$CC$4982,27,FALSE)</f>
        <v xml:space="preserve">HS2020  </v>
      </c>
      <c r="W39" s="113" t="str">
        <f>VLOOKUP(LEFT(Table1[[#This Row],[LastName]],1),Alpha!$A$1:$B$26,2,FALSE)</f>
        <v>Maureen Ranks</v>
      </c>
      <c r="X39" s="149" t="str">
        <f>VLOOKUP(Table1[[#This Row],[FAA]],Alpha!$B$1:$D$26,2,FALSE)</f>
        <v>mranks@neumont.edu</v>
      </c>
      <c r="Y39" s="113">
        <f>VLOOKUP(Table1[[#This Row],[FAA]],Alpha!$B$1:$D$26,3,FALSE)</f>
        <v>8883022894</v>
      </c>
      <c r="Z39" s="113" t="str">
        <f>VLOOKUP(Table1[[#This Row],[SyStudentId]],SSR!$A$2:$CC$4982,30,FALSE)</f>
        <v>16-Accepted</v>
      </c>
      <c r="AA39" s="113" t="str">
        <f>IF(VLOOKUP(Table1[[#This Row],[SyStudentId]],SSR!$A$2:$CC$4982,36,FALSE)="Bachelor of Science","BS Computer Science","Check Program")</f>
        <v>BS Computer Science</v>
      </c>
      <c r="AB39" s="113">
        <f>VLOOKUP(Table1[[#This Row],[SyStudentId]],SSR!$A$2:$CC$4982,37,FALSE)</f>
        <v>0</v>
      </c>
      <c r="AC39" s="113" t="str">
        <f>VLOOKUP(Table1[[#This Row],[SyStudentId]],SSR!$A$2:$CC$4982,42,FALSE)</f>
        <v xml:space="preserve">1000    </v>
      </c>
      <c r="AD39" s="113" t="str">
        <f>VLOOKUP(Table1[[#This Row],[SyStudentId]],SSR!$A$2:$CC$4982,46,FALSE)</f>
        <v>76</v>
      </c>
      <c r="AE39" s="113" t="str">
        <f>VLOOKUP(Table1[[#This Row],[SyStudentId]],SSR!$A$2:$CC$4982,65,FALSE)</f>
        <v>X</v>
      </c>
      <c r="AF39"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10</v>
      </c>
      <c r="AG39" s="113" t="str">
        <f>VLOOKUP(Table1[[#This Row],[SyStudentId]],SSR!$A$2:$CC$4982,66,FALSE)</f>
        <v>November</v>
      </c>
      <c r="AH39" s="113" t="str">
        <f>IFERROR(VLOOKUP(Table1[[#This Row],[SyStudentId]],ISIR!$A$2:$X$999,7,FALSE),"")</f>
        <v/>
      </c>
      <c r="AI39" s="121" t="str">
        <f>IF(Table1[[#This Row],[EFCRaw]]="","",IF(Table1[[#This Row],[EFCRaw]]="No EFC","No EFC",_xlfn.NUMBERVALUE(Table1[[#This Row],[EFCRaw]])))</f>
        <v/>
      </c>
      <c r="AJ39" s="119" t="str">
        <f>IFERROR(VLOOKUP(Table1[[#This Row],[SyStudentId]],ISIR!$A$2:$X$4999,19,FALSE),"")</f>
        <v/>
      </c>
      <c r="AK39" s="113" t="str">
        <f>IFERROR(VLOOKUP(Table1[[#This Row],[SyStudentId]],ISIR!$A$2:$X$4999,8,FALSE),"")</f>
        <v/>
      </c>
      <c r="AL39" s="132" t="str">
        <f>IF(Table1[[#This Row],[VerReq]]="N","n/a","")</f>
        <v/>
      </c>
      <c r="AM39" s="122"/>
      <c r="AN39" s="122"/>
      <c r="AO39" s="122"/>
      <c r="AP39" s="122"/>
      <c r="AQ39" s="122"/>
      <c r="AR39" s="122"/>
      <c r="AS39" s="122"/>
      <c r="AT39" s="122"/>
      <c r="AU39" s="122"/>
      <c r="AV39" s="122"/>
      <c r="AW39" s="122"/>
      <c r="AX39" s="122"/>
      <c r="AY39" s="122"/>
      <c r="AZ39" s="122"/>
      <c r="BA39" s="122"/>
      <c r="BB39" s="122"/>
      <c r="BC39" s="133"/>
      <c r="BD39" s="140" t="str">
        <f>IF(Table1[[#This Row],[VerReq]]="N","x","")</f>
        <v/>
      </c>
      <c r="BE39" s="140" t="str">
        <f>IF(Table1[[#This Row],[VerReq]]="N","x","")</f>
        <v/>
      </c>
      <c r="BF39" s="140" t="str">
        <f>IF(Table1[[#This Row],[VerReq]]="N","x","")</f>
        <v/>
      </c>
      <c r="BG39" s="140" t="str">
        <f>IF(Table1[[#This Row],[VerReq]]="N","x","")</f>
        <v/>
      </c>
      <c r="BH39" s="140" t="str">
        <f>IF(Table1[[#This Row],[VerReq]]="N","x","")</f>
        <v/>
      </c>
      <c r="BI39" s="140" t="str">
        <f>IF(Table1[[#This Row],[VerReq]]="N","x","")</f>
        <v/>
      </c>
      <c r="BJ39" s="123">
        <f>1-((COUNTBLANK(Table1[[#This Row],[ALESent]:[TaxTran]]))/(COUNT(Table1[[#This Row],[ALESent]:[TaxTran]])+COUNTBLANK(Table1[[#This Row],[ALESent]:[TaxTran]])))</f>
        <v>0</v>
      </c>
      <c r="BK39" s="136">
        <f>IF(VLOOKUP(Table1[[#This Row],[SyStudentId]],SSR!$A$2:$CC$4982,22,FALSE)=44109,44109,"Check Program")</f>
        <v>44109</v>
      </c>
      <c r="BL39" s="124">
        <f>IF(Table1[[#This Row],[AYStart]]=44109,44356,"Check Program")</f>
        <v>44356</v>
      </c>
      <c r="BM39" s="219">
        <v>8505</v>
      </c>
      <c r="BN39" s="219">
        <v>8505</v>
      </c>
      <c r="BO39" s="219">
        <v>8505</v>
      </c>
      <c r="BP39" s="220">
        <f t="shared" si="0"/>
        <v>25515</v>
      </c>
      <c r="BQ39" s="221">
        <v>3300</v>
      </c>
      <c r="BR39" s="219">
        <v>400</v>
      </c>
      <c r="BS39" s="219">
        <v>400</v>
      </c>
      <c r="BT39" s="220">
        <f t="shared" si="1"/>
        <v>4100</v>
      </c>
      <c r="BU39" s="219">
        <v>2100</v>
      </c>
      <c r="BV39" s="219">
        <v>2100</v>
      </c>
      <c r="BW39" s="219">
        <v>2100</v>
      </c>
      <c r="BX39" s="220">
        <f t="shared" si="2"/>
        <v>6300</v>
      </c>
      <c r="BY39" s="275">
        <v>1200</v>
      </c>
      <c r="BZ39" s="275">
        <v>1200</v>
      </c>
      <c r="CA39" s="275">
        <v>1200</v>
      </c>
      <c r="CB39" s="220">
        <f>SUM(Table1[[#This Row],[LEQ1]:[LEQ3]])</f>
        <v>3600</v>
      </c>
      <c r="CC39" s="275"/>
      <c r="CD39" s="275"/>
      <c r="CE39" s="275"/>
      <c r="CF39" s="220">
        <f>SUM(Table1[[#This Row],[OthCostQ1]:[OthCostQ3]])</f>
        <v>0</v>
      </c>
      <c r="CG39" s="220">
        <f>(Table1[[#This Row],[T&amp;FTot]]+Table1[[#This Row],[B&amp;STot]]+Table1[[#This Row],[HousTot]]+Table1[[#This Row],[LETot]]+Table1[[#This Row],[OthCostTot]])</f>
        <v>39515</v>
      </c>
      <c r="CH39" s="250"/>
      <c r="CI39" s="250"/>
      <c r="CJ39" s="250"/>
      <c r="CK39" s="251">
        <f>SUM(Table1[[#This Row],[SEOGQ1]:[SEOGQ3]])</f>
        <v>0</v>
      </c>
      <c r="CL39" s="250">
        <f>IFERROR(ROUNDUP(Table1[[#This Row],[PellTot]]/3,0),0)</f>
        <v>0</v>
      </c>
      <c r="CM39" s="250">
        <f>IFERROR(ROUND(Table1[[#This Row],[PellTot]]/3,0),0)</f>
        <v>0</v>
      </c>
      <c r="CN39" s="250">
        <f>IFERROR(ROUNDDOWN(Table1[[#This Row],[PellTot]]/3,0),0)</f>
        <v>0</v>
      </c>
      <c r="CO39" s="251">
        <f>IFERROR(LOOKUP(Table1[EFC],Pell_Table[#Data],Pell_Table[Pell Amt]),0)</f>
        <v>0</v>
      </c>
      <c r="CP39" s="250">
        <f>Table1[[#This Row],[AccessTot]]/3</f>
        <v>0</v>
      </c>
      <c r="CQ39" s="250">
        <f>Table1[[#This Row],[AccessTot]]/3</f>
        <v>0</v>
      </c>
      <c r="CR39" s="250">
        <f>Table1[[#This Row],[AccessTot]]/3</f>
        <v>0</v>
      </c>
      <c r="CS39" s="251">
        <f>IF(Table1[[#This Row],[PellTot]]&gt;0,1500,0)</f>
        <v>0</v>
      </c>
      <c r="CT39" s="250">
        <f>Table1[[#This Row],[AchiTot]]/3</f>
        <v>0</v>
      </c>
      <c r="CU39" s="250">
        <f>Table1[[#This Row],[AchiTot]]/3</f>
        <v>0</v>
      </c>
      <c r="CV39" s="250">
        <f>Table1[[#This Row],[AchiTot]]/3</f>
        <v>0</v>
      </c>
      <c r="CW39" s="252">
        <f>IF(Table1[[#This Row],[Rank]]="","",IF(Table1[[#This Row],[Rank]]=1,5100,IF(Table1[[#This Row],[Rank]]=2,4500,IF(Table1[[#This Row],[Rank]]=3,3900,IF(Table1[[#This Row],[Rank]]=4,3750,IF(Table1[[#This Row],[Rank]]=5,3000,IF(Table1[[#This Row],[Rank]]=6,2250,0)))))))</f>
        <v>0</v>
      </c>
      <c r="CX39" s="250">
        <f>Table1[[#This Row],[UTTot]]/3</f>
        <v>0</v>
      </c>
      <c r="CY39" s="250">
        <f>Table1[[#This Row],[UTTot]]/3</f>
        <v>0</v>
      </c>
      <c r="CZ39" s="250">
        <f>Table1[[#This Row],[UTTot]]/3</f>
        <v>0</v>
      </c>
      <c r="DA39" s="251">
        <f>IF(Table1[[#This Row],[State]]="UT",9000,0)</f>
        <v>0</v>
      </c>
      <c r="DB39" s="250">
        <f>Table1[[#This Row],[WITTot]]/3</f>
        <v>0</v>
      </c>
      <c r="DC39" s="250">
        <f>Table1[[#This Row],[WITTot]]/3</f>
        <v>0</v>
      </c>
      <c r="DD39" s="250">
        <f>Table1[[#This Row],[WITTot]]/3</f>
        <v>0</v>
      </c>
      <c r="DE39" s="251">
        <f>IF(Table1[[#This Row],[Gender]]="Female",3000,0)</f>
        <v>0</v>
      </c>
      <c r="DF39" s="250">
        <f>Table1[[#This Row],[SerTot]]/3</f>
        <v>0</v>
      </c>
      <c r="DG39" s="250">
        <f>Table1[[#This Row],[SerTot]]/3</f>
        <v>0</v>
      </c>
      <c r="DH39" s="250">
        <f>Table1[[#This Row],[SerTot]]/3</f>
        <v>0</v>
      </c>
      <c r="DI39" s="252"/>
      <c r="DJ39" s="250"/>
      <c r="DK39" s="250"/>
      <c r="DL39" s="250"/>
      <c r="DM39" s="252"/>
      <c r="DN39" s="250">
        <f>Table1[[#This Row],[MatTot]]/3</f>
        <v>0</v>
      </c>
      <c r="DO39" s="250">
        <f>Table1[[#This Row],[MatTot]]/3</f>
        <v>0</v>
      </c>
      <c r="DP39" s="250">
        <f>Table1[[#This Row],[MatTot]]/3</f>
        <v>0</v>
      </c>
      <c r="DQ39" s="252"/>
      <c r="DR39" s="250">
        <f>Table1[[#This Row],[OutTot]]/3</f>
        <v>0</v>
      </c>
      <c r="DS39" s="250">
        <f>Table1[[#This Row],[OutTot]]/3</f>
        <v>0</v>
      </c>
      <c r="DT39" s="250">
        <f>Table1[[#This Row],[OutTot]]/3</f>
        <v>0</v>
      </c>
      <c r="DU39" s="252"/>
      <c r="DV39" s="250"/>
      <c r="DW39" s="250"/>
      <c r="DX39" s="250"/>
      <c r="DY39" s="252">
        <f>SUM(Table1[[#This Row],[VAQ1]:[VAQ3]])</f>
        <v>0</v>
      </c>
      <c r="DZ39" s="250"/>
      <c r="EA39" s="250"/>
      <c r="EB39" s="250"/>
      <c r="EC39" s="252">
        <f>SUM(Table1[[#This Row],[OthGrantQ1]:[OthGrantQ3]])</f>
        <v>0</v>
      </c>
      <c r="ED39" s="263">
        <f>Table1[[#This Row],[SEOGTot]]+Table1[[#This Row],[PellTot]]+Table1[[#This Row],[AccessTot]]+Table1[[#This Row],[AchiTot]]+Table1[[#This Row],[UTTot]]+Table1[[#This Row],[WITTot]]+Table1[[#This Row],[SerTot]]+Table1[[#This Row],[TranTot]]+Table1[[#This Row],[MatTot]]+Table1[[#This Row],[OutTot]]+Table1[[#This Row],[VATot]]+Table1[[#This Row],[OthGrantTot]]</f>
        <v>0</v>
      </c>
      <c r="EE39" s="249"/>
      <c r="EF39" s="237"/>
      <c r="EG39" s="237"/>
      <c r="EH39" s="232">
        <f>SUM(Table1[[#This Row],[CashQ1]]:Table1[[#This Row],[CashQ3]])</f>
        <v>0</v>
      </c>
      <c r="EI39" s="271">
        <f>ROUND((Table1[[#This Row],[SubTot]]/3)/1.01059,0)</f>
        <v>0</v>
      </c>
      <c r="EJ39" s="234">
        <f>ROUND((Table1[[#This Row],[SubTot]]/3)/1.01059,0)</f>
        <v>0</v>
      </c>
      <c r="EK39" s="234">
        <f>ROUNDUP((Table1[[#This Row],[SubTot]]/3)/1.01059,0)</f>
        <v>0</v>
      </c>
      <c r="EL39" s="235"/>
      <c r="EM39" s="240">
        <f>Table1[[#This Row],[SubTot]]*0.01059</f>
        <v>0</v>
      </c>
      <c r="EN39" s="234">
        <f>ROUND((Table1[[#This Row],[UnsubTot]]/3)/1.01062,0)</f>
        <v>660</v>
      </c>
      <c r="EO39" s="234">
        <f>ROUND((Table1[[#This Row],[UnsubTot]]/3)/1.01062,0)</f>
        <v>660</v>
      </c>
      <c r="EP39" s="234">
        <f>ROUNDDOWN((Table1[[#This Row],[UnsubTot]]/3)/1.01062,0)</f>
        <v>659</v>
      </c>
      <c r="EQ39" s="235">
        <f>IF(Table1[D/I]="I",6000,2000)</f>
        <v>2000</v>
      </c>
      <c r="ER39" s="240">
        <f>Table1[[#This Row],[UnsubTot]]*0.01062</f>
        <v>21.24</v>
      </c>
      <c r="ES39" s="234">
        <f>ROUND((Table1[[#This Row],[PLUSTot]]/3)/1.04248,0)</f>
        <v>0</v>
      </c>
      <c r="ET39" s="234">
        <f>ROUND((Table1[[#This Row],[PLUSTot]]/3)/1.04248,0)</f>
        <v>0</v>
      </c>
      <c r="EU39" s="234">
        <f>ROUND((Table1[[#This Row],[PLUSTot]]/3)/1.04248,0)</f>
        <v>0</v>
      </c>
      <c r="EV39" s="235"/>
      <c r="EW39" s="239">
        <f>Table1[[#This Row],[PLUSTot]]*0.04248</f>
        <v>0</v>
      </c>
      <c r="EX39" s="237"/>
      <c r="EY39" s="237"/>
      <c r="EZ39" s="237"/>
      <c r="FA39" s="232">
        <f>SUM(Table1[[#This Row],[PrivQ1]:[PrivQ3]])</f>
        <v>0</v>
      </c>
      <c r="FB39" s="237"/>
      <c r="FC39" s="237"/>
      <c r="FD39" s="237"/>
      <c r="FE39" s="232">
        <f>SUM(Table1[[#This Row],[TOQ1]:[TOQ3]])</f>
        <v>0</v>
      </c>
      <c r="FF39" s="237"/>
      <c r="FG39" s="237"/>
      <c r="FH39" s="237"/>
      <c r="FI39" s="232">
        <f>SUM(Table1[[#This Row],[OFundQ1]:[OFundQ3]])</f>
        <v>0</v>
      </c>
      <c r="FJ39" s="239">
        <f>(Table1[[#This Row],[SubTot]]-Table1[[#This Row],[SubFee]])+(Table1[[#This Row],[UnsubTot]]-Table1[[#This Row],[UnsubFee]])+(Table1[[#This Row],[PLUSTot]]-Table1[[#This Row],[PLUSFee]])+Table1[[#This Row],[PrivTot]]+Table1[[#This Row],[TOTot]]+Table1[[#This Row],[OFundTot]]</f>
        <v>1978.76</v>
      </c>
      <c r="FK39" s="125">
        <f>Table1[[#This Row],[CostTot]]-Table1[[#This Row],[GiftTot]]</f>
        <v>39515</v>
      </c>
      <c r="FL39" s="130">
        <f>Table1[[#This Row],[NetNeed]]/(1-0.04248)</f>
        <v>39201.520594870075</v>
      </c>
      <c r="FM39" s="131">
        <f>Table1[[#This Row],[NetCost]]-Table1[[#This Row],[CashTot]]-(Table1[[#This Row],[SubTot]]-Table1[[#This Row],[SubFee]])-(Table1[[#This Row],[UnsubTot]]-Table1[[#This Row],[UnsubFee]])-(Table1[[#This Row],[PLUSTot]]-Table1[[#This Row],[PLUSFee]])-Table1[[#This Row],[PrivTot]]-Table1[[#This Row],[TOTot]]-Table1[[#This Row],[OFundTot]]</f>
        <v>37536.239999999998</v>
      </c>
      <c r="FN39" s="161"/>
      <c r="FO39" s="113"/>
      <c r="FP39" s="113"/>
    </row>
    <row r="40" spans="1:172" s="160" customFormat="1" ht="15" x14ac:dyDescent="0.25">
      <c r="A40" s="267">
        <v>197893</v>
      </c>
      <c r="B40" s="113" t="str">
        <f>VLOOKUP(Table1[[#This Row],[SyStudentId]],SSR!$A$2:$CC$4982,4,FALSE)</f>
        <v>Morris</v>
      </c>
      <c r="C40" s="113" t="str">
        <f>VLOOKUP(Table1[[#This Row],[SyStudentId]],SSR!$A$2:$CC$4982,5,FALSE)</f>
        <v>Melissa</v>
      </c>
      <c r="D40" s="113" t="str">
        <f>VLOOKUP(Table1[[#This Row],[SyStudentId]],SSR!$A$2:$CC$4982,6,FALSE)</f>
        <v>Morris, Melissa</v>
      </c>
      <c r="E40" s="113" t="str">
        <f>CONCATENATE(Table1[[#This Row],[FirstName]]," ",Table1[[#This Row],[LastName]])</f>
        <v>Melissa Morris</v>
      </c>
      <c r="F40" s="112">
        <v>1</v>
      </c>
      <c r="G40" s="114"/>
      <c r="H40" s="114"/>
      <c r="I40" s="114">
        <v>43776</v>
      </c>
      <c r="J40" s="115"/>
      <c r="K40" s="116"/>
      <c r="L40" s="112" t="str">
        <f>IFERROR(VLOOKUP(Table1[[#This Row],[SyStudentId]],ISIR!$A$2:$X$999,11,FALSE),"")</f>
        <v>D</v>
      </c>
      <c r="M40" s="113" t="str">
        <f>VLOOKUP(Table1[[#This Row],[SyStudentId]],SSR!$A$2:$CC$4982,7,FALSE)</f>
        <v>mel4college@gmail.com</v>
      </c>
      <c r="N40" s="113" t="str">
        <f>VLOOKUP(Table1[[#This Row],[SyStudentId]],SSR!$A$2:$CC$4982,8,FALSE)</f>
        <v>216 Lynn Ct</v>
      </c>
      <c r="O40" s="113" t="str">
        <f>VLOOKUP(Table1[[#This Row],[SyStudentId]],SSR!$A$2:$CC$4982,9,FALSE)</f>
        <v>Altoona</v>
      </c>
      <c r="P40" s="292" t="str">
        <f>VLOOKUP(Table1[[#This Row],[SyStudentId]],SSR!$A$2:$CC$4982,10,FALSE)</f>
        <v>IA</v>
      </c>
      <c r="Q40" s="117" t="str">
        <f>VLOOKUP(Table1[[#This Row],[SyStudentId]],SSR!$A$2:$CC$4982,11,FALSE)</f>
        <v xml:space="preserve">50009     </v>
      </c>
      <c r="R40" s="118">
        <f>VLOOKUP(Table1[[#This Row],[SyStudentId]],SSR!$A$2:$CC$4982,15,FALSE)</f>
        <v>3.8</v>
      </c>
      <c r="S40" s="119">
        <f>VLOOKUP(Table1[[#This Row],[SyStudentId]],SSR!$A$2:$CC$4982,22,FALSE)</f>
        <v>44109</v>
      </c>
      <c r="T40" s="113" t="str">
        <f>VLOOKUP(Table1[[#This Row],[SyStudentId]],SSR!$A$2:$CC$4982,24,FALSE)</f>
        <v>GM</v>
      </c>
      <c r="U40" s="113" t="str">
        <f>IF(VLOOKUP(Table1[[#This Row],[SyStudentId]],SSR!$A$2:$CC$4982,26,FALSE)=0,"Not Selected",VLOOKUP(Table1[[#This Row],[SyStudentId]],SSR!$A$2:$CC$4982,26,FALSE))</f>
        <v>Female</v>
      </c>
      <c r="V40" s="113" t="str">
        <f>VLOOKUP(Table1[[#This Row],[SyStudentId]],SSR!$A$2:$CC$4982,27,FALSE)</f>
        <v xml:space="preserve">HS2020  </v>
      </c>
      <c r="W40" s="113" t="str">
        <f>VLOOKUP(LEFT(Table1[[#This Row],[LastName]],1),Alpha!$A$1:$B$26,2,FALSE)</f>
        <v>Maureen Ranks</v>
      </c>
      <c r="X40" s="149" t="str">
        <f>VLOOKUP(Table1[[#This Row],[FAA]],Alpha!$B$1:$D$26,2,FALSE)</f>
        <v>mranks@neumont.edu</v>
      </c>
      <c r="Y40" s="113">
        <f>VLOOKUP(Table1[[#This Row],[FAA]],Alpha!$B$1:$D$26,3,FALSE)</f>
        <v>8883022894</v>
      </c>
      <c r="Z40" s="113" t="str">
        <f>VLOOKUP(Table1[[#This Row],[SyStudentId]],SSR!$A$2:$CC$4982,30,FALSE)</f>
        <v>16-Accepted</v>
      </c>
      <c r="AA40" s="113" t="str">
        <f>IF(VLOOKUP(Table1[[#This Row],[SyStudentId]],SSR!$A$2:$CC$4982,36,FALSE)="Bachelor of Science","BS Computer Science","Check Program")</f>
        <v>BS Computer Science</v>
      </c>
      <c r="AB40" s="113" t="str">
        <f>VLOOKUP(Table1[[#This Row],[SyStudentId]],SSR!$A$2:$CC$4982,37,FALSE)</f>
        <v xml:space="preserve">27      </v>
      </c>
      <c r="AC40" s="113">
        <f>VLOOKUP(Table1[[#This Row],[SyStudentId]],SSR!$A$2:$CC$4982,42,FALSE)</f>
        <v>0</v>
      </c>
      <c r="AD40" s="113" t="str">
        <f>VLOOKUP(Table1[[#This Row],[SyStudentId]],SSR!$A$2:$CC$4982,46,FALSE)</f>
        <v>123</v>
      </c>
      <c r="AE40" s="113" t="str">
        <f>VLOOKUP(Table1[[#This Row],[SyStudentId]],SSR!$A$2:$CC$4982,65,FALSE)</f>
        <v>I</v>
      </c>
      <c r="AF40"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40" s="113" t="str">
        <f>VLOOKUP(Table1[[#This Row],[SyStudentId]],SSR!$A$2:$CC$4982,66,FALSE)</f>
        <v>July-October</v>
      </c>
      <c r="AH40" s="113" t="str">
        <f>IFERROR(VLOOKUP(Table1[[#This Row],[SyStudentId]],ISIR!$A$2:$X$999,7,FALSE),"")</f>
        <v>012548</v>
      </c>
      <c r="AI40" s="121">
        <f>IF(Table1[[#This Row],[EFCRaw]]="","",IF(Table1[[#This Row],[EFCRaw]]="No EFC","No EFC",_xlfn.NUMBERVALUE(Table1[[#This Row],[EFCRaw]])))</f>
        <v>12548</v>
      </c>
      <c r="AJ40" s="119">
        <f>IFERROR(VLOOKUP(Table1[[#This Row],[SyStudentId]],ISIR!$A$2:$X$4999,19,FALSE),"")</f>
        <v>43774</v>
      </c>
      <c r="AK40" s="113" t="str">
        <f>IFERROR(VLOOKUP(Table1[[#This Row],[SyStudentId]],ISIR!$A$2:$X$4999,8,FALSE),"")</f>
        <v>N</v>
      </c>
      <c r="AL40" s="132" t="str">
        <f>IF(Table1[[#This Row],[VerReq]]="N","n/a","")</f>
        <v>n/a</v>
      </c>
      <c r="AM40" s="122"/>
      <c r="AN40" s="122"/>
      <c r="AO40" s="122">
        <v>43755</v>
      </c>
      <c r="AP40" s="122"/>
      <c r="AQ40" s="122"/>
      <c r="AR40" s="122"/>
      <c r="AS40" s="122"/>
      <c r="AT40" s="122"/>
      <c r="AU40" s="122"/>
      <c r="AV40" s="122"/>
      <c r="AW40" s="122"/>
      <c r="AX40" s="122"/>
      <c r="AY40" s="122"/>
      <c r="AZ40" s="122"/>
      <c r="BA40" s="122"/>
      <c r="BB40" s="122"/>
      <c r="BC40" s="133"/>
      <c r="BD40" s="140" t="str">
        <f>IF(Table1[[#This Row],[VerReq]]="N","x","")</f>
        <v>x</v>
      </c>
      <c r="BE40" s="140" t="str">
        <f>IF(Table1[[#This Row],[VerReq]]="N","x","")</f>
        <v>x</v>
      </c>
      <c r="BF40" s="140" t="str">
        <f>IF(Table1[[#This Row],[VerReq]]="N","x","")</f>
        <v>x</v>
      </c>
      <c r="BG40" s="140" t="str">
        <f>IF(Table1[[#This Row],[VerReq]]="N","x","")</f>
        <v>x</v>
      </c>
      <c r="BH40" s="140" t="str">
        <f>IF(Table1[[#This Row],[VerReq]]="N","x","")</f>
        <v>x</v>
      </c>
      <c r="BI40" s="140" t="str">
        <f>IF(Table1[[#This Row],[VerReq]]="N","x","")</f>
        <v>x</v>
      </c>
      <c r="BJ40" s="123">
        <f>1-((COUNTBLANK(Table1[[#This Row],[ALESent]:[TaxTran]]))/(COUNT(Table1[[#This Row],[ALESent]:[TaxTran]])+COUNTBLANK(Table1[[#This Row],[ALESent]:[TaxTran]])))</f>
        <v>5.8823529411764719E-2</v>
      </c>
      <c r="BK40" s="136">
        <f>IF(VLOOKUP(Table1[[#This Row],[SyStudentId]],SSR!$A$2:$CC$4982,22,FALSE)=44109,44109,"Check Program")</f>
        <v>44109</v>
      </c>
      <c r="BL40" s="124">
        <f>IF(Table1[[#This Row],[AYStart]]=44109,44356,"Check Program")</f>
        <v>44356</v>
      </c>
      <c r="BM40" s="219">
        <v>8505</v>
      </c>
      <c r="BN40" s="219">
        <v>8505</v>
      </c>
      <c r="BO40" s="219">
        <v>8505</v>
      </c>
      <c r="BP40" s="220">
        <f t="shared" si="0"/>
        <v>25515</v>
      </c>
      <c r="BQ40" s="221">
        <v>3300</v>
      </c>
      <c r="BR40" s="219">
        <v>400</v>
      </c>
      <c r="BS40" s="219">
        <v>400</v>
      </c>
      <c r="BT40" s="220">
        <f t="shared" si="1"/>
        <v>4100</v>
      </c>
      <c r="BU40" s="219">
        <v>2100</v>
      </c>
      <c r="BV40" s="219">
        <v>2100</v>
      </c>
      <c r="BW40" s="219">
        <v>2100</v>
      </c>
      <c r="BX40" s="220">
        <f t="shared" si="2"/>
        <v>6300</v>
      </c>
      <c r="BY40" s="275">
        <v>1200</v>
      </c>
      <c r="BZ40" s="275">
        <v>1200</v>
      </c>
      <c r="CA40" s="275">
        <v>1200</v>
      </c>
      <c r="CB40" s="220">
        <f>SUM(Table1[[#This Row],[LEQ1]:[LEQ3]])</f>
        <v>3600</v>
      </c>
      <c r="CC40" s="275">
        <v>0</v>
      </c>
      <c r="CD40" s="275">
        <v>0</v>
      </c>
      <c r="CE40" s="275">
        <v>0</v>
      </c>
      <c r="CF40" s="220">
        <f>SUM(Table1[[#This Row],[OthCostQ1]:[OthCostQ3]])</f>
        <v>0</v>
      </c>
      <c r="CG40" s="220">
        <f>(Table1[[#This Row],[T&amp;FTot]]+Table1[[#This Row],[B&amp;STot]]+Table1[[#This Row],[HousTot]]+Table1[[#This Row],[LETot]]+Table1[[#This Row],[OthCostTot]])</f>
        <v>39515</v>
      </c>
      <c r="CH40" s="250"/>
      <c r="CI40" s="250"/>
      <c r="CJ40" s="250"/>
      <c r="CK40" s="251">
        <f>SUM(Table1[[#This Row],[SEOGQ1]:[SEOGQ3]])</f>
        <v>0</v>
      </c>
      <c r="CL40" s="250">
        <f>IFERROR(ROUNDUP(Table1[[#This Row],[PellTot]]/3,0),0)</f>
        <v>0</v>
      </c>
      <c r="CM40" s="250">
        <f>IFERROR(ROUND(Table1[[#This Row],[PellTot]]/3,0),0)</f>
        <v>0</v>
      </c>
      <c r="CN40" s="250">
        <f>IFERROR(ROUNDDOWN(Table1[[#This Row],[PellTot]]/3,0),0)</f>
        <v>0</v>
      </c>
      <c r="CO40" s="251">
        <f>IFERROR(LOOKUP(Table1[EFC],Pell_Table[#Data],Pell_Table[Pell Amt]),0)</f>
        <v>0</v>
      </c>
      <c r="CP40" s="250">
        <f>Table1[[#This Row],[AccessTot]]/3</f>
        <v>0</v>
      </c>
      <c r="CQ40" s="250">
        <f>Table1[[#This Row],[AccessTot]]/3</f>
        <v>0</v>
      </c>
      <c r="CR40" s="250">
        <f>Table1[[#This Row],[AccessTot]]/3</f>
        <v>0</v>
      </c>
      <c r="CS40" s="251">
        <f>IF(Table1[[#This Row],[PellTot]]&gt;0,1500,0)</f>
        <v>0</v>
      </c>
      <c r="CT40" s="250">
        <f>Table1[[#This Row],[AchiTot]]/3</f>
        <v>1700</v>
      </c>
      <c r="CU40" s="250">
        <f>Table1[[#This Row],[AchiTot]]/3</f>
        <v>1700</v>
      </c>
      <c r="CV40" s="250">
        <f>Table1[[#This Row],[AchiTot]]/3</f>
        <v>1700</v>
      </c>
      <c r="CW40" s="252">
        <f>IF(Table1[[#This Row],[Rank]]="","",IF(Table1[[#This Row],[Rank]]=1,5100,IF(Table1[[#This Row],[Rank]]=2,4500,IF(Table1[[#This Row],[Rank]]=3,3900,IF(Table1[[#This Row],[Rank]]=4,3750,IF(Table1[[#This Row],[Rank]]=5,3000,IF(Table1[[#This Row],[Rank]]=6,2250,0)))))))</f>
        <v>5100</v>
      </c>
      <c r="CX40" s="250">
        <f>Table1[[#This Row],[UTTot]]/3</f>
        <v>0</v>
      </c>
      <c r="CY40" s="250">
        <f>Table1[[#This Row],[UTTot]]/3</f>
        <v>0</v>
      </c>
      <c r="CZ40" s="250">
        <f>Table1[[#This Row],[UTTot]]/3</f>
        <v>0</v>
      </c>
      <c r="DA40" s="251">
        <f>IF(Table1[[#This Row],[State]]="UT",9000,0)</f>
        <v>0</v>
      </c>
      <c r="DB40" s="250">
        <f>Table1[[#This Row],[WITTot]]/3</f>
        <v>1000</v>
      </c>
      <c r="DC40" s="250">
        <f>Table1[[#This Row],[WITTot]]/3</f>
        <v>1000</v>
      </c>
      <c r="DD40" s="250">
        <f>Table1[[#This Row],[WITTot]]/3</f>
        <v>1000</v>
      </c>
      <c r="DE40" s="251">
        <f>IF(Table1[[#This Row],[Gender]]="Female",3000,0)</f>
        <v>3000</v>
      </c>
      <c r="DF40" s="250">
        <f>Table1[[#This Row],[SerTot]]/3</f>
        <v>0</v>
      </c>
      <c r="DG40" s="250">
        <f>Table1[[#This Row],[SerTot]]/3</f>
        <v>0</v>
      </c>
      <c r="DH40" s="250">
        <f>Table1[[#This Row],[SerTot]]/3</f>
        <v>0</v>
      </c>
      <c r="DI40" s="252"/>
      <c r="DJ40" s="250"/>
      <c r="DK40" s="250"/>
      <c r="DL40" s="250"/>
      <c r="DM40" s="252"/>
      <c r="DN40" s="250">
        <f>Table1[[#This Row],[MatTot]]/3</f>
        <v>0</v>
      </c>
      <c r="DO40" s="250">
        <f>Table1[[#This Row],[MatTot]]/3</f>
        <v>0</v>
      </c>
      <c r="DP40" s="250">
        <f>Table1[[#This Row],[MatTot]]/3</f>
        <v>0</v>
      </c>
      <c r="DQ40" s="252">
        <v>0</v>
      </c>
      <c r="DR40" s="250">
        <f>Table1[[#This Row],[OutTot]]/3</f>
        <v>0</v>
      </c>
      <c r="DS40" s="250">
        <f>Table1[[#This Row],[OutTot]]/3</f>
        <v>0</v>
      </c>
      <c r="DT40" s="250">
        <f>Table1[[#This Row],[OutTot]]/3</f>
        <v>0</v>
      </c>
      <c r="DU40" s="252">
        <v>0</v>
      </c>
      <c r="DV40" s="250">
        <v>0</v>
      </c>
      <c r="DW40" s="250">
        <v>0</v>
      </c>
      <c r="DX40" s="250">
        <v>0</v>
      </c>
      <c r="DY40" s="252">
        <f>SUM(Table1[[#This Row],[VAQ1]:[VAQ3]])</f>
        <v>0</v>
      </c>
      <c r="DZ40" s="250">
        <v>0</v>
      </c>
      <c r="EA40" s="250">
        <v>0</v>
      </c>
      <c r="EB40" s="250">
        <v>0</v>
      </c>
      <c r="EC40" s="252">
        <f>SUM(Table1[[#This Row],[OthGrantQ1]:[OthGrantQ3]])</f>
        <v>0</v>
      </c>
      <c r="ED40" s="263">
        <f>Table1[[#This Row],[SEOGTot]]+Table1[[#This Row],[PellTot]]+Table1[[#This Row],[AccessTot]]+Table1[[#This Row],[AchiTot]]+Table1[[#This Row],[UTTot]]+Table1[[#This Row],[WITTot]]+Table1[[#This Row],[SerTot]]+Table1[[#This Row],[TranTot]]+Table1[[#This Row],[MatTot]]+Table1[[#This Row],[OutTot]]+Table1[[#This Row],[VATot]]+Table1[[#This Row],[OthGrantTot]]</f>
        <v>8100</v>
      </c>
      <c r="EE40" s="249"/>
      <c r="EF40" s="237"/>
      <c r="EG40" s="237"/>
      <c r="EH40" s="232">
        <f>SUM(Table1[[#This Row],[CashQ1]]:Table1[[#This Row],[CashQ3]])</f>
        <v>0</v>
      </c>
      <c r="EI40" s="271">
        <f>ROUND((Table1[[#This Row],[SubTot]]/3)/1.01059,0)</f>
        <v>1154</v>
      </c>
      <c r="EJ40" s="234">
        <f>ROUND((Table1[[#This Row],[SubTot]]/3)/1.01059,0)</f>
        <v>1154</v>
      </c>
      <c r="EK40" s="234">
        <f>ROUNDUP((Table1[[#This Row],[SubTot]]/3)/1.01059,0)</f>
        <v>1155</v>
      </c>
      <c r="EL40" s="235">
        <v>3500</v>
      </c>
      <c r="EM40" s="240">
        <f>Table1[[#This Row],[SubTot]]*0.01059</f>
        <v>37.065000000000005</v>
      </c>
      <c r="EN40" s="234">
        <f>ROUND((Table1[[#This Row],[UnsubTot]]/3)/1.01062,0)</f>
        <v>660</v>
      </c>
      <c r="EO40" s="234">
        <f>ROUND((Table1[[#This Row],[UnsubTot]]/3)/1.01062,0)</f>
        <v>660</v>
      </c>
      <c r="EP40" s="234">
        <f>ROUNDDOWN((Table1[[#This Row],[UnsubTot]]/3)/1.01062,0)</f>
        <v>659</v>
      </c>
      <c r="EQ40" s="235">
        <f>IF(Table1[D/I]="I",6000,2000)</f>
        <v>2000</v>
      </c>
      <c r="ER40" s="240">
        <f>Table1[[#This Row],[UnsubTot]]*0.01059</f>
        <v>21.18</v>
      </c>
      <c r="ES40" s="234">
        <f>ROUND((Table1[[#This Row],[PLUSTot]]/3)/1.04236,0)</f>
        <v>0</v>
      </c>
      <c r="ET40" s="234">
        <f>ROUND((Table1[[#This Row],[PLUSTot]]/3)/1.04236,0)</f>
        <v>0</v>
      </c>
      <c r="EU40" s="234">
        <f>ROUND((Table1[[#This Row],[PLUSTot]]/3)/1.04236,0)</f>
        <v>0</v>
      </c>
      <c r="EV40" s="235">
        <v>0</v>
      </c>
      <c r="EW40" s="239">
        <f>Table1[[#This Row],[PLUSTot]]*0.04248</f>
        <v>0</v>
      </c>
      <c r="EX40" s="237"/>
      <c r="EY40" s="237"/>
      <c r="EZ40" s="237"/>
      <c r="FA40" s="232">
        <f>SUM(Table1[[#This Row],[PrivQ1]:[PrivQ3]])</f>
        <v>0</v>
      </c>
      <c r="FB40" s="237"/>
      <c r="FC40" s="237"/>
      <c r="FD40" s="237"/>
      <c r="FE40" s="232">
        <f>SUM(Table1[[#This Row],[TOQ1]:[TOQ3]])</f>
        <v>0</v>
      </c>
      <c r="FF40" s="237"/>
      <c r="FG40" s="237"/>
      <c r="FH40" s="237"/>
      <c r="FI40" s="232">
        <f>SUM(Table1[[#This Row],[OFundQ1]:[OFundQ3]])</f>
        <v>0</v>
      </c>
      <c r="FJ40" s="239">
        <f>(Table1[[#This Row],[SubTot]]-Table1[[#This Row],[SubFee]])+(Table1[[#This Row],[UnsubTot]]-Table1[[#This Row],[UnsubFee]])+(Table1[[#This Row],[PLUSTot]]-Table1[[#This Row],[PLUSFee]])+Table1[[#This Row],[PrivTot]]+Table1[[#This Row],[TOTot]]+Table1[[#This Row],[OFundTot]]</f>
        <v>5441.7550000000001</v>
      </c>
      <c r="FK40" s="125">
        <f>Table1[[#This Row],[CostTot]]-Table1[[#This Row],[GiftTot]]</f>
        <v>31415</v>
      </c>
      <c r="FL40" s="130">
        <f>Table1[[#This Row],[NetNeed]]/(1-0.04248)</f>
        <v>27125.537847773412</v>
      </c>
      <c r="FM40" s="131">
        <f>Table1[[#This Row],[NetCost]]-Table1[[#This Row],[CashTot]]-(Table1[[#This Row],[SubTot]]-Table1[[#This Row],[SubFee]])-(Table1[[#This Row],[UnsubTot]]-Table1[[#This Row],[UnsubFee]])-(Table1[[#This Row],[PLUSTot]]-Table1[[#This Row],[PLUSFee]])-Table1[[#This Row],[PrivTot]]-Table1[[#This Row],[TOTot]]-Table1[[#This Row],[OFundTot]]</f>
        <v>25973.244999999999</v>
      </c>
      <c r="FN40" s="161"/>
      <c r="FO40" s="113"/>
      <c r="FP40" s="113"/>
    </row>
    <row r="41" spans="1:172" s="160" customFormat="1" ht="15" x14ac:dyDescent="0.25">
      <c r="A41" s="329">
        <v>197736</v>
      </c>
      <c r="B41" s="113" t="str">
        <f>VLOOKUP(Table1[[#This Row],[SyStudentId]],SSR!$A$2:$CC$4982,4,FALSE)</f>
        <v>Moses</v>
      </c>
      <c r="C41" s="113" t="str">
        <f>VLOOKUP(Table1[[#This Row],[SyStudentId]],SSR!$A$2:$CC$4982,5,FALSE)</f>
        <v>Jamier</v>
      </c>
      <c r="D41" s="113" t="str">
        <f>VLOOKUP(Table1[[#This Row],[SyStudentId]],SSR!$A$2:$CC$4982,6,FALSE)</f>
        <v>Moses, Jamier</v>
      </c>
      <c r="E41" s="113" t="str">
        <f>CONCATENATE(Table1[[#This Row],[FirstName]]," ",Table1[[#This Row],[LastName]])</f>
        <v>Jamier Moses</v>
      </c>
      <c r="F41" s="112"/>
      <c r="G41" s="114"/>
      <c r="H41" s="114"/>
      <c r="I41" s="114"/>
      <c r="J41" s="115"/>
      <c r="K41" s="116"/>
      <c r="L41" s="112" t="str">
        <f>IFERROR(VLOOKUP(Table1[[#This Row],[SyStudentId]],ISIR!$A$2:$X$999,11,FALSE),"")</f>
        <v/>
      </c>
      <c r="M41" s="113" t="str">
        <f>VLOOKUP(Table1[[#This Row],[SyStudentId]],SSR!$A$2:$CC$4982,7,FALSE)</f>
        <v>jamiermoses2001@hotmail.com</v>
      </c>
      <c r="N41" s="113" t="str">
        <f>VLOOKUP(Table1[[#This Row],[SyStudentId]],SSR!$A$2:$CC$4982,8,FALSE)</f>
        <v>2631 20th St</v>
      </c>
      <c r="O41" s="113" t="str">
        <f>VLOOKUP(Table1[[#This Row],[SyStudentId]],SSR!$A$2:$CC$4982,9,FALSE)</f>
        <v>Tuscaloosa</v>
      </c>
      <c r="P41" s="292" t="str">
        <f>VLOOKUP(Table1[[#This Row],[SyStudentId]],SSR!$A$2:$CC$4982,10,FALSE)</f>
        <v>AL</v>
      </c>
      <c r="Q41" s="117" t="str">
        <f>VLOOKUP(Table1[[#This Row],[SyStudentId]],SSR!$A$2:$CC$4982,11,FALSE)</f>
        <v>35401-4420</v>
      </c>
      <c r="R41" s="118">
        <f>VLOOKUP(Table1[[#This Row],[SyStudentId]],SSR!$A$2:$CC$4982,15,FALSE)</f>
        <v>3.8</v>
      </c>
      <c r="S41" s="119">
        <f>VLOOKUP(Table1[[#This Row],[SyStudentId]],SSR!$A$2:$CC$4982,22,FALSE)</f>
        <v>44109</v>
      </c>
      <c r="T41" s="113" t="str">
        <f>VLOOKUP(Table1[[#This Row],[SyStudentId]],SSR!$A$2:$CC$4982,24,FALSE)</f>
        <v>GM</v>
      </c>
      <c r="U41" s="113" t="str">
        <f>IF(VLOOKUP(Table1[[#This Row],[SyStudentId]],SSR!$A$2:$CC$4982,26,FALSE)=0,"Not Selected",VLOOKUP(Table1[[#This Row],[SyStudentId]],SSR!$A$2:$CC$4982,26,FALSE))</f>
        <v>Male</v>
      </c>
      <c r="V41" s="113" t="str">
        <f>VLOOKUP(Table1[[#This Row],[SyStudentId]],SSR!$A$2:$CC$4982,27,FALSE)</f>
        <v xml:space="preserve">HS2020  </v>
      </c>
      <c r="W41" s="113" t="str">
        <f>VLOOKUP(LEFT(Table1[[#This Row],[LastName]],1),Alpha!$A$1:$B$26,2,FALSE)</f>
        <v>Maureen Ranks</v>
      </c>
      <c r="X41" s="149" t="str">
        <f>VLOOKUP(Table1[[#This Row],[FAA]],Alpha!$B$1:$D$26,2,FALSE)</f>
        <v>mranks@neumont.edu</v>
      </c>
      <c r="Y41" s="113">
        <f>VLOOKUP(Table1[[#This Row],[FAA]],Alpha!$B$1:$D$26,3,FALSE)</f>
        <v>8883022894</v>
      </c>
      <c r="Z41" s="113" t="str">
        <f>VLOOKUP(Table1[[#This Row],[SyStudentId]],SSR!$A$2:$CC$4982,30,FALSE)</f>
        <v>16-Accepted</v>
      </c>
      <c r="AA41" s="113" t="str">
        <f>IF(VLOOKUP(Table1[[#This Row],[SyStudentId]],SSR!$A$2:$CC$4982,36,FALSE)="Bachelor of Science","BS Computer Science","Check Program")</f>
        <v>BS Computer Science</v>
      </c>
      <c r="AB41" s="113" t="str">
        <f>VLOOKUP(Table1[[#This Row],[SyStudentId]],SSR!$A$2:$CC$4982,37,FALSE)</f>
        <v xml:space="preserve">20      </v>
      </c>
      <c r="AC41" s="113">
        <f>VLOOKUP(Table1[[#This Row],[SyStudentId]],SSR!$A$2:$CC$4982,42,FALSE)</f>
        <v>0</v>
      </c>
      <c r="AD41" s="113" t="str">
        <f>VLOOKUP(Table1[[#This Row],[SyStudentId]],SSR!$A$2:$CC$4982,46,FALSE)</f>
        <v>110</v>
      </c>
      <c r="AE41" s="113" t="str">
        <f>VLOOKUP(Table1[[#This Row],[SyStudentId]],SSR!$A$2:$CC$4982,65,FALSE)</f>
        <v>II</v>
      </c>
      <c r="AF41"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2</v>
      </c>
      <c r="AG41" s="113" t="str">
        <f>VLOOKUP(Table1[[#This Row],[SyStudentId]],SSR!$A$2:$CC$4982,66,FALSE)</f>
        <v>October</v>
      </c>
      <c r="AH41" s="113" t="str">
        <f>IFERROR(VLOOKUP(Table1[[#This Row],[SyStudentId]],ISIR!$A$2:$X$999,7,FALSE),"")</f>
        <v/>
      </c>
      <c r="AI41" s="121" t="str">
        <f>IF(Table1[[#This Row],[EFCRaw]]="","",IF(Table1[[#This Row],[EFCRaw]]="No EFC","No EFC",_xlfn.NUMBERVALUE(Table1[[#This Row],[EFCRaw]])))</f>
        <v/>
      </c>
      <c r="AJ41" s="119" t="str">
        <f>IFERROR(VLOOKUP(Table1[[#This Row],[SyStudentId]],ISIR!$A$2:$X$4999,19,FALSE),"")</f>
        <v/>
      </c>
      <c r="AK41" s="113" t="str">
        <f>IFERROR(VLOOKUP(Table1[[#This Row],[SyStudentId]],ISIR!$A$2:$X$4999,8,FALSE),"")</f>
        <v/>
      </c>
      <c r="AL41" s="132" t="str">
        <f>IF(Table1[[#This Row],[VerReq]]="N","n/a","")</f>
        <v/>
      </c>
      <c r="AM41" s="122"/>
      <c r="AN41" s="122"/>
      <c r="AO41" s="122"/>
      <c r="AP41" s="122"/>
      <c r="AQ41" s="122"/>
      <c r="AR41" s="122"/>
      <c r="AS41" s="122"/>
      <c r="AT41" s="122"/>
      <c r="AU41" s="122"/>
      <c r="AV41" s="122"/>
      <c r="AW41" s="122"/>
      <c r="AX41" s="122"/>
      <c r="AY41" s="122"/>
      <c r="AZ41" s="122"/>
      <c r="BA41" s="122"/>
      <c r="BB41" s="122"/>
      <c r="BC41" s="133"/>
      <c r="BD41" s="140" t="str">
        <f>IF(Table1[[#This Row],[VerReq]]="N","x","")</f>
        <v/>
      </c>
      <c r="BE41" s="140" t="str">
        <f>IF(Table1[[#This Row],[VerReq]]="N","x","")</f>
        <v/>
      </c>
      <c r="BF41" s="140" t="str">
        <f>IF(Table1[[#This Row],[VerReq]]="N","x","")</f>
        <v/>
      </c>
      <c r="BG41" s="140" t="str">
        <f>IF(Table1[[#This Row],[VerReq]]="N","x","")</f>
        <v/>
      </c>
      <c r="BH41" s="140" t="str">
        <f>IF(Table1[[#This Row],[VerReq]]="N","x","")</f>
        <v/>
      </c>
      <c r="BI41" s="140" t="str">
        <f>IF(Table1[[#This Row],[VerReq]]="N","x","")</f>
        <v/>
      </c>
      <c r="BJ41" s="123">
        <f>1-((COUNTBLANK(Table1[[#This Row],[ALESent]:[TaxTran]]))/(COUNT(Table1[[#This Row],[ALESent]:[TaxTran]])+COUNTBLANK(Table1[[#This Row],[ALESent]:[TaxTran]])))</f>
        <v>0</v>
      </c>
      <c r="BK41" s="136">
        <f>IF(VLOOKUP(Table1[[#This Row],[SyStudentId]],SSR!$A$2:$CC$4982,22,FALSE)=44109,44109,"Check Program")</f>
        <v>44109</v>
      </c>
      <c r="BL41" s="124">
        <f>IF(Table1[[#This Row],[AYStart]]=44109,44356,"Check Program")</f>
        <v>44356</v>
      </c>
      <c r="BM41" s="219">
        <v>8505</v>
      </c>
      <c r="BN41" s="219">
        <v>8505</v>
      </c>
      <c r="BO41" s="219">
        <v>8505</v>
      </c>
      <c r="BP41" s="220">
        <f t="shared" si="0"/>
        <v>25515</v>
      </c>
      <c r="BQ41" s="221">
        <v>3300</v>
      </c>
      <c r="BR41" s="219">
        <v>400</v>
      </c>
      <c r="BS41" s="219">
        <v>400</v>
      </c>
      <c r="BT41" s="220">
        <f t="shared" si="1"/>
        <v>4100</v>
      </c>
      <c r="BU41" s="219">
        <v>2100</v>
      </c>
      <c r="BV41" s="219">
        <v>2100</v>
      </c>
      <c r="BW41" s="219">
        <v>2100</v>
      </c>
      <c r="BX41" s="220">
        <f t="shared" si="2"/>
        <v>6300</v>
      </c>
      <c r="BY41" s="275">
        <v>1200</v>
      </c>
      <c r="BZ41" s="275">
        <v>1200</v>
      </c>
      <c r="CA41" s="275">
        <v>1200</v>
      </c>
      <c r="CB41" s="220">
        <f>SUM(Table1[[#This Row],[LEQ1]:[LEQ3]])</f>
        <v>3600</v>
      </c>
      <c r="CC41" s="275"/>
      <c r="CD41" s="275"/>
      <c r="CE41" s="275"/>
      <c r="CF41" s="220">
        <f>SUM(Table1[[#This Row],[OthCostQ1]:[OthCostQ3]])</f>
        <v>0</v>
      </c>
      <c r="CG41" s="220">
        <f>(Table1[[#This Row],[T&amp;FTot]]+Table1[[#This Row],[B&amp;STot]]+Table1[[#This Row],[HousTot]]+Table1[[#This Row],[LETot]]+Table1[[#This Row],[OthCostTot]])</f>
        <v>39515</v>
      </c>
      <c r="CH41" s="250"/>
      <c r="CI41" s="250"/>
      <c r="CJ41" s="250"/>
      <c r="CK41" s="251">
        <f>SUM(Table1[[#This Row],[SEOGQ1]:[SEOGQ3]])</f>
        <v>0</v>
      </c>
      <c r="CL41" s="250">
        <f>IFERROR(ROUNDUP(Table1[[#This Row],[PellTot]]/3,0),0)</f>
        <v>0</v>
      </c>
      <c r="CM41" s="250">
        <f>IFERROR(ROUND(Table1[[#This Row],[PellTot]]/3,0),0)</f>
        <v>0</v>
      </c>
      <c r="CN41" s="250">
        <f>IFERROR(ROUNDDOWN(Table1[[#This Row],[PellTot]]/3,0),0)</f>
        <v>0</v>
      </c>
      <c r="CO41" s="251">
        <f>IFERROR(LOOKUP(Table1[EFC],Pell_Table[#Data],Pell_Table[Pell Amt]),0)</f>
        <v>0</v>
      </c>
      <c r="CP41" s="250">
        <f>Table1[[#This Row],[AccessTot]]/3</f>
        <v>0</v>
      </c>
      <c r="CQ41" s="250">
        <f>Table1[[#This Row],[AccessTot]]/3</f>
        <v>0</v>
      </c>
      <c r="CR41" s="250">
        <f>Table1[[#This Row],[AccessTot]]/3</f>
        <v>0</v>
      </c>
      <c r="CS41" s="251">
        <f>IF(Table1[[#This Row],[PellTot]]&gt;0,1500,0)</f>
        <v>0</v>
      </c>
      <c r="CT41" s="250">
        <f>Table1[[#This Row],[AchiTot]]/3</f>
        <v>1500</v>
      </c>
      <c r="CU41" s="250">
        <f>Table1[[#This Row],[AchiTot]]/3</f>
        <v>1500</v>
      </c>
      <c r="CV41" s="250">
        <f>Table1[[#This Row],[AchiTot]]/3</f>
        <v>1500</v>
      </c>
      <c r="CW41" s="252">
        <f>IF(Table1[[#This Row],[Rank]]="","",IF(Table1[[#This Row],[Rank]]=1,5100,IF(Table1[[#This Row],[Rank]]=2,4500,IF(Table1[[#This Row],[Rank]]=3,3900,IF(Table1[[#This Row],[Rank]]=4,3750,IF(Table1[[#This Row],[Rank]]=5,3000,IF(Table1[[#This Row],[Rank]]=6,2250,0)))))))</f>
        <v>4500</v>
      </c>
      <c r="CX41" s="250">
        <f>Table1[[#This Row],[UTTot]]/3</f>
        <v>0</v>
      </c>
      <c r="CY41" s="250">
        <f>Table1[[#This Row],[UTTot]]/3</f>
        <v>0</v>
      </c>
      <c r="CZ41" s="250">
        <f>Table1[[#This Row],[UTTot]]/3</f>
        <v>0</v>
      </c>
      <c r="DA41" s="251">
        <f>IF(Table1[[#This Row],[State]]="UT",9000,0)</f>
        <v>0</v>
      </c>
      <c r="DB41" s="250">
        <f>Table1[[#This Row],[WITTot]]/3</f>
        <v>0</v>
      </c>
      <c r="DC41" s="250">
        <f>Table1[[#This Row],[WITTot]]/3</f>
        <v>0</v>
      </c>
      <c r="DD41" s="250">
        <f>Table1[[#This Row],[WITTot]]/3</f>
        <v>0</v>
      </c>
      <c r="DE41" s="251">
        <f>IF(Table1[[#This Row],[Gender]]="Female",3000,0)</f>
        <v>0</v>
      </c>
      <c r="DF41" s="250">
        <f>Table1[[#This Row],[SerTot]]/3</f>
        <v>0</v>
      </c>
      <c r="DG41" s="250">
        <f>Table1[[#This Row],[SerTot]]/3</f>
        <v>0</v>
      </c>
      <c r="DH41" s="250">
        <f>Table1[[#This Row],[SerTot]]/3</f>
        <v>0</v>
      </c>
      <c r="DI41" s="252"/>
      <c r="DJ41" s="250"/>
      <c r="DK41" s="250"/>
      <c r="DL41" s="250"/>
      <c r="DM41" s="252"/>
      <c r="DN41" s="250">
        <f>Table1[[#This Row],[MatTot]]/3</f>
        <v>0</v>
      </c>
      <c r="DO41" s="250">
        <f>Table1[[#This Row],[MatTot]]/3</f>
        <v>0</v>
      </c>
      <c r="DP41" s="250">
        <f>Table1[[#This Row],[MatTot]]/3</f>
        <v>0</v>
      </c>
      <c r="DQ41" s="252"/>
      <c r="DR41" s="250">
        <f>Table1[[#This Row],[OutTot]]/3</f>
        <v>0</v>
      </c>
      <c r="DS41" s="250">
        <f>Table1[[#This Row],[OutTot]]/3</f>
        <v>0</v>
      </c>
      <c r="DT41" s="250">
        <f>Table1[[#This Row],[OutTot]]/3</f>
        <v>0</v>
      </c>
      <c r="DU41" s="252"/>
      <c r="DV41" s="250"/>
      <c r="DW41" s="250"/>
      <c r="DX41" s="250"/>
      <c r="DY41" s="252">
        <f>SUM(Table1[[#This Row],[VAQ1]:[VAQ3]])</f>
        <v>0</v>
      </c>
      <c r="DZ41" s="250"/>
      <c r="EA41" s="250"/>
      <c r="EB41" s="250"/>
      <c r="EC41" s="252">
        <f>SUM(Table1[[#This Row],[OthGrantQ1]:[OthGrantQ3]])</f>
        <v>0</v>
      </c>
      <c r="ED41" s="263">
        <f>Table1[[#This Row],[SEOGTot]]+Table1[[#This Row],[PellTot]]+Table1[[#This Row],[AccessTot]]+Table1[[#This Row],[AchiTot]]+Table1[[#This Row],[UTTot]]+Table1[[#This Row],[WITTot]]+Table1[[#This Row],[SerTot]]+Table1[[#This Row],[TranTot]]+Table1[[#This Row],[MatTot]]+Table1[[#This Row],[OutTot]]+Table1[[#This Row],[VATot]]+Table1[[#This Row],[OthGrantTot]]</f>
        <v>4500</v>
      </c>
      <c r="EE41" s="249"/>
      <c r="EF41" s="237"/>
      <c r="EG41" s="237"/>
      <c r="EH41" s="232">
        <f>SUM(Table1[[#This Row],[CashQ1]]:Table1[[#This Row],[CashQ3]])</f>
        <v>0</v>
      </c>
      <c r="EI41" s="271">
        <f>ROUND((Table1[[#This Row],[SubTot]]/3)/1.01059,0)</f>
        <v>0</v>
      </c>
      <c r="EJ41" s="234">
        <f>ROUND((Table1[[#This Row],[SubTot]]/3)/1.01059,0)</f>
        <v>0</v>
      </c>
      <c r="EK41" s="234">
        <f>ROUNDUP((Table1[[#This Row],[SubTot]]/3)/1.01059,0)</f>
        <v>0</v>
      </c>
      <c r="EL41" s="235"/>
      <c r="EM41" s="240">
        <f>Table1[[#This Row],[SubTot]]*0.01059</f>
        <v>0</v>
      </c>
      <c r="EN41" s="234">
        <f>ROUND((Table1[[#This Row],[UnsubTot]]/3)/1.01062,0)</f>
        <v>660</v>
      </c>
      <c r="EO41" s="234">
        <f>ROUND((Table1[[#This Row],[UnsubTot]]/3)/1.01062,0)</f>
        <v>660</v>
      </c>
      <c r="EP41" s="234">
        <f>ROUNDDOWN((Table1[[#This Row],[UnsubTot]]/3)/1.01062,0)</f>
        <v>659</v>
      </c>
      <c r="EQ41" s="235">
        <f>IF(Table1[D/I]="I",6000,2000)</f>
        <v>2000</v>
      </c>
      <c r="ER41" s="240">
        <f>Table1[[#This Row],[UnsubTot]]*0.01062</f>
        <v>21.24</v>
      </c>
      <c r="ES41" s="234">
        <f>ROUND((Table1[[#This Row],[PLUSTot]]/3)/1.04248,0)</f>
        <v>0</v>
      </c>
      <c r="ET41" s="234">
        <f>ROUND((Table1[[#This Row],[PLUSTot]]/3)/1.04248,0)</f>
        <v>0</v>
      </c>
      <c r="EU41" s="234">
        <f>ROUND((Table1[[#This Row],[PLUSTot]]/3)/1.04248,0)</f>
        <v>0</v>
      </c>
      <c r="EV41" s="235"/>
      <c r="EW41" s="239">
        <f>Table1[[#This Row],[PLUSTot]]*0.04248</f>
        <v>0</v>
      </c>
      <c r="EX41" s="237"/>
      <c r="EY41" s="237"/>
      <c r="EZ41" s="237"/>
      <c r="FA41" s="232">
        <f>SUM(Table1[[#This Row],[PrivQ1]:[PrivQ3]])</f>
        <v>0</v>
      </c>
      <c r="FB41" s="237"/>
      <c r="FC41" s="237"/>
      <c r="FD41" s="237"/>
      <c r="FE41" s="232">
        <f>SUM(Table1[[#This Row],[TOQ1]:[TOQ3]])</f>
        <v>0</v>
      </c>
      <c r="FF41" s="237"/>
      <c r="FG41" s="237"/>
      <c r="FH41" s="237"/>
      <c r="FI41" s="232">
        <f>SUM(Table1[[#This Row],[OFundQ1]:[OFundQ3]])</f>
        <v>0</v>
      </c>
      <c r="FJ41" s="239">
        <f>(Table1[[#This Row],[SubTot]]-Table1[[#This Row],[SubFee]])+(Table1[[#This Row],[UnsubTot]]-Table1[[#This Row],[UnsubFee]])+(Table1[[#This Row],[PLUSTot]]-Table1[[#This Row],[PLUSFee]])+Table1[[#This Row],[PrivTot]]+Table1[[#This Row],[TOTot]]+Table1[[#This Row],[OFundTot]]</f>
        <v>1978.76</v>
      </c>
      <c r="FK41" s="125">
        <f>Table1[[#This Row],[CostTot]]-Table1[[#This Row],[GiftTot]]</f>
        <v>35015</v>
      </c>
      <c r="FL41" s="130">
        <f>Table1[[#This Row],[NetNeed]]/(1-0.04248)</f>
        <v>34501.879856295425</v>
      </c>
      <c r="FM41" s="131">
        <f>Table1[[#This Row],[NetCost]]-Table1[[#This Row],[CashTot]]-(Table1[[#This Row],[SubTot]]-Table1[[#This Row],[SubFee]])-(Table1[[#This Row],[UnsubTot]]-Table1[[#This Row],[UnsubFee]])-(Table1[[#This Row],[PLUSTot]]-Table1[[#This Row],[PLUSFee]])-Table1[[#This Row],[PrivTot]]-Table1[[#This Row],[TOTot]]-Table1[[#This Row],[OFundTot]]</f>
        <v>33036.239999999998</v>
      </c>
      <c r="FN41" s="161"/>
      <c r="FO41" s="113"/>
      <c r="FP41" s="113"/>
    </row>
    <row r="42" spans="1:172" s="160" customFormat="1" ht="15" x14ac:dyDescent="0.25">
      <c r="A42" s="267">
        <v>196440</v>
      </c>
      <c r="B42" s="113" t="str">
        <f>VLOOKUP(Table1[[#This Row],[SyStudentId]],SSR!$A$2:$CC$4982,4,FALSE)</f>
        <v>Munk</v>
      </c>
      <c r="C42" s="113" t="str">
        <f>VLOOKUP(Table1[[#This Row],[SyStudentId]],SSR!$A$2:$CC$4982,5,FALSE)</f>
        <v>Cameron</v>
      </c>
      <c r="D42" s="113" t="str">
        <f>VLOOKUP(Table1[[#This Row],[SyStudentId]],SSR!$A$2:$CC$4982,6,FALSE)</f>
        <v>Munk, Cameron</v>
      </c>
      <c r="E42" s="113" t="str">
        <f>CONCATENATE(Table1[[#This Row],[FirstName]]," ",Table1[[#This Row],[LastName]])</f>
        <v>Cameron Munk</v>
      </c>
      <c r="F42" s="112">
        <v>1</v>
      </c>
      <c r="G42" s="114"/>
      <c r="H42" s="114"/>
      <c r="I42" s="114">
        <v>43801</v>
      </c>
      <c r="J42" s="115"/>
      <c r="K42" s="116"/>
      <c r="L42" s="112" t="str">
        <f>IFERROR(VLOOKUP(Table1[[#This Row],[SyStudentId]],ISIR!$A$2:$X$999,11,FALSE),"")</f>
        <v>D</v>
      </c>
      <c r="M42" s="113" t="str">
        <f>VLOOKUP(Table1[[#This Row],[SyStudentId]],SSR!$A$2:$CC$4982,7,FALSE)</f>
        <v>hooptroop2234@gmail.com</v>
      </c>
      <c r="N42" s="113" t="str">
        <f>VLOOKUP(Table1[[#This Row],[SyStudentId]],SSR!$A$2:$CC$4982,8,FALSE)</f>
        <v>23807 N 24th way</v>
      </c>
      <c r="O42" s="113" t="str">
        <f>VLOOKUP(Table1[[#This Row],[SyStudentId]],SSR!$A$2:$CC$4982,9,FALSE)</f>
        <v>Phoenix</v>
      </c>
      <c r="P42" s="295" t="str">
        <f>VLOOKUP(Table1[[#This Row],[SyStudentId]],SSR!$A$2:$CC$4982,10,FALSE)</f>
        <v>AZ</v>
      </c>
      <c r="Q42" s="117" t="str">
        <f>VLOOKUP(Table1[[#This Row],[SyStudentId]],SSR!$A$2:$CC$4982,11,FALSE)</f>
        <v xml:space="preserve">85024     </v>
      </c>
      <c r="R42" s="118">
        <f>VLOOKUP(Table1[[#This Row],[SyStudentId]],SSR!$A$2:$CC$4982,15,FALSE)</f>
        <v>3.7</v>
      </c>
      <c r="S42" s="119">
        <f>VLOOKUP(Table1[[#This Row],[SyStudentId]],SSR!$A$2:$CC$4982,22,FALSE)</f>
        <v>44109</v>
      </c>
      <c r="T42" s="113" t="str">
        <f>VLOOKUP(Table1[[#This Row],[SyStudentId]],SSR!$A$2:$CC$4982,24,FALSE)</f>
        <v>GM</v>
      </c>
      <c r="U42" s="113" t="str">
        <f>IF(VLOOKUP(Table1[[#This Row],[SyStudentId]],SSR!$A$2:$CC$4982,26,FALSE)=0,"Not Selected",VLOOKUP(Table1[[#This Row],[SyStudentId]],SSR!$A$2:$CC$4982,26,FALSE))</f>
        <v>Male</v>
      </c>
      <c r="V42" s="113" t="str">
        <f>VLOOKUP(Table1[[#This Row],[SyStudentId]],SSR!$A$2:$CC$4982,27,FALSE)</f>
        <v xml:space="preserve">HS2020  </v>
      </c>
      <c r="W42" s="113" t="str">
        <f>VLOOKUP(LEFT(Table1[[#This Row],[LastName]],1),Alpha!$A$1:$B$26,2,FALSE)</f>
        <v>Maureen Ranks</v>
      </c>
      <c r="X42" s="149" t="str">
        <f>VLOOKUP(Table1[[#This Row],[FAA]],Alpha!$B$1:$D$26,2,FALSE)</f>
        <v>mranks@neumont.edu</v>
      </c>
      <c r="Y42" s="113">
        <f>VLOOKUP(Table1[[#This Row],[FAA]],Alpha!$B$1:$D$26,3,FALSE)</f>
        <v>8883022894</v>
      </c>
      <c r="Z42" s="113" t="str">
        <f>VLOOKUP(Table1[[#This Row],[SyStudentId]],SSR!$A$2:$CC$4982,30,FALSE)</f>
        <v>16-Accepted</v>
      </c>
      <c r="AA42" s="113" t="str">
        <f>IF(VLOOKUP(Table1[[#This Row],[SyStudentId]],SSR!$A$2:$CC$4982,36,FALSE)="Bachelor of Science","BS Computer Science","Check Program")</f>
        <v>BS Computer Science</v>
      </c>
      <c r="AB42" s="113" t="str">
        <f>VLOOKUP(Table1[[#This Row],[SyStudentId]],SSR!$A$2:$CC$4982,37,FALSE)</f>
        <v xml:space="preserve">28      </v>
      </c>
      <c r="AC42" s="113" t="str">
        <f>VLOOKUP(Table1[[#This Row],[SyStudentId]],SSR!$A$2:$CC$4982,42,FALSE)</f>
        <v xml:space="preserve">1340    </v>
      </c>
      <c r="AD42" s="113" t="str">
        <f>VLOOKUP(Table1[[#This Row],[SyStudentId]],SSR!$A$2:$CC$4982,46,FALSE)</f>
        <v>126</v>
      </c>
      <c r="AE42" s="113" t="str">
        <f>VLOOKUP(Table1[[#This Row],[SyStudentId]],SSR!$A$2:$CC$4982,65,FALSE)</f>
        <v>I</v>
      </c>
      <c r="AF42"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42" s="113" t="str">
        <f>VLOOKUP(Table1[[#This Row],[SyStudentId]],SSR!$A$2:$CC$4982,66,FALSE)</f>
        <v>July-October</v>
      </c>
      <c r="AH42" s="113" t="str">
        <f>IFERROR(VLOOKUP(Table1[[#This Row],[SyStudentId]],ISIR!$A$2:$X$999,7,FALSE),"")</f>
        <v>063816</v>
      </c>
      <c r="AI42" s="121">
        <f>IF(Table1[[#This Row],[EFCRaw]]="","",IF(Table1[[#This Row],[EFCRaw]]="No EFC","No EFC",_xlfn.NUMBERVALUE(Table1[[#This Row],[EFCRaw]])))</f>
        <v>63816</v>
      </c>
      <c r="AJ42" s="119">
        <f>IFERROR(VLOOKUP(Table1[[#This Row],[SyStudentId]],ISIR!$A$2:$X$4999,19,FALSE),"")</f>
        <v>43776</v>
      </c>
      <c r="AK42" s="113" t="str">
        <f>IFERROR(VLOOKUP(Table1[[#This Row],[SyStudentId]],ISIR!$A$2:$X$4999,8,FALSE),"")</f>
        <v>N</v>
      </c>
      <c r="AL42" s="132" t="str">
        <f>IF(Table1[[#This Row],[VerReq]]="N","n/a","")</f>
        <v>n/a</v>
      </c>
      <c r="AM42" s="122"/>
      <c r="AN42" s="122"/>
      <c r="AO42" s="122"/>
      <c r="AP42" s="122"/>
      <c r="AQ42" s="122"/>
      <c r="AR42" s="122"/>
      <c r="AS42" s="122"/>
      <c r="AT42" s="122"/>
      <c r="AU42" s="122"/>
      <c r="AV42" s="122"/>
      <c r="AW42" s="122"/>
      <c r="AX42" s="122"/>
      <c r="AY42" s="122"/>
      <c r="AZ42" s="122"/>
      <c r="BA42" s="122"/>
      <c r="BB42" s="122"/>
      <c r="BC42" s="133"/>
      <c r="BD42" s="140" t="str">
        <f>IF(Table1[[#This Row],[VerReq]]="N","x","")</f>
        <v>x</v>
      </c>
      <c r="BE42" s="140" t="str">
        <f>IF(Table1[[#This Row],[VerReq]]="N","x","")</f>
        <v>x</v>
      </c>
      <c r="BF42" s="140" t="str">
        <f>IF(Table1[[#This Row],[VerReq]]="N","x","")</f>
        <v>x</v>
      </c>
      <c r="BG42" s="140" t="str">
        <f>IF(Table1[[#This Row],[VerReq]]="N","x","")</f>
        <v>x</v>
      </c>
      <c r="BH42" s="140" t="str">
        <f>IF(Table1[[#This Row],[VerReq]]="N","x","")</f>
        <v>x</v>
      </c>
      <c r="BI42" s="140" t="str">
        <f>IF(Table1[[#This Row],[VerReq]]="N","x","")</f>
        <v>x</v>
      </c>
      <c r="BJ42" s="123">
        <f>1-((COUNTBLANK(Table1[[#This Row],[ALESent]:[TaxTran]]))/(COUNT(Table1[[#This Row],[ALESent]:[TaxTran]])+COUNTBLANK(Table1[[#This Row],[ALESent]:[TaxTran]])))</f>
        <v>0</v>
      </c>
      <c r="BK42" s="136">
        <f>IF(VLOOKUP(Table1[[#This Row],[SyStudentId]],SSR!$A$2:$CC$4982,22,FALSE)=44109,44109,"Check Program")</f>
        <v>44109</v>
      </c>
      <c r="BL42" s="124">
        <f>IF(Table1[[#This Row],[AYStart]]=44109,44356,"Check Program")</f>
        <v>44356</v>
      </c>
      <c r="BM42" s="219">
        <v>8505</v>
      </c>
      <c r="BN42" s="219">
        <v>8505</v>
      </c>
      <c r="BO42" s="219">
        <v>8505</v>
      </c>
      <c r="BP42" s="220">
        <f t="shared" si="0"/>
        <v>25515</v>
      </c>
      <c r="BQ42" s="221">
        <v>3300</v>
      </c>
      <c r="BR42" s="219">
        <v>400</v>
      </c>
      <c r="BS42" s="219">
        <v>400</v>
      </c>
      <c r="BT42" s="220">
        <f t="shared" si="1"/>
        <v>4100</v>
      </c>
      <c r="BU42" s="219">
        <v>2100</v>
      </c>
      <c r="BV42" s="219">
        <v>2100</v>
      </c>
      <c r="BW42" s="219">
        <v>2100</v>
      </c>
      <c r="BX42" s="220">
        <f t="shared" si="2"/>
        <v>6300</v>
      </c>
      <c r="BY42" s="275">
        <v>1200</v>
      </c>
      <c r="BZ42" s="275">
        <v>1200</v>
      </c>
      <c r="CA42" s="275">
        <v>1200</v>
      </c>
      <c r="CB42" s="220">
        <f>SUM(Table1[[#This Row],[LEQ1]:[LEQ3]])</f>
        <v>3600</v>
      </c>
      <c r="CC42" s="275">
        <v>0</v>
      </c>
      <c r="CD42" s="275">
        <v>0</v>
      </c>
      <c r="CE42" s="275">
        <v>0</v>
      </c>
      <c r="CF42" s="220">
        <f>SUM(Table1[[#This Row],[OthCostQ1]:[OthCostQ3]])</f>
        <v>0</v>
      </c>
      <c r="CG42" s="220">
        <f>(Table1[[#This Row],[T&amp;FTot]]+Table1[[#This Row],[B&amp;STot]]+Table1[[#This Row],[HousTot]]+Table1[[#This Row],[LETot]]+Table1[[#This Row],[OthCostTot]])</f>
        <v>39515</v>
      </c>
      <c r="CH42" s="250"/>
      <c r="CI42" s="250"/>
      <c r="CJ42" s="250"/>
      <c r="CK42" s="251">
        <f>SUM(Table1[[#This Row],[SEOGQ1]:[SEOGQ3]])</f>
        <v>0</v>
      </c>
      <c r="CL42" s="250">
        <f>IFERROR(ROUNDUP(Table1[[#This Row],[PellTot]]/3,0),0)</f>
        <v>0</v>
      </c>
      <c r="CM42" s="250">
        <f>IFERROR(ROUND(Table1[[#This Row],[PellTot]]/3,0),0)</f>
        <v>0</v>
      </c>
      <c r="CN42" s="250">
        <f>IFERROR(ROUNDDOWN(Table1[[#This Row],[PellTot]]/3,0),0)</f>
        <v>0</v>
      </c>
      <c r="CO42" s="251">
        <f>IFERROR(LOOKUP(Table1[EFC],Pell_Table[#Data],Pell_Table[Pell Amt]),0)</f>
        <v>0</v>
      </c>
      <c r="CP42" s="250">
        <f>Table1[[#This Row],[AccessTot]]/3</f>
        <v>0</v>
      </c>
      <c r="CQ42" s="250">
        <f>Table1[[#This Row],[AccessTot]]/3</f>
        <v>0</v>
      </c>
      <c r="CR42" s="250">
        <f>Table1[[#This Row],[AccessTot]]/3</f>
        <v>0</v>
      </c>
      <c r="CS42" s="251">
        <f>IF(Table1[[#This Row],[PellTot]]&gt;0,1500,0)</f>
        <v>0</v>
      </c>
      <c r="CT42" s="250">
        <f>Table1[[#This Row],[AchiTot]]/3</f>
        <v>1700</v>
      </c>
      <c r="CU42" s="250">
        <f>Table1[[#This Row],[AchiTot]]/3</f>
        <v>1700</v>
      </c>
      <c r="CV42" s="250">
        <f>Table1[[#This Row],[AchiTot]]/3</f>
        <v>1700</v>
      </c>
      <c r="CW42" s="252">
        <f>IF(Table1[[#This Row],[Rank]]="","",IF(Table1[[#This Row],[Rank]]=1,5100,IF(Table1[[#This Row],[Rank]]=2,4500,IF(Table1[[#This Row],[Rank]]=3,3900,IF(Table1[[#This Row],[Rank]]=4,3750,IF(Table1[[#This Row],[Rank]]=5,3000,IF(Table1[[#This Row],[Rank]]=6,2250,0)))))))</f>
        <v>5100</v>
      </c>
      <c r="CX42" s="250">
        <f>Table1[[#This Row],[UTTot]]/3</f>
        <v>0</v>
      </c>
      <c r="CY42" s="250">
        <f>Table1[[#This Row],[UTTot]]/3</f>
        <v>0</v>
      </c>
      <c r="CZ42" s="250">
        <f>Table1[[#This Row],[UTTot]]/3</f>
        <v>0</v>
      </c>
      <c r="DA42" s="251">
        <f>IF(Table1[[#This Row],[State]]="UT",9000,0)</f>
        <v>0</v>
      </c>
      <c r="DB42" s="250">
        <f>Table1[[#This Row],[WITTot]]/3</f>
        <v>0</v>
      </c>
      <c r="DC42" s="250">
        <f>Table1[[#This Row],[WITTot]]/3</f>
        <v>0</v>
      </c>
      <c r="DD42" s="250">
        <f>Table1[[#This Row],[WITTot]]/3</f>
        <v>0</v>
      </c>
      <c r="DE42" s="251">
        <f>IF(Table1[[#This Row],[Gender]]="Female",3000,0)</f>
        <v>0</v>
      </c>
      <c r="DF42" s="250">
        <f>Table1[[#This Row],[SerTot]]/3</f>
        <v>0</v>
      </c>
      <c r="DG42" s="250">
        <f>Table1[[#This Row],[SerTot]]/3</f>
        <v>0</v>
      </c>
      <c r="DH42" s="250">
        <f>Table1[[#This Row],[SerTot]]/3</f>
        <v>0</v>
      </c>
      <c r="DI42" s="252"/>
      <c r="DJ42" s="250"/>
      <c r="DK42" s="250"/>
      <c r="DL42" s="250"/>
      <c r="DM42" s="252"/>
      <c r="DN42" s="250">
        <f>Table1[[#This Row],[MatTot]]/3</f>
        <v>0</v>
      </c>
      <c r="DO42" s="250">
        <f>Table1[[#This Row],[MatTot]]/3</f>
        <v>0</v>
      </c>
      <c r="DP42" s="250">
        <f>Table1[[#This Row],[MatTot]]/3</f>
        <v>0</v>
      </c>
      <c r="DQ42" s="252">
        <v>0</v>
      </c>
      <c r="DR42" s="250">
        <f>Table1[[#This Row],[OutTot]]/3</f>
        <v>0</v>
      </c>
      <c r="DS42" s="250">
        <f>Table1[[#This Row],[OutTot]]/3</f>
        <v>0</v>
      </c>
      <c r="DT42" s="250">
        <f>Table1[[#This Row],[OutTot]]/3</f>
        <v>0</v>
      </c>
      <c r="DU42" s="252">
        <v>0</v>
      </c>
      <c r="DV42" s="250">
        <v>0</v>
      </c>
      <c r="DW42" s="250">
        <v>0</v>
      </c>
      <c r="DX42" s="250">
        <v>0</v>
      </c>
      <c r="DY42" s="252">
        <f>SUM(Table1[[#This Row],[VAQ1]:[VAQ3]])</f>
        <v>0</v>
      </c>
      <c r="DZ42" s="250">
        <v>0</v>
      </c>
      <c r="EA42" s="250">
        <v>0</v>
      </c>
      <c r="EB42" s="250">
        <v>0</v>
      </c>
      <c r="EC42" s="252">
        <f>SUM(Table1[[#This Row],[OthGrantQ1]:[OthGrantQ3]])</f>
        <v>0</v>
      </c>
      <c r="ED42" s="263">
        <f>Table1[[#This Row],[SEOGTot]]+Table1[[#This Row],[PellTot]]+Table1[[#This Row],[AccessTot]]+Table1[[#This Row],[AchiTot]]+Table1[[#This Row],[UTTot]]+Table1[[#This Row],[WITTot]]+Table1[[#This Row],[SerTot]]+Table1[[#This Row],[TranTot]]+Table1[[#This Row],[MatTot]]+Table1[[#This Row],[OutTot]]+Table1[[#This Row],[VATot]]+Table1[[#This Row],[OthGrantTot]]</f>
        <v>5100</v>
      </c>
      <c r="EE42" s="249"/>
      <c r="EF42" s="237"/>
      <c r="EG42" s="237"/>
      <c r="EH42" s="232">
        <f>SUM(Table1[[#This Row],[CashQ1]]:Table1[[#This Row],[CashQ3]])</f>
        <v>0</v>
      </c>
      <c r="EI42" s="271">
        <f>ROUND((Table1[[#This Row],[SubTot]]/3)/1.01059,0)</f>
        <v>1154</v>
      </c>
      <c r="EJ42" s="234">
        <f>ROUND((Table1[[#This Row],[SubTot]]/3)/1.01059,0)</f>
        <v>1154</v>
      </c>
      <c r="EK42" s="234">
        <f>ROUNDUP((Table1[[#This Row],[SubTot]]/3)/1.01059,0)</f>
        <v>1155</v>
      </c>
      <c r="EL42" s="235">
        <v>3500</v>
      </c>
      <c r="EM42" s="240">
        <f>Table1[[#This Row],[SubTot]]*0.01059</f>
        <v>37.065000000000005</v>
      </c>
      <c r="EN42" s="234">
        <f>ROUND((Table1[[#This Row],[UnsubTot]]/3)/1.01062,0)</f>
        <v>660</v>
      </c>
      <c r="EO42" s="234">
        <f>ROUND((Table1[[#This Row],[UnsubTot]]/3)/1.01062,0)</f>
        <v>660</v>
      </c>
      <c r="EP42" s="234">
        <f>ROUNDDOWN((Table1[[#This Row],[UnsubTot]]/3)/1.01062,0)</f>
        <v>659</v>
      </c>
      <c r="EQ42" s="235">
        <f>IF(Table1[D/I]="I",6000,2000)</f>
        <v>2000</v>
      </c>
      <c r="ER42" s="240">
        <f>Table1[[#This Row],[UnsubTot]]*0.01059</f>
        <v>21.18</v>
      </c>
      <c r="ES42" s="234">
        <f>ROUND((Table1[[#This Row],[PLUSTot]]/3)/1.04236,0)</f>
        <v>0</v>
      </c>
      <c r="ET42" s="234">
        <f>ROUND((Table1[[#This Row],[PLUSTot]]/3)/1.04236,0)</f>
        <v>0</v>
      </c>
      <c r="EU42" s="234">
        <f>ROUND((Table1[[#This Row],[PLUSTot]]/3)/1.04236,0)</f>
        <v>0</v>
      </c>
      <c r="EV42" s="235">
        <v>0</v>
      </c>
      <c r="EW42" s="239">
        <f>Table1[[#This Row],[PLUSTot]]*0.04248</f>
        <v>0</v>
      </c>
      <c r="EX42" s="237"/>
      <c r="EY42" s="237"/>
      <c r="EZ42" s="237"/>
      <c r="FA42" s="232">
        <f>SUM(Table1[[#This Row],[PrivQ1]:[PrivQ3]])</f>
        <v>0</v>
      </c>
      <c r="FB42" s="237"/>
      <c r="FC42" s="237"/>
      <c r="FD42" s="237"/>
      <c r="FE42" s="232">
        <f>SUM(Table1[[#This Row],[TOQ1]:[TOQ3]])</f>
        <v>0</v>
      </c>
      <c r="FF42" s="237"/>
      <c r="FG42" s="237"/>
      <c r="FH42" s="237"/>
      <c r="FI42" s="232">
        <f>SUM(Table1[[#This Row],[OFundQ1]:[OFundQ3]])</f>
        <v>0</v>
      </c>
      <c r="FJ42" s="239">
        <f>(Table1[[#This Row],[SubTot]]-Table1[[#This Row],[SubFee]])+(Table1[[#This Row],[UnsubTot]]-Table1[[#This Row],[UnsubFee]])+(Table1[[#This Row],[PLUSTot]]-Table1[[#This Row],[PLUSFee]])+Table1[[#This Row],[PrivTot]]+Table1[[#This Row],[TOTot]]+Table1[[#This Row],[OFundTot]]</f>
        <v>5441.7550000000001</v>
      </c>
      <c r="FK42" s="125">
        <f>Table1[[#This Row],[CostTot]]-Table1[[#This Row],[GiftTot]]</f>
        <v>34415</v>
      </c>
      <c r="FL42" s="130">
        <f>Table1[[#This Row],[NetNeed]]/(1-0.04248)</f>
        <v>30258.631673489846</v>
      </c>
      <c r="FM42" s="131">
        <f>Table1[[#This Row],[NetCost]]-Table1[[#This Row],[CashTot]]-(Table1[[#This Row],[SubTot]]-Table1[[#This Row],[SubFee]])-(Table1[[#This Row],[UnsubTot]]-Table1[[#This Row],[UnsubFee]])-(Table1[[#This Row],[PLUSTot]]-Table1[[#This Row],[PLUSFee]])-Table1[[#This Row],[PrivTot]]-Table1[[#This Row],[TOTot]]-Table1[[#This Row],[OFundTot]]</f>
        <v>28973.244999999999</v>
      </c>
      <c r="FN42" s="161"/>
      <c r="FO42" s="113"/>
      <c r="FP42" s="113"/>
    </row>
    <row r="43" spans="1:172" s="160" customFormat="1" ht="15" x14ac:dyDescent="0.25">
      <c r="A43" s="267">
        <v>197064</v>
      </c>
      <c r="B43" s="113" t="str">
        <f>VLOOKUP(Table1[[#This Row],[SyStudentId]],SSR!$A$2:$CC$4982,4,FALSE)</f>
        <v>Murray</v>
      </c>
      <c r="C43" s="113" t="str">
        <f>VLOOKUP(Table1[[#This Row],[SyStudentId]],SSR!$A$2:$CC$4982,5,FALSE)</f>
        <v>Bryson</v>
      </c>
      <c r="D43" s="113" t="str">
        <f>VLOOKUP(Table1[[#This Row],[SyStudentId]],SSR!$A$2:$CC$4982,6,FALSE)</f>
        <v>Murray, Bryson</v>
      </c>
      <c r="E43" s="113" t="str">
        <f>CONCATENATE(Table1[[#This Row],[FirstName]]," ",Table1[[#This Row],[LastName]])</f>
        <v>Bryson Murray</v>
      </c>
      <c r="F43" s="112"/>
      <c r="G43" s="114"/>
      <c r="H43" s="114"/>
      <c r="I43" s="114"/>
      <c r="J43" s="115" t="s">
        <v>5311</v>
      </c>
      <c r="K43" s="116"/>
      <c r="L43" s="112" t="str">
        <f>IFERROR(VLOOKUP(Table1[[#This Row],[SyStudentId]],ISIR!$A$2:$X$999,11,FALSE),"")</f>
        <v/>
      </c>
      <c r="M43" s="113" t="str">
        <f>VLOOKUP(Table1[[#This Row],[SyStudentId]],SSR!$A$2:$CC$4982,7,FALSE)</f>
        <v>Brysong.murray@gmail.com</v>
      </c>
      <c r="N43" s="113" t="str">
        <f>VLOOKUP(Table1[[#This Row],[SyStudentId]],SSR!$A$2:$CC$4982,8,FALSE)</f>
        <v>81 PINE CREEK RD</v>
      </c>
      <c r="O43" s="113" t="str">
        <f>VLOOKUP(Table1[[#This Row],[SyStudentId]],SSR!$A$2:$CC$4982,9,FALSE)</f>
        <v>SELIGMAN</v>
      </c>
      <c r="P43" s="292" t="str">
        <f>VLOOKUP(Table1[[#This Row],[SyStudentId]],SSR!$A$2:$CC$4982,10,FALSE)</f>
        <v>MO</v>
      </c>
      <c r="Q43" s="117" t="str">
        <f>VLOOKUP(Table1[[#This Row],[SyStudentId]],SSR!$A$2:$CC$4982,11,FALSE)</f>
        <v xml:space="preserve">65745     </v>
      </c>
      <c r="R43" s="118">
        <f>VLOOKUP(Table1[[#This Row],[SyStudentId]],SSR!$A$2:$CC$4982,15,FALSE)</f>
        <v>3.1</v>
      </c>
      <c r="S43" s="119">
        <f>VLOOKUP(Table1[[#This Row],[SyStudentId]],SSR!$A$2:$CC$4982,22,FALSE)</f>
        <v>44109</v>
      </c>
      <c r="T43" s="113" t="str">
        <f>VLOOKUP(Table1[[#This Row],[SyStudentId]],SSR!$A$2:$CC$4982,24,FALSE)</f>
        <v>GM</v>
      </c>
      <c r="U43" s="113" t="str">
        <f>IF(VLOOKUP(Table1[[#This Row],[SyStudentId]],SSR!$A$2:$CC$4982,26,FALSE)=0,"Not Selected",VLOOKUP(Table1[[#This Row],[SyStudentId]],SSR!$A$2:$CC$4982,26,FALSE))</f>
        <v>Male</v>
      </c>
      <c r="V43" s="113" t="str">
        <f>VLOOKUP(Table1[[#This Row],[SyStudentId]],SSR!$A$2:$CC$4982,27,FALSE)</f>
        <v xml:space="preserve">HS2020  </v>
      </c>
      <c r="W43" s="113" t="str">
        <f>VLOOKUP(LEFT(Table1[[#This Row],[LastName]],1),Alpha!$A$1:$B$26,2,FALSE)</f>
        <v>Maureen Ranks</v>
      </c>
      <c r="X43" s="149" t="str">
        <f>VLOOKUP(Table1[[#This Row],[FAA]],Alpha!$B$1:$D$26,2,FALSE)</f>
        <v>mranks@neumont.edu</v>
      </c>
      <c r="Y43" s="113">
        <f>VLOOKUP(Table1[[#This Row],[FAA]],Alpha!$B$1:$D$26,3,FALSE)</f>
        <v>8883022894</v>
      </c>
      <c r="Z43" s="113" t="str">
        <f>VLOOKUP(Table1[[#This Row],[SyStudentId]],SSR!$A$2:$CC$4982,30,FALSE)</f>
        <v>16-Accepted</v>
      </c>
      <c r="AA43" s="113" t="str">
        <f>IF(VLOOKUP(Table1[[#This Row],[SyStudentId]],SSR!$A$2:$CC$4982,36,FALSE)="Bachelor of Science","BS Computer Science","Check Program")</f>
        <v>BS Computer Science</v>
      </c>
      <c r="AB43" s="113">
        <f>VLOOKUP(Table1[[#This Row],[SyStudentId]],SSR!$A$2:$CC$4982,37,FALSE)</f>
        <v>0</v>
      </c>
      <c r="AC43" s="113">
        <f>VLOOKUP(Table1[[#This Row],[SyStudentId]],SSR!$A$2:$CC$4982,42,FALSE)</f>
        <v>0</v>
      </c>
      <c r="AD43" s="113" t="str">
        <f>VLOOKUP(Table1[[#This Row],[SyStudentId]],SSR!$A$2:$CC$4982,46,FALSE)</f>
        <v>0</v>
      </c>
      <c r="AE43" s="113" t="str">
        <f>VLOOKUP(Table1[[#This Row],[SyStudentId]],SSR!$A$2:$CC$4982,65,FALSE)</f>
        <v>X</v>
      </c>
      <c r="AF4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10</v>
      </c>
      <c r="AG43" s="113" t="str">
        <f>VLOOKUP(Table1[[#This Row],[SyStudentId]],SSR!$A$2:$CC$4982,66,FALSE)</f>
        <v>November</v>
      </c>
      <c r="AH43" s="113" t="str">
        <f>IFERROR(VLOOKUP(Table1[[#This Row],[SyStudentId]],ISIR!$A$2:$X$999,7,FALSE),"")</f>
        <v/>
      </c>
      <c r="AI43" s="121" t="str">
        <f>IF(Table1[[#This Row],[EFCRaw]]="","",IF(Table1[[#This Row],[EFCRaw]]="No EFC","No EFC",_xlfn.NUMBERVALUE(Table1[[#This Row],[EFCRaw]])))</f>
        <v/>
      </c>
      <c r="AJ43" s="119" t="str">
        <f>IFERROR(VLOOKUP(Table1[[#This Row],[SyStudentId]],ISIR!$A$2:$X$4999,19,FALSE),"")</f>
        <v/>
      </c>
      <c r="AK43" s="113" t="str">
        <f>IFERROR(VLOOKUP(Table1[[#This Row],[SyStudentId]],ISIR!$A$2:$X$4999,8,FALSE),"")</f>
        <v/>
      </c>
      <c r="AL43" s="132" t="str">
        <f>IF(Table1[[#This Row],[VerReq]]="N","n/a","")</f>
        <v/>
      </c>
      <c r="AM43" s="122"/>
      <c r="AN43" s="122"/>
      <c r="AO43" s="122"/>
      <c r="AP43" s="122"/>
      <c r="AQ43" s="122"/>
      <c r="AR43" s="122"/>
      <c r="AS43" s="122"/>
      <c r="AT43" s="122"/>
      <c r="AU43" s="122"/>
      <c r="AV43" s="122"/>
      <c r="AW43" s="122"/>
      <c r="AX43" s="122"/>
      <c r="AY43" s="122"/>
      <c r="AZ43" s="122"/>
      <c r="BA43" s="122"/>
      <c r="BB43" s="122"/>
      <c r="BC43" s="133"/>
      <c r="BD43" s="140" t="str">
        <f>IF(Table1[[#This Row],[VerReq]]="N","x","")</f>
        <v/>
      </c>
      <c r="BE43" s="140" t="str">
        <f>IF(Table1[[#This Row],[VerReq]]="N","x","")</f>
        <v/>
      </c>
      <c r="BF43" s="140" t="str">
        <f>IF(Table1[[#This Row],[VerReq]]="N","x","")</f>
        <v/>
      </c>
      <c r="BG43" s="140" t="str">
        <f>IF(Table1[[#This Row],[VerReq]]="N","x","")</f>
        <v/>
      </c>
      <c r="BH43" s="140" t="str">
        <f>IF(Table1[[#This Row],[VerReq]]="N","x","")</f>
        <v/>
      </c>
      <c r="BI43" s="140" t="str">
        <f>IF(Table1[[#This Row],[VerReq]]="N","x","")</f>
        <v/>
      </c>
      <c r="BJ43" s="123">
        <f>1-((COUNTBLANK(Table1[[#This Row],[ALESent]:[TaxTran]]))/(COUNT(Table1[[#This Row],[ALESent]:[TaxTran]])+COUNTBLANK(Table1[[#This Row],[ALESent]:[TaxTran]])))</f>
        <v>0</v>
      </c>
      <c r="BK43" s="136">
        <f>IF(VLOOKUP(Table1[[#This Row],[SyStudentId]],SSR!$A$2:$CC$4982,22,FALSE)=44109,44109,"Check Program")</f>
        <v>44109</v>
      </c>
      <c r="BL43" s="124">
        <f>IF(Table1[[#This Row],[AYStart]]=44109,44356,"Check Program")</f>
        <v>44356</v>
      </c>
      <c r="BM43" s="219">
        <v>8505</v>
      </c>
      <c r="BN43" s="219">
        <v>8505</v>
      </c>
      <c r="BO43" s="219">
        <v>8505</v>
      </c>
      <c r="BP43" s="220">
        <f t="shared" si="0"/>
        <v>25515</v>
      </c>
      <c r="BQ43" s="221">
        <v>3300</v>
      </c>
      <c r="BR43" s="219">
        <v>400</v>
      </c>
      <c r="BS43" s="219">
        <v>400</v>
      </c>
      <c r="BT43" s="220">
        <f t="shared" si="1"/>
        <v>4100</v>
      </c>
      <c r="BU43" s="219">
        <v>2100</v>
      </c>
      <c r="BV43" s="219">
        <v>2100</v>
      </c>
      <c r="BW43" s="219">
        <v>2100</v>
      </c>
      <c r="BX43" s="220">
        <f t="shared" si="2"/>
        <v>6300</v>
      </c>
      <c r="BY43" s="275">
        <v>1200</v>
      </c>
      <c r="BZ43" s="275">
        <v>1200</v>
      </c>
      <c r="CA43" s="275">
        <v>1200</v>
      </c>
      <c r="CB43" s="220">
        <f>SUM(Table1[[#This Row],[LEQ1]:[LEQ3]])</f>
        <v>3600</v>
      </c>
      <c r="CC43" s="275"/>
      <c r="CD43" s="275"/>
      <c r="CE43" s="275"/>
      <c r="CF43" s="220">
        <f>SUM(Table1[[#This Row],[OthCostQ1]:[OthCostQ3]])</f>
        <v>0</v>
      </c>
      <c r="CG43" s="220">
        <f>(Table1[[#This Row],[T&amp;FTot]]+Table1[[#This Row],[B&amp;STot]]+Table1[[#This Row],[HousTot]]+Table1[[#This Row],[LETot]]+Table1[[#This Row],[OthCostTot]])</f>
        <v>39515</v>
      </c>
      <c r="CH43" s="250"/>
      <c r="CI43" s="250"/>
      <c r="CJ43" s="250"/>
      <c r="CK43" s="251">
        <f>SUM(Table1[[#This Row],[SEOGQ1]:[SEOGQ3]])</f>
        <v>0</v>
      </c>
      <c r="CL43" s="250">
        <f>IFERROR(ROUNDUP(Table1[[#This Row],[PellTot]]/3,0),0)</f>
        <v>0</v>
      </c>
      <c r="CM43" s="250">
        <f>IFERROR(ROUND(Table1[[#This Row],[PellTot]]/3,0),0)</f>
        <v>0</v>
      </c>
      <c r="CN43" s="250">
        <f>IFERROR(ROUNDDOWN(Table1[[#This Row],[PellTot]]/3,0),0)</f>
        <v>0</v>
      </c>
      <c r="CO43" s="251">
        <f>IFERROR(LOOKUP(Table1[EFC],Pell_Table[#Data],Pell_Table[Pell Amt]),0)</f>
        <v>0</v>
      </c>
      <c r="CP43" s="250">
        <f>Table1[[#This Row],[AccessTot]]/3</f>
        <v>0</v>
      </c>
      <c r="CQ43" s="250">
        <f>Table1[[#This Row],[AccessTot]]/3</f>
        <v>0</v>
      </c>
      <c r="CR43" s="250">
        <f>Table1[[#This Row],[AccessTot]]/3</f>
        <v>0</v>
      </c>
      <c r="CS43" s="251">
        <f>IF(Table1[[#This Row],[PellTot]]&gt;0,1500,0)</f>
        <v>0</v>
      </c>
      <c r="CT43" s="250">
        <f>Table1[[#This Row],[AchiTot]]/3</f>
        <v>0</v>
      </c>
      <c r="CU43" s="250">
        <f>Table1[[#This Row],[AchiTot]]/3</f>
        <v>0</v>
      </c>
      <c r="CV43" s="250">
        <f>Table1[[#This Row],[AchiTot]]/3</f>
        <v>0</v>
      </c>
      <c r="CW43" s="252">
        <f>IF(Table1[[#This Row],[Rank]]="","",IF(Table1[[#This Row],[Rank]]=1,5100,IF(Table1[[#This Row],[Rank]]=2,4500,IF(Table1[[#This Row],[Rank]]=3,3900,IF(Table1[[#This Row],[Rank]]=4,3750,IF(Table1[[#This Row],[Rank]]=5,3000,IF(Table1[[#This Row],[Rank]]=6,2250,0)))))))</f>
        <v>0</v>
      </c>
      <c r="CX43" s="250">
        <f>Table1[[#This Row],[UTTot]]/3</f>
        <v>0</v>
      </c>
      <c r="CY43" s="250">
        <f>Table1[[#This Row],[UTTot]]/3</f>
        <v>0</v>
      </c>
      <c r="CZ43" s="250">
        <f>Table1[[#This Row],[UTTot]]/3</f>
        <v>0</v>
      </c>
      <c r="DA43" s="251">
        <f>IF(Table1[[#This Row],[State]]="UT",9000,0)</f>
        <v>0</v>
      </c>
      <c r="DB43" s="250">
        <f>Table1[[#This Row],[WITTot]]/3</f>
        <v>0</v>
      </c>
      <c r="DC43" s="250">
        <f>Table1[[#This Row],[WITTot]]/3</f>
        <v>0</v>
      </c>
      <c r="DD43" s="250">
        <f>Table1[[#This Row],[WITTot]]/3</f>
        <v>0</v>
      </c>
      <c r="DE43" s="251">
        <f>IF(Table1[[#This Row],[Gender]]="Female",3000,0)</f>
        <v>0</v>
      </c>
      <c r="DF43" s="250">
        <f>Table1[[#This Row],[SerTot]]/3</f>
        <v>0</v>
      </c>
      <c r="DG43" s="250">
        <f>Table1[[#This Row],[SerTot]]/3</f>
        <v>0</v>
      </c>
      <c r="DH43" s="250">
        <f>Table1[[#This Row],[SerTot]]/3</f>
        <v>0</v>
      </c>
      <c r="DI43" s="252"/>
      <c r="DJ43" s="250"/>
      <c r="DK43" s="250"/>
      <c r="DL43" s="250"/>
      <c r="DM43" s="252"/>
      <c r="DN43" s="250">
        <f>Table1[[#This Row],[MatTot]]/3</f>
        <v>0</v>
      </c>
      <c r="DO43" s="250">
        <f>Table1[[#This Row],[MatTot]]/3</f>
        <v>0</v>
      </c>
      <c r="DP43" s="250">
        <f>Table1[[#This Row],[MatTot]]/3</f>
        <v>0</v>
      </c>
      <c r="DQ43" s="252"/>
      <c r="DR43" s="250">
        <f>Table1[[#This Row],[OutTot]]/3</f>
        <v>0</v>
      </c>
      <c r="DS43" s="250">
        <f>Table1[[#This Row],[OutTot]]/3</f>
        <v>0</v>
      </c>
      <c r="DT43" s="250">
        <f>Table1[[#This Row],[OutTot]]/3</f>
        <v>0</v>
      </c>
      <c r="DU43" s="252"/>
      <c r="DV43" s="250"/>
      <c r="DW43" s="250"/>
      <c r="DX43" s="250"/>
      <c r="DY43" s="252">
        <f>SUM(Table1[[#This Row],[VAQ1]:[VAQ3]])</f>
        <v>0</v>
      </c>
      <c r="DZ43" s="250"/>
      <c r="EA43" s="250"/>
      <c r="EB43" s="250"/>
      <c r="EC43" s="252">
        <f>SUM(Table1[[#This Row],[OthGrantQ1]:[OthGrantQ3]])</f>
        <v>0</v>
      </c>
      <c r="ED43" s="263">
        <f>Table1[[#This Row],[SEOGTot]]+Table1[[#This Row],[PellTot]]+Table1[[#This Row],[AccessTot]]+Table1[[#This Row],[AchiTot]]+Table1[[#This Row],[UTTot]]+Table1[[#This Row],[WITTot]]+Table1[[#This Row],[SerTot]]+Table1[[#This Row],[TranTot]]+Table1[[#This Row],[MatTot]]+Table1[[#This Row],[OutTot]]+Table1[[#This Row],[VATot]]+Table1[[#This Row],[OthGrantTot]]</f>
        <v>0</v>
      </c>
      <c r="EE43" s="249"/>
      <c r="EF43" s="237"/>
      <c r="EG43" s="237"/>
      <c r="EH43" s="232">
        <f>SUM(Table1[[#This Row],[CashQ1]]:Table1[[#This Row],[CashQ3]])</f>
        <v>0</v>
      </c>
      <c r="EI43" s="271">
        <f>ROUND((Table1[[#This Row],[SubTot]]/3)/1.01059,0)</f>
        <v>1154</v>
      </c>
      <c r="EJ43" s="234">
        <f>ROUND((Table1[[#This Row],[SubTot]]/3)/1.01059,0)</f>
        <v>1154</v>
      </c>
      <c r="EK43" s="234">
        <f>ROUNDUP((Table1[[#This Row],[SubTot]]/3)/1.01059,0)</f>
        <v>1155</v>
      </c>
      <c r="EL43" s="235">
        <v>3500</v>
      </c>
      <c r="EM43" s="240">
        <f>Table1[[#This Row],[SubTot]]*0.01059</f>
        <v>37.065000000000005</v>
      </c>
      <c r="EN43" s="234">
        <f>ROUND((Table1[[#This Row],[UnsubTot]]/3)/1.01062,0)</f>
        <v>660</v>
      </c>
      <c r="EO43" s="234">
        <f>ROUND((Table1[[#This Row],[UnsubTot]]/3)/1.01062,0)</f>
        <v>660</v>
      </c>
      <c r="EP43" s="234">
        <f>ROUNDDOWN((Table1[[#This Row],[UnsubTot]]/3)/1.01062,0)</f>
        <v>659</v>
      </c>
      <c r="EQ43" s="235">
        <f>IF(Table1[D/I]="I",6000,2000)</f>
        <v>2000</v>
      </c>
      <c r="ER43" s="240">
        <f>Table1[[#This Row],[UnsubTot]]*0.01062</f>
        <v>21.24</v>
      </c>
      <c r="ES43" s="234">
        <f>ROUND((Table1[[#This Row],[PLUSTot]]/3)/1.04248,0)</f>
        <v>0</v>
      </c>
      <c r="ET43" s="234">
        <f>ROUND((Table1[[#This Row],[PLUSTot]]/3)/1.04248,0)</f>
        <v>0</v>
      </c>
      <c r="EU43" s="234">
        <f>ROUND((Table1[[#This Row],[PLUSTot]]/3)/1.04248,0)</f>
        <v>0</v>
      </c>
      <c r="EV43" s="235"/>
      <c r="EW43" s="239">
        <f>Table1[[#This Row],[PLUSTot]]*0.04248</f>
        <v>0</v>
      </c>
      <c r="EX43" s="237"/>
      <c r="EY43" s="237"/>
      <c r="EZ43" s="237"/>
      <c r="FA43" s="232">
        <f>SUM(Table1[[#This Row],[PrivQ1]:[PrivQ3]])</f>
        <v>0</v>
      </c>
      <c r="FB43" s="237"/>
      <c r="FC43" s="237"/>
      <c r="FD43" s="237"/>
      <c r="FE43" s="232">
        <f>SUM(Table1[[#This Row],[TOQ1]:[TOQ3]])</f>
        <v>0</v>
      </c>
      <c r="FF43" s="237"/>
      <c r="FG43" s="237"/>
      <c r="FH43" s="237"/>
      <c r="FI43" s="232">
        <f>SUM(Table1[[#This Row],[OFundQ1]:[OFundQ3]])</f>
        <v>0</v>
      </c>
      <c r="FJ43" s="239">
        <f>(Table1[[#This Row],[SubTot]]-Table1[[#This Row],[SubFee]])+(Table1[[#This Row],[UnsubTot]]-Table1[[#This Row],[UnsubFee]])+(Table1[[#This Row],[PLUSTot]]-Table1[[#This Row],[PLUSFee]])+Table1[[#This Row],[PrivTot]]+Table1[[#This Row],[TOTot]]+Table1[[#This Row],[OFundTot]]</f>
        <v>5441.6949999999997</v>
      </c>
      <c r="FK43" s="125">
        <f>Table1[[#This Row],[CostTot]]-Table1[[#This Row],[GiftTot]]</f>
        <v>39515</v>
      </c>
      <c r="FL43" s="130">
        <f>Table1[[#This Row],[NetNeed]]/(1-0.04248)</f>
        <v>35584.953839084301</v>
      </c>
      <c r="FM43" s="131">
        <f>Table1[[#This Row],[NetCost]]-Table1[[#This Row],[CashTot]]-(Table1[[#This Row],[SubTot]]-Table1[[#This Row],[SubFee]])-(Table1[[#This Row],[UnsubTot]]-Table1[[#This Row],[UnsubFee]])-(Table1[[#This Row],[PLUSTot]]-Table1[[#This Row],[PLUSFee]])-Table1[[#This Row],[PrivTot]]-Table1[[#This Row],[TOTot]]-Table1[[#This Row],[OFundTot]]</f>
        <v>34073.305</v>
      </c>
      <c r="FN43" s="161"/>
      <c r="FO43" s="113"/>
      <c r="FP43" s="113"/>
    </row>
    <row r="44" spans="1:172" s="160" customFormat="1" ht="15" x14ac:dyDescent="0.25">
      <c r="A44" s="267">
        <v>199502</v>
      </c>
      <c r="B44" s="113" t="str">
        <f>VLOOKUP(Table1[[#This Row],[SyStudentId]],SSR!$A$2:$CC$4982,4,FALSE)</f>
        <v>Murray</v>
      </c>
      <c r="C44" s="113" t="str">
        <f>VLOOKUP(Table1[[#This Row],[SyStudentId]],SSR!$A$2:$CC$4982,5,FALSE)</f>
        <v>Khamen</v>
      </c>
      <c r="D44" s="113" t="str">
        <f>VLOOKUP(Table1[[#This Row],[SyStudentId]],SSR!$A$2:$CC$4982,6,FALSE)</f>
        <v>Murray, Khamen</v>
      </c>
      <c r="E44" s="113" t="str">
        <f>CONCATENATE(Table1[[#This Row],[FirstName]]," ",Table1[[#This Row],[LastName]])</f>
        <v>Khamen Murray</v>
      </c>
      <c r="F44" s="112"/>
      <c r="G44" s="114"/>
      <c r="H44" s="114"/>
      <c r="I44" s="114"/>
      <c r="J44" s="115" t="s">
        <v>6041</v>
      </c>
      <c r="K44" s="116"/>
      <c r="L44" s="112" t="str">
        <f>IFERROR(VLOOKUP(Table1[[#This Row],[SyStudentId]],ISIR!$A$2:$X$999,11,FALSE),"")</f>
        <v>X</v>
      </c>
      <c r="M44" s="113" t="str">
        <f>VLOOKUP(Table1[[#This Row],[SyStudentId]],SSR!$A$2:$CC$4982,7,FALSE)</f>
        <v>mrinsanity18@gmail.com</v>
      </c>
      <c r="N44" s="113" t="str">
        <f>VLOOKUP(Table1[[#This Row],[SyStudentId]],SSR!$A$2:$CC$4982,8,FALSE)</f>
        <v>9114 S CHAPPEL AVE</v>
      </c>
      <c r="O44" s="113" t="str">
        <f>VLOOKUP(Table1[[#This Row],[SyStudentId]],SSR!$A$2:$CC$4982,9,FALSE)</f>
        <v>CHICAGO</v>
      </c>
      <c r="P44" s="292" t="str">
        <f>VLOOKUP(Table1[[#This Row],[SyStudentId]],SSR!$A$2:$CC$4982,10,FALSE)</f>
        <v>IL</v>
      </c>
      <c r="Q44" s="117" t="str">
        <f>VLOOKUP(Table1[[#This Row],[SyStudentId]],SSR!$A$2:$CC$4982,11,FALSE)</f>
        <v xml:space="preserve">60617     </v>
      </c>
      <c r="R44" s="118">
        <f>VLOOKUP(Table1[[#This Row],[SyStudentId]],SSR!$A$2:$CC$4982,15,FALSE)</f>
        <v>2.59</v>
      </c>
      <c r="S44" s="119">
        <f>VLOOKUP(Table1[[#This Row],[SyStudentId]],SSR!$A$2:$CC$4982,22,FALSE)</f>
        <v>44109</v>
      </c>
      <c r="T44" s="113" t="str">
        <f>VLOOKUP(Table1[[#This Row],[SyStudentId]],SSR!$A$2:$CC$4982,24,FALSE)</f>
        <v>JT</v>
      </c>
      <c r="U44" s="113" t="str">
        <f>IF(VLOOKUP(Table1[[#This Row],[SyStudentId]],SSR!$A$2:$CC$4982,26,FALSE)=0,"Not Selected",VLOOKUP(Table1[[#This Row],[SyStudentId]],SSR!$A$2:$CC$4982,26,FALSE))</f>
        <v>Male</v>
      </c>
      <c r="V44" s="113" t="str">
        <f>VLOOKUP(Table1[[#This Row],[SyStudentId]],SSR!$A$2:$CC$4982,27,FALSE)</f>
        <v xml:space="preserve">HS2020  </v>
      </c>
      <c r="W44" s="113" t="str">
        <f>VLOOKUP(LEFT(Table1[[#This Row],[LastName]],1),Alpha!$A$1:$B$26,2,FALSE)</f>
        <v>Maureen Ranks</v>
      </c>
      <c r="X44" s="149" t="str">
        <f>VLOOKUP(Table1[[#This Row],[FAA]],Alpha!$B$1:$D$26,2,FALSE)</f>
        <v>mranks@neumont.edu</v>
      </c>
      <c r="Y44" s="113">
        <f>VLOOKUP(Table1[[#This Row],[FAA]],Alpha!$B$1:$D$26,3,FALSE)</f>
        <v>8883022894</v>
      </c>
      <c r="Z44" s="113" t="str">
        <f>VLOOKUP(Table1[[#This Row],[SyStudentId]],SSR!$A$2:$CC$4982,30,FALSE)</f>
        <v>16-Accepted</v>
      </c>
      <c r="AA44" s="113" t="str">
        <f>IF(VLOOKUP(Table1[[#This Row],[SyStudentId]],SSR!$A$2:$CC$4982,36,FALSE)="Bachelor of Science","BS Computer Science","Check Program")</f>
        <v>BS Computer Science</v>
      </c>
      <c r="AB44" s="113">
        <f>VLOOKUP(Table1[[#This Row],[SyStudentId]],SSR!$A$2:$CC$4982,37,FALSE)</f>
        <v>0</v>
      </c>
      <c r="AC44" s="113">
        <f>VLOOKUP(Table1[[#This Row],[SyStudentId]],SSR!$A$2:$CC$4982,42,FALSE)</f>
        <v>0</v>
      </c>
      <c r="AD44" s="113" t="str">
        <f>VLOOKUP(Table1[[#This Row],[SyStudentId]],SSR!$A$2:$CC$4982,46,FALSE)</f>
        <v>0</v>
      </c>
      <c r="AE44" s="113" t="str">
        <f>VLOOKUP(Table1[[#This Row],[SyStudentId]],SSR!$A$2:$CC$4982,65,FALSE)</f>
        <v>VIII</v>
      </c>
      <c r="AF44"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44" s="113" t="str">
        <f>VLOOKUP(Table1[[#This Row],[SyStudentId]],SSR!$A$2:$CC$4982,66,FALSE)</f>
        <v>November</v>
      </c>
      <c r="AH44" s="283">
        <f>IFERROR(VLOOKUP(Table1[[#This Row],[SyStudentId]],ISIR!$A$2:$X$999,7,FALSE),"")</f>
        <v>0</v>
      </c>
      <c r="AI44" s="284">
        <f>IF(Table1[[#This Row],[EFCRaw]]="","",IF(Table1[[#This Row],[EFCRaw]]="No EFC","No EFC",_xlfn.NUMBERVALUE(Table1[[#This Row],[EFCRaw]])))</f>
        <v>0</v>
      </c>
      <c r="AJ44" s="119">
        <f>IFERROR(VLOOKUP(Table1[[#This Row],[SyStudentId]],ISIR!$A$2:$X$4999,19,FALSE),"")</f>
        <v>43776</v>
      </c>
      <c r="AK44" s="113" t="str">
        <f>IFERROR(VLOOKUP(Table1[[#This Row],[SyStudentId]],ISIR!$A$2:$X$4999,8,FALSE),"")</f>
        <v>Y</v>
      </c>
      <c r="AL44" s="132" t="str">
        <f>IF(Table1[[#This Row],[VerReq]]="N","n/a","")</f>
        <v/>
      </c>
      <c r="AM44" s="122"/>
      <c r="AN44" s="122"/>
      <c r="AO44" s="122"/>
      <c r="AP44" s="122"/>
      <c r="AQ44" s="122"/>
      <c r="AR44" s="122"/>
      <c r="AS44" s="122"/>
      <c r="AT44" s="122"/>
      <c r="AU44" s="122"/>
      <c r="AV44" s="122"/>
      <c r="AW44" s="122"/>
      <c r="AX44" s="122"/>
      <c r="AY44" s="122"/>
      <c r="AZ44" s="122"/>
      <c r="BA44" s="122"/>
      <c r="BB44" s="122"/>
      <c r="BC44" s="133"/>
      <c r="BD44" s="140" t="str">
        <f>IF(Table1[[#This Row],[VerReq]]="N","x","")</f>
        <v/>
      </c>
      <c r="BE44" s="140" t="str">
        <f>IF(Table1[[#This Row],[VerReq]]="N","x","")</f>
        <v/>
      </c>
      <c r="BF44" s="140" t="str">
        <f>IF(Table1[[#This Row],[VerReq]]="N","x","")</f>
        <v/>
      </c>
      <c r="BG44" s="140" t="str">
        <f>IF(Table1[[#This Row],[VerReq]]="N","x","")</f>
        <v/>
      </c>
      <c r="BH44" s="140" t="str">
        <f>IF(Table1[[#This Row],[VerReq]]="N","x","")</f>
        <v/>
      </c>
      <c r="BI44" s="140" t="str">
        <f>IF(Table1[[#This Row],[VerReq]]="N","x","")</f>
        <v/>
      </c>
      <c r="BJ44" s="123">
        <f>1-((COUNTBLANK(Table1[[#This Row],[ALESent]:[TaxTran]]))/(COUNT(Table1[[#This Row],[ALESent]:[TaxTran]])+COUNTBLANK(Table1[[#This Row],[ALESent]:[TaxTran]])))</f>
        <v>0</v>
      </c>
      <c r="BK44" s="136">
        <f>IF(VLOOKUP(Table1[[#This Row],[SyStudentId]],SSR!$A$2:$CC$4982,22,FALSE)=44109,44109,"Check Program")</f>
        <v>44109</v>
      </c>
      <c r="BL44" s="124">
        <f>IF(Table1[[#This Row],[AYStart]]=44109,44356,"Check Program")</f>
        <v>44356</v>
      </c>
      <c r="BM44" s="219">
        <v>8505</v>
      </c>
      <c r="BN44" s="219">
        <v>8505</v>
      </c>
      <c r="BO44" s="219">
        <v>8505</v>
      </c>
      <c r="BP44" s="220">
        <f t="shared" si="0"/>
        <v>25515</v>
      </c>
      <c r="BQ44" s="221">
        <v>3300</v>
      </c>
      <c r="BR44" s="219">
        <v>400</v>
      </c>
      <c r="BS44" s="219">
        <v>400</v>
      </c>
      <c r="BT44" s="220">
        <f t="shared" si="1"/>
        <v>4100</v>
      </c>
      <c r="BU44" s="219">
        <v>2100</v>
      </c>
      <c r="BV44" s="219">
        <v>2100</v>
      </c>
      <c r="BW44" s="219">
        <v>2100</v>
      </c>
      <c r="BX44" s="220">
        <f t="shared" si="2"/>
        <v>6300</v>
      </c>
      <c r="BY44" s="275">
        <v>1200</v>
      </c>
      <c r="BZ44" s="275">
        <v>1200</v>
      </c>
      <c r="CA44" s="275">
        <v>1200</v>
      </c>
      <c r="CB44" s="220">
        <f>SUM(Table1[[#This Row],[LEQ1]:[LEQ3]])</f>
        <v>3600</v>
      </c>
      <c r="CC44" s="275"/>
      <c r="CD44" s="275"/>
      <c r="CE44" s="275"/>
      <c r="CF44" s="220">
        <f>SUM(Table1[[#This Row],[OthCostQ1]:[OthCostQ3]])</f>
        <v>0</v>
      </c>
      <c r="CG44" s="220">
        <f>(Table1[[#This Row],[T&amp;FTot]]+Table1[[#This Row],[B&amp;STot]]+Table1[[#This Row],[HousTot]]+Table1[[#This Row],[LETot]]+Table1[[#This Row],[OthCostTot]])</f>
        <v>39515</v>
      </c>
      <c r="CH44" s="250"/>
      <c r="CI44" s="250"/>
      <c r="CJ44" s="250"/>
      <c r="CK44" s="251">
        <f>SUM(Table1[[#This Row],[SEOGQ1]:[SEOGQ3]])</f>
        <v>0</v>
      </c>
      <c r="CL44" s="250">
        <f>IFERROR(ROUNDUP(Table1[[#This Row],[PellTot]]/3,0),0)</f>
        <v>2065</v>
      </c>
      <c r="CM44" s="250">
        <f>IFERROR(ROUND(Table1[[#This Row],[PellTot]]/3,0),0)</f>
        <v>2065</v>
      </c>
      <c r="CN44" s="250">
        <f>IFERROR(ROUNDDOWN(Table1[[#This Row],[PellTot]]/3,0),0)</f>
        <v>2065</v>
      </c>
      <c r="CO44" s="251">
        <f>IFERROR(LOOKUP(Table1[EFC],Pell_Table[#Data],Pell_Table[Pell Amt]),0)</f>
        <v>6195</v>
      </c>
      <c r="CP44" s="250">
        <f>Table1[[#This Row],[AccessTot]]/3</f>
        <v>500</v>
      </c>
      <c r="CQ44" s="250">
        <f>Table1[[#This Row],[AccessTot]]/3</f>
        <v>500</v>
      </c>
      <c r="CR44" s="250">
        <f>Table1[[#This Row],[AccessTot]]/3</f>
        <v>500</v>
      </c>
      <c r="CS44" s="251">
        <f>IF(Table1[[#This Row],[PellTot]]&gt;0,1500,0)</f>
        <v>1500</v>
      </c>
      <c r="CT44" s="250">
        <f>Table1[[#This Row],[AchiTot]]/3</f>
        <v>0</v>
      </c>
      <c r="CU44" s="250">
        <f>Table1[[#This Row],[AchiTot]]/3</f>
        <v>0</v>
      </c>
      <c r="CV44" s="250">
        <f>Table1[[#This Row],[AchiTot]]/3</f>
        <v>0</v>
      </c>
      <c r="CW44" s="252">
        <f>IF(Table1[[#This Row],[Rank]]="","",IF(Table1[[#This Row],[Rank]]=1,5100,IF(Table1[[#This Row],[Rank]]=2,4500,IF(Table1[[#This Row],[Rank]]=3,3900,IF(Table1[[#This Row],[Rank]]=4,3750,IF(Table1[[#This Row],[Rank]]=5,3000,IF(Table1[[#This Row],[Rank]]=6,2250,0)))))))</f>
        <v>0</v>
      </c>
      <c r="CX44" s="250">
        <f>Table1[[#This Row],[UTTot]]/3</f>
        <v>0</v>
      </c>
      <c r="CY44" s="250">
        <f>Table1[[#This Row],[UTTot]]/3</f>
        <v>0</v>
      </c>
      <c r="CZ44" s="250">
        <f>Table1[[#This Row],[UTTot]]/3</f>
        <v>0</v>
      </c>
      <c r="DA44" s="251">
        <f>IF(Table1[[#This Row],[State]]="UT",9000,0)</f>
        <v>0</v>
      </c>
      <c r="DB44" s="250">
        <f>Table1[[#This Row],[WITTot]]/3</f>
        <v>0</v>
      </c>
      <c r="DC44" s="250">
        <f>Table1[[#This Row],[WITTot]]/3</f>
        <v>0</v>
      </c>
      <c r="DD44" s="250">
        <f>Table1[[#This Row],[WITTot]]/3</f>
        <v>0</v>
      </c>
      <c r="DE44" s="251">
        <f>IF(Table1[[#This Row],[Gender]]="Female",3000,0)</f>
        <v>0</v>
      </c>
      <c r="DF44" s="250">
        <f>Table1[[#This Row],[SerTot]]/3</f>
        <v>0</v>
      </c>
      <c r="DG44" s="250">
        <f>Table1[[#This Row],[SerTot]]/3</f>
        <v>0</v>
      </c>
      <c r="DH44" s="250">
        <f>Table1[[#This Row],[SerTot]]/3</f>
        <v>0</v>
      </c>
      <c r="DI44" s="252"/>
      <c r="DJ44" s="250"/>
      <c r="DK44" s="250"/>
      <c r="DL44" s="250"/>
      <c r="DM44" s="252"/>
      <c r="DN44" s="250">
        <f>Table1[[#This Row],[MatTot]]/3</f>
        <v>0</v>
      </c>
      <c r="DO44" s="250">
        <f>Table1[[#This Row],[MatTot]]/3</f>
        <v>0</v>
      </c>
      <c r="DP44" s="250">
        <f>Table1[[#This Row],[MatTot]]/3</f>
        <v>0</v>
      </c>
      <c r="DQ44" s="252"/>
      <c r="DR44" s="250">
        <f>Table1[[#This Row],[OutTot]]/3</f>
        <v>0</v>
      </c>
      <c r="DS44" s="250">
        <f>Table1[[#This Row],[OutTot]]/3</f>
        <v>0</v>
      </c>
      <c r="DT44" s="250">
        <f>Table1[[#This Row],[OutTot]]/3</f>
        <v>0</v>
      </c>
      <c r="DU44" s="252"/>
      <c r="DV44" s="250"/>
      <c r="DW44" s="250"/>
      <c r="DX44" s="250"/>
      <c r="DY44" s="252">
        <f>SUM(Table1[[#This Row],[VAQ1]:[VAQ3]])</f>
        <v>0</v>
      </c>
      <c r="DZ44" s="250"/>
      <c r="EA44" s="250"/>
      <c r="EB44" s="250"/>
      <c r="EC44" s="252">
        <f>SUM(Table1[[#This Row],[OthGrantQ1]:[OthGrantQ3]])</f>
        <v>0</v>
      </c>
      <c r="ED44" s="263">
        <f>Table1[[#This Row],[SEOGTot]]+Table1[[#This Row],[PellTot]]+Table1[[#This Row],[AccessTot]]+Table1[[#This Row],[AchiTot]]+Table1[[#This Row],[UTTot]]+Table1[[#This Row],[WITTot]]+Table1[[#This Row],[SerTot]]+Table1[[#This Row],[TranTot]]+Table1[[#This Row],[MatTot]]+Table1[[#This Row],[OutTot]]+Table1[[#This Row],[VATot]]+Table1[[#This Row],[OthGrantTot]]</f>
        <v>7695</v>
      </c>
      <c r="EE44" s="249"/>
      <c r="EF44" s="237"/>
      <c r="EG44" s="237"/>
      <c r="EH44" s="232">
        <f>SUM(Table1[[#This Row],[CashQ1]]:Table1[[#This Row],[CashQ3]])</f>
        <v>0</v>
      </c>
      <c r="EI44" s="271">
        <f>ROUND((Table1[[#This Row],[SubTot]]/3)/1.01059,0)</f>
        <v>1154</v>
      </c>
      <c r="EJ44" s="234">
        <f>ROUND((Table1[[#This Row],[SubTot]]/3)/1.01059,0)</f>
        <v>1154</v>
      </c>
      <c r="EK44" s="234">
        <f>ROUNDUP((Table1[[#This Row],[SubTot]]/3)/1.01059,0)</f>
        <v>1155</v>
      </c>
      <c r="EL44" s="235">
        <v>3500</v>
      </c>
      <c r="EM44" s="240">
        <f>Table1[[#This Row],[SubTot]]*0.01059</f>
        <v>37.065000000000005</v>
      </c>
      <c r="EN44" s="234">
        <f>ROUND((Table1[[#This Row],[UnsubTot]]/3)/1.01062,0)</f>
        <v>660</v>
      </c>
      <c r="EO44" s="234">
        <f>ROUND((Table1[[#This Row],[UnsubTot]]/3)/1.01062,0)</f>
        <v>660</v>
      </c>
      <c r="EP44" s="234">
        <f>ROUNDDOWN((Table1[[#This Row],[UnsubTot]]/3)/1.01062,0)</f>
        <v>659</v>
      </c>
      <c r="EQ44" s="235">
        <f>IF(Table1[D/I]="I",6000,2000)</f>
        <v>2000</v>
      </c>
      <c r="ER44" s="240">
        <f>Table1[[#This Row],[UnsubTot]]*0.01062</f>
        <v>21.24</v>
      </c>
      <c r="ES44" s="234">
        <f>ROUND((Table1[[#This Row],[PLUSTot]]/3)/1.04248,0)</f>
        <v>0</v>
      </c>
      <c r="ET44" s="234">
        <f>ROUND((Table1[[#This Row],[PLUSTot]]/3)/1.04248,0)</f>
        <v>0</v>
      </c>
      <c r="EU44" s="234">
        <f>ROUND((Table1[[#This Row],[PLUSTot]]/3)/1.04248,0)</f>
        <v>0</v>
      </c>
      <c r="EV44" s="235"/>
      <c r="EW44" s="239">
        <f>Table1[[#This Row],[PLUSTot]]*0.04248</f>
        <v>0</v>
      </c>
      <c r="EX44" s="237"/>
      <c r="EY44" s="237"/>
      <c r="EZ44" s="237"/>
      <c r="FA44" s="232">
        <f>SUM(Table1[[#This Row],[PrivQ1]:[PrivQ3]])</f>
        <v>0</v>
      </c>
      <c r="FB44" s="237"/>
      <c r="FC44" s="237"/>
      <c r="FD44" s="237"/>
      <c r="FE44" s="232">
        <f>SUM(Table1[[#This Row],[TOQ1]:[TOQ3]])</f>
        <v>0</v>
      </c>
      <c r="FF44" s="237"/>
      <c r="FG44" s="237"/>
      <c r="FH44" s="237"/>
      <c r="FI44" s="232">
        <f>SUM(Table1[[#This Row],[OFundQ1]:[OFundQ3]])</f>
        <v>0</v>
      </c>
      <c r="FJ44" s="239">
        <f>(Table1[[#This Row],[SubTot]]-Table1[[#This Row],[SubFee]])+(Table1[[#This Row],[UnsubTot]]-Table1[[#This Row],[UnsubFee]])+(Table1[[#This Row],[PLUSTot]]-Table1[[#This Row],[PLUSFee]])+Table1[[#This Row],[PrivTot]]+Table1[[#This Row],[TOTot]]+Table1[[#This Row],[OFundTot]]</f>
        <v>5441.6949999999997</v>
      </c>
      <c r="FK44" s="125">
        <f>Table1[[#This Row],[CostTot]]-Table1[[#This Row],[GiftTot]]</f>
        <v>31820</v>
      </c>
      <c r="FL44" s="130">
        <f>Table1[[#This Row],[NetNeed]]/(1-0.04248)</f>
        <v>27548.568176121647</v>
      </c>
      <c r="FM44" s="131">
        <f>Table1[[#This Row],[NetCost]]-Table1[[#This Row],[CashTot]]-(Table1[[#This Row],[SubTot]]-Table1[[#This Row],[SubFee]])-(Table1[[#This Row],[UnsubTot]]-Table1[[#This Row],[UnsubFee]])-(Table1[[#This Row],[PLUSTot]]-Table1[[#This Row],[PLUSFee]])-Table1[[#This Row],[PrivTot]]-Table1[[#This Row],[TOTot]]-Table1[[#This Row],[OFundTot]]</f>
        <v>26378.305</v>
      </c>
      <c r="FN44" s="161"/>
      <c r="FO44" s="113"/>
      <c r="FP44" s="113"/>
    </row>
    <row r="45" spans="1:172" s="160" customFormat="1" ht="15" x14ac:dyDescent="0.25">
      <c r="A45" s="267">
        <v>199330</v>
      </c>
      <c r="B45" s="113" t="str">
        <f>VLOOKUP(Table1[[#This Row],[SyStudentId]],SSR!$A$2:$CC$4982,4,FALSE)</f>
        <v>Musco</v>
      </c>
      <c r="C45" s="113" t="str">
        <f>VLOOKUP(Table1[[#This Row],[SyStudentId]],SSR!$A$2:$CC$4982,5,FALSE)</f>
        <v>Matthew</v>
      </c>
      <c r="D45" s="113" t="str">
        <f>VLOOKUP(Table1[[#This Row],[SyStudentId]],SSR!$A$2:$CC$4982,6,FALSE)</f>
        <v>Musco, Matthew</v>
      </c>
      <c r="E45" s="113" t="str">
        <f>CONCATENATE(Table1[[#This Row],[FirstName]]," ",Table1[[#This Row],[LastName]])</f>
        <v>Matthew Musco</v>
      </c>
      <c r="F45" s="112">
        <v>1</v>
      </c>
      <c r="G45" s="114">
        <v>43801</v>
      </c>
      <c r="H45" s="114">
        <v>43802</v>
      </c>
      <c r="I45" s="114">
        <v>43802</v>
      </c>
      <c r="J45" s="115"/>
      <c r="K45" s="116" t="s">
        <v>605</v>
      </c>
      <c r="L45" s="112" t="str">
        <f>IFERROR(VLOOKUP(Table1[[#This Row],[SyStudentId]],ISIR!$A$2:$X$999,11,FALSE),"")</f>
        <v>D</v>
      </c>
      <c r="M45" s="113" t="str">
        <f>VLOOKUP(Table1[[#This Row],[SyStudentId]],SSR!$A$2:$CC$4982,7,FALSE)</f>
        <v>MatthewMusco10@gmail.com</v>
      </c>
      <c r="N45" s="113" t="str">
        <f>VLOOKUP(Table1[[#This Row],[SyStudentId]],SSR!$A$2:$CC$4982,8,FALSE)</f>
        <v>20 AMERICA ST 2ND FLOOR</v>
      </c>
      <c r="O45" s="113" t="str">
        <f>VLOOKUP(Table1[[#This Row],[SyStudentId]],SSR!$A$2:$CC$4982,9,FALSE)</f>
        <v>WATERBURY</v>
      </c>
      <c r="P45" s="303" t="str">
        <f>VLOOKUP(Table1[[#This Row],[SyStudentId]],SSR!$A$2:$CC$4982,10,FALSE)</f>
        <v>CT</v>
      </c>
      <c r="Q45" s="117" t="str">
        <f>VLOOKUP(Table1[[#This Row],[SyStudentId]],SSR!$A$2:$CC$4982,11,FALSE)</f>
        <v xml:space="preserve">06708     </v>
      </c>
      <c r="R45" s="118">
        <f>VLOOKUP(Table1[[#This Row],[SyStudentId]],SSR!$A$2:$CC$4982,15,FALSE)</f>
        <v>3.11</v>
      </c>
      <c r="S45" s="119">
        <f>VLOOKUP(Table1[[#This Row],[SyStudentId]],SSR!$A$2:$CC$4982,22,FALSE)</f>
        <v>44109</v>
      </c>
      <c r="T45" s="113" t="str">
        <f>VLOOKUP(Table1[[#This Row],[SyStudentId]],SSR!$A$2:$CC$4982,24,FALSE)</f>
        <v>JT</v>
      </c>
      <c r="U45" s="113" t="str">
        <f>IF(VLOOKUP(Table1[[#This Row],[SyStudentId]],SSR!$A$2:$CC$4982,26,FALSE)=0,"Not Selected",VLOOKUP(Table1[[#This Row],[SyStudentId]],SSR!$A$2:$CC$4982,26,FALSE))</f>
        <v>Male</v>
      </c>
      <c r="V45" s="113" t="str">
        <f>VLOOKUP(Table1[[#This Row],[SyStudentId]],SSR!$A$2:$CC$4982,27,FALSE)</f>
        <v xml:space="preserve">HS2020  </v>
      </c>
      <c r="W45" s="113" t="str">
        <f>VLOOKUP(LEFT(Table1[[#This Row],[LastName]],1),Alpha!$A$1:$B$26,2,FALSE)</f>
        <v>Maureen Ranks</v>
      </c>
      <c r="X45" s="149" t="str">
        <f>VLOOKUP(Table1[[#This Row],[FAA]],Alpha!$B$1:$D$26,2,FALSE)</f>
        <v>mranks@neumont.edu</v>
      </c>
      <c r="Y45" s="113">
        <f>VLOOKUP(Table1[[#This Row],[FAA]],Alpha!$B$1:$D$26,3,FALSE)</f>
        <v>8883022894</v>
      </c>
      <c r="Z45" s="113" t="str">
        <f>VLOOKUP(Table1[[#This Row],[SyStudentId]],SSR!$A$2:$CC$4982,30,FALSE)</f>
        <v>16-Accepted</v>
      </c>
      <c r="AA45" s="113" t="str">
        <f>IF(VLOOKUP(Table1[[#This Row],[SyStudentId]],SSR!$A$2:$CC$4982,36,FALSE)="Bachelor of Science","BS Computer Science","Check Program")</f>
        <v>BS Computer Science</v>
      </c>
      <c r="AB45" s="113">
        <f>VLOOKUP(Table1[[#This Row],[SyStudentId]],SSR!$A$2:$CC$4982,37,FALSE)</f>
        <v>0</v>
      </c>
      <c r="AC45" s="113" t="str">
        <f>VLOOKUP(Table1[[#This Row],[SyStudentId]],SSR!$A$2:$CC$4982,42,FALSE)</f>
        <v xml:space="preserve">990     </v>
      </c>
      <c r="AD45" s="113" t="str">
        <f>VLOOKUP(Table1[[#This Row],[SyStudentId]],SSR!$A$2:$CC$4982,46,FALSE)</f>
        <v>99</v>
      </c>
      <c r="AE45" s="113" t="str">
        <f>VLOOKUP(Table1[[#This Row],[SyStudentId]],SSR!$A$2:$CC$4982,65,FALSE)</f>
        <v>V</v>
      </c>
      <c r="AF45"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5</v>
      </c>
      <c r="AG45" s="113" t="str">
        <f>VLOOKUP(Table1[[#This Row],[SyStudentId]],SSR!$A$2:$CC$4982,66,FALSE)</f>
        <v>November</v>
      </c>
      <c r="AH45" s="113" t="str">
        <f>IFERROR(VLOOKUP(Table1[[#This Row],[SyStudentId]],ISIR!$A$2:$X$999,7,FALSE),"")</f>
        <v>000467</v>
      </c>
      <c r="AI45" s="121">
        <f>IF(Table1[[#This Row],[EFCRaw]]="","",IF(Table1[[#This Row],[EFCRaw]]="No EFC","No EFC",_xlfn.NUMBERVALUE(Table1[[#This Row],[EFCRaw]])))</f>
        <v>467</v>
      </c>
      <c r="AJ45" s="119">
        <f>IFERROR(VLOOKUP(Table1[[#This Row],[SyStudentId]],ISIR!$A$2:$X$4999,19,FALSE),"")</f>
        <v>43774</v>
      </c>
      <c r="AK45" s="113" t="str">
        <f>IFERROR(VLOOKUP(Table1[[#This Row],[SyStudentId]],ISIR!$A$2:$X$4999,8,FALSE),"")</f>
        <v>Y</v>
      </c>
      <c r="AL45" s="132" t="str">
        <f>IF(Table1[[#This Row],[VerReq]]="N","n/a","")</f>
        <v/>
      </c>
      <c r="AM45" s="122">
        <v>43802</v>
      </c>
      <c r="AN45" s="122">
        <v>43802</v>
      </c>
      <c r="AO45" s="122">
        <v>43802</v>
      </c>
      <c r="AP45" s="122"/>
      <c r="AQ45" s="122"/>
      <c r="AR45" s="122"/>
      <c r="AS45" s="122"/>
      <c r="AT45" s="122"/>
      <c r="AU45" s="122"/>
      <c r="AV45" s="122"/>
      <c r="AW45" s="122"/>
      <c r="AX45" s="122"/>
      <c r="AY45" s="122"/>
      <c r="AZ45" s="122"/>
      <c r="BA45" s="122"/>
      <c r="BB45" s="122"/>
      <c r="BC45" s="133"/>
      <c r="BD45" s="326" t="str">
        <f>IF(Table1[[#This Row],[VerReq]]="N","x","")</f>
        <v/>
      </c>
      <c r="BE45" s="326" t="str">
        <f>IF(Table1[[#This Row],[VerReq]]="N","x","")</f>
        <v/>
      </c>
      <c r="BF45" s="140" t="s">
        <v>631</v>
      </c>
      <c r="BG45" s="140" t="s">
        <v>631</v>
      </c>
      <c r="BH45" s="140">
        <v>43774</v>
      </c>
      <c r="BI45" s="140" t="s">
        <v>631</v>
      </c>
      <c r="BJ45" s="123">
        <f>1-((COUNTBLANK(Table1[[#This Row],[ALESent]:[TaxTran]]))/(COUNT(Table1[[#This Row],[ALESent]:[TaxTran]])+COUNTBLANK(Table1[[#This Row],[ALESent]:[TaxTran]])))</f>
        <v>0.19999999999999996</v>
      </c>
      <c r="BK45" s="136">
        <f>IF(VLOOKUP(Table1[[#This Row],[SyStudentId]],SSR!$A$2:$CC$4982,22,FALSE)=44109,44109,"Check Program")</f>
        <v>44109</v>
      </c>
      <c r="BL45" s="124">
        <f>IF(Table1[[#This Row],[AYStart]]=44109,44356,"Check Program")</f>
        <v>44356</v>
      </c>
      <c r="BM45" s="219">
        <v>8505</v>
      </c>
      <c r="BN45" s="219">
        <v>8505</v>
      </c>
      <c r="BO45" s="219">
        <v>8505</v>
      </c>
      <c r="BP45" s="220">
        <f t="shared" si="0"/>
        <v>25515</v>
      </c>
      <c r="BQ45" s="221">
        <v>3300</v>
      </c>
      <c r="BR45" s="219">
        <v>400</v>
      </c>
      <c r="BS45" s="219">
        <v>400</v>
      </c>
      <c r="BT45" s="220">
        <f t="shared" si="1"/>
        <v>4100</v>
      </c>
      <c r="BU45" s="219">
        <v>2100</v>
      </c>
      <c r="BV45" s="219">
        <v>2100</v>
      </c>
      <c r="BW45" s="219">
        <v>2100</v>
      </c>
      <c r="BX45" s="220">
        <f t="shared" si="2"/>
        <v>6300</v>
      </c>
      <c r="BY45" s="275">
        <v>1050</v>
      </c>
      <c r="BZ45" s="275">
        <v>1050</v>
      </c>
      <c r="CA45" s="275">
        <v>1050</v>
      </c>
      <c r="CB45" s="220">
        <f>SUM(Table1[[#This Row],[LEQ1]:[LEQ3]])</f>
        <v>3150</v>
      </c>
      <c r="CC45" s="275"/>
      <c r="CD45" s="275"/>
      <c r="CE45" s="275"/>
      <c r="CF45" s="220">
        <f>SUM(Table1[[#This Row],[OthCostQ1]:[OthCostQ3]])</f>
        <v>0</v>
      </c>
      <c r="CG45" s="220">
        <f>(Table1[[#This Row],[T&amp;FTot]]+Table1[[#This Row],[B&amp;STot]]+Table1[[#This Row],[HousTot]]+Table1[[#This Row],[LETot]]+Table1[[#This Row],[OthCostTot]])</f>
        <v>39065</v>
      </c>
      <c r="CH45" s="250"/>
      <c r="CI45" s="250"/>
      <c r="CJ45" s="250"/>
      <c r="CK45" s="251">
        <f>SUM(Table1[[#This Row],[SEOGQ1]:[SEOGQ3]])</f>
        <v>0</v>
      </c>
      <c r="CL45" s="250">
        <f>IFERROR(ROUNDUP(Table1[[#This Row],[PellTot]]/3,0),0)</f>
        <v>1915</v>
      </c>
      <c r="CM45" s="250">
        <f>IFERROR(ROUND(Table1[[#This Row],[PellTot]]/3,0),0)</f>
        <v>1915</v>
      </c>
      <c r="CN45" s="250">
        <f>IFERROR(ROUNDDOWN(Table1[[#This Row],[PellTot]]/3,0),0)</f>
        <v>1915</v>
      </c>
      <c r="CO45" s="251">
        <f>IFERROR(LOOKUP(Table1[EFC],Pell_Table[#Data],Pell_Table[Pell Amt]),0)</f>
        <v>5745</v>
      </c>
      <c r="CP45" s="250">
        <f>Table1[[#This Row],[AccessTot]]/3</f>
        <v>500</v>
      </c>
      <c r="CQ45" s="250">
        <f>Table1[[#This Row],[AccessTot]]/3</f>
        <v>500</v>
      </c>
      <c r="CR45" s="250">
        <f>Table1[[#This Row],[AccessTot]]/3</f>
        <v>500</v>
      </c>
      <c r="CS45" s="251">
        <f>IF(Table1[[#This Row],[PellTot]]&gt;0,1500,0)</f>
        <v>1500</v>
      </c>
      <c r="CT45" s="250">
        <f>Table1[[#This Row],[AchiTot]]/3</f>
        <v>1000</v>
      </c>
      <c r="CU45" s="250">
        <f>Table1[[#This Row],[AchiTot]]/3</f>
        <v>1000</v>
      </c>
      <c r="CV45" s="250">
        <f>Table1[[#This Row],[AchiTot]]/3</f>
        <v>1000</v>
      </c>
      <c r="CW45" s="252">
        <f>IF(Table1[[#This Row],[Rank]]="","",IF(Table1[[#This Row],[Rank]]=1,5100,IF(Table1[[#This Row],[Rank]]=2,4500,IF(Table1[[#This Row],[Rank]]=3,3900,IF(Table1[[#This Row],[Rank]]=4,3750,IF(Table1[[#This Row],[Rank]]=5,3000,IF(Table1[[#This Row],[Rank]]=6,2250,0)))))))</f>
        <v>3000</v>
      </c>
      <c r="CX45" s="250">
        <f>Table1[[#This Row],[UTTot]]/3</f>
        <v>0</v>
      </c>
      <c r="CY45" s="250">
        <f>Table1[[#This Row],[UTTot]]/3</f>
        <v>0</v>
      </c>
      <c r="CZ45" s="250">
        <f>Table1[[#This Row],[UTTot]]/3</f>
        <v>0</v>
      </c>
      <c r="DA45" s="251">
        <f>IF(Table1[[#This Row],[State]]="UT",9000,0)</f>
        <v>0</v>
      </c>
      <c r="DB45" s="250">
        <f>Table1[[#This Row],[WITTot]]/3</f>
        <v>0</v>
      </c>
      <c r="DC45" s="250">
        <f>Table1[[#This Row],[WITTot]]/3</f>
        <v>0</v>
      </c>
      <c r="DD45" s="250">
        <f>Table1[[#This Row],[WITTot]]/3</f>
        <v>0</v>
      </c>
      <c r="DE45" s="251">
        <f>IF(Table1[[#This Row],[Gender]]="Female",3000,0)</f>
        <v>0</v>
      </c>
      <c r="DF45" s="250">
        <f>Table1[[#This Row],[SerTot]]/3</f>
        <v>0</v>
      </c>
      <c r="DG45" s="250">
        <f>Table1[[#This Row],[SerTot]]/3</f>
        <v>0</v>
      </c>
      <c r="DH45" s="250">
        <f>Table1[[#This Row],[SerTot]]/3</f>
        <v>0</v>
      </c>
      <c r="DI45" s="252"/>
      <c r="DJ45" s="250"/>
      <c r="DK45" s="250"/>
      <c r="DL45" s="250"/>
      <c r="DM45" s="252"/>
      <c r="DN45" s="250">
        <f>Table1[[#This Row],[MatTot]]/3</f>
        <v>0</v>
      </c>
      <c r="DO45" s="250">
        <f>Table1[[#This Row],[MatTot]]/3</f>
        <v>0</v>
      </c>
      <c r="DP45" s="250">
        <f>Table1[[#This Row],[MatTot]]/3</f>
        <v>0</v>
      </c>
      <c r="DQ45" s="252"/>
      <c r="DR45" s="250">
        <f>Table1[[#This Row],[OutTot]]/3</f>
        <v>0</v>
      </c>
      <c r="DS45" s="250">
        <f>Table1[[#This Row],[OutTot]]/3</f>
        <v>0</v>
      </c>
      <c r="DT45" s="250">
        <f>Table1[[#This Row],[OutTot]]/3</f>
        <v>0</v>
      </c>
      <c r="DU45" s="252"/>
      <c r="DV45" s="250"/>
      <c r="DW45" s="250"/>
      <c r="DX45" s="250"/>
      <c r="DY45" s="252">
        <f>SUM(Table1[[#This Row],[VAQ1]:[VAQ3]])</f>
        <v>0</v>
      </c>
      <c r="DZ45" s="250"/>
      <c r="EA45" s="250"/>
      <c r="EB45" s="250"/>
      <c r="EC45" s="252">
        <f>SUM(Table1[[#This Row],[OthGrantQ1]:[OthGrantQ3]])</f>
        <v>0</v>
      </c>
      <c r="ED45" s="263">
        <f>Table1[[#This Row],[SEOGTot]]+Table1[[#This Row],[PellTot]]+Table1[[#This Row],[AccessTot]]+Table1[[#This Row],[AchiTot]]+Table1[[#This Row],[UTTot]]+Table1[[#This Row],[WITTot]]+Table1[[#This Row],[SerTot]]+Table1[[#This Row],[TranTot]]+Table1[[#This Row],[MatTot]]+Table1[[#This Row],[OutTot]]+Table1[[#This Row],[VATot]]+Table1[[#This Row],[OthGrantTot]]</f>
        <v>10245</v>
      </c>
      <c r="EE45" s="249"/>
      <c r="EF45" s="237"/>
      <c r="EG45" s="237"/>
      <c r="EH45" s="232">
        <f>SUM(Table1[[#This Row],[CashQ1]]:Table1[[#This Row],[CashQ3]])</f>
        <v>0</v>
      </c>
      <c r="EI45" s="271">
        <f>ROUND((Table1[[#This Row],[SubTot]]/3)/1.01059,0)</f>
        <v>1154</v>
      </c>
      <c r="EJ45" s="234">
        <f>ROUND((Table1[[#This Row],[SubTot]]/3)/1.01059,0)</f>
        <v>1154</v>
      </c>
      <c r="EK45" s="234">
        <f>ROUNDUP((Table1[[#This Row],[SubTot]]/3)/1.01059,0)</f>
        <v>1155</v>
      </c>
      <c r="EL45" s="235">
        <v>3500</v>
      </c>
      <c r="EM45" s="240">
        <f>Table1[[#This Row],[SubTot]]*0.01059</f>
        <v>37.065000000000005</v>
      </c>
      <c r="EN45" s="234">
        <f>ROUND((Table1[[#This Row],[UnsubTot]]/3)/1.01062,0)</f>
        <v>660</v>
      </c>
      <c r="EO45" s="234">
        <f>ROUND((Table1[[#This Row],[UnsubTot]]/3)/1.01062,0)</f>
        <v>660</v>
      </c>
      <c r="EP45" s="234">
        <f>ROUNDDOWN((Table1[[#This Row],[UnsubTot]]/3)/1.01062,0)</f>
        <v>659</v>
      </c>
      <c r="EQ45" s="235">
        <f>IF(Table1[D/I]="I",6000,2000)</f>
        <v>2000</v>
      </c>
      <c r="ER45" s="240">
        <f>Table1[[#This Row],[UnsubTot]]*0.01062</f>
        <v>21.24</v>
      </c>
      <c r="ES45" s="234">
        <f>ROUND((Table1[[#This Row],[PLUSTot]]/3)/1.04248,0)</f>
        <v>7807</v>
      </c>
      <c r="ET45" s="234">
        <f>ROUND((Table1[[#This Row],[PLUSTot]]/3)/1.04248,0)</f>
        <v>7807</v>
      </c>
      <c r="EU45" s="234">
        <f>ROUND((Table1[[#This Row],[PLUSTot]]/3)/1.04248,0)</f>
        <v>7807</v>
      </c>
      <c r="EV45" s="235">
        <v>24415</v>
      </c>
      <c r="EW45" s="239">
        <f>Table1[[#This Row],[PLUSTot]]*0.04248</f>
        <v>1037.1491999999998</v>
      </c>
      <c r="EX45" s="237"/>
      <c r="EY45" s="237"/>
      <c r="EZ45" s="237"/>
      <c r="FA45" s="232">
        <f>SUM(Table1[[#This Row],[PrivQ1]:[PrivQ3]])</f>
        <v>0</v>
      </c>
      <c r="FB45" s="237"/>
      <c r="FC45" s="237"/>
      <c r="FD45" s="237"/>
      <c r="FE45" s="232">
        <f>SUM(Table1[[#This Row],[TOQ1]:[TOQ3]])</f>
        <v>0</v>
      </c>
      <c r="FF45" s="237"/>
      <c r="FG45" s="237"/>
      <c r="FH45" s="237"/>
      <c r="FI45" s="232">
        <f>SUM(Table1[[#This Row],[OFundQ1]:[OFundQ3]])</f>
        <v>0</v>
      </c>
      <c r="FJ45" s="239">
        <f>(Table1[[#This Row],[SubTot]]-Table1[[#This Row],[SubFee]])+(Table1[[#This Row],[UnsubTot]]-Table1[[#This Row],[UnsubFee]])+(Table1[[#This Row],[PLUSTot]]-Table1[[#This Row],[PLUSFee]])+Table1[[#This Row],[PrivTot]]+Table1[[#This Row],[TOTot]]+Table1[[#This Row],[OFundTot]]</f>
        <v>28819.5458</v>
      </c>
      <c r="FK45" s="125">
        <f>Table1[[#This Row],[CostTot]]-Table1[[#This Row],[GiftTot]]</f>
        <v>28820</v>
      </c>
      <c r="FL45" s="130">
        <f>Table1[[#This Row],[NetNeed]]/(1-0.04248)</f>
        <v>0.47435040521360183</v>
      </c>
      <c r="FM45" s="131">
        <f>Table1[[#This Row],[NetCost]]-Table1[[#This Row],[CashTot]]-(Table1[[#This Row],[SubTot]]-Table1[[#This Row],[SubFee]])-(Table1[[#This Row],[UnsubTot]]-Table1[[#This Row],[UnsubFee]])-(Table1[[#This Row],[PLUSTot]]-Table1[[#This Row],[PLUSFee]])-Table1[[#This Row],[PrivTot]]-Table1[[#This Row],[TOTot]]-Table1[[#This Row],[OFundTot]]</f>
        <v>0.45420000000012806</v>
      </c>
      <c r="FN45" s="161"/>
      <c r="FO45" s="113"/>
      <c r="FP45" s="113"/>
    </row>
    <row r="46" spans="1:172" s="160" customFormat="1" ht="15" x14ac:dyDescent="0.25">
      <c r="A46" s="267">
        <v>198217</v>
      </c>
      <c r="B46" s="113" t="str">
        <f>VLOOKUP(Table1[[#This Row],[SyStudentId]],SSR!$A$2:$CC$4982,4,FALSE)</f>
        <v>Myers</v>
      </c>
      <c r="C46" s="113" t="str">
        <f>VLOOKUP(Table1[[#This Row],[SyStudentId]],SSR!$A$2:$CC$4982,5,FALSE)</f>
        <v>Jaden</v>
      </c>
      <c r="D46" s="113" t="str">
        <f>VLOOKUP(Table1[[#This Row],[SyStudentId]],SSR!$A$2:$CC$4982,6,FALSE)</f>
        <v>Myers, Jaden</v>
      </c>
      <c r="E46" s="113" t="str">
        <f>CONCATENATE(Table1[[#This Row],[FirstName]]," ",Table1[[#This Row],[LastName]])</f>
        <v>Jaden Myers</v>
      </c>
      <c r="F46" s="112">
        <v>1</v>
      </c>
      <c r="G46" s="114">
        <v>43781</v>
      </c>
      <c r="H46" s="114">
        <v>43781</v>
      </c>
      <c r="I46" s="114">
        <v>43781</v>
      </c>
      <c r="J46" s="115"/>
      <c r="K46" s="116"/>
      <c r="L46" s="112" t="str">
        <f>IFERROR(VLOOKUP(Table1[[#This Row],[SyStudentId]],ISIR!$A$2:$X$999,11,FALSE),"")</f>
        <v>D</v>
      </c>
      <c r="M46" s="113" t="str">
        <f>VLOOKUP(Table1[[#This Row],[SyStudentId]],SSR!$A$2:$CC$4982,7,FALSE)</f>
        <v>jaden.myers731@gmail.com</v>
      </c>
      <c r="N46" s="113" t="str">
        <f>VLOOKUP(Table1[[#This Row],[SyStudentId]],SSR!$A$2:$CC$4982,8,FALSE)</f>
        <v>25366 S Valley Dr</v>
      </c>
      <c r="O46" s="113" t="str">
        <f>VLOOKUP(Table1[[#This Row],[SyStudentId]],SSR!$A$2:$CC$4982,9,FALSE)</f>
        <v>Claremore</v>
      </c>
      <c r="P46" s="292" t="str">
        <f>VLOOKUP(Table1[[#This Row],[SyStudentId]],SSR!$A$2:$CC$4982,10,FALSE)</f>
        <v>OK</v>
      </c>
      <c r="Q46" s="117" t="str">
        <f>VLOOKUP(Table1[[#This Row],[SyStudentId]],SSR!$A$2:$CC$4982,11,FALSE)</f>
        <v xml:space="preserve">74019     </v>
      </c>
      <c r="R46" s="118">
        <f>VLOOKUP(Table1[[#This Row],[SyStudentId]],SSR!$A$2:$CC$4982,15,FALSE)</f>
        <v>3.3</v>
      </c>
      <c r="S46" s="119">
        <f>VLOOKUP(Table1[[#This Row],[SyStudentId]],SSR!$A$2:$CC$4982,22,FALSE)</f>
        <v>44109</v>
      </c>
      <c r="T46" s="113" t="str">
        <f>VLOOKUP(Table1[[#This Row],[SyStudentId]],SSR!$A$2:$CC$4982,24,FALSE)</f>
        <v>GM</v>
      </c>
      <c r="U46" s="113" t="str">
        <f>IF(VLOOKUP(Table1[[#This Row],[SyStudentId]],SSR!$A$2:$CC$4982,26,FALSE)=0,"Not Selected",VLOOKUP(Table1[[#This Row],[SyStudentId]],SSR!$A$2:$CC$4982,26,FALSE))</f>
        <v>Male</v>
      </c>
      <c r="V46" s="113" t="str">
        <f>VLOOKUP(Table1[[#This Row],[SyStudentId]],SSR!$A$2:$CC$4982,27,FALSE)</f>
        <v xml:space="preserve">HS2020  </v>
      </c>
      <c r="W46" s="113" t="str">
        <f>VLOOKUP(LEFT(Table1[[#This Row],[LastName]],1),Alpha!$A$1:$B$26,2,FALSE)</f>
        <v>Maureen Ranks</v>
      </c>
      <c r="X46" s="149" t="str">
        <f>VLOOKUP(Table1[[#This Row],[FAA]],Alpha!$B$1:$D$26,2,FALSE)</f>
        <v>mranks@neumont.edu</v>
      </c>
      <c r="Y46" s="113">
        <f>VLOOKUP(Table1[[#This Row],[FAA]],Alpha!$B$1:$D$26,3,FALSE)</f>
        <v>8883022894</v>
      </c>
      <c r="Z46" s="113" t="str">
        <f>VLOOKUP(Table1[[#This Row],[SyStudentId]],SSR!$A$2:$CC$4982,30,FALSE)</f>
        <v>16-Accepted</v>
      </c>
      <c r="AA46" s="113" t="str">
        <f>IF(VLOOKUP(Table1[[#This Row],[SyStudentId]],SSR!$A$2:$CC$4982,36,FALSE)="Bachelor of Science","BS Computer Science","Check Program")</f>
        <v>BS Computer Science</v>
      </c>
      <c r="AB46" s="113" t="str">
        <f>VLOOKUP(Table1[[#This Row],[SyStudentId]],SSR!$A$2:$CC$4982,37,FALSE)</f>
        <v xml:space="preserve">35      </v>
      </c>
      <c r="AC46" s="113">
        <f>VLOOKUP(Table1[[#This Row],[SyStudentId]],SSR!$A$2:$CC$4982,42,FALSE)</f>
        <v>0</v>
      </c>
      <c r="AD46" s="113" t="str">
        <f>VLOOKUP(Table1[[#This Row],[SyStudentId]],SSR!$A$2:$CC$4982,46,FALSE)</f>
        <v>121</v>
      </c>
      <c r="AE46" s="113" t="str">
        <f>VLOOKUP(Table1[[#This Row],[SyStudentId]],SSR!$A$2:$CC$4982,65,FALSE)</f>
        <v>III</v>
      </c>
      <c r="AF46"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46" s="113" t="str">
        <f>VLOOKUP(Table1[[#This Row],[SyStudentId]],SSR!$A$2:$CC$4982,66,FALSE)</f>
        <v>July-October</v>
      </c>
      <c r="AH46" s="113" t="str">
        <f>IFERROR(VLOOKUP(Table1[[#This Row],[SyStudentId]],ISIR!$A$2:$X$999,7,FALSE),"")</f>
        <v>007096</v>
      </c>
      <c r="AI46" s="121">
        <f>IF(Table1[[#This Row],[EFCRaw]]="","",IF(Table1[[#This Row],[EFCRaw]]="No EFC","No EFC",_xlfn.NUMBERVALUE(Table1[[#This Row],[EFCRaw]])))</f>
        <v>7096</v>
      </c>
      <c r="AJ46" s="119">
        <f>IFERROR(VLOOKUP(Table1[[#This Row],[SyStudentId]],ISIR!$A$2:$X$4999,19,FALSE),"")</f>
        <v>43774</v>
      </c>
      <c r="AK46" s="113" t="str">
        <f>IFERROR(VLOOKUP(Table1[[#This Row],[SyStudentId]],ISIR!$A$2:$X$4999,8,FALSE),"")</f>
        <v>N</v>
      </c>
      <c r="AL46" s="132" t="str">
        <f>IF(Table1[[#This Row],[VerReq]]="N","n/a","")</f>
        <v>n/a</v>
      </c>
      <c r="AM46" s="122"/>
      <c r="AN46" s="122"/>
      <c r="AO46" s="122"/>
      <c r="AP46" s="122"/>
      <c r="AQ46" s="122"/>
      <c r="AR46" s="122"/>
      <c r="AS46" s="122"/>
      <c r="AT46" s="122"/>
      <c r="AU46" s="122"/>
      <c r="AV46" s="122"/>
      <c r="AW46" s="122"/>
      <c r="AX46" s="122"/>
      <c r="AY46" s="122"/>
      <c r="AZ46" s="122"/>
      <c r="BA46" s="122"/>
      <c r="BB46" s="122"/>
      <c r="BC46" s="133"/>
      <c r="BD46" s="140" t="str">
        <f>IF(Table1[[#This Row],[VerReq]]="N","x","")</f>
        <v>x</v>
      </c>
      <c r="BE46" s="140" t="str">
        <f>IF(Table1[[#This Row],[VerReq]]="N","x","")</f>
        <v>x</v>
      </c>
      <c r="BF46" s="140" t="str">
        <f>IF(Table1[[#This Row],[VerReq]]="N","x","")</f>
        <v>x</v>
      </c>
      <c r="BG46" s="140" t="str">
        <f>IF(Table1[[#This Row],[VerReq]]="N","x","")</f>
        <v>x</v>
      </c>
      <c r="BH46" s="140" t="str">
        <f>IF(Table1[[#This Row],[VerReq]]="N","x","")</f>
        <v>x</v>
      </c>
      <c r="BI46" s="140" t="str">
        <f>IF(Table1[[#This Row],[VerReq]]="N","x","")</f>
        <v>x</v>
      </c>
      <c r="BJ46" s="123">
        <f>1-((COUNTBLANK(Table1[[#This Row],[ALESent]:[TaxTran]]))/(COUNT(Table1[[#This Row],[ALESent]:[TaxTran]])+COUNTBLANK(Table1[[#This Row],[ALESent]:[TaxTran]])))</f>
        <v>0</v>
      </c>
      <c r="BK46" s="136">
        <f>IF(VLOOKUP(Table1[[#This Row],[SyStudentId]],SSR!$A$2:$CC$4982,22,FALSE)=44109,44109,"Check Program")</f>
        <v>44109</v>
      </c>
      <c r="BL46" s="124">
        <f>IF(Table1[[#This Row],[AYStart]]=44109,44356,"Check Program")</f>
        <v>44356</v>
      </c>
      <c r="BM46" s="219">
        <v>8505</v>
      </c>
      <c r="BN46" s="219">
        <v>8505</v>
      </c>
      <c r="BO46" s="219">
        <v>8505</v>
      </c>
      <c r="BP46" s="220">
        <f t="shared" si="0"/>
        <v>25515</v>
      </c>
      <c r="BQ46" s="221">
        <v>3300</v>
      </c>
      <c r="BR46" s="219">
        <v>400</v>
      </c>
      <c r="BS46" s="219">
        <v>400</v>
      </c>
      <c r="BT46" s="220">
        <f t="shared" si="1"/>
        <v>4100</v>
      </c>
      <c r="BU46" s="219">
        <v>2100</v>
      </c>
      <c r="BV46" s="219">
        <v>2100</v>
      </c>
      <c r="BW46" s="219">
        <v>2100</v>
      </c>
      <c r="BX46" s="220">
        <f t="shared" si="2"/>
        <v>6300</v>
      </c>
      <c r="BY46" s="275">
        <v>1200</v>
      </c>
      <c r="BZ46" s="275">
        <v>1200</v>
      </c>
      <c r="CA46" s="275">
        <v>1200</v>
      </c>
      <c r="CB46" s="220">
        <f>SUM(Table1[[#This Row],[LEQ1]:[LEQ3]])</f>
        <v>3600</v>
      </c>
      <c r="CC46" s="275">
        <v>0</v>
      </c>
      <c r="CD46" s="275">
        <v>0</v>
      </c>
      <c r="CE46" s="275">
        <v>0</v>
      </c>
      <c r="CF46" s="220">
        <f>SUM(Table1[[#This Row],[OthCostQ1]:[OthCostQ3]])</f>
        <v>0</v>
      </c>
      <c r="CG46" s="220">
        <f>(Table1[[#This Row],[T&amp;FTot]]+Table1[[#This Row],[B&amp;STot]]+Table1[[#This Row],[HousTot]]+Table1[[#This Row],[LETot]]+Table1[[#This Row],[OthCostTot]])</f>
        <v>39515</v>
      </c>
      <c r="CH46" s="250"/>
      <c r="CI46" s="250"/>
      <c r="CJ46" s="250"/>
      <c r="CK46" s="251">
        <f>SUM(Table1[[#This Row],[SEOGQ1]:[SEOGQ3]])</f>
        <v>0</v>
      </c>
      <c r="CL46" s="250">
        <f>IFERROR(ROUNDUP(Table1[[#This Row],[PellTot]]/3,0),0)</f>
        <v>0</v>
      </c>
      <c r="CM46" s="250">
        <f>IFERROR(ROUND(Table1[[#This Row],[PellTot]]/3,0),0)</f>
        <v>0</v>
      </c>
      <c r="CN46" s="250">
        <f>IFERROR(ROUNDDOWN(Table1[[#This Row],[PellTot]]/3,0),0)</f>
        <v>0</v>
      </c>
      <c r="CO46" s="251">
        <f>IFERROR(LOOKUP(Table1[EFC],Pell_Table[#Data],Pell_Table[Pell Amt]),0)</f>
        <v>0</v>
      </c>
      <c r="CP46" s="250">
        <f>Table1[[#This Row],[AccessTot]]/3</f>
        <v>0</v>
      </c>
      <c r="CQ46" s="250">
        <f>Table1[[#This Row],[AccessTot]]/3</f>
        <v>0</v>
      </c>
      <c r="CR46" s="250">
        <f>Table1[[#This Row],[AccessTot]]/3</f>
        <v>0</v>
      </c>
      <c r="CS46" s="251">
        <f>IF(Table1[[#This Row],[PellTot]]&gt;0,1500,0)</f>
        <v>0</v>
      </c>
      <c r="CT46" s="250">
        <f>Table1[[#This Row],[AchiTot]]/3</f>
        <v>1300</v>
      </c>
      <c r="CU46" s="250">
        <f>Table1[[#This Row],[AchiTot]]/3</f>
        <v>1300</v>
      </c>
      <c r="CV46" s="250">
        <f>Table1[[#This Row],[AchiTot]]/3</f>
        <v>1300</v>
      </c>
      <c r="CW46" s="252">
        <f>IF(Table1[[#This Row],[Rank]]="","",IF(Table1[[#This Row],[Rank]]=1,5100,IF(Table1[[#This Row],[Rank]]=2,4500,IF(Table1[[#This Row],[Rank]]=3,3900,IF(Table1[[#This Row],[Rank]]=4,3750,IF(Table1[[#This Row],[Rank]]=5,3000,IF(Table1[[#This Row],[Rank]]=6,2250,0)))))))</f>
        <v>3900</v>
      </c>
      <c r="CX46" s="250">
        <f>Table1[[#This Row],[UTTot]]/3</f>
        <v>0</v>
      </c>
      <c r="CY46" s="250">
        <f>Table1[[#This Row],[UTTot]]/3</f>
        <v>0</v>
      </c>
      <c r="CZ46" s="250">
        <f>Table1[[#This Row],[UTTot]]/3</f>
        <v>0</v>
      </c>
      <c r="DA46" s="251">
        <f>IF(Table1[[#This Row],[State]]="UT",9000,0)</f>
        <v>0</v>
      </c>
      <c r="DB46" s="250">
        <f>Table1[[#This Row],[WITTot]]/3</f>
        <v>0</v>
      </c>
      <c r="DC46" s="250">
        <f>Table1[[#This Row],[WITTot]]/3</f>
        <v>0</v>
      </c>
      <c r="DD46" s="250">
        <f>Table1[[#This Row],[WITTot]]/3</f>
        <v>0</v>
      </c>
      <c r="DE46" s="251">
        <f>IF(Table1[[#This Row],[Gender]]="Female",3000,0)</f>
        <v>0</v>
      </c>
      <c r="DF46" s="250">
        <f>Table1[[#This Row],[SerTot]]/3</f>
        <v>0</v>
      </c>
      <c r="DG46" s="250">
        <f>Table1[[#This Row],[SerTot]]/3</f>
        <v>0</v>
      </c>
      <c r="DH46" s="250">
        <f>Table1[[#This Row],[SerTot]]/3</f>
        <v>0</v>
      </c>
      <c r="DI46" s="252"/>
      <c r="DJ46" s="250"/>
      <c r="DK46" s="250"/>
      <c r="DL46" s="250"/>
      <c r="DM46" s="252"/>
      <c r="DN46" s="250">
        <f>Table1[[#This Row],[MatTot]]/3</f>
        <v>0</v>
      </c>
      <c r="DO46" s="250">
        <f>Table1[[#This Row],[MatTot]]/3</f>
        <v>0</v>
      </c>
      <c r="DP46" s="250">
        <f>Table1[[#This Row],[MatTot]]/3</f>
        <v>0</v>
      </c>
      <c r="DQ46" s="252">
        <v>0</v>
      </c>
      <c r="DR46" s="250">
        <f>Table1[[#This Row],[OutTot]]/3</f>
        <v>0</v>
      </c>
      <c r="DS46" s="250">
        <f>Table1[[#This Row],[OutTot]]/3</f>
        <v>0</v>
      </c>
      <c r="DT46" s="250">
        <f>Table1[[#This Row],[OutTot]]/3</f>
        <v>0</v>
      </c>
      <c r="DU46" s="252">
        <v>0</v>
      </c>
      <c r="DV46" s="250">
        <v>0</v>
      </c>
      <c r="DW46" s="250">
        <v>0</v>
      </c>
      <c r="DX46" s="250">
        <v>0</v>
      </c>
      <c r="DY46" s="252">
        <f>SUM(Table1[[#This Row],[VAQ1]:[VAQ3]])</f>
        <v>0</v>
      </c>
      <c r="DZ46" s="250">
        <v>0</v>
      </c>
      <c r="EA46" s="250">
        <v>0</v>
      </c>
      <c r="EB46" s="250">
        <v>0</v>
      </c>
      <c r="EC46" s="252">
        <f>SUM(Table1[[#This Row],[OthGrantQ1]:[OthGrantQ3]])</f>
        <v>0</v>
      </c>
      <c r="ED46" s="263">
        <f>Table1[[#This Row],[SEOGTot]]+Table1[[#This Row],[PellTot]]+Table1[[#This Row],[AccessTot]]+Table1[[#This Row],[AchiTot]]+Table1[[#This Row],[UTTot]]+Table1[[#This Row],[WITTot]]+Table1[[#This Row],[SerTot]]+Table1[[#This Row],[TranTot]]+Table1[[#This Row],[MatTot]]+Table1[[#This Row],[OutTot]]+Table1[[#This Row],[VATot]]+Table1[[#This Row],[OthGrantTot]]</f>
        <v>3900</v>
      </c>
      <c r="EE46" s="249"/>
      <c r="EF46" s="237"/>
      <c r="EG46" s="237"/>
      <c r="EH46" s="232">
        <f>SUM(Table1[[#This Row],[CashQ1]]:Table1[[#This Row],[CashQ3]])</f>
        <v>0</v>
      </c>
      <c r="EI46" s="271">
        <f>ROUND((Table1[[#This Row],[SubTot]]/3)/1.01059,0)</f>
        <v>1154</v>
      </c>
      <c r="EJ46" s="234">
        <f>ROUND((Table1[[#This Row],[SubTot]]/3)/1.01059,0)</f>
        <v>1154</v>
      </c>
      <c r="EK46" s="234">
        <f>ROUNDUP((Table1[[#This Row],[SubTot]]/3)/1.01059,0)</f>
        <v>1155</v>
      </c>
      <c r="EL46" s="235">
        <v>3500</v>
      </c>
      <c r="EM46" s="240">
        <f>Table1[[#This Row],[SubTot]]*0.01059</f>
        <v>37.065000000000005</v>
      </c>
      <c r="EN46" s="234">
        <f>ROUND((Table1[[#This Row],[UnsubTot]]/3)/1.01062,0)</f>
        <v>660</v>
      </c>
      <c r="EO46" s="234">
        <f>ROUND((Table1[[#This Row],[UnsubTot]]/3)/1.01062,0)</f>
        <v>660</v>
      </c>
      <c r="EP46" s="234">
        <f>ROUNDDOWN((Table1[[#This Row],[UnsubTot]]/3)/1.01062,0)</f>
        <v>659</v>
      </c>
      <c r="EQ46" s="235">
        <f>IF(Table1[D/I]="I",6000,2000)</f>
        <v>2000</v>
      </c>
      <c r="ER46" s="240">
        <f>Table1[[#This Row],[UnsubTot]]*0.01059</f>
        <v>21.18</v>
      </c>
      <c r="ES46" s="234">
        <f>ROUND((Table1[[#This Row],[PLUSTot]]/3)/1.04236,0)</f>
        <v>0</v>
      </c>
      <c r="ET46" s="234">
        <f>ROUND((Table1[[#This Row],[PLUSTot]]/3)/1.04236,0)</f>
        <v>0</v>
      </c>
      <c r="EU46" s="234">
        <f>ROUND((Table1[[#This Row],[PLUSTot]]/3)/1.04236,0)</f>
        <v>0</v>
      </c>
      <c r="EV46" s="235">
        <v>0</v>
      </c>
      <c r="EW46" s="239">
        <f>Table1[[#This Row],[PLUSTot]]*0.04248</f>
        <v>0</v>
      </c>
      <c r="EX46" s="237"/>
      <c r="EY46" s="237"/>
      <c r="EZ46" s="237"/>
      <c r="FA46" s="232">
        <f>SUM(Table1[[#This Row],[PrivQ1]:[PrivQ3]])</f>
        <v>0</v>
      </c>
      <c r="FB46" s="237"/>
      <c r="FC46" s="237"/>
      <c r="FD46" s="237"/>
      <c r="FE46" s="232">
        <f>SUM(Table1[[#This Row],[TOQ1]:[TOQ3]])</f>
        <v>0</v>
      </c>
      <c r="FF46" s="237"/>
      <c r="FG46" s="237"/>
      <c r="FH46" s="237"/>
      <c r="FI46" s="232">
        <f>SUM(Table1[[#This Row],[OFundQ1]:[OFundQ3]])</f>
        <v>0</v>
      </c>
      <c r="FJ46" s="239">
        <f>(Table1[[#This Row],[SubTot]]-Table1[[#This Row],[SubFee]])+(Table1[[#This Row],[UnsubTot]]-Table1[[#This Row],[UnsubFee]])+(Table1[[#This Row],[PLUSTot]]-Table1[[#This Row],[PLUSFee]])+Table1[[#This Row],[PrivTot]]+Table1[[#This Row],[TOTot]]+Table1[[#This Row],[OFundTot]]</f>
        <v>5441.7550000000001</v>
      </c>
      <c r="FK46" s="125">
        <f>Table1[[#This Row],[CostTot]]-Table1[[#This Row],[GiftTot]]</f>
        <v>35615</v>
      </c>
      <c r="FL46" s="130">
        <f>Table1[[#This Row],[NetNeed]]/(1-0.04248)</f>
        <v>31511.869203776419</v>
      </c>
      <c r="FM46" s="131">
        <f>Table1[[#This Row],[NetCost]]-Table1[[#This Row],[CashTot]]-(Table1[[#This Row],[SubTot]]-Table1[[#This Row],[SubFee]])-(Table1[[#This Row],[UnsubTot]]-Table1[[#This Row],[UnsubFee]])-(Table1[[#This Row],[PLUSTot]]-Table1[[#This Row],[PLUSFee]])-Table1[[#This Row],[PrivTot]]-Table1[[#This Row],[TOTot]]-Table1[[#This Row],[OFundTot]]</f>
        <v>30173.244999999999</v>
      </c>
      <c r="FN46" s="161"/>
      <c r="FO46" s="113"/>
      <c r="FP46" s="113"/>
    </row>
    <row r="47" spans="1:172" s="160" customFormat="1" ht="15" x14ac:dyDescent="0.25">
      <c r="A47" s="311">
        <v>199233</v>
      </c>
      <c r="B47" s="113" t="str">
        <f>VLOOKUP(Table1[[#This Row],[SyStudentId]],SSR!$A$2:$CC$4982,4,FALSE)</f>
        <v>Nair</v>
      </c>
      <c r="C47" s="113" t="str">
        <f>VLOOKUP(Table1[[#This Row],[SyStudentId]],SSR!$A$2:$CC$4982,5,FALSE)</f>
        <v>Manya</v>
      </c>
      <c r="D47" s="113" t="str">
        <f>VLOOKUP(Table1[[#This Row],[SyStudentId]],SSR!$A$2:$CC$4982,6,FALSE)</f>
        <v>Nair, Manya</v>
      </c>
      <c r="E47" s="113" t="str">
        <f>CONCATENATE(Table1[[#This Row],[FirstName]]," ",Table1[[#This Row],[LastName]])</f>
        <v>Manya Nair</v>
      </c>
      <c r="F47" s="112"/>
      <c r="G47" s="114"/>
      <c r="H47" s="114"/>
      <c r="I47" s="114"/>
      <c r="J47" s="115" t="s">
        <v>5593</v>
      </c>
      <c r="K47" s="116"/>
      <c r="L47" s="112" t="str">
        <f>IFERROR(VLOOKUP(Table1[[#This Row],[SyStudentId]],ISIR!$A$2:$X$999,11,FALSE),"")</f>
        <v/>
      </c>
      <c r="M47" s="113" t="str">
        <f>VLOOKUP(Table1[[#This Row],[SyStudentId]],SSR!$A$2:$CC$4982,7,FALSE)</f>
        <v>manya.nair@gmail.com</v>
      </c>
      <c r="N47" s="113" t="str">
        <f>VLOOKUP(Table1[[#This Row],[SyStudentId]],SSR!$A$2:$CC$4982,8,FALSE)</f>
        <v>11404 S OVERSHINE LN</v>
      </c>
      <c r="O47" s="113" t="str">
        <f>VLOOKUP(Table1[[#This Row],[SyStudentId]],SSR!$A$2:$CC$4982,9,FALSE)</f>
        <v>SOUTH JORDAN</v>
      </c>
      <c r="P47" s="113" t="str">
        <f>VLOOKUP(Table1[[#This Row],[SyStudentId]],SSR!$A$2:$CC$4982,10,FALSE)</f>
        <v>UT</v>
      </c>
      <c r="Q47" s="117" t="str">
        <f>VLOOKUP(Table1[[#This Row],[SyStudentId]],SSR!$A$2:$CC$4982,11,FALSE)</f>
        <v xml:space="preserve">84009     </v>
      </c>
      <c r="R47" s="118">
        <f>VLOOKUP(Table1[[#This Row],[SyStudentId]],SSR!$A$2:$CC$4982,15,FALSE)</f>
        <v>3.1219999999999999</v>
      </c>
      <c r="S47" s="119">
        <f>VLOOKUP(Table1[[#This Row],[SyStudentId]],SSR!$A$2:$CC$4982,22,FALSE)</f>
        <v>44109</v>
      </c>
      <c r="T47" s="113" t="str">
        <f>VLOOKUP(Table1[[#This Row],[SyStudentId]],SSR!$A$2:$CC$4982,24,FALSE)</f>
        <v>MR</v>
      </c>
      <c r="U47" s="113" t="str">
        <f>IF(VLOOKUP(Table1[[#This Row],[SyStudentId]],SSR!$A$2:$CC$4982,26,FALSE)=0,"Not Selected",VLOOKUP(Table1[[#This Row],[SyStudentId]],SSR!$A$2:$CC$4982,26,FALSE))</f>
        <v>Female</v>
      </c>
      <c r="V47" s="113" t="str">
        <f>VLOOKUP(Table1[[#This Row],[SyStudentId]],SSR!$A$2:$CC$4982,27,FALSE)</f>
        <v xml:space="preserve">HS2020  </v>
      </c>
      <c r="W47" s="113" t="str">
        <f>VLOOKUP(LEFT(Table1[[#This Row],[LastName]],1),Alpha!$A$1:$B$26,2,FALSE)</f>
        <v>Maureen Ranks</v>
      </c>
      <c r="X47" s="149" t="str">
        <f>VLOOKUP(Table1[[#This Row],[FAA]],Alpha!$B$1:$D$26,2,FALSE)</f>
        <v>mranks@neumont.edu</v>
      </c>
      <c r="Y47" s="113">
        <f>VLOOKUP(Table1[[#This Row],[FAA]],Alpha!$B$1:$D$26,3,FALSE)</f>
        <v>8883022894</v>
      </c>
      <c r="Z47" s="113" t="str">
        <f>VLOOKUP(Table1[[#This Row],[SyStudentId]],SSR!$A$2:$CC$4982,30,FALSE)</f>
        <v>16-Accepted</v>
      </c>
      <c r="AA47" s="113" t="str">
        <f>IF(VLOOKUP(Table1[[#This Row],[SyStudentId]],SSR!$A$2:$CC$4982,36,FALSE)="Bachelor of Science","BS Computer Science","Check Program")</f>
        <v>BS Computer Science</v>
      </c>
      <c r="AB47" s="113" t="str">
        <f>VLOOKUP(Table1[[#This Row],[SyStudentId]],SSR!$A$2:$CC$4982,37,FALSE)</f>
        <v xml:space="preserve">27      </v>
      </c>
      <c r="AC47" s="113">
        <f>VLOOKUP(Table1[[#This Row],[SyStudentId]],SSR!$A$2:$CC$4982,42,FALSE)</f>
        <v>0</v>
      </c>
      <c r="AD47" s="113" t="str">
        <f>VLOOKUP(Table1[[#This Row],[SyStudentId]],SSR!$A$2:$CC$4982,46,FALSE)</f>
        <v>110</v>
      </c>
      <c r="AE47" s="113" t="str">
        <f>VLOOKUP(Table1[[#This Row],[SyStudentId]],SSR!$A$2:$CC$4982,65,FALSE)</f>
        <v>I</v>
      </c>
      <c r="AF47"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47" s="113" t="str">
        <f>VLOOKUP(Table1[[#This Row],[SyStudentId]],SSR!$A$2:$CC$4982,66,FALSE)</f>
        <v>November</v>
      </c>
      <c r="AH47" s="113" t="str">
        <f>IFERROR(VLOOKUP(Table1[[#This Row],[SyStudentId]],ISIR!$A$2:$X$999,7,FALSE),"")</f>
        <v/>
      </c>
      <c r="AI47" s="121" t="str">
        <f>IF(Table1[[#This Row],[EFCRaw]]="","",IF(Table1[[#This Row],[EFCRaw]]="No EFC","No EFC",_xlfn.NUMBERVALUE(Table1[[#This Row],[EFCRaw]])))</f>
        <v/>
      </c>
      <c r="AJ47" s="119" t="str">
        <f>IFERROR(VLOOKUP(Table1[[#This Row],[SyStudentId]],ISIR!$A$2:$X$4999,19,FALSE),"")</f>
        <v/>
      </c>
      <c r="AK47" s="113" t="str">
        <f>IFERROR(VLOOKUP(Table1[[#This Row],[SyStudentId]],ISIR!$A$2:$X$4999,8,FALSE),"")</f>
        <v/>
      </c>
      <c r="AL47" s="132" t="str">
        <f>IF(Table1[[#This Row],[VerReq]]="N","n/a","")</f>
        <v/>
      </c>
      <c r="AM47" s="122"/>
      <c r="AN47" s="122"/>
      <c r="AO47" s="122"/>
      <c r="AP47" s="122"/>
      <c r="AQ47" s="122"/>
      <c r="AR47" s="122"/>
      <c r="AS47" s="122"/>
      <c r="AT47" s="122"/>
      <c r="AU47" s="122"/>
      <c r="AV47" s="122"/>
      <c r="AW47" s="122"/>
      <c r="AX47" s="122"/>
      <c r="AY47" s="122"/>
      <c r="AZ47" s="122"/>
      <c r="BA47" s="122"/>
      <c r="BB47" s="122"/>
      <c r="BC47" s="133"/>
      <c r="BD47" s="140" t="str">
        <f>IF(Table1[[#This Row],[VerReq]]="N","x","")</f>
        <v/>
      </c>
      <c r="BE47" s="140" t="str">
        <f>IF(Table1[[#This Row],[VerReq]]="N","x","")</f>
        <v/>
      </c>
      <c r="BF47" s="140" t="str">
        <f>IF(Table1[[#This Row],[VerReq]]="N","x","")</f>
        <v/>
      </c>
      <c r="BG47" s="140" t="str">
        <f>IF(Table1[[#This Row],[VerReq]]="N","x","")</f>
        <v/>
      </c>
      <c r="BH47" s="140" t="str">
        <f>IF(Table1[[#This Row],[VerReq]]="N","x","")</f>
        <v/>
      </c>
      <c r="BI47" s="140" t="str">
        <f>IF(Table1[[#This Row],[VerReq]]="N","x","")</f>
        <v/>
      </c>
      <c r="BJ47" s="123">
        <f>1-((COUNTBLANK(Table1[[#This Row],[ALESent]:[TaxTran]]))/(COUNT(Table1[[#This Row],[ALESent]:[TaxTran]])+COUNTBLANK(Table1[[#This Row],[ALESent]:[TaxTran]])))</f>
        <v>0</v>
      </c>
      <c r="BK47" s="136">
        <f>IF(VLOOKUP(Table1[[#This Row],[SyStudentId]],SSR!$A$2:$CC$4982,22,FALSE)=44109,44109,"Check Program")</f>
        <v>44109</v>
      </c>
      <c r="BL47" s="124">
        <f>IF(Table1[[#This Row],[AYStart]]=44109,44356,"Check Program")</f>
        <v>44356</v>
      </c>
      <c r="BM47" s="219">
        <v>8505</v>
      </c>
      <c r="BN47" s="219">
        <v>8505</v>
      </c>
      <c r="BO47" s="219">
        <v>8505</v>
      </c>
      <c r="BP47" s="220">
        <f t="shared" si="0"/>
        <v>25515</v>
      </c>
      <c r="BQ47" s="221">
        <v>3300</v>
      </c>
      <c r="BR47" s="219">
        <v>400</v>
      </c>
      <c r="BS47" s="219">
        <v>400</v>
      </c>
      <c r="BT47" s="220">
        <f t="shared" si="1"/>
        <v>4100</v>
      </c>
      <c r="BU47" s="219">
        <v>2100</v>
      </c>
      <c r="BV47" s="219">
        <v>2100</v>
      </c>
      <c r="BW47" s="219">
        <v>2100</v>
      </c>
      <c r="BX47" s="220">
        <f t="shared" si="2"/>
        <v>6300</v>
      </c>
      <c r="BY47" s="275">
        <v>1200</v>
      </c>
      <c r="BZ47" s="275">
        <v>1200</v>
      </c>
      <c r="CA47" s="275">
        <v>1200</v>
      </c>
      <c r="CB47" s="220">
        <f>SUM(Table1[[#This Row],[LEQ1]:[LEQ3]])</f>
        <v>3600</v>
      </c>
      <c r="CC47" s="275"/>
      <c r="CD47" s="275"/>
      <c r="CE47" s="275"/>
      <c r="CF47" s="220">
        <f>SUM(Table1[[#This Row],[OthCostQ1]:[OthCostQ3]])</f>
        <v>0</v>
      </c>
      <c r="CG47" s="220">
        <f>(Table1[[#This Row],[T&amp;FTot]]+Table1[[#This Row],[B&amp;STot]]+Table1[[#This Row],[HousTot]]+Table1[[#This Row],[LETot]]+Table1[[#This Row],[OthCostTot]])</f>
        <v>39515</v>
      </c>
      <c r="CH47" s="250"/>
      <c r="CI47" s="250"/>
      <c r="CJ47" s="250"/>
      <c r="CK47" s="251">
        <f>SUM(Table1[[#This Row],[SEOGQ1]:[SEOGQ3]])</f>
        <v>0</v>
      </c>
      <c r="CL47" s="250">
        <f>IFERROR(ROUNDUP(Table1[[#This Row],[PellTot]]/3,0),0)</f>
        <v>0</v>
      </c>
      <c r="CM47" s="250">
        <f>IFERROR(ROUND(Table1[[#This Row],[PellTot]]/3,0),0)</f>
        <v>0</v>
      </c>
      <c r="CN47" s="250">
        <f>IFERROR(ROUNDDOWN(Table1[[#This Row],[PellTot]]/3,0),0)</f>
        <v>0</v>
      </c>
      <c r="CO47" s="251">
        <f>IFERROR(LOOKUP(Table1[EFC],Pell_Table[#Data],Pell_Table[Pell Amt]),0)</f>
        <v>0</v>
      </c>
      <c r="CP47" s="250">
        <f>Table1[[#This Row],[AccessTot]]/3</f>
        <v>0</v>
      </c>
      <c r="CQ47" s="250">
        <f>Table1[[#This Row],[AccessTot]]/3</f>
        <v>0</v>
      </c>
      <c r="CR47" s="250">
        <f>Table1[[#This Row],[AccessTot]]/3</f>
        <v>0</v>
      </c>
      <c r="CS47" s="251">
        <f>IF(Table1[[#This Row],[PellTot]]&gt;0,1500,0)</f>
        <v>0</v>
      </c>
      <c r="CT47" s="250">
        <f>Table1[[#This Row],[AchiTot]]/3</f>
        <v>1700</v>
      </c>
      <c r="CU47" s="250">
        <f>Table1[[#This Row],[AchiTot]]/3</f>
        <v>1700</v>
      </c>
      <c r="CV47" s="250">
        <f>Table1[[#This Row],[AchiTot]]/3</f>
        <v>1700</v>
      </c>
      <c r="CW47" s="252">
        <f>IF(Table1[[#This Row],[Rank]]="","",IF(Table1[[#This Row],[Rank]]=1,5100,IF(Table1[[#This Row],[Rank]]=2,4500,IF(Table1[[#This Row],[Rank]]=3,3900,IF(Table1[[#This Row],[Rank]]=4,3750,IF(Table1[[#This Row],[Rank]]=5,3000,IF(Table1[[#This Row],[Rank]]=6,2250,0)))))))</f>
        <v>5100</v>
      </c>
      <c r="CX47" s="250">
        <f>Table1[[#This Row],[UTTot]]/3</f>
        <v>3000</v>
      </c>
      <c r="CY47" s="250">
        <f>Table1[[#This Row],[UTTot]]/3</f>
        <v>3000</v>
      </c>
      <c r="CZ47" s="250">
        <f>Table1[[#This Row],[UTTot]]/3</f>
        <v>3000</v>
      </c>
      <c r="DA47" s="251">
        <f>IF(Table1[[#This Row],[State]]="UT",9000,0)</f>
        <v>9000</v>
      </c>
      <c r="DB47" s="250">
        <f>Table1[[#This Row],[WITTot]]/3</f>
        <v>1000</v>
      </c>
      <c r="DC47" s="250">
        <f>Table1[[#This Row],[WITTot]]/3</f>
        <v>1000</v>
      </c>
      <c r="DD47" s="250">
        <f>Table1[[#This Row],[WITTot]]/3</f>
        <v>1000</v>
      </c>
      <c r="DE47" s="251">
        <f>IF(Table1[[#This Row],[Gender]]="Female",3000,0)</f>
        <v>3000</v>
      </c>
      <c r="DF47" s="250">
        <f>Table1[[#This Row],[SerTot]]/3</f>
        <v>0</v>
      </c>
      <c r="DG47" s="250">
        <f>Table1[[#This Row],[SerTot]]/3</f>
        <v>0</v>
      </c>
      <c r="DH47" s="250">
        <f>Table1[[#This Row],[SerTot]]/3</f>
        <v>0</v>
      </c>
      <c r="DI47" s="252"/>
      <c r="DJ47" s="250"/>
      <c r="DK47" s="250"/>
      <c r="DL47" s="250"/>
      <c r="DM47" s="252"/>
      <c r="DN47" s="250">
        <f>Table1[[#This Row],[MatTot]]/3</f>
        <v>0</v>
      </c>
      <c r="DO47" s="250">
        <f>Table1[[#This Row],[MatTot]]/3</f>
        <v>0</v>
      </c>
      <c r="DP47" s="250">
        <f>Table1[[#This Row],[MatTot]]/3</f>
        <v>0</v>
      </c>
      <c r="DQ47" s="252"/>
      <c r="DR47" s="250">
        <f>Table1[[#This Row],[OutTot]]/3</f>
        <v>0</v>
      </c>
      <c r="DS47" s="250">
        <f>Table1[[#This Row],[OutTot]]/3</f>
        <v>0</v>
      </c>
      <c r="DT47" s="250">
        <f>Table1[[#This Row],[OutTot]]/3</f>
        <v>0</v>
      </c>
      <c r="DU47" s="252"/>
      <c r="DV47" s="250"/>
      <c r="DW47" s="250"/>
      <c r="DX47" s="250"/>
      <c r="DY47" s="252">
        <f>SUM(Table1[[#This Row],[VAQ1]:[VAQ3]])</f>
        <v>0</v>
      </c>
      <c r="DZ47" s="250"/>
      <c r="EA47" s="250"/>
      <c r="EB47" s="250"/>
      <c r="EC47" s="252">
        <f>SUM(Table1[[#This Row],[OthGrantQ1]:[OthGrantQ3]])</f>
        <v>0</v>
      </c>
      <c r="ED47" s="263">
        <f>Table1[[#This Row],[SEOGTot]]+Table1[[#This Row],[PellTot]]+Table1[[#This Row],[AccessTot]]+Table1[[#This Row],[AchiTot]]+Table1[[#This Row],[UTTot]]+Table1[[#This Row],[WITTot]]+Table1[[#This Row],[SerTot]]+Table1[[#This Row],[TranTot]]+Table1[[#This Row],[MatTot]]+Table1[[#This Row],[OutTot]]+Table1[[#This Row],[VATot]]+Table1[[#This Row],[OthGrantTot]]</f>
        <v>17100</v>
      </c>
      <c r="EE47" s="249"/>
      <c r="EF47" s="237"/>
      <c r="EG47" s="237"/>
      <c r="EH47" s="232">
        <f>SUM(Table1[[#This Row],[CashQ1]]:Table1[[#This Row],[CashQ3]])</f>
        <v>0</v>
      </c>
      <c r="EI47" s="271">
        <f>ROUND((Table1[[#This Row],[SubTot]]/3)/1.01059,0)</f>
        <v>1154</v>
      </c>
      <c r="EJ47" s="234">
        <f>ROUND((Table1[[#This Row],[SubTot]]/3)/1.01059,0)</f>
        <v>1154</v>
      </c>
      <c r="EK47" s="234">
        <f>ROUNDUP((Table1[[#This Row],[SubTot]]/3)/1.01059,0)</f>
        <v>1155</v>
      </c>
      <c r="EL47" s="235">
        <v>3500</v>
      </c>
      <c r="EM47" s="240">
        <f>Table1[[#This Row],[SubTot]]*0.01059</f>
        <v>37.065000000000005</v>
      </c>
      <c r="EN47" s="234">
        <f>ROUND((Table1[[#This Row],[UnsubTot]]/3)/1.01062,0)</f>
        <v>660</v>
      </c>
      <c r="EO47" s="234">
        <f>ROUND((Table1[[#This Row],[UnsubTot]]/3)/1.01062,0)</f>
        <v>660</v>
      </c>
      <c r="EP47" s="234">
        <f>ROUNDDOWN((Table1[[#This Row],[UnsubTot]]/3)/1.01062,0)</f>
        <v>659</v>
      </c>
      <c r="EQ47" s="235">
        <f>IF(Table1[D/I]="I",6000,2000)</f>
        <v>2000</v>
      </c>
      <c r="ER47" s="240">
        <f>Table1[[#This Row],[UnsubTot]]*0.01062</f>
        <v>21.24</v>
      </c>
      <c r="ES47" s="234">
        <f>ROUND((Table1[[#This Row],[PLUSTot]]/3)/1.04248,0)</f>
        <v>0</v>
      </c>
      <c r="ET47" s="234">
        <f>ROUND((Table1[[#This Row],[PLUSTot]]/3)/1.04248,0)</f>
        <v>0</v>
      </c>
      <c r="EU47" s="234">
        <f>ROUND((Table1[[#This Row],[PLUSTot]]/3)/1.04248,0)</f>
        <v>0</v>
      </c>
      <c r="EV47" s="235"/>
      <c r="EW47" s="239">
        <f>Table1[[#This Row],[PLUSTot]]*0.04248</f>
        <v>0</v>
      </c>
      <c r="EX47" s="237"/>
      <c r="EY47" s="237"/>
      <c r="EZ47" s="237"/>
      <c r="FA47" s="232">
        <f>SUM(Table1[[#This Row],[PrivQ1]:[PrivQ3]])</f>
        <v>0</v>
      </c>
      <c r="FB47" s="237"/>
      <c r="FC47" s="237"/>
      <c r="FD47" s="237"/>
      <c r="FE47" s="232">
        <f>SUM(Table1[[#This Row],[TOQ1]:[TOQ3]])</f>
        <v>0</v>
      </c>
      <c r="FF47" s="237"/>
      <c r="FG47" s="237"/>
      <c r="FH47" s="237"/>
      <c r="FI47" s="232">
        <f>SUM(Table1[[#This Row],[OFundQ1]:[OFundQ3]])</f>
        <v>0</v>
      </c>
      <c r="FJ47" s="239">
        <f>(Table1[[#This Row],[SubTot]]-Table1[[#This Row],[SubFee]])+(Table1[[#This Row],[UnsubTot]]-Table1[[#This Row],[UnsubFee]])+(Table1[[#This Row],[PLUSTot]]-Table1[[#This Row],[PLUSFee]])+Table1[[#This Row],[PrivTot]]+Table1[[#This Row],[TOTot]]+Table1[[#This Row],[OFundTot]]</f>
        <v>5441.6949999999997</v>
      </c>
      <c r="FK47" s="125">
        <f>Table1[[#This Row],[CostTot]]-Table1[[#This Row],[GiftTot]]</f>
        <v>22415</v>
      </c>
      <c r="FL47" s="130">
        <f>Table1[[#This Row],[NetNeed]]/(1-0.04248)</f>
        <v>17726.319032500625</v>
      </c>
      <c r="FM47" s="131">
        <f>Table1[[#This Row],[NetCost]]-Table1[[#This Row],[CashTot]]-(Table1[[#This Row],[SubTot]]-Table1[[#This Row],[SubFee]])-(Table1[[#This Row],[UnsubTot]]-Table1[[#This Row],[UnsubFee]])-(Table1[[#This Row],[PLUSTot]]-Table1[[#This Row],[PLUSFee]])-Table1[[#This Row],[PrivTot]]-Table1[[#This Row],[TOTot]]-Table1[[#This Row],[OFundTot]]</f>
        <v>16973.305</v>
      </c>
      <c r="FN47" s="161"/>
      <c r="FO47" s="113"/>
      <c r="FP47" s="113"/>
    </row>
    <row r="48" spans="1:172" s="160" customFormat="1" ht="15" x14ac:dyDescent="0.25">
      <c r="A48" s="311">
        <v>197799</v>
      </c>
      <c r="B48" s="113" t="str">
        <f>VLOOKUP(Table1[[#This Row],[SyStudentId]],SSR!$A$2:$CC$4982,4,FALSE)</f>
        <v>Navarrete</v>
      </c>
      <c r="C48" s="113" t="str">
        <f>VLOOKUP(Table1[[#This Row],[SyStudentId]],SSR!$A$2:$CC$4982,5,FALSE)</f>
        <v>Luis</v>
      </c>
      <c r="D48" s="113" t="str">
        <f>VLOOKUP(Table1[[#This Row],[SyStudentId]],SSR!$A$2:$CC$4982,6,FALSE)</f>
        <v>Navarrete, Luis</v>
      </c>
      <c r="E48" s="113" t="str">
        <f>CONCATENATE(Table1[[#This Row],[FirstName]]," ",Table1[[#This Row],[LastName]])</f>
        <v>Luis Navarrete</v>
      </c>
      <c r="F48" s="112">
        <v>1</v>
      </c>
      <c r="G48" s="114"/>
      <c r="H48" s="114"/>
      <c r="I48" s="114">
        <v>43776</v>
      </c>
      <c r="J48" s="115"/>
      <c r="K48" s="116"/>
      <c r="L48" s="112" t="str">
        <f>IFERROR(VLOOKUP(Table1[[#This Row],[SyStudentId]],ISIR!$A$2:$X$999,11,FALSE),"")</f>
        <v/>
      </c>
      <c r="M48" s="113" t="str">
        <f>VLOOKUP(Table1[[#This Row],[SyStudentId]],SSR!$A$2:$CC$4982,7,FALSE)</f>
        <v>luiginava22@gmail.com</v>
      </c>
      <c r="N48" s="113" t="str">
        <f>VLOOKUP(Table1[[#This Row],[SyStudentId]],SSR!$A$2:$CC$4982,8,FALSE)</f>
        <v>803 W Pomona Blvd, Apt #B</v>
      </c>
      <c r="O48" s="113" t="str">
        <f>VLOOKUP(Table1[[#This Row],[SyStudentId]],SSR!$A$2:$CC$4982,9,FALSE)</f>
        <v>Monterey Park</v>
      </c>
      <c r="P48" s="290" t="str">
        <f>VLOOKUP(Table1[[#This Row],[SyStudentId]],SSR!$A$2:$CC$4982,10,FALSE)</f>
        <v>CA</v>
      </c>
      <c r="Q48" s="117" t="str">
        <f>VLOOKUP(Table1[[#This Row],[SyStudentId]],SSR!$A$2:$CC$4982,11,FALSE)</f>
        <v xml:space="preserve">91754     </v>
      </c>
      <c r="R48" s="118">
        <f>VLOOKUP(Table1[[#This Row],[SyStudentId]],SSR!$A$2:$CC$4982,15,FALSE)</f>
        <v>3.13</v>
      </c>
      <c r="S48" s="119">
        <f>VLOOKUP(Table1[[#This Row],[SyStudentId]],SSR!$A$2:$CC$4982,22,FALSE)</f>
        <v>44109</v>
      </c>
      <c r="T48" s="113" t="str">
        <f>VLOOKUP(Table1[[#This Row],[SyStudentId]],SSR!$A$2:$CC$4982,24,FALSE)</f>
        <v>JT</v>
      </c>
      <c r="U48" s="113" t="str">
        <f>IF(VLOOKUP(Table1[[#This Row],[SyStudentId]],SSR!$A$2:$CC$4982,26,FALSE)=0,"Not Selected",VLOOKUP(Table1[[#This Row],[SyStudentId]],SSR!$A$2:$CC$4982,26,FALSE))</f>
        <v>Male</v>
      </c>
      <c r="V48" s="113" t="str">
        <f>VLOOKUP(Table1[[#This Row],[SyStudentId]],SSR!$A$2:$CC$4982,27,FALSE)</f>
        <v xml:space="preserve">HS2020  </v>
      </c>
      <c r="W48" s="113" t="str">
        <f>VLOOKUP(LEFT(Table1[[#This Row],[LastName]],1),Alpha!$A$1:$B$26,2,FALSE)</f>
        <v>Maureen Ranks</v>
      </c>
      <c r="X48" s="149" t="str">
        <f>VLOOKUP(Table1[[#This Row],[FAA]],Alpha!$B$1:$D$26,2,FALSE)</f>
        <v>mranks@neumont.edu</v>
      </c>
      <c r="Y48" s="113">
        <f>VLOOKUP(Table1[[#This Row],[FAA]],Alpha!$B$1:$D$26,3,FALSE)</f>
        <v>8883022894</v>
      </c>
      <c r="Z48" s="113" t="str">
        <f>VLOOKUP(Table1[[#This Row],[SyStudentId]],SSR!$A$2:$CC$4982,30,FALSE)</f>
        <v>16-Accepted</v>
      </c>
      <c r="AA48" s="113" t="str">
        <f>IF(VLOOKUP(Table1[[#This Row],[SyStudentId]],SSR!$A$2:$CC$4982,36,FALSE)="Bachelor of Science","BS Computer Science","Check Program")</f>
        <v>BS Computer Science</v>
      </c>
      <c r="AB48" s="113">
        <f>VLOOKUP(Table1[[#This Row],[SyStudentId]],SSR!$A$2:$CC$4982,37,FALSE)</f>
        <v>0</v>
      </c>
      <c r="AC48" s="113">
        <f>VLOOKUP(Table1[[#This Row],[SyStudentId]],SSR!$A$2:$CC$4982,42,FALSE)</f>
        <v>0</v>
      </c>
      <c r="AD48" s="113" t="str">
        <f>VLOOKUP(Table1[[#This Row],[SyStudentId]],SSR!$A$2:$CC$4982,46,FALSE)</f>
        <v>0</v>
      </c>
      <c r="AE48" s="113" t="str">
        <f>VLOOKUP(Table1[[#This Row],[SyStudentId]],SSR!$A$2:$CC$4982,65,FALSE)</f>
        <v>IX</v>
      </c>
      <c r="AF48"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48" s="113" t="str">
        <f>VLOOKUP(Table1[[#This Row],[SyStudentId]],SSR!$A$2:$CC$4982,66,FALSE)</f>
        <v>July-October</v>
      </c>
      <c r="AH48" s="113" t="str">
        <f>IFERROR(VLOOKUP(Table1[[#This Row],[SyStudentId]],ISIR!$A$2:$X$999,7,FALSE),"")</f>
        <v/>
      </c>
      <c r="AI48" s="121" t="str">
        <f>IF(Table1[[#This Row],[EFCRaw]]="","",IF(Table1[[#This Row],[EFCRaw]]="No EFC","No EFC",_xlfn.NUMBERVALUE(Table1[[#This Row],[EFCRaw]])))</f>
        <v/>
      </c>
      <c r="AJ48" s="119" t="str">
        <f>IFERROR(VLOOKUP(Table1[[#This Row],[SyStudentId]],ISIR!$A$2:$X$4999,19,FALSE),"")</f>
        <v/>
      </c>
      <c r="AK48" s="113" t="str">
        <f>IFERROR(VLOOKUP(Table1[[#This Row],[SyStudentId]],ISIR!$A$2:$X$4999,8,FALSE),"")</f>
        <v/>
      </c>
      <c r="AL48" s="132" t="str">
        <f>IF(Table1[[#This Row],[VerReq]]="N","n/a","")</f>
        <v/>
      </c>
      <c r="AM48" s="122"/>
      <c r="AN48" s="122"/>
      <c r="AO48" s="122">
        <v>43767</v>
      </c>
      <c r="AP48" s="122"/>
      <c r="AQ48" s="122"/>
      <c r="AR48" s="122"/>
      <c r="AS48" s="122"/>
      <c r="AT48" s="122"/>
      <c r="AU48" s="122"/>
      <c r="AV48" s="122"/>
      <c r="AW48" s="122"/>
      <c r="AX48" s="122"/>
      <c r="AY48" s="122"/>
      <c r="AZ48" s="122"/>
      <c r="BA48" s="122"/>
      <c r="BB48" s="122"/>
      <c r="BC48" s="133"/>
      <c r="BD48" s="140" t="str">
        <f>IF(Table1[[#This Row],[VerReq]]="N","x","")</f>
        <v/>
      </c>
      <c r="BE48" s="140" t="str">
        <f>IF(Table1[[#This Row],[VerReq]]="N","x","")</f>
        <v/>
      </c>
      <c r="BF48" s="140" t="str">
        <f>IF(Table1[[#This Row],[VerReq]]="N","x","")</f>
        <v/>
      </c>
      <c r="BG48" s="140" t="str">
        <f>IF(Table1[[#This Row],[VerReq]]="N","x","")</f>
        <v/>
      </c>
      <c r="BH48" s="140" t="str">
        <f>IF(Table1[[#This Row],[VerReq]]="N","x","")</f>
        <v/>
      </c>
      <c r="BI48" s="140" t="str">
        <f>IF(Table1[[#This Row],[VerReq]]="N","x","")</f>
        <v/>
      </c>
      <c r="BJ48" s="123">
        <f>1-((COUNTBLANK(Table1[[#This Row],[ALESent]:[TaxTran]]))/(COUNT(Table1[[#This Row],[ALESent]:[TaxTran]])+COUNTBLANK(Table1[[#This Row],[ALESent]:[TaxTran]])))</f>
        <v>4.3478260869565188E-2</v>
      </c>
      <c r="BK48" s="136">
        <f>IF(VLOOKUP(Table1[[#This Row],[SyStudentId]],SSR!$A$2:$CC$4982,22,FALSE)=44109,44109,"Check Program")</f>
        <v>44109</v>
      </c>
      <c r="BL48" s="124">
        <f>IF(Table1[[#This Row],[AYStart]]=44109,44356,"Check Program")</f>
        <v>44356</v>
      </c>
      <c r="BM48" s="219">
        <v>8505</v>
      </c>
      <c r="BN48" s="219">
        <v>8505</v>
      </c>
      <c r="BO48" s="219">
        <v>8505</v>
      </c>
      <c r="BP48" s="220">
        <f t="shared" si="0"/>
        <v>25515</v>
      </c>
      <c r="BQ48" s="221">
        <v>3300</v>
      </c>
      <c r="BR48" s="219">
        <v>400</v>
      </c>
      <c r="BS48" s="219">
        <v>400</v>
      </c>
      <c r="BT48" s="220">
        <f t="shared" si="1"/>
        <v>4100</v>
      </c>
      <c r="BU48" s="219">
        <v>2100</v>
      </c>
      <c r="BV48" s="219">
        <v>2100</v>
      </c>
      <c r="BW48" s="219">
        <v>2100</v>
      </c>
      <c r="BX48" s="220">
        <f t="shared" si="2"/>
        <v>6300</v>
      </c>
      <c r="BY48" s="275">
        <v>1200</v>
      </c>
      <c r="BZ48" s="275">
        <v>1200</v>
      </c>
      <c r="CA48" s="275">
        <v>1200</v>
      </c>
      <c r="CB48" s="220">
        <f>SUM(Table1[[#This Row],[LEQ1]:[LEQ3]])</f>
        <v>3600</v>
      </c>
      <c r="CC48" s="275">
        <v>0</v>
      </c>
      <c r="CD48" s="275">
        <v>0</v>
      </c>
      <c r="CE48" s="275">
        <v>0</v>
      </c>
      <c r="CF48" s="220">
        <f>SUM(Table1[[#This Row],[OthCostQ1]:[OthCostQ3]])</f>
        <v>0</v>
      </c>
      <c r="CG48" s="220">
        <f>(Table1[[#This Row],[T&amp;FTot]]+Table1[[#This Row],[B&amp;STot]]+Table1[[#This Row],[HousTot]]+Table1[[#This Row],[LETot]]+Table1[[#This Row],[OthCostTot]])</f>
        <v>39515</v>
      </c>
      <c r="CH48" s="250"/>
      <c r="CI48" s="250"/>
      <c r="CJ48" s="250"/>
      <c r="CK48" s="251">
        <f>SUM(Table1[[#This Row],[SEOGQ1]:[SEOGQ3]])</f>
        <v>0</v>
      </c>
      <c r="CL48" s="250">
        <f>IFERROR(ROUNDUP(Table1[[#This Row],[PellTot]]/3,0),0)</f>
        <v>0</v>
      </c>
      <c r="CM48" s="250">
        <f>IFERROR(ROUND(Table1[[#This Row],[PellTot]]/3,0),0)</f>
        <v>0</v>
      </c>
      <c r="CN48" s="250">
        <f>IFERROR(ROUNDDOWN(Table1[[#This Row],[PellTot]]/3,0),0)</f>
        <v>0</v>
      </c>
      <c r="CO48" s="251">
        <f>IFERROR(LOOKUP(Table1[EFC],Pell_Table[#Data],Pell_Table[Pell Amt]),0)</f>
        <v>0</v>
      </c>
      <c r="CP48" s="250">
        <f>Table1[[#This Row],[AccessTot]]/3</f>
        <v>0</v>
      </c>
      <c r="CQ48" s="250">
        <f>Table1[[#This Row],[AccessTot]]/3</f>
        <v>0</v>
      </c>
      <c r="CR48" s="250">
        <f>Table1[[#This Row],[AccessTot]]/3</f>
        <v>0</v>
      </c>
      <c r="CS48" s="251">
        <f>IF(Table1[[#This Row],[PellTot]]&gt;0,1500,0)</f>
        <v>0</v>
      </c>
      <c r="CT48" s="250">
        <f>Table1[[#This Row],[AchiTot]]/3</f>
        <v>0</v>
      </c>
      <c r="CU48" s="250">
        <f>Table1[[#This Row],[AchiTot]]/3</f>
        <v>0</v>
      </c>
      <c r="CV48" s="250">
        <f>Table1[[#This Row],[AchiTot]]/3</f>
        <v>0</v>
      </c>
      <c r="CW48" s="252">
        <f>IF(Table1[[#This Row],[Rank]]="","",IF(Table1[[#This Row],[Rank]]=1,5100,IF(Table1[[#This Row],[Rank]]=2,4500,IF(Table1[[#This Row],[Rank]]=3,3900,IF(Table1[[#This Row],[Rank]]=4,3750,IF(Table1[[#This Row],[Rank]]=5,3000,IF(Table1[[#This Row],[Rank]]=6,2250,0)))))))</f>
        <v>0</v>
      </c>
      <c r="CX48" s="250">
        <f>Table1[[#This Row],[UTTot]]/3</f>
        <v>0</v>
      </c>
      <c r="CY48" s="250">
        <f>Table1[[#This Row],[UTTot]]/3</f>
        <v>0</v>
      </c>
      <c r="CZ48" s="250">
        <f>Table1[[#This Row],[UTTot]]/3</f>
        <v>0</v>
      </c>
      <c r="DA48" s="251">
        <f>IF(Table1[[#This Row],[State]]="UT",9000,0)</f>
        <v>0</v>
      </c>
      <c r="DB48" s="250">
        <f>Table1[[#This Row],[WITTot]]/3</f>
        <v>0</v>
      </c>
      <c r="DC48" s="250">
        <f>Table1[[#This Row],[WITTot]]/3</f>
        <v>0</v>
      </c>
      <c r="DD48" s="250">
        <f>Table1[[#This Row],[WITTot]]/3</f>
        <v>0</v>
      </c>
      <c r="DE48" s="251">
        <f>IF(Table1[[#This Row],[Gender]]="Female",3000,0)</f>
        <v>0</v>
      </c>
      <c r="DF48" s="250">
        <f>Table1[[#This Row],[SerTot]]/3</f>
        <v>0</v>
      </c>
      <c r="DG48" s="250">
        <f>Table1[[#This Row],[SerTot]]/3</f>
        <v>0</v>
      </c>
      <c r="DH48" s="250">
        <f>Table1[[#This Row],[SerTot]]/3</f>
        <v>0</v>
      </c>
      <c r="DI48" s="252"/>
      <c r="DJ48" s="250"/>
      <c r="DK48" s="250"/>
      <c r="DL48" s="250"/>
      <c r="DM48" s="252"/>
      <c r="DN48" s="250">
        <f>Table1[[#This Row],[MatTot]]/3</f>
        <v>0</v>
      </c>
      <c r="DO48" s="250">
        <f>Table1[[#This Row],[MatTot]]/3</f>
        <v>0</v>
      </c>
      <c r="DP48" s="250">
        <f>Table1[[#This Row],[MatTot]]/3</f>
        <v>0</v>
      </c>
      <c r="DQ48" s="252">
        <v>0</v>
      </c>
      <c r="DR48" s="250">
        <f>Table1[[#This Row],[OutTot]]/3</f>
        <v>0</v>
      </c>
      <c r="DS48" s="250">
        <f>Table1[[#This Row],[OutTot]]/3</f>
        <v>0</v>
      </c>
      <c r="DT48" s="250">
        <f>Table1[[#This Row],[OutTot]]/3</f>
        <v>0</v>
      </c>
      <c r="DU48" s="252">
        <v>0</v>
      </c>
      <c r="DV48" s="250">
        <v>0</v>
      </c>
      <c r="DW48" s="250">
        <v>0</v>
      </c>
      <c r="DX48" s="250">
        <v>0</v>
      </c>
      <c r="DY48" s="252">
        <f>SUM(Table1[[#This Row],[VAQ1]:[VAQ3]])</f>
        <v>0</v>
      </c>
      <c r="DZ48" s="250">
        <v>0</v>
      </c>
      <c r="EA48" s="250">
        <v>0</v>
      </c>
      <c r="EB48" s="250">
        <v>0</v>
      </c>
      <c r="EC48" s="252">
        <f>SUM(Table1[[#This Row],[OthGrantQ1]:[OthGrantQ3]])</f>
        <v>0</v>
      </c>
      <c r="ED48" s="263">
        <f>Table1[[#This Row],[SEOGTot]]+Table1[[#This Row],[PellTot]]+Table1[[#This Row],[AccessTot]]+Table1[[#This Row],[AchiTot]]+Table1[[#This Row],[UTTot]]+Table1[[#This Row],[WITTot]]+Table1[[#This Row],[SerTot]]+Table1[[#This Row],[TranTot]]+Table1[[#This Row],[MatTot]]+Table1[[#This Row],[OutTot]]+Table1[[#This Row],[VATot]]+Table1[[#This Row],[OthGrantTot]]</f>
        <v>0</v>
      </c>
      <c r="EE48" s="249"/>
      <c r="EF48" s="237"/>
      <c r="EG48" s="237"/>
      <c r="EH48" s="232">
        <f>SUM(Table1[[#This Row],[CashQ1]]:Table1[[#This Row],[CashQ3]])</f>
        <v>0</v>
      </c>
      <c r="EI48" s="271">
        <f>ROUND((Table1[[#This Row],[SubTot]]/3)/1.01059,0)</f>
        <v>1154</v>
      </c>
      <c r="EJ48" s="234">
        <f>ROUND((Table1[[#This Row],[SubTot]]/3)/1.01059,0)</f>
        <v>1154</v>
      </c>
      <c r="EK48" s="234">
        <f>ROUNDUP((Table1[[#This Row],[SubTot]]/3)/1.01059,0)</f>
        <v>1155</v>
      </c>
      <c r="EL48" s="235">
        <v>3500</v>
      </c>
      <c r="EM48" s="240">
        <f>Table1[[#This Row],[SubTot]]*0.01059</f>
        <v>37.065000000000005</v>
      </c>
      <c r="EN48" s="234">
        <f>ROUND((Table1[[#This Row],[UnsubTot]]/3)/1.01062,0)</f>
        <v>660</v>
      </c>
      <c r="EO48" s="234">
        <f>ROUND((Table1[[#This Row],[UnsubTot]]/3)/1.01062,0)</f>
        <v>660</v>
      </c>
      <c r="EP48" s="234">
        <f>ROUNDDOWN((Table1[[#This Row],[UnsubTot]]/3)/1.01062,0)</f>
        <v>659</v>
      </c>
      <c r="EQ48" s="235">
        <f>IF(Table1[D/I]="I",6000,2000)</f>
        <v>2000</v>
      </c>
      <c r="ER48" s="240">
        <f>Table1[[#This Row],[UnsubTot]]*0.01059</f>
        <v>21.18</v>
      </c>
      <c r="ES48" s="234">
        <f>ROUND((Table1[[#This Row],[PLUSTot]]/3)/1.04236,0)</f>
        <v>0</v>
      </c>
      <c r="ET48" s="234">
        <f>ROUND((Table1[[#This Row],[PLUSTot]]/3)/1.04236,0)</f>
        <v>0</v>
      </c>
      <c r="EU48" s="234">
        <f>ROUND((Table1[[#This Row],[PLUSTot]]/3)/1.04236,0)</f>
        <v>0</v>
      </c>
      <c r="EV48" s="235">
        <v>0</v>
      </c>
      <c r="EW48" s="239">
        <f>Table1[[#This Row],[PLUSTot]]*0.04248</f>
        <v>0</v>
      </c>
      <c r="EX48" s="237"/>
      <c r="EY48" s="237"/>
      <c r="EZ48" s="237"/>
      <c r="FA48" s="232">
        <f>SUM(Table1[[#This Row],[PrivQ1]:[PrivQ3]])</f>
        <v>0</v>
      </c>
      <c r="FB48" s="237"/>
      <c r="FC48" s="237"/>
      <c r="FD48" s="237"/>
      <c r="FE48" s="232">
        <f>SUM(Table1[[#This Row],[TOQ1]:[TOQ3]])</f>
        <v>0</v>
      </c>
      <c r="FF48" s="237"/>
      <c r="FG48" s="237"/>
      <c r="FH48" s="237"/>
      <c r="FI48" s="232">
        <f>SUM(Table1[[#This Row],[OFundQ1]:[OFundQ3]])</f>
        <v>0</v>
      </c>
      <c r="FJ48" s="239">
        <f>(Table1[[#This Row],[SubTot]]-Table1[[#This Row],[SubFee]])+(Table1[[#This Row],[UnsubTot]]-Table1[[#This Row],[UnsubFee]])+(Table1[[#This Row],[PLUSTot]]-Table1[[#This Row],[PLUSFee]])+Table1[[#This Row],[PrivTot]]+Table1[[#This Row],[TOTot]]+Table1[[#This Row],[OFundTot]]</f>
        <v>5441.7550000000001</v>
      </c>
      <c r="FK48" s="125">
        <f>Table1[[#This Row],[CostTot]]-Table1[[#This Row],[GiftTot]]</f>
        <v>39515</v>
      </c>
      <c r="FL48" s="130">
        <f>Table1[[#This Row],[NetNeed]]/(1-0.04248)</f>
        <v>35584.891177207784</v>
      </c>
      <c r="FM48" s="131">
        <f>Table1[[#This Row],[NetCost]]-Table1[[#This Row],[CashTot]]-(Table1[[#This Row],[SubTot]]-Table1[[#This Row],[SubFee]])-(Table1[[#This Row],[UnsubTot]]-Table1[[#This Row],[UnsubFee]])-(Table1[[#This Row],[PLUSTot]]-Table1[[#This Row],[PLUSFee]])-Table1[[#This Row],[PrivTot]]-Table1[[#This Row],[TOTot]]-Table1[[#This Row],[OFundTot]]</f>
        <v>34073.245000000003</v>
      </c>
      <c r="FN48" s="161"/>
      <c r="FO48" s="113"/>
      <c r="FP48" s="113"/>
    </row>
    <row r="49" spans="1:172" s="180" customFormat="1" ht="15" x14ac:dyDescent="0.25">
      <c r="A49" s="311">
        <v>197675</v>
      </c>
      <c r="B49" s="113" t="str">
        <f>VLOOKUP(Table1[[#This Row],[SyStudentId]],SSR!$A$2:$CC$4982,4,FALSE)</f>
        <v>Neal</v>
      </c>
      <c r="C49" s="113" t="str">
        <f>VLOOKUP(Table1[[#This Row],[SyStudentId]],SSR!$A$2:$CC$4982,5,FALSE)</f>
        <v>Derek</v>
      </c>
      <c r="D49" s="113" t="str">
        <f>VLOOKUP(Table1[[#This Row],[SyStudentId]],SSR!$A$2:$CC$4982,6,FALSE)</f>
        <v>Neal, Derek</v>
      </c>
      <c r="E49" s="113" t="str">
        <f>CONCATENATE(Table1[[#This Row],[FirstName]]," ",Table1[[#This Row],[LastName]])</f>
        <v>Derek Neal</v>
      </c>
      <c r="F49" s="112">
        <v>2</v>
      </c>
      <c r="G49" s="114">
        <v>43776</v>
      </c>
      <c r="H49" s="114">
        <v>43776</v>
      </c>
      <c r="I49" s="114">
        <v>43776</v>
      </c>
      <c r="J49" s="115"/>
      <c r="K49" s="116" t="s">
        <v>605</v>
      </c>
      <c r="L49" s="112" t="str">
        <f>IFERROR(VLOOKUP(Table1[[#This Row],[SyStudentId]],ISIR!$A$2:$X$999,11,FALSE),"")</f>
        <v>D</v>
      </c>
      <c r="M49" s="113" t="str">
        <f>VLOOKUP(Table1[[#This Row],[SyStudentId]],SSR!$A$2:$CC$4982,7,FALSE)</f>
        <v>derek.neal@sjcds.net</v>
      </c>
      <c r="N49" s="113" t="str">
        <f>VLOOKUP(Table1[[#This Row],[SyStudentId]],SSR!$A$2:$CC$4982,8,FALSE)</f>
        <v>271 Glenlyon Dr.</v>
      </c>
      <c r="O49" s="113" t="str">
        <f>VLOOKUP(Table1[[#This Row],[SyStudentId]],SSR!$A$2:$CC$4982,9,FALSE)</f>
        <v>Orange Park</v>
      </c>
      <c r="P49" s="303" t="str">
        <f>VLOOKUP(Table1[[#This Row],[SyStudentId]],SSR!$A$2:$CC$4982,10,FALSE)</f>
        <v>FL</v>
      </c>
      <c r="Q49" s="117" t="str">
        <f>VLOOKUP(Table1[[#This Row],[SyStudentId]],SSR!$A$2:$CC$4982,11,FALSE)</f>
        <v xml:space="preserve">32073     </v>
      </c>
      <c r="R49" s="118">
        <f>VLOOKUP(Table1[[#This Row],[SyStudentId]],SSR!$A$2:$CC$4982,15,FALSE)</f>
        <v>2.9</v>
      </c>
      <c r="S49" s="119">
        <f>VLOOKUP(Table1[[#This Row],[SyStudentId]],SSR!$A$2:$CC$4982,22,FALSE)</f>
        <v>44109</v>
      </c>
      <c r="T49" s="113" t="str">
        <f>VLOOKUP(Table1[[#This Row],[SyStudentId]],SSR!$A$2:$CC$4982,24,FALSE)</f>
        <v>JT</v>
      </c>
      <c r="U49" s="113" t="str">
        <f>IF(VLOOKUP(Table1[[#This Row],[SyStudentId]],SSR!$A$2:$CC$4982,26,FALSE)=0,"Not Selected",VLOOKUP(Table1[[#This Row],[SyStudentId]],SSR!$A$2:$CC$4982,26,FALSE))</f>
        <v>Male</v>
      </c>
      <c r="V49" s="113" t="str">
        <f>VLOOKUP(Table1[[#This Row],[SyStudentId]],SSR!$A$2:$CC$4982,27,FALSE)</f>
        <v xml:space="preserve">HS2020  </v>
      </c>
      <c r="W49" s="113" t="str">
        <f>VLOOKUP(LEFT(Table1[[#This Row],[LastName]],1),Alpha!$A$1:$B$26,2,FALSE)</f>
        <v>Maureen Ranks</v>
      </c>
      <c r="X49" s="149" t="str">
        <f>VLOOKUP(Table1[[#This Row],[FAA]],Alpha!$B$1:$D$26,2,FALSE)</f>
        <v>mranks@neumont.edu</v>
      </c>
      <c r="Y49" s="113">
        <f>VLOOKUP(Table1[[#This Row],[FAA]],Alpha!$B$1:$D$26,3,FALSE)</f>
        <v>8883022894</v>
      </c>
      <c r="Z49" s="113" t="str">
        <f>VLOOKUP(Table1[[#This Row],[SyStudentId]],SSR!$A$2:$CC$4982,30,FALSE)</f>
        <v>16-Accepted</v>
      </c>
      <c r="AA49" s="113" t="str">
        <f>IF(VLOOKUP(Table1[[#This Row],[SyStudentId]],SSR!$A$2:$CC$4982,36,FALSE)="Bachelor of Science","BS Computer Science","Check Program")</f>
        <v>BS Computer Science</v>
      </c>
      <c r="AB49" s="113">
        <f>VLOOKUP(Table1[[#This Row],[SyStudentId]],SSR!$A$2:$CC$4982,37,FALSE)</f>
        <v>0</v>
      </c>
      <c r="AC49" s="113" t="str">
        <f>VLOOKUP(Table1[[#This Row],[SyStudentId]],SSR!$A$2:$CC$4982,42,FALSE)</f>
        <v xml:space="preserve">1150    </v>
      </c>
      <c r="AD49" s="113" t="str">
        <f>VLOOKUP(Table1[[#This Row],[SyStudentId]],SSR!$A$2:$CC$4982,46,FALSE)</f>
        <v>103</v>
      </c>
      <c r="AE49" s="113" t="str">
        <f>VLOOKUP(Table1[[#This Row],[SyStudentId]],SSR!$A$2:$CC$4982,65,FALSE)</f>
        <v>VI</v>
      </c>
      <c r="AF49"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6</v>
      </c>
      <c r="AG49" s="113" t="str">
        <f>VLOOKUP(Table1[[#This Row],[SyStudentId]],SSR!$A$2:$CC$4982,66,FALSE)</f>
        <v>July-October</v>
      </c>
      <c r="AH49" s="113" t="str">
        <f>IFERROR(VLOOKUP(Table1[[#This Row],[SyStudentId]],ISIR!$A$2:$X$999,7,FALSE),"")</f>
        <v>032541</v>
      </c>
      <c r="AI49" s="121">
        <f>IF(Table1[[#This Row],[EFCRaw]]="","",IF(Table1[[#This Row],[EFCRaw]]="No EFC","No EFC",_xlfn.NUMBERVALUE(Table1[[#This Row],[EFCRaw]])))</f>
        <v>32541</v>
      </c>
      <c r="AJ49" s="119">
        <f>IFERROR(VLOOKUP(Table1[[#This Row],[SyStudentId]],ISIR!$A$2:$X$4999,19,FALSE),"")</f>
        <v>43783</v>
      </c>
      <c r="AK49" s="113" t="str">
        <f>IFERROR(VLOOKUP(Table1[[#This Row],[SyStudentId]],ISIR!$A$2:$X$4999,8,FALSE),"")</f>
        <v>N</v>
      </c>
      <c r="AL49" s="132" t="str">
        <f>IF(Table1[[#This Row],[VerReq]]="N","n/a","")</f>
        <v>n/a</v>
      </c>
      <c r="AM49" s="122"/>
      <c r="AN49" s="122"/>
      <c r="AO49" s="122"/>
      <c r="AP49" s="122"/>
      <c r="AQ49" s="122"/>
      <c r="AR49" s="122"/>
      <c r="AS49" s="122"/>
      <c r="AT49" s="122"/>
      <c r="AU49" s="122"/>
      <c r="AV49" s="122"/>
      <c r="AW49" s="122"/>
      <c r="AX49" s="122"/>
      <c r="AY49" s="122"/>
      <c r="AZ49" s="122"/>
      <c r="BA49" s="122"/>
      <c r="BB49" s="122"/>
      <c r="BC49" s="133"/>
      <c r="BD49" s="140" t="str">
        <f>IF(Table1[[#This Row],[VerReq]]="N","x","")</f>
        <v>x</v>
      </c>
      <c r="BE49" s="140" t="str">
        <f>IF(Table1[[#This Row],[VerReq]]="N","x","")</f>
        <v>x</v>
      </c>
      <c r="BF49" s="140" t="str">
        <f>IF(Table1[[#This Row],[VerReq]]="N","x","")</f>
        <v>x</v>
      </c>
      <c r="BG49" s="140" t="str">
        <f>IF(Table1[[#This Row],[VerReq]]="N","x","")</f>
        <v>x</v>
      </c>
      <c r="BH49" s="140" t="str">
        <f>IF(Table1[[#This Row],[VerReq]]="N","x","")</f>
        <v>x</v>
      </c>
      <c r="BI49" s="140" t="str">
        <f>IF(Table1[[#This Row],[VerReq]]="N","x","")</f>
        <v>x</v>
      </c>
      <c r="BJ49" s="123">
        <f>1-((COUNTBLANK(Table1[[#This Row],[ALESent]:[TaxTran]]))/(COUNT(Table1[[#This Row],[ALESent]:[TaxTran]])+COUNTBLANK(Table1[[#This Row],[ALESent]:[TaxTran]])))</f>
        <v>0</v>
      </c>
      <c r="BK49" s="136">
        <f>IF(VLOOKUP(Table1[[#This Row],[SyStudentId]],SSR!$A$2:$CC$4982,22,FALSE)=44109,44109,"Check Program")</f>
        <v>44109</v>
      </c>
      <c r="BL49" s="124">
        <f>IF(Table1[[#This Row],[AYStart]]=44109,44356,"Check Program")</f>
        <v>44356</v>
      </c>
      <c r="BM49" s="219">
        <v>8505</v>
      </c>
      <c r="BN49" s="219">
        <v>8505</v>
      </c>
      <c r="BO49" s="219">
        <v>8505</v>
      </c>
      <c r="BP49" s="220">
        <f t="shared" si="0"/>
        <v>25515</v>
      </c>
      <c r="BQ49" s="221">
        <v>3300</v>
      </c>
      <c r="BR49" s="219">
        <v>400</v>
      </c>
      <c r="BS49" s="219">
        <v>400</v>
      </c>
      <c r="BT49" s="220">
        <f t="shared" si="1"/>
        <v>4100</v>
      </c>
      <c r="BU49" s="219">
        <v>2100</v>
      </c>
      <c r="BV49" s="219">
        <v>2100</v>
      </c>
      <c r="BW49" s="219">
        <v>2100</v>
      </c>
      <c r="BX49" s="220">
        <f t="shared" si="2"/>
        <v>6300</v>
      </c>
      <c r="BY49" s="275">
        <v>1200</v>
      </c>
      <c r="BZ49" s="275">
        <v>1200</v>
      </c>
      <c r="CA49" s="275">
        <v>1200</v>
      </c>
      <c r="CB49" s="220">
        <f>SUM(Table1[[#This Row],[LEQ1]:[LEQ3]])</f>
        <v>3600</v>
      </c>
      <c r="CC49" s="275">
        <v>0</v>
      </c>
      <c r="CD49" s="275">
        <v>0</v>
      </c>
      <c r="CE49" s="275">
        <v>0</v>
      </c>
      <c r="CF49" s="220">
        <f>SUM(Table1[[#This Row],[OthCostQ1]:[OthCostQ3]])</f>
        <v>0</v>
      </c>
      <c r="CG49" s="220">
        <f>(Table1[[#This Row],[T&amp;FTot]]+Table1[[#This Row],[B&amp;STot]]+Table1[[#This Row],[HousTot]]+Table1[[#This Row],[LETot]]+Table1[[#This Row],[OthCostTot]])</f>
        <v>39515</v>
      </c>
      <c r="CH49" s="250"/>
      <c r="CI49" s="250"/>
      <c r="CJ49" s="250"/>
      <c r="CK49" s="251">
        <f>SUM(Table1[[#This Row],[SEOGQ1]:[SEOGQ3]])</f>
        <v>0</v>
      </c>
      <c r="CL49" s="250">
        <f>IFERROR(ROUNDUP(Table1[[#This Row],[PellTot]]/3,0),0)</f>
        <v>0</v>
      </c>
      <c r="CM49" s="250">
        <f>IFERROR(ROUND(Table1[[#This Row],[PellTot]]/3,0),0)</f>
        <v>0</v>
      </c>
      <c r="CN49" s="250">
        <f>IFERROR(ROUNDDOWN(Table1[[#This Row],[PellTot]]/3,0),0)</f>
        <v>0</v>
      </c>
      <c r="CO49" s="251">
        <f>IFERROR(LOOKUP(Table1[EFC],Pell_Table[#Data],Pell_Table[Pell Amt]),0)</f>
        <v>0</v>
      </c>
      <c r="CP49" s="250">
        <f>Table1[[#This Row],[AccessTot]]/3</f>
        <v>0</v>
      </c>
      <c r="CQ49" s="250">
        <f>Table1[[#This Row],[AccessTot]]/3</f>
        <v>0</v>
      </c>
      <c r="CR49" s="250">
        <f>Table1[[#This Row],[AccessTot]]/3</f>
        <v>0</v>
      </c>
      <c r="CS49" s="251">
        <f>IF(Table1[[#This Row],[PellTot]]&gt;0,1500,0)</f>
        <v>0</v>
      </c>
      <c r="CT49" s="250">
        <f>Table1[[#This Row],[AchiTot]]/3</f>
        <v>750</v>
      </c>
      <c r="CU49" s="250">
        <f>Table1[[#This Row],[AchiTot]]/3</f>
        <v>750</v>
      </c>
      <c r="CV49" s="250">
        <f>Table1[[#This Row],[AchiTot]]/3</f>
        <v>750</v>
      </c>
      <c r="CW49" s="252">
        <f>IF(Table1[[#This Row],[Rank]]="","",IF(Table1[[#This Row],[Rank]]=1,5100,IF(Table1[[#This Row],[Rank]]=2,4500,IF(Table1[[#This Row],[Rank]]=3,3900,IF(Table1[[#This Row],[Rank]]=4,3750,IF(Table1[[#This Row],[Rank]]=5,3000,IF(Table1[[#This Row],[Rank]]=6,2250,0)))))))</f>
        <v>2250</v>
      </c>
      <c r="CX49" s="250">
        <f>Table1[[#This Row],[UTTot]]/3</f>
        <v>0</v>
      </c>
      <c r="CY49" s="250">
        <f>Table1[[#This Row],[UTTot]]/3</f>
        <v>0</v>
      </c>
      <c r="CZ49" s="250">
        <f>Table1[[#This Row],[UTTot]]/3</f>
        <v>0</v>
      </c>
      <c r="DA49" s="251">
        <f>IF(Table1[[#This Row],[State]]="UT",9000,0)</f>
        <v>0</v>
      </c>
      <c r="DB49" s="250">
        <f>Table1[[#This Row],[WITTot]]/3</f>
        <v>0</v>
      </c>
      <c r="DC49" s="250">
        <f>Table1[[#This Row],[WITTot]]/3</f>
        <v>0</v>
      </c>
      <c r="DD49" s="250">
        <f>Table1[[#This Row],[WITTot]]/3</f>
        <v>0</v>
      </c>
      <c r="DE49" s="251">
        <f>IF(Table1[[#This Row],[Gender]]="Female",3000,0)</f>
        <v>0</v>
      </c>
      <c r="DF49" s="250">
        <f>Table1[[#This Row],[SerTot]]/3</f>
        <v>0</v>
      </c>
      <c r="DG49" s="250">
        <f>Table1[[#This Row],[SerTot]]/3</f>
        <v>0</v>
      </c>
      <c r="DH49" s="250">
        <f>Table1[[#This Row],[SerTot]]/3</f>
        <v>0</v>
      </c>
      <c r="DI49" s="252"/>
      <c r="DJ49" s="250"/>
      <c r="DK49" s="250"/>
      <c r="DL49" s="250"/>
      <c r="DM49" s="252"/>
      <c r="DN49" s="250">
        <f>Table1[[#This Row],[MatTot]]/3</f>
        <v>0</v>
      </c>
      <c r="DO49" s="250">
        <f>Table1[[#This Row],[MatTot]]/3</f>
        <v>0</v>
      </c>
      <c r="DP49" s="250">
        <f>Table1[[#This Row],[MatTot]]/3</f>
        <v>0</v>
      </c>
      <c r="DQ49" s="252">
        <v>0</v>
      </c>
      <c r="DR49" s="250">
        <f>Table1[[#This Row],[OutTot]]/3</f>
        <v>0</v>
      </c>
      <c r="DS49" s="250">
        <f>Table1[[#This Row],[OutTot]]/3</f>
        <v>0</v>
      </c>
      <c r="DT49" s="250">
        <f>Table1[[#This Row],[OutTot]]/3</f>
        <v>0</v>
      </c>
      <c r="DU49" s="252">
        <v>0</v>
      </c>
      <c r="DV49" s="250">
        <v>0</v>
      </c>
      <c r="DW49" s="250">
        <v>0</v>
      </c>
      <c r="DX49" s="250">
        <v>0</v>
      </c>
      <c r="DY49" s="252">
        <f>SUM(Table1[[#This Row],[VAQ1]:[VAQ3]])</f>
        <v>0</v>
      </c>
      <c r="DZ49" s="250">
        <v>0</v>
      </c>
      <c r="EA49" s="250">
        <v>0</v>
      </c>
      <c r="EB49" s="250">
        <v>0</v>
      </c>
      <c r="EC49" s="252">
        <f>SUM(Table1[[#This Row],[OthGrantQ1]:[OthGrantQ3]])</f>
        <v>0</v>
      </c>
      <c r="ED49" s="263">
        <f>Table1[[#This Row],[SEOGTot]]+Table1[[#This Row],[PellTot]]+Table1[[#This Row],[AccessTot]]+Table1[[#This Row],[AchiTot]]+Table1[[#This Row],[UTTot]]+Table1[[#This Row],[WITTot]]+Table1[[#This Row],[SerTot]]+Table1[[#This Row],[TranTot]]+Table1[[#This Row],[MatTot]]+Table1[[#This Row],[OutTot]]+Table1[[#This Row],[VATot]]+Table1[[#This Row],[OthGrantTot]]</f>
        <v>2250</v>
      </c>
      <c r="EE49" s="249"/>
      <c r="EF49" s="237"/>
      <c r="EG49" s="237"/>
      <c r="EH49" s="232">
        <f>SUM(Table1[[#This Row],[CashQ1]]:Table1[[#This Row],[CashQ3]])</f>
        <v>0</v>
      </c>
      <c r="EI49" s="271">
        <f>ROUND((Table1[[#This Row],[SubTot]]/3)/1.01059,0)</f>
        <v>1154</v>
      </c>
      <c r="EJ49" s="234">
        <f>ROUND((Table1[[#This Row],[SubTot]]/3)/1.01059,0)</f>
        <v>1154</v>
      </c>
      <c r="EK49" s="234">
        <f>ROUNDUP((Table1[[#This Row],[SubTot]]/3)/1.01059,0)</f>
        <v>1155</v>
      </c>
      <c r="EL49" s="235">
        <v>3500</v>
      </c>
      <c r="EM49" s="240">
        <f>Table1[[#This Row],[SubTot]]*0.01059</f>
        <v>37.065000000000005</v>
      </c>
      <c r="EN49" s="234">
        <f>ROUND((Table1[[#This Row],[UnsubTot]]/3)/1.01062,0)</f>
        <v>660</v>
      </c>
      <c r="EO49" s="234">
        <f>ROUND((Table1[[#This Row],[UnsubTot]]/3)/1.01062,0)</f>
        <v>660</v>
      </c>
      <c r="EP49" s="234">
        <f>ROUNDDOWN((Table1[[#This Row],[UnsubTot]]/3)/1.01062,0)</f>
        <v>659</v>
      </c>
      <c r="EQ49" s="235">
        <f>IF(Table1[D/I]="I",6000,2000)</f>
        <v>2000</v>
      </c>
      <c r="ER49" s="240">
        <f>Table1[[#This Row],[UnsubTot]]*0.01059</f>
        <v>21.18</v>
      </c>
      <c r="ES49" s="234">
        <f>ROUND((Table1[[#This Row],[PLUSTot]]/3)/1.04236,0)</f>
        <v>0</v>
      </c>
      <c r="ET49" s="234">
        <f>ROUND((Table1[[#This Row],[PLUSTot]]/3)/1.04236,0)</f>
        <v>0</v>
      </c>
      <c r="EU49" s="234">
        <f>ROUND((Table1[[#This Row],[PLUSTot]]/3)/1.04236,0)</f>
        <v>0</v>
      </c>
      <c r="EV49" s="235">
        <v>0</v>
      </c>
      <c r="EW49" s="239">
        <f>Table1[[#This Row],[PLUSTot]]*0.04248</f>
        <v>0</v>
      </c>
      <c r="EX49" s="237"/>
      <c r="EY49" s="237"/>
      <c r="EZ49" s="237"/>
      <c r="FA49" s="232">
        <f>SUM(Table1[[#This Row],[PrivQ1]:[PrivQ3]])</f>
        <v>0</v>
      </c>
      <c r="FB49" s="237"/>
      <c r="FC49" s="237"/>
      <c r="FD49" s="237"/>
      <c r="FE49" s="232">
        <f>SUM(Table1[[#This Row],[TOQ1]:[TOQ3]])</f>
        <v>0</v>
      </c>
      <c r="FF49" s="237"/>
      <c r="FG49" s="237"/>
      <c r="FH49" s="237"/>
      <c r="FI49" s="232">
        <f>SUM(Table1[[#This Row],[OFundQ1]:[OFundQ3]])</f>
        <v>0</v>
      </c>
      <c r="FJ49" s="239">
        <f>(Table1[[#This Row],[SubTot]]-Table1[[#This Row],[SubFee]])+(Table1[[#This Row],[UnsubTot]]-Table1[[#This Row],[UnsubFee]])+(Table1[[#This Row],[PLUSTot]]-Table1[[#This Row],[PLUSFee]])+Table1[[#This Row],[PrivTot]]+Table1[[#This Row],[TOTot]]+Table1[[#This Row],[OFundTot]]</f>
        <v>5441.7550000000001</v>
      </c>
      <c r="FK49" s="125">
        <f>Table1[[#This Row],[CostTot]]-Table1[[#This Row],[GiftTot]]</f>
        <v>37265</v>
      </c>
      <c r="FL49" s="130">
        <f>Table1[[#This Row],[NetNeed]]/(1-0.04248)</f>
        <v>33235.070807920463</v>
      </c>
      <c r="FM49" s="131">
        <f>Table1[[#This Row],[NetCost]]-Table1[[#This Row],[CashTot]]-(Table1[[#This Row],[SubTot]]-Table1[[#This Row],[SubFee]])-(Table1[[#This Row],[UnsubTot]]-Table1[[#This Row],[UnsubFee]])-(Table1[[#This Row],[PLUSTot]]-Table1[[#This Row],[PLUSFee]])-Table1[[#This Row],[PrivTot]]-Table1[[#This Row],[TOTot]]-Table1[[#This Row],[OFundTot]]</f>
        <v>31823.245000000003</v>
      </c>
      <c r="FN49" s="161"/>
      <c r="FO49" s="113"/>
      <c r="FP49" s="113"/>
    </row>
    <row r="50" spans="1:172" s="180" customFormat="1" ht="15" x14ac:dyDescent="0.25">
      <c r="A50" s="329">
        <v>197783</v>
      </c>
      <c r="B50" s="113" t="str">
        <f>VLOOKUP(Table1[[#This Row],[SyStudentId]],SSR!$A$2:$CC$4982,4,FALSE)</f>
        <v>Neaves</v>
      </c>
      <c r="C50" s="113" t="str">
        <f>VLOOKUP(Table1[[#This Row],[SyStudentId]],SSR!$A$2:$CC$4982,5,FALSE)</f>
        <v>Juan</v>
      </c>
      <c r="D50" s="113" t="str">
        <f>VLOOKUP(Table1[[#This Row],[SyStudentId]],SSR!$A$2:$CC$4982,6,FALSE)</f>
        <v>Neaves, Juan</v>
      </c>
      <c r="E50" s="113" t="str">
        <f>CONCATENATE(Table1[[#This Row],[FirstName]]," ",Table1[[#This Row],[LastName]])</f>
        <v>Juan Neaves</v>
      </c>
      <c r="F50" s="112"/>
      <c r="G50" s="114"/>
      <c r="H50" s="114"/>
      <c r="I50" s="114"/>
      <c r="J50" s="115"/>
      <c r="K50" s="116"/>
      <c r="L50" s="112" t="str">
        <f>IFERROR(VLOOKUP(Table1[[#This Row],[SyStudentId]],ISIR!$A$2:$X$999,11,FALSE),"")</f>
        <v/>
      </c>
      <c r="M50" s="113" t="str">
        <f>VLOOKUP(Table1[[#This Row],[SyStudentId]],SSR!$A$2:$CC$4982,7,FALSE)</f>
        <v>jjneaves3@gmail.com</v>
      </c>
      <c r="N50" s="113" t="str">
        <f>VLOOKUP(Table1[[#This Row],[SyStudentId]],SSR!$A$2:$CC$4982,8,FALSE)</f>
        <v>6315 Macdona Street</v>
      </c>
      <c r="O50" s="113" t="str">
        <f>VLOOKUP(Table1[[#This Row],[SyStudentId]],SSR!$A$2:$CC$4982,9,FALSE)</f>
        <v>San Antonio</v>
      </c>
      <c r="P50" s="113" t="str">
        <f>VLOOKUP(Table1[[#This Row],[SyStudentId]],SSR!$A$2:$CC$4982,10,FALSE)</f>
        <v>TX</v>
      </c>
      <c r="Q50" s="117" t="str">
        <f>VLOOKUP(Table1[[#This Row],[SyStudentId]],SSR!$A$2:$CC$4982,11,FALSE)</f>
        <v xml:space="preserve">78221     </v>
      </c>
      <c r="R50" s="118">
        <f>VLOOKUP(Table1[[#This Row],[SyStudentId]],SSR!$A$2:$CC$4982,15,FALSE)</f>
        <v>3.1</v>
      </c>
      <c r="S50" s="119">
        <f>VLOOKUP(Table1[[#This Row],[SyStudentId]],SSR!$A$2:$CC$4982,22,FALSE)</f>
        <v>44109</v>
      </c>
      <c r="T50" s="113" t="str">
        <f>VLOOKUP(Table1[[#This Row],[SyStudentId]],SSR!$A$2:$CC$4982,24,FALSE)</f>
        <v>JT</v>
      </c>
      <c r="U50" s="113" t="str">
        <f>IF(VLOOKUP(Table1[[#This Row],[SyStudentId]],SSR!$A$2:$CC$4982,26,FALSE)=0,"Not Selected",VLOOKUP(Table1[[#This Row],[SyStudentId]],SSR!$A$2:$CC$4982,26,FALSE))</f>
        <v>Male</v>
      </c>
      <c r="V50" s="113" t="str">
        <f>VLOOKUP(Table1[[#This Row],[SyStudentId]],SSR!$A$2:$CC$4982,27,FALSE)</f>
        <v xml:space="preserve">HS2020  </v>
      </c>
      <c r="W50" s="113" t="str">
        <f>VLOOKUP(LEFT(Table1[[#This Row],[LastName]],1),Alpha!$A$1:$B$26,2,FALSE)</f>
        <v>Maureen Ranks</v>
      </c>
      <c r="X50" s="149" t="str">
        <f>VLOOKUP(Table1[[#This Row],[FAA]],Alpha!$B$1:$D$26,2,FALSE)</f>
        <v>mranks@neumont.edu</v>
      </c>
      <c r="Y50" s="113">
        <f>VLOOKUP(Table1[[#This Row],[FAA]],Alpha!$B$1:$D$26,3,FALSE)</f>
        <v>8883022894</v>
      </c>
      <c r="Z50" s="113" t="str">
        <f>VLOOKUP(Table1[[#This Row],[SyStudentId]],SSR!$A$2:$CC$4982,30,FALSE)</f>
        <v>16-Accepted</v>
      </c>
      <c r="AA50" s="113" t="str">
        <f>IF(VLOOKUP(Table1[[#This Row],[SyStudentId]],SSR!$A$2:$CC$4982,36,FALSE)="Bachelor of Science","BS Computer Science","Check Program")</f>
        <v>BS Computer Science</v>
      </c>
      <c r="AB50" s="113">
        <f>VLOOKUP(Table1[[#This Row],[SyStudentId]],SSR!$A$2:$CC$4982,37,FALSE)</f>
        <v>0</v>
      </c>
      <c r="AC50" s="113" t="str">
        <f>VLOOKUP(Table1[[#This Row],[SyStudentId]],SSR!$A$2:$CC$4982,42,FALSE)</f>
        <v xml:space="preserve">940     </v>
      </c>
      <c r="AD50" s="113" t="str">
        <f>VLOOKUP(Table1[[#This Row],[SyStudentId]],SSR!$A$2:$CC$4982,46,FALSE)</f>
        <v>97</v>
      </c>
      <c r="AE50" s="113" t="str">
        <f>VLOOKUP(Table1[[#This Row],[SyStudentId]],SSR!$A$2:$CC$4982,65,FALSE)</f>
        <v>IV</v>
      </c>
      <c r="AF50"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4</v>
      </c>
      <c r="AG50" s="113" t="str">
        <f>VLOOKUP(Table1[[#This Row],[SyStudentId]],SSR!$A$2:$CC$4982,66,FALSE)</f>
        <v>July-October</v>
      </c>
      <c r="AH50" s="113" t="str">
        <f>IFERROR(VLOOKUP(Table1[[#This Row],[SyStudentId]],ISIR!$A$2:$X$999,7,FALSE),"")</f>
        <v/>
      </c>
      <c r="AI50" s="121" t="str">
        <f>IF(Table1[[#This Row],[EFCRaw]]="","",IF(Table1[[#This Row],[EFCRaw]]="No EFC","No EFC",_xlfn.NUMBERVALUE(Table1[[#This Row],[EFCRaw]])))</f>
        <v/>
      </c>
      <c r="AJ50" s="119" t="str">
        <f>IFERROR(VLOOKUP(Table1[[#This Row],[SyStudentId]],ISIR!$A$2:$X$4999,19,FALSE),"")</f>
        <v/>
      </c>
      <c r="AK50" s="113" t="str">
        <f>IFERROR(VLOOKUP(Table1[[#This Row],[SyStudentId]],ISIR!$A$2:$X$4999,8,FALSE),"")</f>
        <v/>
      </c>
      <c r="AL50" s="132" t="str">
        <f>IF(Table1[[#This Row],[VerReq]]="N","n/a","")</f>
        <v/>
      </c>
      <c r="AM50" s="122"/>
      <c r="AN50" s="122"/>
      <c r="AO50" s="122"/>
      <c r="AP50" s="122"/>
      <c r="AQ50" s="122"/>
      <c r="AR50" s="122"/>
      <c r="AS50" s="122"/>
      <c r="AT50" s="122"/>
      <c r="AU50" s="122"/>
      <c r="AV50" s="122"/>
      <c r="AW50" s="122"/>
      <c r="AX50" s="122"/>
      <c r="AY50" s="122"/>
      <c r="AZ50" s="122"/>
      <c r="BA50" s="122"/>
      <c r="BB50" s="122"/>
      <c r="BC50" s="133"/>
      <c r="BD50" s="140" t="str">
        <f>IF(Table1[[#This Row],[VerReq]]="N","x","")</f>
        <v/>
      </c>
      <c r="BE50" s="140" t="str">
        <f>IF(Table1[[#This Row],[VerReq]]="N","x","")</f>
        <v/>
      </c>
      <c r="BF50" s="140" t="str">
        <f>IF(Table1[[#This Row],[VerReq]]="N","x","")</f>
        <v/>
      </c>
      <c r="BG50" s="140" t="str">
        <f>IF(Table1[[#This Row],[VerReq]]="N","x","")</f>
        <v/>
      </c>
      <c r="BH50" s="140" t="str">
        <f>IF(Table1[[#This Row],[VerReq]]="N","x","")</f>
        <v/>
      </c>
      <c r="BI50" s="140" t="str">
        <f>IF(Table1[[#This Row],[VerReq]]="N","x","")</f>
        <v/>
      </c>
      <c r="BJ50" s="123">
        <f>1-((COUNTBLANK(Table1[[#This Row],[ALESent]:[TaxTran]]))/(COUNT(Table1[[#This Row],[ALESent]:[TaxTran]])+COUNTBLANK(Table1[[#This Row],[ALESent]:[TaxTran]])))</f>
        <v>0</v>
      </c>
      <c r="BK50" s="136">
        <f>IF(VLOOKUP(Table1[[#This Row],[SyStudentId]],SSR!$A$2:$CC$4982,22,FALSE)=44109,44109,"Check Program")</f>
        <v>44109</v>
      </c>
      <c r="BL50" s="124">
        <f>IF(Table1[[#This Row],[AYStart]]=44109,44356,"Check Program")</f>
        <v>44356</v>
      </c>
      <c r="BM50" s="219">
        <v>8505</v>
      </c>
      <c r="BN50" s="219">
        <v>8505</v>
      </c>
      <c r="BO50" s="219">
        <v>8505</v>
      </c>
      <c r="BP50" s="220">
        <f t="shared" si="0"/>
        <v>25515</v>
      </c>
      <c r="BQ50" s="221">
        <v>3300</v>
      </c>
      <c r="BR50" s="219">
        <v>400</v>
      </c>
      <c r="BS50" s="219">
        <v>400</v>
      </c>
      <c r="BT50" s="220">
        <f t="shared" si="1"/>
        <v>4100</v>
      </c>
      <c r="BU50" s="219">
        <v>2100</v>
      </c>
      <c r="BV50" s="219">
        <v>2100</v>
      </c>
      <c r="BW50" s="219">
        <v>2100</v>
      </c>
      <c r="BX50" s="220">
        <f t="shared" si="2"/>
        <v>6300</v>
      </c>
      <c r="BY50" s="275">
        <v>1200</v>
      </c>
      <c r="BZ50" s="275">
        <v>1200</v>
      </c>
      <c r="CA50" s="275">
        <v>1200</v>
      </c>
      <c r="CB50" s="220">
        <f>SUM(Table1[[#This Row],[LEQ1]:[LEQ3]])</f>
        <v>3600</v>
      </c>
      <c r="CC50" s="275">
        <v>0</v>
      </c>
      <c r="CD50" s="275">
        <v>0</v>
      </c>
      <c r="CE50" s="275">
        <v>0</v>
      </c>
      <c r="CF50" s="220">
        <f>SUM(Table1[[#This Row],[OthCostQ1]:[OthCostQ3]])</f>
        <v>0</v>
      </c>
      <c r="CG50" s="220">
        <f>(Table1[[#This Row],[T&amp;FTot]]+Table1[[#This Row],[B&amp;STot]]+Table1[[#This Row],[HousTot]]+Table1[[#This Row],[LETot]]+Table1[[#This Row],[OthCostTot]])</f>
        <v>39515</v>
      </c>
      <c r="CH50" s="250"/>
      <c r="CI50" s="250"/>
      <c r="CJ50" s="250"/>
      <c r="CK50" s="251">
        <f>SUM(Table1[[#This Row],[SEOGQ1]:[SEOGQ3]])</f>
        <v>0</v>
      </c>
      <c r="CL50" s="250">
        <f>IFERROR(ROUNDUP(Table1[[#This Row],[PellTot]]/3,0),0)</f>
        <v>0</v>
      </c>
      <c r="CM50" s="250">
        <f>IFERROR(ROUND(Table1[[#This Row],[PellTot]]/3,0),0)</f>
        <v>0</v>
      </c>
      <c r="CN50" s="250">
        <f>IFERROR(ROUNDDOWN(Table1[[#This Row],[PellTot]]/3,0),0)</f>
        <v>0</v>
      </c>
      <c r="CO50" s="251">
        <f>IFERROR(LOOKUP(Table1[EFC],Pell_Table[#Data],Pell_Table[Pell Amt]),0)</f>
        <v>0</v>
      </c>
      <c r="CP50" s="250">
        <f>Table1[[#This Row],[AccessTot]]/3</f>
        <v>0</v>
      </c>
      <c r="CQ50" s="250">
        <f>Table1[[#This Row],[AccessTot]]/3</f>
        <v>0</v>
      </c>
      <c r="CR50" s="250">
        <f>Table1[[#This Row],[AccessTot]]/3</f>
        <v>0</v>
      </c>
      <c r="CS50" s="251">
        <f>IF(Table1[[#This Row],[PellTot]]&gt;0,1500,0)</f>
        <v>0</v>
      </c>
      <c r="CT50" s="250">
        <f>Table1[[#This Row],[AchiTot]]/3</f>
        <v>1250</v>
      </c>
      <c r="CU50" s="250">
        <f>Table1[[#This Row],[AchiTot]]/3</f>
        <v>1250</v>
      </c>
      <c r="CV50" s="250">
        <f>Table1[[#This Row],[AchiTot]]/3</f>
        <v>1250</v>
      </c>
      <c r="CW50" s="252">
        <f>IF(Table1[[#This Row],[Rank]]="","",IF(Table1[[#This Row],[Rank]]=1,5100,IF(Table1[[#This Row],[Rank]]=2,4500,IF(Table1[[#This Row],[Rank]]=3,3900,IF(Table1[[#This Row],[Rank]]=4,3750,IF(Table1[[#This Row],[Rank]]=5,3000,IF(Table1[[#This Row],[Rank]]=6,2250,0)))))))</f>
        <v>3750</v>
      </c>
      <c r="CX50" s="250">
        <f>Table1[[#This Row],[UTTot]]/3</f>
        <v>0</v>
      </c>
      <c r="CY50" s="250">
        <f>Table1[[#This Row],[UTTot]]/3</f>
        <v>0</v>
      </c>
      <c r="CZ50" s="250">
        <f>Table1[[#This Row],[UTTot]]/3</f>
        <v>0</v>
      </c>
      <c r="DA50" s="251">
        <f>IF(Table1[[#This Row],[State]]="UT",9000,0)</f>
        <v>0</v>
      </c>
      <c r="DB50" s="250">
        <f>Table1[[#This Row],[WITTot]]/3</f>
        <v>0</v>
      </c>
      <c r="DC50" s="250">
        <f>Table1[[#This Row],[WITTot]]/3</f>
        <v>0</v>
      </c>
      <c r="DD50" s="250">
        <f>Table1[[#This Row],[WITTot]]/3</f>
        <v>0</v>
      </c>
      <c r="DE50" s="251">
        <f>IF(Table1[[#This Row],[Gender]]="Female",3000,0)</f>
        <v>0</v>
      </c>
      <c r="DF50" s="250">
        <f>Table1[[#This Row],[SerTot]]/3</f>
        <v>0</v>
      </c>
      <c r="DG50" s="250">
        <f>Table1[[#This Row],[SerTot]]/3</f>
        <v>0</v>
      </c>
      <c r="DH50" s="250">
        <f>Table1[[#This Row],[SerTot]]/3</f>
        <v>0</v>
      </c>
      <c r="DI50" s="252"/>
      <c r="DJ50" s="250"/>
      <c r="DK50" s="250"/>
      <c r="DL50" s="250"/>
      <c r="DM50" s="252"/>
      <c r="DN50" s="250">
        <f>Table1[[#This Row],[MatTot]]/3</f>
        <v>0</v>
      </c>
      <c r="DO50" s="250">
        <f>Table1[[#This Row],[MatTot]]/3</f>
        <v>0</v>
      </c>
      <c r="DP50" s="250">
        <f>Table1[[#This Row],[MatTot]]/3</f>
        <v>0</v>
      </c>
      <c r="DQ50" s="252">
        <v>0</v>
      </c>
      <c r="DR50" s="250">
        <f>Table1[[#This Row],[OutTot]]/3</f>
        <v>0</v>
      </c>
      <c r="DS50" s="250">
        <f>Table1[[#This Row],[OutTot]]/3</f>
        <v>0</v>
      </c>
      <c r="DT50" s="250">
        <f>Table1[[#This Row],[OutTot]]/3</f>
        <v>0</v>
      </c>
      <c r="DU50" s="252">
        <v>0</v>
      </c>
      <c r="DV50" s="250">
        <v>0</v>
      </c>
      <c r="DW50" s="250">
        <v>0</v>
      </c>
      <c r="DX50" s="250">
        <v>0</v>
      </c>
      <c r="DY50" s="252">
        <f>SUM(Table1[[#This Row],[VAQ1]:[VAQ3]])</f>
        <v>0</v>
      </c>
      <c r="DZ50" s="250">
        <v>0</v>
      </c>
      <c r="EA50" s="250">
        <v>0</v>
      </c>
      <c r="EB50" s="250">
        <v>0</v>
      </c>
      <c r="EC50" s="252">
        <f>SUM(Table1[[#This Row],[OthGrantQ1]:[OthGrantQ3]])</f>
        <v>0</v>
      </c>
      <c r="ED50" s="263">
        <f>Table1[[#This Row],[SEOGTot]]+Table1[[#This Row],[PellTot]]+Table1[[#This Row],[AccessTot]]+Table1[[#This Row],[AchiTot]]+Table1[[#This Row],[UTTot]]+Table1[[#This Row],[WITTot]]+Table1[[#This Row],[SerTot]]+Table1[[#This Row],[TranTot]]+Table1[[#This Row],[MatTot]]+Table1[[#This Row],[OutTot]]+Table1[[#This Row],[VATot]]+Table1[[#This Row],[OthGrantTot]]</f>
        <v>3750</v>
      </c>
      <c r="EE50" s="249"/>
      <c r="EF50" s="237"/>
      <c r="EG50" s="237"/>
      <c r="EH50" s="232">
        <f>SUM(Table1[[#This Row],[CashQ1]]:Table1[[#This Row],[CashQ3]])</f>
        <v>0</v>
      </c>
      <c r="EI50" s="271">
        <f>ROUND((Table1[[#This Row],[SubTot]]/3)/1.01059,0)</f>
        <v>1154</v>
      </c>
      <c r="EJ50" s="234">
        <f>ROUND((Table1[[#This Row],[SubTot]]/3)/1.01059,0)</f>
        <v>1154</v>
      </c>
      <c r="EK50" s="234">
        <f>ROUNDUP((Table1[[#This Row],[SubTot]]/3)/1.01059,0)</f>
        <v>1155</v>
      </c>
      <c r="EL50" s="235">
        <v>3500</v>
      </c>
      <c r="EM50" s="240">
        <f>Table1[[#This Row],[SubTot]]*0.01059</f>
        <v>37.065000000000005</v>
      </c>
      <c r="EN50" s="234">
        <f>ROUND((Table1[[#This Row],[UnsubTot]]/3)/1.01062,0)</f>
        <v>660</v>
      </c>
      <c r="EO50" s="234">
        <f>ROUND((Table1[[#This Row],[UnsubTot]]/3)/1.01062,0)</f>
        <v>660</v>
      </c>
      <c r="EP50" s="234">
        <f>ROUNDDOWN((Table1[[#This Row],[UnsubTot]]/3)/1.01062,0)</f>
        <v>659</v>
      </c>
      <c r="EQ50" s="235">
        <f>IF(Table1[D/I]="I",6000,2000)</f>
        <v>2000</v>
      </c>
      <c r="ER50" s="240">
        <f>Table1[[#This Row],[UnsubTot]]*0.01059</f>
        <v>21.18</v>
      </c>
      <c r="ES50" s="234">
        <f>ROUND((Table1[[#This Row],[PLUSTot]]/3)/1.04236,0)</f>
        <v>0</v>
      </c>
      <c r="ET50" s="234">
        <f>ROUND((Table1[[#This Row],[PLUSTot]]/3)/1.04236,0)</f>
        <v>0</v>
      </c>
      <c r="EU50" s="234">
        <f>ROUND((Table1[[#This Row],[PLUSTot]]/3)/1.04236,0)</f>
        <v>0</v>
      </c>
      <c r="EV50" s="235">
        <v>0</v>
      </c>
      <c r="EW50" s="239">
        <f>Table1[[#This Row],[PLUSTot]]*0.04248</f>
        <v>0</v>
      </c>
      <c r="EX50" s="237"/>
      <c r="EY50" s="237"/>
      <c r="EZ50" s="237"/>
      <c r="FA50" s="232">
        <f>SUM(Table1[[#This Row],[PrivQ1]:[PrivQ3]])</f>
        <v>0</v>
      </c>
      <c r="FB50" s="237"/>
      <c r="FC50" s="237"/>
      <c r="FD50" s="237"/>
      <c r="FE50" s="232">
        <f>SUM(Table1[[#This Row],[TOQ1]:[TOQ3]])</f>
        <v>0</v>
      </c>
      <c r="FF50" s="237"/>
      <c r="FG50" s="237"/>
      <c r="FH50" s="237"/>
      <c r="FI50" s="232">
        <f>SUM(Table1[[#This Row],[OFundQ1]:[OFundQ3]])</f>
        <v>0</v>
      </c>
      <c r="FJ50" s="239">
        <f>(Table1[[#This Row],[SubTot]]-Table1[[#This Row],[SubFee]])+(Table1[[#This Row],[UnsubTot]]-Table1[[#This Row],[UnsubFee]])+(Table1[[#This Row],[PLUSTot]]-Table1[[#This Row],[PLUSFee]])+Table1[[#This Row],[PrivTot]]+Table1[[#This Row],[TOTot]]+Table1[[#This Row],[OFundTot]]</f>
        <v>5441.7550000000001</v>
      </c>
      <c r="FK50" s="125">
        <f>Table1[[#This Row],[CostTot]]-Table1[[#This Row],[GiftTot]]</f>
        <v>35765</v>
      </c>
      <c r="FL50" s="130">
        <f>Table1[[#This Row],[NetNeed]]/(1-0.04248)</f>
        <v>31668.523895062241</v>
      </c>
      <c r="FM50" s="131">
        <f>Table1[[#This Row],[NetCost]]-Table1[[#This Row],[CashTot]]-(Table1[[#This Row],[SubTot]]-Table1[[#This Row],[SubFee]])-(Table1[[#This Row],[UnsubTot]]-Table1[[#This Row],[UnsubFee]])-(Table1[[#This Row],[PLUSTot]]-Table1[[#This Row],[PLUSFee]])-Table1[[#This Row],[PrivTot]]-Table1[[#This Row],[TOTot]]-Table1[[#This Row],[OFundTot]]</f>
        <v>30323.244999999999</v>
      </c>
      <c r="FN50" s="161"/>
      <c r="FO50" s="113"/>
      <c r="FP50" s="113"/>
    </row>
    <row r="51" spans="1:172" s="160" customFormat="1" ht="15" x14ac:dyDescent="0.25">
      <c r="A51" s="267">
        <v>194868</v>
      </c>
      <c r="B51" s="113" t="str">
        <f>VLOOKUP(Table1[[#This Row],[SyStudentId]],SSR!$A$2:$CC$4982,4,FALSE)</f>
        <v>Neeley</v>
      </c>
      <c r="C51" s="113" t="str">
        <f>VLOOKUP(Table1[[#This Row],[SyStudentId]],SSR!$A$2:$CC$4982,5,FALSE)</f>
        <v>Ariel</v>
      </c>
      <c r="D51" s="113" t="str">
        <f>VLOOKUP(Table1[[#This Row],[SyStudentId]],SSR!$A$2:$CC$4982,6,FALSE)</f>
        <v>Neeley, Ariel</v>
      </c>
      <c r="E51" s="113" t="str">
        <f>CONCATENATE(Table1[[#This Row],[FirstName]]," ",Table1[[#This Row],[LastName]])</f>
        <v>Ariel Neeley</v>
      </c>
      <c r="F51" s="112"/>
      <c r="G51" s="114"/>
      <c r="H51" s="114"/>
      <c r="I51" s="114"/>
      <c r="J51" s="115"/>
      <c r="K51" s="116"/>
      <c r="L51" s="112" t="str">
        <f>IFERROR(VLOOKUP(Table1[[#This Row],[SyStudentId]],ISIR!$A$2:$X$999,11,FALSE),"")</f>
        <v/>
      </c>
      <c r="M51" s="113" t="str">
        <f>VLOOKUP(Table1[[#This Row],[SyStudentId]],SSR!$A$2:$CC$4982,7,FALSE)</f>
        <v>ariel.neeley@my.netech.edu</v>
      </c>
      <c r="N51" s="113" t="str">
        <f>VLOOKUP(Table1[[#This Row],[SyStudentId]],SSR!$A$2:$CC$4982,8,FALSE)</f>
        <v>62851 E 280 Rd</v>
      </c>
      <c r="O51" s="113" t="str">
        <f>VLOOKUP(Table1[[#This Row],[SyStudentId]],SSR!$A$2:$CC$4982,9,FALSE)</f>
        <v>Grove</v>
      </c>
      <c r="P51" s="292" t="str">
        <f>VLOOKUP(Table1[[#This Row],[SyStudentId]],SSR!$A$2:$CC$4982,10,FALSE)</f>
        <v>OK</v>
      </c>
      <c r="Q51" s="117" t="str">
        <f>VLOOKUP(Table1[[#This Row],[SyStudentId]],SSR!$A$2:$CC$4982,11,FALSE)</f>
        <v xml:space="preserve">74344     </v>
      </c>
      <c r="R51" s="118">
        <f>VLOOKUP(Table1[[#This Row],[SyStudentId]],SSR!$A$2:$CC$4982,15,FALSE)</f>
        <v>3.524</v>
      </c>
      <c r="S51" s="119">
        <f>VLOOKUP(Table1[[#This Row],[SyStudentId]],SSR!$A$2:$CC$4982,22,FALSE)</f>
        <v>44109</v>
      </c>
      <c r="T51" s="113" t="str">
        <f>VLOOKUP(Table1[[#This Row],[SyStudentId]],SSR!$A$2:$CC$4982,24,FALSE)</f>
        <v>JT</v>
      </c>
      <c r="U51" s="113" t="str">
        <f>IF(VLOOKUP(Table1[[#This Row],[SyStudentId]],SSR!$A$2:$CC$4982,26,FALSE)=0,"Not Selected",VLOOKUP(Table1[[#This Row],[SyStudentId]],SSR!$A$2:$CC$4982,26,FALSE))</f>
        <v>Female</v>
      </c>
      <c r="V51" s="113" t="str">
        <f>VLOOKUP(Table1[[#This Row],[SyStudentId]],SSR!$A$2:$CC$4982,27,FALSE)</f>
        <v xml:space="preserve">HS2020  </v>
      </c>
      <c r="W51" s="113" t="str">
        <f>VLOOKUP(LEFT(Table1[[#This Row],[LastName]],1),Alpha!$A$1:$B$26,2,FALSE)</f>
        <v>Maureen Ranks</v>
      </c>
      <c r="X51" s="149" t="str">
        <f>VLOOKUP(Table1[[#This Row],[FAA]],Alpha!$B$1:$D$26,2,FALSE)</f>
        <v>mranks@neumont.edu</v>
      </c>
      <c r="Y51" s="113">
        <f>VLOOKUP(Table1[[#This Row],[FAA]],Alpha!$B$1:$D$26,3,FALSE)</f>
        <v>8883022894</v>
      </c>
      <c r="Z51" s="113" t="str">
        <f>VLOOKUP(Table1[[#This Row],[SyStudentId]],SSR!$A$2:$CC$4982,30,FALSE)</f>
        <v>16-Accepted</v>
      </c>
      <c r="AA51" s="113" t="str">
        <f>IF(VLOOKUP(Table1[[#This Row],[SyStudentId]],SSR!$A$2:$CC$4982,36,FALSE)="Bachelor of Science","BS Computer Science","Check Program")</f>
        <v>BS Computer Science</v>
      </c>
      <c r="AB51" s="113" t="str">
        <f>VLOOKUP(Table1[[#This Row],[SyStudentId]],SSR!$A$2:$CC$4982,37,FALSE)</f>
        <v xml:space="preserve">22      </v>
      </c>
      <c r="AC51" s="113">
        <f>VLOOKUP(Table1[[#This Row],[SyStudentId]],SSR!$A$2:$CC$4982,42,FALSE)</f>
        <v>0</v>
      </c>
      <c r="AD51" s="113" t="str">
        <f>VLOOKUP(Table1[[#This Row],[SyStudentId]],SSR!$A$2:$CC$4982,46,FALSE)</f>
        <v>108</v>
      </c>
      <c r="AE51" s="113" t="str">
        <f>VLOOKUP(Table1[[#This Row],[SyStudentId]],SSR!$A$2:$CC$4982,65,FALSE)</f>
        <v>IV</v>
      </c>
      <c r="AF51"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4</v>
      </c>
      <c r="AG51" s="113" t="str">
        <f>VLOOKUP(Table1[[#This Row],[SyStudentId]],SSR!$A$2:$CC$4982,66,FALSE)</f>
        <v>July-October</v>
      </c>
      <c r="AH51" s="113" t="str">
        <f>IFERROR(VLOOKUP(Table1[[#This Row],[SyStudentId]],ISIR!$A$2:$X$999,7,FALSE),"")</f>
        <v/>
      </c>
      <c r="AI51" s="121" t="str">
        <f>IF(Table1[[#This Row],[EFCRaw]]="","",IF(Table1[[#This Row],[EFCRaw]]="No EFC","No EFC",_xlfn.NUMBERVALUE(Table1[[#This Row],[EFCRaw]])))</f>
        <v/>
      </c>
      <c r="AJ51" s="119" t="str">
        <f>IFERROR(VLOOKUP(Table1[[#This Row],[SyStudentId]],ISIR!$A$2:$X$4999,19,FALSE),"")</f>
        <v/>
      </c>
      <c r="AK51" s="113" t="str">
        <f>IFERROR(VLOOKUP(Table1[[#This Row],[SyStudentId]],ISIR!$A$2:$X$4999,8,FALSE),"")</f>
        <v/>
      </c>
      <c r="AL51" s="132" t="str">
        <f>IF(Table1[[#This Row],[VerReq]]="N","n/a","")</f>
        <v/>
      </c>
      <c r="AM51" s="122"/>
      <c r="AN51" s="122"/>
      <c r="AO51" s="122"/>
      <c r="AP51" s="122"/>
      <c r="AQ51" s="122"/>
      <c r="AR51" s="122"/>
      <c r="AS51" s="122"/>
      <c r="AT51" s="122"/>
      <c r="AU51" s="122"/>
      <c r="AV51" s="122"/>
      <c r="AW51" s="122"/>
      <c r="AX51" s="122"/>
      <c r="AY51" s="122"/>
      <c r="AZ51" s="122"/>
      <c r="BA51" s="122"/>
      <c r="BB51" s="122"/>
      <c r="BC51" s="133"/>
      <c r="BD51" s="140" t="str">
        <f>IF(Table1[[#This Row],[VerReq]]="N","x","")</f>
        <v/>
      </c>
      <c r="BE51" s="140" t="str">
        <f>IF(Table1[[#This Row],[VerReq]]="N","x","")</f>
        <v/>
      </c>
      <c r="BF51" s="140" t="str">
        <f>IF(Table1[[#This Row],[VerReq]]="N","x","")</f>
        <v/>
      </c>
      <c r="BG51" s="140" t="str">
        <f>IF(Table1[[#This Row],[VerReq]]="N","x","")</f>
        <v/>
      </c>
      <c r="BH51" s="140" t="str">
        <f>IF(Table1[[#This Row],[VerReq]]="N","x","")</f>
        <v/>
      </c>
      <c r="BI51" s="140" t="str">
        <f>IF(Table1[[#This Row],[VerReq]]="N","x","")</f>
        <v/>
      </c>
      <c r="BJ51" s="123">
        <f>1-((COUNTBLANK(Table1[[#This Row],[ALESent]:[TaxTran]]))/(COUNT(Table1[[#This Row],[ALESent]:[TaxTran]])+COUNTBLANK(Table1[[#This Row],[ALESent]:[TaxTran]])))</f>
        <v>0</v>
      </c>
      <c r="BK51" s="136">
        <f>IF(VLOOKUP(Table1[[#This Row],[SyStudentId]],SSR!$A$2:$CC$4982,22,FALSE)=44109,44109,"Check Program")</f>
        <v>44109</v>
      </c>
      <c r="BL51" s="124">
        <f>IF(Table1[[#This Row],[AYStart]]=44109,44356,"Check Program")</f>
        <v>44356</v>
      </c>
      <c r="BM51" s="219">
        <v>8505</v>
      </c>
      <c r="BN51" s="219">
        <v>8505</v>
      </c>
      <c r="BO51" s="219">
        <v>8505</v>
      </c>
      <c r="BP51" s="220">
        <f t="shared" si="0"/>
        <v>25515</v>
      </c>
      <c r="BQ51" s="221">
        <v>3300</v>
      </c>
      <c r="BR51" s="219">
        <v>400</v>
      </c>
      <c r="BS51" s="219">
        <v>400</v>
      </c>
      <c r="BT51" s="220">
        <f t="shared" si="1"/>
        <v>4100</v>
      </c>
      <c r="BU51" s="219">
        <v>2100</v>
      </c>
      <c r="BV51" s="219">
        <v>2100</v>
      </c>
      <c r="BW51" s="219">
        <v>2100</v>
      </c>
      <c r="BX51" s="220">
        <f t="shared" si="2"/>
        <v>6300</v>
      </c>
      <c r="BY51" s="275">
        <v>1200</v>
      </c>
      <c r="BZ51" s="275">
        <v>1200</v>
      </c>
      <c r="CA51" s="275">
        <v>1200</v>
      </c>
      <c r="CB51" s="220">
        <f>SUM(Table1[[#This Row],[LEQ1]:[LEQ3]])</f>
        <v>3600</v>
      </c>
      <c r="CC51" s="275">
        <v>0</v>
      </c>
      <c r="CD51" s="275">
        <v>0</v>
      </c>
      <c r="CE51" s="275">
        <v>0</v>
      </c>
      <c r="CF51" s="220">
        <f>SUM(Table1[[#This Row],[OthCostQ1]:[OthCostQ3]])</f>
        <v>0</v>
      </c>
      <c r="CG51" s="220">
        <f>(Table1[[#This Row],[T&amp;FTot]]+Table1[[#This Row],[B&amp;STot]]+Table1[[#This Row],[HousTot]]+Table1[[#This Row],[LETot]]+Table1[[#This Row],[OthCostTot]])</f>
        <v>39515</v>
      </c>
      <c r="CH51" s="250"/>
      <c r="CI51" s="250"/>
      <c r="CJ51" s="250"/>
      <c r="CK51" s="251">
        <f>SUM(Table1[[#This Row],[SEOGQ1]:[SEOGQ3]])</f>
        <v>0</v>
      </c>
      <c r="CL51" s="250">
        <f>IFERROR(ROUNDUP(Table1[[#This Row],[PellTot]]/3,0),0)</f>
        <v>0</v>
      </c>
      <c r="CM51" s="250">
        <f>IFERROR(ROUND(Table1[[#This Row],[PellTot]]/3,0),0)</f>
        <v>0</v>
      </c>
      <c r="CN51" s="250">
        <f>IFERROR(ROUNDDOWN(Table1[[#This Row],[PellTot]]/3,0),0)</f>
        <v>0</v>
      </c>
      <c r="CO51" s="251">
        <f>IFERROR(LOOKUP(Table1[EFC],Pell_Table[#Data],Pell_Table[Pell Amt]),0)</f>
        <v>0</v>
      </c>
      <c r="CP51" s="250">
        <f>Table1[[#This Row],[AccessTot]]/3</f>
        <v>0</v>
      </c>
      <c r="CQ51" s="250">
        <f>Table1[[#This Row],[AccessTot]]/3</f>
        <v>0</v>
      </c>
      <c r="CR51" s="250">
        <f>Table1[[#This Row],[AccessTot]]/3</f>
        <v>0</v>
      </c>
      <c r="CS51" s="251">
        <f>IF(Table1[[#This Row],[PellTot]]&gt;0,1500,0)</f>
        <v>0</v>
      </c>
      <c r="CT51" s="250">
        <f>Table1[[#This Row],[AchiTot]]/3</f>
        <v>1250</v>
      </c>
      <c r="CU51" s="250">
        <f>Table1[[#This Row],[AchiTot]]/3</f>
        <v>1250</v>
      </c>
      <c r="CV51" s="250">
        <f>Table1[[#This Row],[AchiTot]]/3</f>
        <v>1250</v>
      </c>
      <c r="CW51" s="252">
        <f>IF(Table1[[#This Row],[Rank]]="","",IF(Table1[[#This Row],[Rank]]=1,5100,IF(Table1[[#This Row],[Rank]]=2,4500,IF(Table1[[#This Row],[Rank]]=3,3900,IF(Table1[[#This Row],[Rank]]=4,3750,IF(Table1[[#This Row],[Rank]]=5,3000,IF(Table1[[#This Row],[Rank]]=6,2250,0)))))))</f>
        <v>3750</v>
      </c>
      <c r="CX51" s="250">
        <f>Table1[[#This Row],[UTTot]]/3</f>
        <v>0</v>
      </c>
      <c r="CY51" s="250">
        <f>Table1[[#This Row],[UTTot]]/3</f>
        <v>0</v>
      </c>
      <c r="CZ51" s="250">
        <f>Table1[[#This Row],[UTTot]]/3</f>
        <v>0</v>
      </c>
      <c r="DA51" s="251">
        <f>IF(Table1[[#This Row],[State]]="UT",9000,0)</f>
        <v>0</v>
      </c>
      <c r="DB51" s="250">
        <f>Table1[[#This Row],[WITTot]]/3</f>
        <v>1000</v>
      </c>
      <c r="DC51" s="250">
        <f>Table1[[#This Row],[WITTot]]/3</f>
        <v>1000</v>
      </c>
      <c r="DD51" s="250">
        <f>Table1[[#This Row],[WITTot]]/3</f>
        <v>1000</v>
      </c>
      <c r="DE51" s="251">
        <f>IF(Table1[[#This Row],[Gender]]="Female",3000,0)</f>
        <v>3000</v>
      </c>
      <c r="DF51" s="250">
        <f>Table1[[#This Row],[SerTot]]/3</f>
        <v>0</v>
      </c>
      <c r="DG51" s="250">
        <f>Table1[[#This Row],[SerTot]]/3</f>
        <v>0</v>
      </c>
      <c r="DH51" s="250">
        <f>Table1[[#This Row],[SerTot]]/3</f>
        <v>0</v>
      </c>
      <c r="DI51" s="252"/>
      <c r="DJ51" s="250"/>
      <c r="DK51" s="250"/>
      <c r="DL51" s="250"/>
      <c r="DM51" s="252"/>
      <c r="DN51" s="250">
        <f>Table1[[#This Row],[MatTot]]/3</f>
        <v>0</v>
      </c>
      <c r="DO51" s="250">
        <f>Table1[[#This Row],[MatTot]]/3</f>
        <v>0</v>
      </c>
      <c r="DP51" s="250">
        <f>Table1[[#This Row],[MatTot]]/3</f>
        <v>0</v>
      </c>
      <c r="DQ51" s="252">
        <v>0</v>
      </c>
      <c r="DR51" s="250">
        <f>Table1[[#This Row],[OutTot]]/3</f>
        <v>0</v>
      </c>
      <c r="DS51" s="250">
        <f>Table1[[#This Row],[OutTot]]/3</f>
        <v>0</v>
      </c>
      <c r="DT51" s="250">
        <f>Table1[[#This Row],[OutTot]]/3</f>
        <v>0</v>
      </c>
      <c r="DU51" s="252">
        <v>0</v>
      </c>
      <c r="DV51" s="250">
        <v>0</v>
      </c>
      <c r="DW51" s="250">
        <v>0</v>
      </c>
      <c r="DX51" s="250">
        <v>0</v>
      </c>
      <c r="DY51" s="252">
        <f>SUM(Table1[[#This Row],[VAQ1]:[VAQ3]])</f>
        <v>0</v>
      </c>
      <c r="DZ51" s="250">
        <v>0</v>
      </c>
      <c r="EA51" s="250">
        <v>0</v>
      </c>
      <c r="EB51" s="250">
        <v>0</v>
      </c>
      <c r="EC51" s="252">
        <f>SUM(Table1[[#This Row],[OthGrantQ1]:[OthGrantQ3]])</f>
        <v>0</v>
      </c>
      <c r="ED51" s="263">
        <f>Table1[[#This Row],[SEOGTot]]+Table1[[#This Row],[PellTot]]+Table1[[#This Row],[AccessTot]]+Table1[[#This Row],[AchiTot]]+Table1[[#This Row],[UTTot]]+Table1[[#This Row],[WITTot]]+Table1[[#This Row],[SerTot]]+Table1[[#This Row],[TranTot]]+Table1[[#This Row],[MatTot]]+Table1[[#This Row],[OutTot]]+Table1[[#This Row],[VATot]]+Table1[[#This Row],[OthGrantTot]]</f>
        <v>6750</v>
      </c>
      <c r="EE51" s="249"/>
      <c r="EF51" s="237"/>
      <c r="EG51" s="237"/>
      <c r="EH51" s="232">
        <f>SUM(Table1[[#This Row],[CashQ1]]:Table1[[#This Row],[CashQ3]])</f>
        <v>0</v>
      </c>
      <c r="EI51" s="271">
        <f>ROUND((Table1[[#This Row],[SubTot]]/3)/1.01059,0)</f>
        <v>1154</v>
      </c>
      <c r="EJ51" s="234">
        <f>ROUND((Table1[[#This Row],[SubTot]]/3)/1.01059,0)</f>
        <v>1154</v>
      </c>
      <c r="EK51" s="234">
        <f>ROUNDUP((Table1[[#This Row],[SubTot]]/3)/1.01059,0)</f>
        <v>1155</v>
      </c>
      <c r="EL51" s="235">
        <v>3500</v>
      </c>
      <c r="EM51" s="240">
        <f>Table1[[#This Row],[SubTot]]*0.01059</f>
        <v>37.065000000000005</v>
      </c>
      <c r="EN51" s="234">
        <f>ROUND((Table1[[#This Row],[UnsubTot]]/3)/1.01062,0)</f>
        <v>660</v>
      </c>
      <c r="EO51" s="234">
        <f>ROUND((Table1[[#This Row],[UnsubTot]]/3)/1.01062,0)</f>
        <v>660</v>
      </c>
      <c r="EP51" s="234">
        <f>ROUNDDOWN((Table1[[#This Row],[UnsubTot]]/3)/1.01062,0)</f>
        <v>659</v>
      </c>
      <c r="EQ51" s="235">
        <f>IF(Table1[D/I]="I",6000,2000)</f>
        <v>2000</v>
      </c>
      <c r="ER51" s="240">
        <f>Table1[[#This Row],[UnsubTot]]*0.01059</f>
        <v>21.18</v>
      </c>
      <c r="ES51" s="234">
        <f>ROUND((Table1[[#This Row],[PLUSTot]]/3)/1.04236,0)</f>
        <v>0</v>
      </c>
      <c r="ET51" s="234">
        <f>ROUND((Table1[[#This Row],[PLUSTot]]/3)/1.04236,0)</f>
        <v>0</v>
      </c>
      <c r="EU51" s="234">
        <f>ROUND((Table1[[#This Row],[PLUSTot]]/3)/1.04236,0)</f>
        <v>0</v>
      </c>
      <c r="EV51" s="235">
        <v>0</v>
      </c>
      <c r="EW51" s="239">
        <f>Table1[[#This Row],[PLUSTot]]*0.04248</f>
        <v>0</v>
      </c>
      <c r="EX51" s="237"/>
      <c r="EY51" s="237"/>
      <c r="EZ51" s="237"/>
      <c r="FA51" s="232">
        <f>SUM(Table1[[#This Row],[PrivQ1]:[PrivQ3]])</f>
        <v>0</v>
      </c>
      <c r="FB51" s="237"/>
      <c r="FC51" s="237"/>
      <c r="FD51" s="237"/>
      <c r="FE51" s="232">
        <f>SUM(Table1[[#This Row],[TOQ1]:[TOQ3]])</f>
        <v>0</v>
      </c>
      <c r="FF51" s="237"/>
      <c r="FG51" s="237"/>
      <c r="FH51" s="237"/>
      <c r="FI51" s="232">
        <f>SUM(Table1[[#This Row],[OFundQ1]:[OFundQ3]])</f>
        <v>0</v>
      </c>
      <c r="FJ51" s="239">
        <f>(Table1[[#This Row],[SubTot]]-Table1[[#This Row],[SubFee]])+(Table1[[#This Row],[UnsubTot]]-Table1[[#This Row],[UnsubFee]])+(Table1[[#This Row],[PLUSTot]]-Table1[[#This Row],[PLUSFee]])+Table1[[#This Row],[PrivTot]]+Table1[[#This Row],[TOTot]]+Table1[[#This Row],[OFundTot]]</f>
        <v>5441.7550000000001</v>
      </c>
      <c r="FK51" s="125">
        <f>Table1[[#This Row],[CostTot]]-Table1[[#This Row],[GiftTot]]</f>
        <v>32765</v>
      </c>
      <c r="FL51" s="130">
        <f>Table1[[#This Row],[NetNeed]]/(1-0.04248)</f>
        <v>28535.430069345806</v>
      </c>
      <c r="FM51" s="131">
        <f>Table1[[#This Row],[NetCost]]-Table1[[#This Row],[CashTot]]-(Table1[[#This Row],[SubTot]]-Table1[[#This Row],[SubFee]])-(Table1[[#This Row],[UnsubTot]]-Table1[[#This Row],[UnsubFee]])-(Table1[[#This Row],[PLUSTot]]-Table1[[#This Row],[PLUSFee]])-Table1[[#This Row],[PrivTot]]-Table1[[#This Row],[TOTot]]-Table1[[#This Row],[OFundTot]]</f>
        <v>27323.244999999999</v>
      </c>
      <c r="FN51" s="161"/>
      <c r="FO51" s="113"/>
      <c r="FP51" s="113"/>
    </row>
    <row r="52" spans="1:172" s="160" customFormat="1" ht="15" x14ac:dyDescent="0.25">
      <c r="A52" s="311">
        <v>198556</v>
      </c>
      <c r="B52" s="113" t="str">
        <f>VLOOKUP(Table1[[#This Row],[SyStudentId]],SSR!$A$2:$CC$4982,4,FALSE)</f>
        <v>Nguyen</v>
      </c>
      <c r="C52" s="113" t="str">
        <f>VLOOKUP(Table1[[#This Row],[SyStudentId]],SSR!$A$2:$CC$4982,5,FALSE)</f>
        <v>Thien</v>
      </c>
      <c r="D52" s="113" t="str">
        <f>VLOOKUP(Table1[[#This Row],[SyStudentId]],SSR!$A$2:$CC$4982,6,FALSE)</f>
        <v>Nguyen, Thien</v>
      </c>
      <c r="E52" s="113" t="str">
        <f>CONCATENATE(Table1[[#This Row],[FirstName]]," ",Table1[[#This Row],[LastName]])</f>
        <v>Thien Nguyen</v>
      </c>
      <c r="F52" s="112">
        <v>1</v>
      </c>
      <c r="G52" s="114"/>
      <c r="H52" s="114"/>
      <c r="I52" s="114">
        <v>43803</v>
      </c>
      <c r="J52" s="115"/>
      <c r="K52" s="116"/>
      <c r="L52" s="112" t="str">
        <f>IFERROR(VLOOKUP(Table1[[#This Row],[SyStudentId]],ISIR!$A$2:$X$999,11,FALSE),"")</f>
        <v>D</v>
      </c>
      <c r="M52" s="113" t="str">
        <f>VLOOKUP(Table1[[#This Row],[SyStudentId]],SSR!$A$2:$CC$4982,7,FALSE)</f>
        <v>nguthien2002@gmail.com</v>
      </c>
      <c r="N52" s="113" t="str">
        <f>VLOOKUP(Table1[[#This Row],[SyStudentId]],SSR!$A$2:$CC$4982,8,FALSE)</f>
        <v>5653 PINEY RIDGE DR.</v>
      </c>
      <c r="O52" s="113" t="str">
        <f>VLOOKUP(Table1[[#This Row],[SyStudentId]],SSR!$A$2:$CC$4982,9,FALSE)</f>
        <v>WEST VALLEY CITY</v>
      </c>
      <c r="P52" s="113" t="str">
        <f>VLOOKUP(Table1[[#This Row],[SyStudentId]],SSR!$A$2:$CC$4982,10,FALSE)</f>
        <v>UT</v>
      </c>
      <c r="Q52" s="117" t="str">
        <f>VLOOKUP(Table1[[#This Row],[SyStudentId]],SSR!$A$2:$CC$4982,11,FALSE)</f>
        <v xml:space="preserve">84118     </v>
      </c>
      <c r="R52" s="118">
        <f>VLOOKUP(Table1[[#This Row],[SyStudentId]],SSR!$A$2:$CC$4982,15,FALSE)</f>
        <v>3.996</v>
      </c>
      <c r="S52" s="119">
        <f>VLOOKUP(Table1[[#This Row],[SyStudentId]],SSR!$A$2:$CC$4982,22,FALSE)</f>
        <v>44109</v>
      </c>
      <c r="T52" s="113" t="str">
        <f>VLOOKUP(Table1[[#This Row],[SyStudentId]],SSR!$A$2:$CC$4982,24,FALSE)</f>
        <v>MR</v>
      </c>
      <c r="U52" s="113" t="str">
        <f>IF(VLOOKUP(Table1[[#This Row],[SyStudentId]],SSR!$A$2:$CC$4982,26,FALSE)=0,"Not Selected",VLOOKUP(Table1[[#This Row],[SyStudentId]],SSR!$A$2:$CC$4982,26,FALSE))</f>
        <v>Male</v>
      </c>
      <c r="V52" s="113" t="str">
        <f>VLOOKUP(Table1[[#This Row],[SyStudentId]],SSR!$A$2:$CC$4982,27,FALSE)</f>
        <v xml:space="preserve">HS2020  </v>
      </c>
      <c r="W52" s="113" t="str">
        <f>VLOOKUP(LEFT(Table1[[#This Row],[LastName]],1),Alpha!$A$1:$B$26,2,FALSE)</f>
        <v>Maureen Ranks</v>
      </c>
      <c r="X52" s="149" t="str">
        <f>VLOOKUP(Table1[[#This Row],[FAA]],Alpha!$B$1:$D$26,2,FALSE)</f>
        <v>mranks@neumont.edu</v>
      </c>
      <c r="Y52" s="113">
        <f>VLOOKUP(Table1[[#This Row],[FAA]],Alpha!$B$1:$D$26,3,FALSE)</f>
        <v>8883022894</v>
      </c>
      <c r="Z52" s="113" t="str">
        <f>VLOOKUP(Table1[[#This Row],[SyStudentId]],SSR!$A$2:$CC$4982,30,FALSE)</f>
        <v>16-Accepted</v>
      </c>
      <c r="AA52" s="113" t="str">
        <f>IF(VLOOKUP(Table1[[#This Row],[SyStudentId]],SSR!$A$2:$CC$4982,36,FALSE)="Bachelor of Science","BS Computer Science","Check Program")</f>
        <v>BS Computer Science</v>
      </c>
      <c r="AB52" s="113" t="str">
        <f>VLOOKUP(Table1[[#This Row],[SyStudentId]],SSR!$A$2:$CC$4982,37,FALSE)</f>
        <v xml:space="preserve">22      </v>
      </c>
      <c r="AC52" s="113">
        <f>VLOOKUP(Table1[[#This Row],[SyStudentId]],SSR!$A$2:$CC$4982,42,FALSE)</f>
        <v>0</v>
      </c>
      <c r="AD52" s="113" t="str">
        <f>VLOOKUP(Table1[[#This Row],[SyStudentId]],SSR!$A$2:$CC$4982,46,FALSE)</f>
        <v>117</v>
      </c>
      <c r="AE52" s="113" t="str">
        <f>VLOOKUP(Table1[[#This Row],[SyStudentId]],SSR!$A$2:$CC$4982,65,FALSE)</f>
        <v>I</v>
      </c>
      <c r="AF52"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52" s="113" t="str">
        <f>VLOOKUP(Table1[[#This Row],[SyStudentId]],SSR!$A$2:$CC$4982,66,FALSE)</f>
        <v>November</v>
      </c>
      <c r="AH52" s="113" t="str">
        <f>IFERROR(VLOOKUP(Table1[[#This Row],[SyStudentId]],ISIR!$A$2:$X$999,7,FALSE),"")</f>
        <v>000000</v>
      </c>
      <c r="AI52" s="121">
        <f>IF(Table1[[#This Row],[EFCRaw]]="","",IF(Table1[[#This Row],[EFCRaw]]="No EFC","No EFC",_xlfn.NUMBERVALUE(Table1[[#This Row],[EFCRaw]])))</f>
        <v>0</v>
      </c>
      <c r="AJ52" s="119">
        <f>IFERROR(VLOOKUP(Table1[[#This Row],[SyStudentId]],ISIR!$A$2:$X$4999,19,FALSE),"")</f>
        <v>43790</v>
      </c>
      <c r="AK52" s="113" t="str">
        <f>IFERROR(VLOOKUP(Table1[[#This Row],[SyStudentId]],ISIR!$A$2:$X$4999,8,FALSE),"")</f>
        <v>Y</v>
      </c>
      <c r="AL52" s="132" t="str">
        <f>IF(Table1[[#This Row],[VerReq]]="N","n/a","")</f>
        <v/>
      </c>
      <c r="AM52" s="122"/>
      <c r="AN52" s="122"/>
      <c r="AO52" s="122"/>
      <c r="AP52" s="122"/>
      <c r="AQ52" s="122"/>
      <c r="AR52" s="122"/>
      <c r="AS52" s="122"/>
      <c r="AT52" s="122"/>
      <c r="AU52" s="122"/>
      <c r="AV52" s="122"/>
      <c r="AW52" s="122"/>
      <c r="AX52" s="122"/>
      <c r="AY52" s="122"/>
      <c r="AZ52" s="122"/>
      <c r="BA52" s="122"/>
      <c r="BB52" s="122"/>
      <c r="BC52" s="133"/>
      <c r="BD52" s="140" t="str">
        <f>IF(Table1[[#This Row],[VerReq]]="N","x","")</f>
        <v/>
      </c>
      <c r="BE52" s="140" t="str">
        <f>IF(Table1[[#This Row],[VerReq]]="N","x","")</f>
        <v/>
      </c>
      <c r="BF52" s="140" t="str">
        <f>IF(Table1[[#This Row],[VerReq]]="N","x","")</f>
        <v/>
      </c>
      <c r="BG52" s="140" t="str">
        <f>IF(Table1[[#This Row],[VerReq]]="N","x","")</f>
        <v/>
      </c>
      <c r="BH52" s="140" t="str">
        <f>IF(Table1[[#This Row],[VerReq]]="N","x","")</f>
        <v/>
      </c>
      <c r="BI52" s="140" t="str">
        <f>IF(Table1[[#This Row],[VerReq]]="N","x","")</f>
        <v/>
      </c>
      <c r="BJ52" s="123">
        <f>1-((COUNTBLANK(Table1[[#This Row],[ALESent]:[TaxTran]]))/(COUNT(Table1[[#This Row],[ALESent]:[TaxTran]])+COUNTBLANK(Table1[[#This Row],[ALESent]:[TaxTran]])))</f>
        <v>0</v>
      </c>
      <c r="BK52" s="136">
        <f>IF(VLOOKUP(Table1[[#This Row],[SyStudentId]],SSR!$A$2:$CC$4982,22,FALSE)=44109,44109,"Check Program")</f>
        <v>44109</v>
      </c>
      <c r="BL52" s="124">
        <f>IF(Table1[[#This Row],[AYStart]]=44109,44356,"Check Program")</f>
        <v>44356</v>
      </c>
      <c r="BM52" s="219">
        <v>8505</v>
      </c>
      <c r="BN52" s="219">
        <v>8505</v>
      </c>
      <c r="BO52" s="219">
        <v>8505</v>
      </c>
      <c r="BP52" s="220">
        <f t="shared" si="0"/>
        <v>25515</v>
      </c>
      <c r="BQ52" s="221">
        <v>3300</v>
      </c>
      <c r="BR52" s="219">
        <v>400</v>
      </c>
      <c r="BS52" s="219">
        <v>400</v>
      </c>
      <c r="BT52" s="220">
        <f t="shared" si="1"/>
        <v>4100</v>
      </c>
      <c r="BU52" s="219">
        <v>2100</v>
      </c>
      <c r="BV52" s="219">
        <v>2100</v>
      </c>
      <c r="BW52" s="219">
        <v>2100</v>
      </c>
      <c r="BX52" s="220">
        <f t="shared" si="2"/>
        <v>6300</v>
      </c>
      <c r="BY52" s="275">
        <v>1200</v>
      </c>
      <c r="BZ52" s="275">
        <v>1200</v>
      </c>
      <c r="CA52" s="275">
        <v>1200</v>
      </c>
      <c r="CB52" s="220">
        <f>SUM(Table1[[#This Row],[LEQ1]:[LEQ3]])</f>
        <v>3600</v>
      </c>
      <c r="CC52" s="275"/>
      <c r="CD52" s="275"/>
      <c r="CE52" s="275"/>
      <c r="CF52" s="220">
        <f>SUM(Table1[[#This Row],[OthCostQ1]:[OthCostQ3]])</f>
        <v>0</v>
      </c>
      <c r="CG52" s="220">
        <f>(Table1[[#This Row],[T&amp;FTot]]+Table1[[#This Row],[B&amp;STot]]+Table1[[#This Row],[HousTot]]+Table1[[#This Row],[LETot]]+Table1[[#This Row],[OthCostTot]])</f>
        <v>39515</v>
      </c>
      <c r="CH52" s="250"/>
      <c r="CI52" s="250"/>
      <c r="CJ52" s="250"/>
      <c r="CK52" s="251">
        <f>SUM(Table1[[#This Row],[SEOGQ1]:[SEOGQ3]])</f>
        <v>0</v>
      </c>
      <c r="CL52" s="250">
        <f>IFERROR(ROUNDUP(Table1[[#This Row],[PellTot]]/3,0),0)</f>
        <v>2065</v>
      </c>
      <c r="CM52" s="250">
        <f>IFERROR(ROUND(Table1[[#This Row],[PellTot]]/3,0),0)</f>
        <v>2065</v>
      </c>
      <c r="CN52" s="250">
        <f>IFERROR(ROUNDDOWN(Table1[[#This Row],[PellTot]]/3,0),0)</f>
        <v>2065</v>
      </c>
      <c r="CO52" s="251">
        <f>IFERROR(LOOKUP(Table1[EFC],Pell_Table[#Data],Pell_Table[Pell Amt]),0)</f>
        <v>6195</v>
      </c>
      <c r="CP52" s="250">
        <f>Table1[[#This Row],[AccessTot]]/3</f>
        <v>500</v>
      </c>
      <c r="CQ52" s="250">
        <f>Table1[[#This Row],[AccessTot]]/3</f>
        <v>500</v>
      </c>
      <c r="CR52" s="250">
        <f>Table1[[#This Row],[AccessTot]]/3</f>
        <v>500</v>
      </c>
      <c r="CS52" s="251">
        <f>IF(Table1[[#This Row],[PellTot]]&gt;0,1500,0)</f>
        <v>1500</v>
      </c>
      <c r="CT52" s="250">
        <f>Table1[[#This Row],[AchiTot]]/3</f>
        <v>1700</v>
      </c>
      <c r="CU52" s="250">
        <f>Table1[[#This Row],[AchiTot]]/3</f>
        <v>1700</v>
      </c>
      <c r="CV52" s="250">
        <f>Table1[[#This Row],[AchiTot]]/3</f>
        <v>1700</v>
      </c>
      <c r="CW52" s="252">
        <f>IF(Table1[[#This Row],[Rank]]="","",IF(Table1[[#This Row],[Rank]]=1,5100,IF(Table1[[#This Row],[Rank]]=2,4500,IF(Table1[[#This Row],[Rank]]=3,3900,IF(Table1[[#This Row],[Rank]]=4,3750,IF(Table1[[#This Row],[Rank]]=5,3000,IF(Table1[[#This Row],[Rank]]=6,2250,0)))))))</f>
        <v>5100</v>
      </c>
      <c r="CX52" s="250">
        <f>Table1[[#This Row],[UTTot]]/3</f>
        <v>3000</v>
      </c>
      <c r="CY52" s="250">
        <f>Table1[[#This Row],[UTTot]]/3</f>
        <v>3000</v>
      </c>
      <c r="CZ52" s="250">
        <f>Table1[[#This Row],[UTTot]]/3</f>
        <v>3000</v>
      </c>
      <c r="DA52" s="251">
        <f>IF(Table1[[#This Row],[State]]="UT",9000,0)</f>
        <v>9000</v>
      </c>
      <c r="DB52" s="250">
        <f>Table1[[#This Row],[WITTot]]/3</f>
        <v>0</v>
      </c>
      <c r="DC52" s="250">
        <f>Table1[[#This Row],[WITTot]]/3</f>
        <v>0</v>
      </c>
      <c r="DD52" s="250">
        <f>Table1[[#This Row],[WITTot]]/3</f>
        <v>0</v>
      </c>
      <c r="DE52" s="251">
        <f>IF(Table1[[#This Row],[Gender]]="Female",3000,0)</f>
        <v>0</v>
      </c>
      <c r="DF52" s="250">
        <f>Table1[[#This Row],[SerTot]]/3</f>
        <v>0</v>
      </c>
      <c r="DG52" s="250">
        <f>Table1[[#This Row],[SerTot]]/3</f>
        <v>0</v>
      </c>
      <c r="DH52" s="250">
        <f>Table1[[#This Row],[SerTot]]/3</f>
        <v>0</v>
      </c>
      <c r="DI52" s="252"/>
      <c r="DJ52" s="250"/>
      <c r="DK52" s="250"/>
      <c r="DL52" s="250"/>
      <c r="DM52" s="252"/>
      <c r="DN52" s="250">
        <f>Table1[[#This Row],[MatTot]]/3</f>
        <v>0</v>
      </c>
      <c r="DO52" s="250">
        <f>Table1[[#This Row],[MatTot]]/3</f>
        <v>0</v>
      </c>
      <c r="DP52" s="250">
        <f>Table1[[#This Row],[MatTot]]/3</f>
        <v>0</v>
      </c>
      <c r="DQ52" s="252"/>
      <c r="DR52" s="250">
        <f>Table1[[#This Row],[OutTot]]/3</f>
        <v>0</v>
      </c>
      <c r="DS52" s="250">
        <f>Table1[[#This Row],[OutTot]]/3</f>
        <v>0</v>
      </c>
      <c r="DT52" s="250">
        <f>Table1[[#This Row],[OutTot]]/3</f>
        <v>0</v>
      </c>
      <c r="DU52" s="252"/>
      <c r="DV52" s="250"/>
      <c r="DW52" s="250"/>
      <c r="DX52" s="250"/>
      <c r="DY52" s="252">
        <f>SUM(Table1[[#This Row],[VAQ1]:[VAQ3]])</f>
        <v>0</v>
      </c>
      <c r="DZ52" s="250"/>
      <c r="EA52" s="250"/>
      <c r="EB52" s="250"/>
      <c r="EC52" s="252">
        <f>SUM(Table1[[#This Row],[OthGrantQ1]:[OthGrantQ3]])</f>
        <v>0</v>
      </c>
      <c r="ED52" s="263">
        <f>Table1[[#This Row],[SEOGTot]]+Table1[[#This Row],[PellTot]]+Table1[[#This Row],[AccessTot]]+Table1[[#This Row],[AchiTot]]+Table1[[#This Row],[UTTot]]+Table1[[#This Row],[WITTot]]+Table1[[#This Row],[SerTot]]+Table1[[#This Row],[TranTot]]+Table1[[#This Row],[MatTot]]+Table1[[#This Row],[OutTot]]+Table1[[#This Row],[VATot]]+Table1[[#This Row],[OthGrantTot]]</f>
        <v>21795</v>
      </c>
      <c r="EE52" s="249"/>
      <c r="EF52" s="237"/>
      <c r="EG52" s="237"/>
      <c r="EH52" s="232">
        <f>SUM(Table1[[#This Row],[CashQ1]]:Table1[[#This Row],[CashQ3]])</f>
        <v>0</v>
      </c>
      <c r="EI52" s="271">
        <f>ROUND((Table1[[#This Row],[SubTot]]/3)/1.01059,0)</f>
        <v>0</v>
      </c>
      <c r="EJ52" s="234">
        <f>ROUND((Table1[[#This Row],[SubTot]]/3)/1.01059,0)</f>
        <v>0</v>
      </c>
      <c r="EK52" s="234">
        <f>ROUNDUP((Table1[[#This Row],[SubTot]]/3)/1.01059,0)</f>
        <v>0</v>
      </c>
      <c r="EL52" s="235"/>
      <c r="EM52" s="240">
        <f>Table1[[#This Row],[SubTot]]*0.01059</f>
        <v>0</v>
      </c>
      <c r="EN52" s="234">
        <f>ROUND((Table1[[#This Row],[UnsubTot]]/3)/1.01062,0)</f>
        <v>660</v>
      </c>
      <c r="EO52" s="234">
        <f>ROUND((Table1[[#This Row],[UnsubTot]]/3)/1.01062,0)</f>
        <v>660</v>
      </c>
      <c r="EP52" s="234">
        <f>ROUNDDOWN((Table1[[#This Row],[UnsubTot]]/3)/1.01062,0)</f>
        <v>659</v>
      </c>
      <c r="EQ52" s="235">
        <f>IF(Table1[D/I]="I",6000,2000)</f>
        <v>2000</v>
      </c>
      <c r="ER52" s="240">
        <f>Table1[[#This Row],[UnsubTot]]*0.01062</f>
        <v>21.24</v>
      </c>
      <c r="ES52" s="234">
        <f>ROUND((Table1[[#This Row],[PLUSTot]]/3)/1.04248,0)</f>
        <v>0</v>
      </c>
      <c r="ET52" s="234">
        <f>ROUND((Table1[[#This Row],[PLUSTot]]/3)/1.04248,0)</f>
        <v>0</v>
      </c>
      <c r="EU52" s="234">
        <f>ROUND((Table1[[#This Row],[PLUSTot]]/3)/1.04248,0)</f>
        <v>0</v>
      </c>
      <c r="EV52" s="235"/>
      <c r="EW52" s="239">
        <f>Table1[[#This Row],[PLUSTot]]*0.04248</f>
        <v>0</v>
      </c>
      <c r="EX52" s="237"/>
      <c r="EY52" s="237"/>
      <c r="EZ52" s="237"/>
      <c r="FA52" s="232">
        <f>SUM(Table1[[#This Row],[PrivQ1]:[PrivQ3]])</f>
        <v>0</v>
      </c>
      <c r="FB52" s="237"/>
      <c r="FC52" s="237"/>
      <c r="FD52" s="237"/>
      <c r="FE52" s="232">
        <f>SUM(Table1[[#This Row],[TOQ1]:[TOQ3]])</f>
        <v>0</v>
      </c>
      <c r="FF52" s="237"/>
      <c r="FG52" s="237"/>
      <c r="FH52" s="237"/>
      <c r="FI52" s="232">
        <f>SUM(Table1[[#This Row],[OFundQ1]:[OFundQ3]])</f>
        <v>0</v>
      </c>
      <c r="FJ52" s="239">
        <f>(Table1[[#This Row],[SubTot]]-Table1[[#This Row],[SubFee]])+(Table1[[#This Row],[UnsubTot]]-Table1[[#This Row],[UnsubFee]])+(Table1[[#This Row],[PLUSTot]]-Table1[[#This Row],[PLUSFee]])+Table1[[#This Row],[PrivTot]]+Table1[[#This Row],[TOTot]]+Table1[[#This Row],[OFundTot]]</f>
        <v>1978.76</v>
      </c>
      <c r="FK52" s="125">
        <f>Table1[[#This Row],[CostTot]]-Table1[[#This Row],[GiftTot]]</f>
        <v>17720</v>
      </c>
      <c r="FL52" s="130">
        <f>Table1[[#This Row],[NetNeed]]/(1-0.04248)</f>
        <v>16439.593951040188</v>
      </c>
      <c r="FM52" s="131">
        <f>Table1[[#This Row],[NetCost]]-Table1[[#This Row],[CashTot]]-(Table1[[#This Row],[SubTot]]-Table1[[#This Row],[SubFee]])-(Table1[[#This Row],[UnsubTot]]-Table1[[#This Row],[UnsubFee]])-(Table1[[#This Row],[PLUSTot]]-Table1[[#This Row],[PLUSFee]])-Table1[[#This Row],[PrivTot]]-Table1[[#This Row],[TOTot]]-Table1[[#This Row],[OFundTot]]</f>
        <v>15741.24</v>
      </c>
      <c r="FN52" s="161"/>
      <c r="FO52" s="113"/>
      <c r="FP52" s="113"/>
    </row>
    <row r="53" spans="1:172" s="160" customFormat="1" ht="15" x14ac:dyDescent="0.25">
      <c r="A53" s="267">
        <v>196776</v>
      </c>
      <c r="B53" s="113" t="str">
        <f>VLOOKUP(Table1[[#This Row],[SyStudentId]],SSR!$A$2:$CC$4982,4,FALSE)</f>
        <v>Nicalek</v>
      </c>
      <c r="C53" s="113" t="str">
        <f>VLOOKUP(Table1[[#This Row],[SyStudentId]],SSR!$A$2:$CC$4982,5,FALSE)</f>
        <v>Dakota</v>
      </c>
      <c r="D53" s="113" t="str">
        <f>VLOOKUP(Table1[[#This Row],[SyStudentId]],SSR!$A$2:$CC$4982,6,FALSE)</f>
        <v>Nicalek, Dakota</v>
      </c>
      <c r="E53" s="113" t="str">
        <f>CONCATENATE(Table1[[#This Row],[FirstName]]," ",Table1[[#This Row],[LastName]])</f>
        <v>Dakota Nicalek</v>
      </c>
      <c r="F53" s="112">
        <v>1</v>
      </c>
      <c r="G53" s="114"/>
      <c r="H53" s="114"/>
      <c r="I53" s="114">
        <v>43776</v>
      </c>
      <c r="J53" s="115"/>
      <c r="K53" s="116"/>
      <c r="L53" s="112" t="str">
        <f>IFERROR(VLOOKUP(Table1[[#This Row],[SyStudentId]],ISIR!$A$2:$X$999,11,FALSE),"")</f>
        <v/>
      </c>
      <c r="M53" s="113" t="str">
        <f>VLOOKUP(Table1[[#This Row],[SyStudentId]],SSR!$A$2:$CC$4982,7,FALSE)</f>
        <v>dakotanicalek@gmail.com</v>
      </c>
      <c r="N53" s="113" t="str">
        <f>VLOOKUP(Table1[[#This Row],[SyStudentId]],SSR!$A$2:$CC$4982,8,FALSE)</f>
        <v>1492 Vandolah Rd</v>
      </c>
      <c r="O53" s="113" t="str">
        <f>VLOOKUP(Table1[[#This Row],[SyStudentId]],SSR!$A$2:$CC$4982,9,FALSE)</f>
        <v>Wauchula</v>
      </c>
      <c r="P53" s="303" t="str">
        <f>VLOOKUP(Table1[[#This Row],[SyStudentId]],SSR!$A$2:$CC$4982,10,FALSE)</f>
        <v>FL</v>
      </c>
      <c r="Q53" s="117" t="str">
        <f>VLOOKUP(Table1[[#This Row],[SyStudentId]],SSR!$A$2:$CC$4982,11,FALSE)</f>
        <v>33873-8725</v>
      </c>
      <c r="R53" s="118">
        <f>VLOOKUP(Table1[[#This Row],[SyStudentId]],SSR!$A$2:$CC$4982,15,FALSE)</f>
        <v>3.0652200000000001</v>
      </c>
      <c r="S53" s="119">
        <f>VLOOKUP(Table1[[#This Row],[SyStudentId]],SSR!$A$2:$CC$4982,22,FALSE)</f>
        <v>44109</v>
      </c>
      <c r="T53" s="113" t="str">
        <f>VLOOKUP(Table1[[#This Row],[SyStudentId]],SSR!$A$2:$CC$4982,24,FALSE)</f>
        <v>MN</v>
      </c>
      <c r="U53" s="113" t="str">
        <f>IF(VLOOKUP(Table1[[#This Row],[SyStudentId]],SSR!$A$2:$CC$4982,26,FALSE)=0,"Not Selected",VLOOKUP(Table1[[#This Row],[SyStudentId]],SSR!$A$2:$CC$4982,26,FALSE))</f>
        <v>Male</v>
      </c>
      <c r="V53" s="113" t="str">
        <f>VLOOKUP(Table1[[#This Row],[SyStudentId]],SSR!$A$2:$CC$4982,27,FALSE)</f>
        <v xml:space="preserve">HS2020  </v>
      </c>
      <c r="W53" s="113" t="str">
        <f>VLOOKUP(LEFT(Table1[[#This Row],[LastName]],1),Alpha!$A$1:$B$26,2,FALSE)</f>
        <v>Maureen Ranks</v>
      </c>
      <c r="X53" s="149" t="str">
        <f>VLOOKUP(Table1[[#This Row],[FAA]],Alpha!$B$1:$D$26,2,FALSE)</f>
        <v>mranks@neumont.edu</v>
      </c>
      <c r="Y53" s="113">
        <f>VLOOKUP(Table1[[#This Row],[FAA]],Alpha!$B$1:$D$26,3,FALSE)</f>
        <v>8883022894</v>
      </c>
      <c r="Z53" s="113" t="str">
        <f>VLOOKUP(Table1[[#This Row],[SyStudentId]],SSR!$A$2:$CC$4982,30,FALSE)</f>
        <v>16-Accepted</v>
      </c>
      <c r="AA53" s="113" t="str">
        <f>IF(VLOOKUP(Table1[[#This Row],[SyStudentId]],SSR!$A$2:$CC$4982,36,FALSE)="Bachelor of Science","BS Computer Science","Check Program")</f>
        <v>BS Computer Science</v>
      </c>
      <c r="AB53" s="113">
        <f>VLOOKUP(Table1[[#This Row],[SyStudentId]],SSR!$A$2:$CC$4982,37,FALSE)</f>
        <v>0</v>
      </c>
      <c r="AC53" s="113" t="str">
        <f>VLOOKUP(Table1[[#This Row],[SyStudentId]],SSR!$A$2:$CC$4982,42,FALSE)</f>
        <v xml:space="preserve">1110    </v>
      </c>
      <c r="AD53" s="113" t="str">
        <f>VLOOKUP(Table1[[#This Row],[SyStudentId]],SSR!$A$2:$CC$4982,46,FALSE)</f>
        <v>104</v>
      </c>
      <c r="AE53" s="113" t="str">
        <f>VLOOKUP(Table1[[#This Row],[SyStudentId]],SSR!$A$2:$CC$4982,65,FALSE)</f>
        <v>IV</v>
      </c>
      <c r="AF5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4</v>
      </c>
      <c r="AG53" s="113" t="str">
        <f>VLOOKUP(Table1[[#This Row],[SyStudentId]],SSR!$A$2:$CC$4982,66,FALSE)</f>
        <v>July-October</v>
      </c>
      <c r="AH53" s="113" t="str">
        <f>IFERROR(VLOOKUP(Table1[[#This Row],[SyStudentId]],ISIR!$A$2:$X$999,7,FALSE),"")</f>
        <v/>
      </c>
      <c r="AI53" s="121" t="str">
        <f>IF(Table1[[#This Row],[EFCRaw]]="","",IF(Table1[[#This Row],[EFCRaw]]="No EFC","No EFC",_xlfn.NUMBERVALUE(Table1[[#This Row],[EFCRaw]])))</f>
        <v/>
      </c>
      <c r="AJ53" s="119" t="str">
        <f>IFERROR(VLOOKUP(Table1[[#This Row],[SyStudentId]],ISIR!$A$2:$X$4999,19,FALSE),"")</f>
        <v/>
      </c>
      <c r="AK53" s="113" t="str">
        <f>IFERROR(VLOOKUP(Table1[[#This Row],[SyStudentId]],ISIR!$A$2:$X$4999,8,FALSE),"")</f>
        <v/>
      </c>
      <c r="AL53" s="132" t="str">
        <f>IF(Table1[[#This Row],[VerReq]]="N","n/a","")</f>
        <v/>
      </c>
      <c r="AM53" s="122"/>
      <c r="AN53" s="122"/>
      <c r="AO53" s="122"/>
      <c r="AP53" s="122"/>
      <c r="AQ53" s="122"/>
      <c r="AR53" s="122"/>
      <c r="AS53" s="122"/>
      <c r="AT53" s="122"/>
      <c r="AU53" s="122"/>
      <c r="AV53" s="122"/>
      <c r="AW53" s="122"/>
      <c r="AX53" s="122"/>
      <c r="AY53" s="122"/>
      <c r="AZ53" s="122"/>
      <c r="BA53" s="122"/>
      <c r="BB53" s="122"/>
      <c r="BC53" s="133"/>
      <c r="BD53" s="140" t="str">
        <f>IF(Table1[[#This Row],[VerReq]]="N","x","")</f>
        <v/>
      </c>
      <c r="BE53" s="140" t="str">
        <f>IF(Table1[[#This Row],[VerReq]]="N","x","")</f>
        <v/>
      </c>
      <c r="BF53" s="140" t="str">
        <f>IF(Table1[[#This Row],[VerReq]]="N","x","")</f>
        <v/>
      </c>
      <c r="BG53" s="140" t="str">
        <f>IF(Table1[[#This Row],[VerReq]]="N","x","")</f>
        <v/>
      </c>
      <c r="BH53" s="140" t="str">
        <f>IF(Table1[[#This Row],[VerReq]]="N","x","")</f>
        <v/>
      </c>
      <c r="BI53" s="140" t="str">
        <f>IF(Table1[[#This Row],[VerReq]]="N","x","")</f>
        <v/>
      </c>
      <c r="BJ53" s="123">
        <f>1-((COUNTBLANK(Table1[[#This Row],[ALESent]:[TaxTran]]))/(COUNT(Table1[[#This Row],[ALESent]:[TaxTran]])+COUNTBLANK(Table1[[#This Row],[ALESent]:[TaxTran]])))</f>
        <v>0</v>
      </c>
      <c r="BK53" s="136">
        <f>IF(VLOOKUP(Table1[[#This Row],[SyStudentId]],SSR!$A$2:$CC$4982,22,FALSE)=44109,44109,"Check Program")</f>
        <v>44109</v>
      </c>
      <c r="BL53" s="124">
        <f>IF(Table1[[#This Row],[AYStart]]=44109,44356,"Check Program")</f>
        <v>44356</v>
      </c>
      <c r="BM53" s="219">
        <v>8505</v>
      </c>
      <c r="BN53" s="219">
        <v>8505</v>
      </c>
      <c r="BO53" s="219">
        <v>8505</v>
      </c>
      <c r="BP53" s="220">
        <f t="shared" si="0"/>
        <v>25515</v>
      </c>
      <c r="BQ53" s="221">
        <v>3300</v>
      </c>
      <c r="BR53" s="219">
        <v>400</v>
      </c>
      <c r="BS53" s="219">
        <v>400</v>
      </c>
      <c r="BT53" s="220">
        <f t="shared" si="1"/>
        <v>4100</v>
      </c>
      <c r="BU53" s="219">
        <v>2100</v>
      </c>
      <c r="BV53" s="219">
        <v>2100</v>
      </c>
      <c r="BW53" s="219">
        <v>2100</v>
      </c>
      <c r="BX53" s="220">
        <f t="shared" si="2"/>
        <v>6300</v>
      </c>
      <c r="BY53" s="275">
        <v>1200</v>
      </c>
      <c r="BZ53" s="275">
        <v>1200</v>
      </c>
      <c r="CA53" s="275">
        <v>1200</v>
      </c>
      <c r="CB53" s="220">
        <f>SUM(Table1[[#This Row],[LEQ1]:[LEQ3]])</f>
        <v>3600</v>
      </c>
      <c r="CC53" s="275">
        <v>0</v>
      </c>
      <c r="CD53" s="275">
        <v>0</v>
      </c>
      <c r="CE53" s="275">
        <v>0</v>
      </c>
      <c r="CF53" s="220">
        <f>SUM(Table1[[#This Row],[OthCostQ1]:[OthCostQ3]])</f>
        <v>0</v>
      </c>
      <c r="CG53" s="220">
        <f>(Table1[[#This Row],[T&amp;FTot]]+Table1[[#This Row],[B&amp;STot]]+Table1[[#This Row],[HousTot]]+Table1[[#This Row],[LETot]]+Table1[[#This Row],[OthCostTot]])</f>
        <v>39515</v>
      </c>
      <c r="CH53" s="250"/>
      <c r="CI53" s="250"/>
      <c r="CJ53" s="250"/>
      <c r="CK53" s="251">
        <f>SUM(Table1[[#This Row],[SEOGQ1]:[SEOGQ3]])</f>
        <v>0</v>
      </c>
      <c r="CL53" s="250">
        <f>IFERROR(ROUNDUP(Table1[[#This Row],[PellTot]]/3,0),0)</f>
        <v>0</v>
      </c>
      <c r="CM53" s="250">
        <f>IFERROR(ROUND(Table1[[#This Row],[PellTot]]/3,0),0)</f>
        <v>0</v>
      </c>
      <c r="CN53" s="250">
        <f>IFERROR(ROUNDDOWN(Table1[[#This Row],[PellTot]]/3,0),0)</f>
        <v>0</v>
      </c>
      <c r="CO53" s="251">
        <f>IFERROR(LOOKUP(Table1[EFC],Pell_Table[#Data],Pell_Table[Pell Amt]),0)</f>
        <v>0</v>
      </c>
      <c r="CP53" s="250">
        <f>Table1[[#This Row],[AccessTot]]/3</f>
        <v>0</v>
      </c>
      <c r="CQ53" s="250">
        <f>Table1[[#This Row],[AccessTot]]/3</f>
        <v>0</v>
      </c>
      <c r="CR53" s="250">
        <f>Table1[[#This Row],[AccessTot]]/3</f>
        <v>0</v>
      </c>
      <c r="CS53" s="251">
        <f>IF(Table1[[#This Row],[PellTot]]&gt;0,1500,0)</f>
        <v>0</v>
      </c>
      <c r="CT53" s="250">
        <f>Table1[[#This Row],[AchiTot]]/3</f>
        <v>1250</v>
      </c>
      <c r="CU53" s="250">
        <f>Table1[[#This Row],[AchiTot]]/3</f>
        <v>1250</v>
      </c>
      <c r="CV53" s="250">
        <f>Table1[[#This Row],[AchiTot]]/3</f>
        <v>1250</v>
      </c>
      <c r="CW53" s="252">
        <f>IF(Table1[[#This Row],[Rank]]="","",IF(Table1[[#This Row],[Rank]]=1,5100,IF(Table1[[#This Row],[Rank]]=2,4500,IF(Table1[[#This Row],[Rank]]=3,3900,IF(Table1[[#This Row],[Rank]]=4,3750,IF(Table1[[#This Row],[Rank]]=5,3000,IF(Table1[[#This Row],[Rank]]=6,2250,0)))))))</f>
        <v>3750</v>
      </c>
      <c r="CX53" s="250">
        <f>Table1[[#This Row],[UTTot]]/3</f>
        <v>0</v>
      </c>
      <c r="CY53" s="250">
        <f>Table1[[#This Row],[UTTot]]/3</f>
        <v>0</v>
      </c>
      <c r="CZ53" s="250">
        <f>Table1[[#This Row],[UTTot]]/3</f>
        <v>0</v>
      </c>
      <c r="DA53" s="251">
        <f>IF(Table1[[#This Row],[State]]="UT",9000,0)</f>
        <v>0</v>
      </c>
      <c r="DB53" s="250">
        <f>Table1[[#This Row],[WITTot]]/3</f>
        <v>0</v>
      </c>
      <c r="DC53" s="250">
        <f>Table1[[#This Row],[WITTot]]/3</f>
        <v>0</v>
      </c>
      <c r="DD53" s="250">
        <f>Table1[[#This Row],[WITTot]]/3</f>
        <v>0</v>
      </c>
      <c r="DE53" s="251">
        <f>IF(Table1[[#This Row],[Gender]]="Female",3000,0)</f>
        <v>0</v>
      </c>
      <c r="DF53" s="250">
        <f>Table1[[#This Row],[SerTot]]/3</f>
        <v>0</v>
      </c>
      <c r="DG53" s="250">
        <f>Table1[[#This Row],[SerTot]]/3</f>
        <v>0</v>
      </c>
      <c r="DH53" s="250">
        <f>Table1[[#This Row],[SerTot]]/3</f>
        <v>0</v>
      </c>
      <c r="DI53" s="252"/>
      <c r="DJ53" s="250"/>
      <c r="DK53" s="250"/>
      <c r="DL53" s="250"/>
      <c r="DM53" s="252"/>
      <c r="DN53" s="250">
        <f>Table1[[#This Row],[MatTot]]/3</f>
        <v>0</v>
      </c>
      <c r="DO53" s="250">
        <f>Table1[[#This Row],[MatTot]]/3</f>
        <v>0</v>
      </c>
      <c r="DP53" s="250">
        <f>Table1[[#This Row],[MatTot]]/3</f>
        <v>0</v>
      </c>
      <c r="DQ53" s="252">
        <v>0</v>
      </c>
      <c r="DR53" s="250">
        <f>Table1[[#This Row],[OutTot]]/3</f>
        <v>0</v>
      </c>
      <c r="DS53" s="250">
        <f>Table1[[#This Row],[OutTot]]/3</f>
        <v>0</v>
      </c>
      <c r="DT53" s="250">
        <f>Table1[[#This Row],[OutTot]]/3</f>
        <v>0</v>
      </c>
      <c r="DU53" s="252">
        <v>0</v>
      </c>
      <c r="DV53" s="250">
        <v>0</v>
      </c>
      <c r="DW53" s="250">
        <v>0</v>
      </c>
      <c r="DX53" s="250">
        <v>0</v>
      </c>
      <c r="DY53" s="252">
        <f>SUM(Table1[[#This Row],[VAQ1]:[VAQ3]])</f>
        <v>0</v>
      </c>
      <c r="DZ53" s="250">
        <v>0</v>
      </c>
      <c r="EA53" s="250">
        <v>0</v>
      </c>
      <c r="EB53" s="250">
        <v>0</v>
      </c>
      <c r="EC53" s="252">
        <f>SUM(Table1[[#This Row],[OthGrantQ1]:[OthGrantQ3]])</f>
        <v>0</v>
      </c>
      <c r="ED53" s="263">
        <f>Table1[[#This Row],[SEOGTot]]+Table1[[#This Row],[PellTot]]+Table1[[#This Row],[AccessTot]]+Table1[[#This Row],[AchiTot]]+Table1[[#This Row],[UTTot]]+Table1[[#This Row],[WITTot]]+Table1[[#This Row],[SerTot]]+Table1[[#This Row],[TranTot]]+Table1[[#This Row],[MatTot]]+Table1[[#This Row],[OutTot]]+Table1[[#This Row],[VATot]]+Table1[[#This Row],[OthGrantTot]]</f>
        <v>3750</v>
      </c>
      <c r="EE53" s="249"/>
      <c r="EF53" s="237"/>
      <c r="EG53" s="237"/>
      <c r="EH53" s="232">
        <f>SUM(Table1[[#This Row],[CashQ1]]:Table1[[#This Row],[CashQ3]])</f>
        <v>0</v>
      </c>
      <c r="EI53" s="271">
        <f>ROUND((Table1[[#This Row],[SubTot]]/3)/1.01059,0)</f>
        <v>1154</v>
      </c>
      <c r="EJ53" s="234">
        <f>ROUND((Table1[[#This Row],[SubTot]]/3)/1.01059,0)</f>
        <v>1154</v>
      </c>
      <c r="EK53" s="234">
        <f>ROUNDUP((Table1[[#This Row],[SubTot]]/3)/1.01059,0)</f>
        <v>1155</v>
      </c>
      <c r="EL53" s="235">
        <v>3500</v>
      </c>
      <c r="EM53" s="240">
        <f>Table1[[#This Row],[SubTot]]*0.01059</f>
        <v>37.065000000000005</v>
      </c>
      <c r="EN53" s="234">
        <f>ROUND((Table1[[#This Row],[UnsubTot]]/3)/1.01062,0)</f>
        <v>660</v>
      </c>
      <c r="EO53" s="234">
        <f>ROUND((Table1[[#This Row],[UnsubTot]]/3)/1.01062,0)</f>
        <v>660</v>
      </c>
      <c r="EP53" s="234">
        <f>ROUNDDOWN((Table1[[#This Row],[UnsubTot]]/3)/1.01062,0)</f>
        <v>659</v>
      </c>
      <c r="EQ53" s="235">
        <f>IF(Table1[D/I]="I",6000,2000)</f>
        <v>2000</v>
      </c>
      <c r="ER53" s="240">
        <f>Table1[[#This Row],[UnsubTot]]*0.01059</f>
        <v>21.18</v>
      </c>
      <c r="ES53" s="234">
        <f>ROUND((Table1[[#This Row],[PLUSTot]]/3)/1.04236,0)</f>
        <v>0</v>
      </c>
      <c r="ET53" s="234">
        <f>ROUND((Table1[[#This Row],[PLUSTot]]/3)/1.04236,0)</f>
        <v>0</v>
      </c>
      <c r="EU53" s="234">
        <f>ROUND((Table1[[#This Row],[PLUSTot]]/3)/1.04236,0)</f>
        <v>0</v>
      </c>
      <c r="EV53" s="235">
        <v>0</v>
      </c>
      <c r="EW53" s="239">
        <f>Table1[[#This Row],[PLUSTot]]*0.04248</f>
        <v>0</v>
      </c>
      <c r="EX53" s="237"/>
      <c r="EY53" s="237"/>
      <c r="EZ53" s="237"/>
      <c r="FA53" s="232">
        <f>SUM(Table1[[#This Row],[PrivQ1]:[PrivQ3]])</f>
        <v>0</v>
      </c>
      <c r="FB53" s="237"/>
      <c r="FC53" s="237"/>
      <c r="FD53" s="237"/>
      <c r="FE53" s="232">
        <f>SUM(Table1[[#This Row],[TOQ1]:[TOQ3]])</f>
        <v>0</v>
      </c>
      <c r="FF53" s="237"/>
      <c r="FG53" s="237"/>
      <c r="FH53" s="237"/>
      <c r="FI53" s="232">
        <f>SUM(Table1[[#This Row],[OFundQ1]:[OFundQ3]])</f>
        <v>0</v>
      </c>
      <c r="FJ53" s="239">
        <f>(Table1[[#This Row],[SubTot]]-Table1[[#This Row],[SubFee]])+(Table1[[#This Row],[UnsubTot]]-Table1[[#This Row],[UnsubFee]])+(Table1[[#This Row],[PLUSTot]]-Table1[[#This Row],[PLUSFee]])+Table1[[#This Row],[PrivTot]]+Table1[[#This Row],[TOTot]]+Table1[[#This Row],[OFundTot]]</f>
        <v>5441.7550000000001</v>
      </c>
      <c r="FK53" s="125">
        <f>Table1[[#This Row],[CostTot]]-Table1[[#This Row],[GiftTot]]</f>
        <v>35765</v>
      </c>
      <c r="FL53" s="130">
        <f>Table1[[#This Row],[NetNeed]]/(1-0.04248)</f>
        <v>31668.523895062241</v>
      </c>
      <c r="FM53" s="131">
        <f>Table1[[#This Row],[NetCost]]-Table1[[#This Row],[CashTot]]-(Table1[[#This Row],[SubTot]]-Table1[[#This Row],[SubFee]])-(Table1[[#This Row],[UnsubTot]]-Table1[[#This Row],[UnsubFee]])-(Table1[[#This Row],[PLUSTot]]-Table1[[#This Row],[PLUSFee]])-Table1[[#This Row],[PrivTot]]-Table1[[#This Row],[TOTot]]-Table1[[#This Row],[OFundTot]]</f>
        <v>30323.244999999999</v>
      </c>
      <c r="FN53" s="161"/>
      <c r="FO53" s="113"/>
      <c r="FP53" s="113"/>
    </row>
    <row r="54" spans="1:172" s="160" customFormat="1" ht="15" x14ac:dyDescent="0.25">
      <c r="A54" s="311">
        <v>198092</v>
      </c>
      <c r="B54" s="113" t="str">
        <f>VLOOKUP(Table1[[#This Row],[SyStudentId]],SSR!$A$2:$CC$4982,4,FALSE)</f>
        <v>Ning</v>
      </c>
      <c r="C54" s="113" t="str">
        <f>VLOOKUP(Table1[[#This Row],[SyStudentId]],SSR!$A$2:$CC$4982,5,FALSE)</f>
        <v>Christopher</v>
      </c>
      <c r="D54" s="113" t="str">
        <f>VLOOKUP(Table1[[#This Row],[SyStudentId]],SSR!$A$2:$CC$4982,6,FALSE)</f>
        <v>Ning, Christopher</v>
      </c>
      <c r="E54" s="113" t="str">
        <f>CONCATENATE(Table1[[#This Row],[FirstName]]," ",Table1[[#This Row],[LastName]])</f>
        <v>Christopher Ning</v>
      </c>
      <c r="F54" s="112"/>
      <c r="G54" s="114"/>
      <c r="H54" s="114"/>
      <c r="I54" s="114"/>
      <c r="J54" s="115"/>
      <c r="K54" s="116"/>
      <c r="L54" s="112" t="str">
        <f>IFERROR(VLOOKUP(Table1[[#This Row],[SyStudentId]],ISIR!$A$2:$X$999,11,FALSE),"")</f>
        <v/>
      </c>
      <c r="M54" s="113" t="str">
        <f>VLOOKUP(Table1[[#This Row],[SyStudentId]],SSR!$A$2:$CC$4982,7,FALSE)</f>
        <v>c9ning@hotmail.com</v>
      </c>
      <c r="N54" s="113" t="str">
        <f>VLOOKUP(Table1[[#This Row],[SyStudentId]],SSR!$A$2:$CC$4982,8,FALSE)</f>
        <v>3511 E Lynx Pl</v>
      </c>
      <c r="O54" s="113" t="str">
        <f>VLOOKUP(Table1[[#This Row],[SyStudentId]],SSR!$A$2:$CC$4982,9,FALSE)</f>
        <v>Chandler</v>
      </c>
      <c r="P54" s="295" t="str">
        <f>VLOOKUP(Table1[[#This Row],[SyStudentId]],SSR!$A$2:$CC$4982,10,FALSE)</f>
        <v>AZ</v>
      </c>
      <c r="Q54" s="117" t="str">
        <f>VLOOKUP(Table1[[#This Row],[SyStudentId]],SSR!$A$2:$CC$4982,11,FALSE)</f>
        <v xml:space="preserve">85249     </v>
      </c>
      <c r="R54" s="118">
        <f>VLOOKUP(Table1[[#This Row],[SyStudentId]],SSR!$A$2:$CC$4982,15,FALSE)</f>
        <v>3.8571399999999998</v>
      </c>
      <c r="S54" s="119">
        <f>VLOOKUP(Table1[[#This Row],[SyStudentId]],SSR!$A$2:$CC$4982,22,FALSE)</f>
        <v>44109</v>
      </c>
      <c r="T54" s="113" t="str">
        <f>VLOOKUP(Table1[[#This Row],[SyStudentId]],SSR!$A$2:$CC$4982,24,FALSE)</f>
        <v>JT</v>
      </c>
      <c r="U54" s="113" t="str">
        <f>IF(VLOOKUP(Table1[[#This Row],[SyStudentId]],SSR!$A$2:$CC$4982,26,FALSE)=0,"Not Selected",VLOOKUP(Table1[[#This Row],[SyStudentId]],SSR!$A$2:$CC$4982,26,FALSE))</f>
        <v>Male</v>
      </c>
      <c r="V54" s="113" t="str">
        <f>VLOOKUP(Table1[[#This Row],[SyStudentId]],SSR!$A$2:$CC$4982,27,FALSE)</f>
        <v xml:space="preserve">HS2020  </v>
      </c>
      <c r="W54" s="113" t="str">
        <f>VLOOKUP(LEFT(Table1[[#This Row],[LastName]],1),Alpha!$A$1:$B$26,2,FALSE)</f>
        <v>Maureen Ranks</v>
      </c>
      <c r="X54" s="149" t="str">
        <f>VLOOKUP(Table1[[#This Row],[FAA]],Alpha!$B$1:$D$26,2,FALSE)</f>
        <v>mranks@neumont.edu</v>
      </c>
      <c r="Y54" s="113">
        <f>VLOOKUP(Table1[[#This Row],[FAA]],Alpha!$B$1:$D$26,3,FALSE)</f>
        <v>8883022894</v>
      </c>
      <c r="Z54" s="156" t="str">
        <f>VLOOKUP(Table1[[#This Row],[SyStudentId]],SSR!$A$2:$CC$4982,30,FALSE)</f>
        <v>16-Accepted</v>
      </c>
      <c r="AA54" s="113" t="str">
        <f>IF(VLOOKUP(Table1[[#This Row],[SyStudentId]],SSR!$A$2:$CC$4982,36,FALSE)="Bachelor of Science","BS Computer Science","Check Program")</f>
        <v>BS Computer Science</v>
      </c>
      <c r="AB54" s="113">
        <f>VLOOKUP(Table1[[#This Row],[SyStudentId]],SSR!$A$2:$CC$4982,37,FALSE)</f>
        <v>0</v>
      </c>
      <c r="AC54" s="113">
        <f>VLOOKUP(Table1[[#This Row],[SyStudentId]],SSR!$A$2:$CC$4982,42,FALSE)</f>
        <v>0</v>
      </c>
      <c r="AD54" s="113" t="str">
        <f>VLOOKUP(Table1[[#This Row],[SyStudentId]],SSR!$A$2:$CC$4982,46,FALSE)</f>
        <v>0</v>
      </c>
      <c r="AE54" s="113" t="str">
        <f>VLOOKUP(Table1[[#This Row],[SyStudentId]],SSR!$A$2:$CC$4982,65,FALSE)</f>
        <v>V</v>
      </c>
      <c r="AF54"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5</v>
      </c>
      <c r="AG54" s="113" t="str">
        <f>VLOOKUP(Table1[[#This Row],[SyStudentId]],SSR!$A$2:$CC$4982,66,FALSE)</f>
        <v>July-October</v>
      </c>
      <c r="AH54" s="113" t="str">
        <f>IFERROR(VLOOKUP(Table1[[#This Row],[SyStudentId]],ISIR!$A$2:$X$999,7,FALSE),"")</f>
        <v/>
      </c>
      <c r="AI54" s="121" t="str">
        <f>IF(Table1[[#This Row],[EFCRaw]]="","",IF(Table1[[#This Row],[EFCRaw]]="No EFC","No EFC",_xlfn.NUMBERVALUE(Table1[[#This Row],[EFCRaw]])))</f>
        <v/>
      </c>
      <c r="AJ54" s="119" t="str">
        <f>IFERROR(VLOOKUP(Table1[[#This Row],[SyStudentId]],ISIR!$A$2:$X$4999,19,FALSE),"")</f>
        <v/>
      </c>
      <c r="AK54" s="113" t="str">
        <f>IFERROR(VLOOKUP(Table1[[#This Row],[SyStudentId]],ISIR!$A$2:$X$4999,8,FALSE),"")</f>
        <v/>
      </c>
      <c r="AL54" s="132" t="str">
        <f>IF(Table1[[#This Row],[VerReq]]="N","n/a","")</f>
        <v/>
      </c>
      <c r="AM54" s="122"/>
      <c r="AN54" s="122"/>
      <c r="AO54" s="122"/>
      <c r="AP54" s="122"/>
      <c r="AQ54" s="122"/>
      <c r="AR54" s="122"/>
      <c r="AS54" s="122"/>
      <c r="AT54" s="122"/>
      <c r="AU54" s="122"/>
      <c r="AV54" s="122"/>
      <c r="AW54" s="122"/>
      <c r="AX54" s="122"/>
      <c r="AY54" s="122"/>
      <c r="AZ54" s="122"/>
      <c r="BA54" s="122"/>
      <c r="BB54" s="122"/>
      <c r="BC54" s="133"/>
      <c r="BD54" s="140" t="str">
        <f>IF(Table1[[#This Row],[VerReq]]="N","x","")</f>
        <v/>
      </c>
      <c r="BE54" s="140" t="str">
        <f>IF(Table1[[#This Row],[VerReq]]="N","x","")</f>
        <v/>
      </c>
      <c r="BF54" s="140" t="str">
        <f>IF(Table1[[#This Row],[VerReq]]="N","x","")</f>
        <v/>
      </c>
      <c r="BG54" s="140" t="str">
        <f>IF(Table1[[#This Row],[VerReq]]="N","x","")</f>
        <v/>
      </c>
      <c r="BH54" s="140" t="str">
        <f>IF(Table1[[#This Row],[VerReq]]="N","x","")</f>
        <v/>
      </c>
      <c r="BI54" s="140" t="str">
        <f>IF(Table1[[#This Row],[VerReq]]="N","x","")</f>
        <v/>
      </c>
      <c r="BJ54" s="123">
        <f>1-((COUNTBLANK(Table1[[#This Row],[ALESent]:[TaxTran]]))/(COUNT(Table1[[#This Row],[ALESent]:[TaxTran]])+COUNTBLANK(Table1[[#This Row],[ALESent]:[TaxTran]])))</f>
        <v>0</v>
      </c>
      <c r="BK54" s="136">
        <f>IF(VLOOKUP(Table1[[#This Row],[SyStudentId]],SSR!$A$2:$CC$4982,22,FALSE)=44109,44109,"Check Program")</f>
        <v>44109</v>
      </c>
      <c r="BL54" s="124">
        <f>IF(Table1[[#This Row],[AYStart]]=44109,44356,"Check Program")</f>
        <v>44356</v>
      </c>
      <c r="BM54" s="219">
        <v>8505</v>
      </c>
      <c r="BN54" s="219">
        <v>8505</v>
      </c>
      <c r="BO54" s="219">
        <v>8505</v>
      </c>
      <c r="BP54" s="220">
        <f t="shared" si="0"/>
        <v>25515</v>
      </c>
      <c r="BQ54" s="221">
        <v>3300</v>
      </c>
      <c r="BR54" s="219">
        <v>400</v>
      </c>
      <c r="BS54" s="219">
        <v>400</v>
      </c>
      <c r="BT54" s="220">
        <f t="shared" si="1"/>
        <v>4100</v>
      </c>
      <c r="BU54" s="219">
        <v>2100</v>
      </c>
      <c r="BV54" s="219">
        <v>2100</v>
      </c>
      <c r="BW54" s="219">
        <v>2100</v>
      </c>
      <c r="BX54" s="220">
        <f t="shared" si="2"/>
        <v>6300</v>
      </c>
      <c r="BY54" s="275">
        <v>1200</v>
      </c>
      <c r="BZ54" s="275">
        <v>1200</v>
      </c>
      <c r="CA54" s="275">
        <v>1200</v>
      </c>
      <c r="CB54" s="220">
        <f>SUM(Table1[[#This Row],[LEQ1]:[LEQ3]])</f>
        <v>3600</v>
      </c>
      <c r="CC54" s="275">
        <v>0</v>
      </c>
      <c r="CD54" s="275">
        <v>0</v>
      </c>
      <c r="CE54" s="275">
        <v>0</v>
      </c>
      <c r="CF54" s="220">
        <f>SUM(Table1[[#This Row],[OthCostQ1]:[OthCostQ3]])</f>
        <v>0</v>
      </c>
      <c r="CG54" s="220">
        <f>(Table1[[#This Row],[T&amp;FTot]]+Table1[[#This Row],[B&amp;STot]]+Table1[[#This Row],[HousTot]]+Table1[[#This Row],[LETot]]+Table1[[#This Row],[OthCostTot]])</f>
        <v>39515</v>
      </c>
      <c r="CH54" s="250"/>
      <c r="CI54" s="250"/>
      <c r="CJ54" s="250"/>
      <c r="CK54" s="251">
        <f>SUM(Table1[[#This Row],[SEOGQ1]:[SEOGQ3]])</f>
        <v>0</v>
      </c>
      <c r="CL54" s="250">
        <f>IFERROR(ROUNDUP(Table1[[#This Row],[PellTot]]/3,0),0)</f>
        <v>0</v>
      </c>
      <c r="CM54" s="250">
        <f>IFERROR(ROUND(Table1[[#This Row],[PellTot]]/3,0),0)</f>
        <v>0</v>
      </c>
      <c r="CN54" s="250">
        <f>IFERROR(ROUNDDOWN(Table1[[#This Row],[PellTot]]/3,0),0)</f>
        <v>0</v>
      </c>
      <c r="CO54" s="251">
        <f>IFERROR(LOOKUP(Table1[EFC],Pell_Table[#Data],Pell_Table[Pell Amt]),0)</f>
        <v>0</v>
      </c>
      <c r="CP54" s="250">
        <f>Table1[[#This Row],[AccessTot]]/3</f>
        <v>0</v>
      </c>
      <c r="CQ54" s="250">
        <f>Table1[[#This Row],[AccessTot]]/3</f>
        <v>0</v>
      </c>
      <c r="CR54" s="250">
        <f>Table1[[#This Row],[AccessTot]]/3</f>
        <v>0</v>
      </c>
      <c r="CS54" s="251">
        <f>IF(Table1[[#This Row],[PellTot]]&gt;0,1500,0)</f>
        <v>0</v>
      </c>
      <c r="CT54" s="250">
        <f>Table1[[#This Row],[AchiTot]]/3</f>
        <v>1000</v>
      </c>
      <c r="CU54" s="250">
        <f>Table1[[#This Row],[AchiTot]]/3</f>
        <v>1000</v>
      </c>
      <c r="CV54" s="250">
        <f>Table1[[#This Row],[AchiTot]]/3</f>
        <v>1000</v>
      </c>
      <c r="CW54" s="252">
        <f>IF(Table1[[#This Row],[Rank]]="","",IF(Table1[[#This Row],[Rank]]=1,5100,IF(Table1[[#This Row],[Rank]]=2,4500,IF(Table1[[#This Row],[Rank]]=3,3900,IF(Table1[[#This Row],[Rank]]=4,3750,IF(Table1[[#This Row],[Rank]]=5,3000,IF(Table1[[#This Row],[Rank]]=6,2250,0)))))))</f>
        <v>3000</v>
      </c>
      <c r="CX54" s="250">
        <f>Table1[[#This Row],[UTTot]]/3</f>
        <v>0</v>
      </c>
      <c r="CY54" s="250">
        <f>Table1[[#This Row],[UTTot]]/3</f>
        <v>0</v>
      </c>
      <c r="CZ54" s="250">
        <f>Table1[[#This Row],[UTTot]]/3</f>
        <v>0</v>
      </c>
      <c r="DA54" s="251">
        <f>IF(Table1[[#This Row],[State]]="UT",9000,0)</f>
        <v>0</v>
      </c>
      <c r="DB54" s="250">
        <f>Table1[[#This Row],[WITTot]]/3</f>
        <v>0</v>
      </c>
      <c r="DC54" s="250">
        <f>Table1[[#This Row],[WITTot]]/3</f>
        <v>0</v>
      </c>
      <c r="DD54" s="250">
        <f>Table1[[#This Row],[WITTot]]/3</f>
        <v>0</v>
      </c>
      <c r="DE54" s="251">
        <f>IF(Table1[[#This Row],[Gender]]="Female",3000,0)</f>
        <v>0</v>
      </c>
      <c r="DF54" s="250">
        <f>Table1[[#This Row],[SerTot]]/3</f>
        <v>0</v>
      </c>
      <c r="DG54" s="250">
        <f>Table1[[#This Row],[SerTot]]/3</f>
        <v>0</v>
      </c>
      <c r="DH54" s="250">
        <f>Table1[[#This Row],[SerTot]]/3</f>
        <v>0</v>
      </c>
      <c r="DI54" s="252"/>
      <c r="DJ54" s="250"/>
      <c r="DK54" s="250"/>
      <c r="DL54" s="250"/>
      <c r="DM54" s="252"/>
      <c r="DN54" s="250">
        <f>Table1[[#This Row],[MatTot]]/3</f>
        <v>0</v>
      </c>
      <c r="DO54" s="250">
        <f>Table1[[#This Row],[MatTot]]/3</f>
        <v>0</v>
      </c>
      <c r="DP54" s="250">
        <f>Table1[[#This Row],[MatTot]]/3</f>
        <v>0</v>
      </c>
      <c r="DQ54" s="252">
        <v>0</v>
      </c>
      <c r="DR54" s="250">
        <f>Table1[[#This Row],[OutTot]]/3</f>
        <v>0</v>
      </c>
      <c r="DS54" s="250">
        <f>Table1[[#This Row],[OutTot]]/3</f>
        <v>0</v>
      </c>
      <c r="DT54" s="250">
        <f>Table1[[#This Row],[OutTot]]/3</f>
        <v>0</v>
      </c>
      <c r="DU54" s="252">
        <v>0</v>
      </c>
      <c r="DV54" s="250">
        <v>0</v>
      </c>
      <c r="DW54" s="250">
        <v>0</v>
      </c>
      <c r="DX54" s="250">
        <v>0</v>
      </c>
      <c r="DY54" s="252">
        <f>SUM(Table1[[#This Row],[VAQ1]:[VAQ3]])</f>
        <v>0</v>
      </c>
      <c r="DZ54" s="250">
        <v>0</v>
      </c>
      <c r="EA54" s="250">
        <v>0</v>
      </c>
      <c r="EB54" s="250">
        <v>0</v>
      </c>
      <c r="EC54" s="252">
        <f>SUM(Table1[[#This Row],[OthGrantQ1]:[OthGrantQ3]])</f>
        <v>0</v>
      </c>
      <c r="ED54" s="263">
        <f>Table1[[#This Row],[SEOGTot]]+Table1[[#This Row],[PellTot]]+Table1[[#This Row],[AccessTot]]+Table1[[#This Row],[AchiTot]]+Table1[[#This Row],[UTTot]]+Table1[[#This Row],[WITTot]]+Table1[[#This Row],[SerTot]]+Table1[[#This Row],[TranTot]]+Table1[[#This Row],[MatTot]]+Table1[[#This Row],[OutTot]]+Table1[[#This Row],[VATot]]+Table1[[#This Row],[OthGrantTot]]</f>
        <v>3000</v>
      </c>
      <c r="EE54" s="249"/>
      <c r="EF54" s="237"/>
      <c r="EG54" s="237"/>
      <c r="EH54" s="232">
        <f>SUM(Table1[[#This Row],[CashQ1]]:Table1[[#This Row],[CashQ3]])</f>
        <v>0</v>
      </c>
      <c r="EI54" s="271">
        <f>ROUND((Table1[[#This Row],[SubTot]]/3)/1.01059,0)</f>
        <v>1154</v>
      </c>
      <c r="EJ54" s="234">
        <f>ROUND((Table1[[#This Row],[SubTot]]/3)/1.01059,0)</f>
        <v>1154</v>
      </c>
      <c r="EK54" s="234">
        <f>ROUNDUP((Table1[[#This Row],[SubTot]]/3)/1.01059,0)</f>
        <v>1155</v>
      </c>
      <c r="EL54" s="235">
        <v>3500</v>
      </c>
      <c r="EM54" s="240">
        <f>Table1[[#This Row],[SubTot]]*0.01059</f>
        <v>37.065000000000005</v>
      </c>
      <c r="EN54" s="234">
        <f>ROUND((Table1[[#This Row],[UnsubTot]]/3)/1.01062,0)</f>
        <v>660</v>
      </c>
      <c r="EO54" s="234">
        <f>ROUND((Table1[[#This Row],[UnsubTot]]/3)/1.01062,0)</f>
        <v>660</v>
      </c>
      <c r="EP54" s="234">
        <f>ROUNDDOWN((Table1[[#This Row],[UnsubTot]]/3)/1.01062,0)</f>
        <v>659</v>
      </c>
      <c r="EQ54" s="235">
        <f>IF(Table1[D/I]="I",6000,2000)</f>
        <v>2000</v>
      </c>
      <c r="ER54" s="240">
        <f>Table1[[#This Row],[UnsubTot]]*0.01059</f>
        <v>21.18</v>
      </c>
      <c r="ES54" s="234">
        <f>ROUND((Table1[[#This Row],[PLUSTot]]/3)/1.04236,0)</f>
        <v>0</v>
      </c>
      <c r="ET54" s="234">
        <f>ROUND((Table1[[#This Row],[PLUSTot]]/3)/1.04236,0)</f>
        <v>0</v>
      </c>
      <c r="EU54" s="234">
        <f>ROUND((Table1[[#This Row],[PLUSTot]]/3)/1.04236,0)</f>
        <v>0</v>
      </c>
      <c r="EV54" s="235">
        <v>0</v>
      </c>
      <c r="EW54" s="239">
        <f>Table1[[#This Row],[PLUSTot]]*0.04248</f>
        <v>0</v>
      </c>
      <c r="EX54" s="237"/>
      <c r="EY54" s="237"/>
      <c r="EZ54" s="237"/>
      <c r="FA54" s="232">
        <f>SUM(Table1[[#This Row],[PrivQ1]:[PrivQ3]])</f>
        <v>0</v>
      </c>
      <c r="FB54" s="237"/>
      <c r="FC54" s="237"/>
      <c r="FD54" s="237"/>
      <c r="FE54" s="232">
        <f>SUM(Table1[[#This Row],[TOQ1]:[TOQ3]])</f>
        <v>0</v>
      </c>
      <c r="FF54" s="237"/>
      <c r="FG54" s="237"/>
      <c r="FH54" s="237"/>
      <c r="FI54" s="232">
        <f>SUM(Table1[[#This Row],[OFundQ1]:[OFundQ3]])</f>
        <v>0</v>
      </c>
      <c r="FJ54" s="239">
        <f>(Table1[[#This Row],[SubTot]]-Table1[[#This Row],[SubFee]])+(Table1[[#This Row],[UnsubTot]]-Table1[[#This Row],[UnsubFee]])+(Table1[[#This Row],[PLUSTot]]-Table1[[#This Row],[PLUSFee]])+Table1[[#This Row],[PrivTot]]+Table1[[#This Row],[TOTot]]+Table1[[#This Row],[OFundTot]]</f>
        <v>5441.7550000000001</v>
      </c>
      <c r="FK54" s="125">
        <f>Table1[[#This Row],[CostTot]]-Table1[[#This Row],[GiftTot]]</f>
        <v>36515</v>
      </c>
      <c r="FL54" s="130">
        <f>Table1[[#This Row],[NetNeed]]/(1-0.04248)</f>
        <v>32451.797351491354</v>
      </c>
      <c r="FM54" s="131">
        <f>Table1[[#This Row],[NetCost]]-Table1[[#This Row],[CashTot]]-(Table1[[#This Row],[SubTot]]-Table1[[#This Row],[SubFee]])-(Table1[[#This Row],[UnsubTot]]-Table1[[#This Row],[UnsubFee]])-(Table1[[#This Row],[PLUSTot]]-Table1[[#This Row],[PLUSFee]])-Table1[[#This Row],[PrivTot]]-Table1[[#This Row],[TOTot]]-Table1[[#This Row],[OFundTot]]</f>
        <v>31073.245000000003</v>
      </c>
      <c r="FN54" s="161"/>
      <c r="FO54" s="113"/>
      <c r="FP54" s="113"/>
    </row>
    <row r="55" spans="1:172" s="160" customFormat="1" ht="15" x14ac:dyDescent="0.25">
      <c r="A55" s="267">
        <v>194131</v>
      </c>
      <c r="B55" s="113" t="str">
        <f>VLOOKUP(Table1[[#This Row],[SyStudentId]],SSR!$A$2:$CC$4982,4,FALSE)</f>
        <v>Noer</v>
      </c>
      <c r="C55" s="113" t="str">
        <f>VLOOKUP(Table1[[#This Row],[SyStudentId]],SSR!$A$2:$CC$4982,5,FALSE)</f>
        <v>Adam</v>
      </c>
      <c r="D55" s="113" t="str">
        <f>VLOOKUP(Table1[[#This Row],[SyStudentId]],SSR!$A$2:$CC$4982,6,FALSE)</f>
        <v>Noer, Adam</v>
      </c>
      <c r="E55" s="113" t="str">
        <f>CONCATENATE(Table1[[#This Row],[FirstName]]," ",Table1[[#This Row],[LastName]])</f>
        <v>Adam Noer</v>
      </c>
      <c r="F55" s="112"/>
      <c r="G55" s="114"/>
      <c r="H55" s="114"/>
      <c r="I55" s="114"/>
      <c r="J55" s="115"/>
      <c r="K55" s="116"/>
      <c r="L55" s="112" t="str">
        <f>IFERROR(VLOOKUP(Table1[[#This Row],[SyStudentId]],ISIR!$A$2:$X$999,11,FALSE),"")</f>
        <v/>
      </c>
      <c r="M55" s="113" t="str">
        <f>VLOOKUP(Table1[[#This Row],[SyStudentId]],SSR!$A$2:$CC$4982,7,FALSE)</f>
        <v>adamnoer20@outlook.com</v>
      </c>
      <c r="N55" s="113" t="str">
        <f>VLOOKUP(Table1[[#This Row],[SyStudentId]],SSR!$A$2:$CC$4982,8,FALSE)</f>
        <v>1813 Riverbend Drive</v>
      </c>
      <c r="O55" s="113" t="str">
        <f>VLOOKUP(Table1[[#This Row],[SyStudentId]],SSR!$A$2:$CC$4982,9,FALSE)</f>
        <v>Redlands</v>
      </c>
      <c r="P55" s="290" t="str">
        <f>VLOOKUP(Table1[[#This Row],[SyStudentId]],SSR!$A$2:$CC$4982,10,FALSE)</f>
        <v>CA</v>
      </c>
      <c r="Q55" s="117" t="str">
        <f>VLOOKUP(Table1[[#This Row],[SyStudentId]],SSR!$A$2:$CC$4982,11,FALSE)</f>
        <v xml:space="preserve">92374     </v>
      </c>
      <c r="R55" s="118">
        <f>VLOOKUP(Table1[[#This Row],[SyStudentId]],SSR!$A$2:$CC$4982,15,FALSE)</f>
        <v>3.5</v>
      </c>
      <c r="S55" s="119">
        <f>VLOOKUP(Table1[[#This Row],[SyStudentId]],SSR!$A$2:$CC$4982,22,FALSE)</f>
        <v>44109</v>
      </c>
      <c r="T55" s="113" t="str">
        <f>VLOOKUP(Table1[[#This Row],[SyStudentId]],SSR!$A$2:$CC$4982,24,FALSE)</f>
        <v>GM</v>
      </c>
      <c r="U55" s="113" t="str">
        <f>IF(VLOOKUP(Table1[[#This Row],[SyStudentId]],SSR!$A$2:$CC$4982,26,FALSE)=0,"Not Selected",VLOOKUP(Table1[[#This Row],[SyStudentId]],SSR!$A$2:$CC$4982,26,FALSE))</f>
        <v>Male</v>
      </c>
      <c r="V55" s="113" t="str">
        <f>VLOOKUP(Table1[[#This Row],[SyStudentId]],SSR!$A$2:$CC$4982,27,FALSE)</f>
        <v xml:space="preserve">HS2020  </v>
      </c>
      <c r="W55" s="113" t="str">
        <f>VLOOKUP(LEFT(Table1[[#This Row],[LastName]],1),Alpha!$A$1:$B$26,2,FALSE)</f>
        <v>Maureen Ranks</v>
      </c>
      <c r="X55" s="149" t="str">
        <f>VLOOKUP(Table1[[#This Row],[FAA]],Alpha!$B$1:$D$26,2,FALSE)</f>
        <v>mranks@neumont.edu</v>
      </c>
      <c r="Y55" s="113">
        <f>VLOOKUP(Table1[[#This Row],[FAA]],Alpha!$B$1:$D$26,3,FALSE)</f>
        <v>8883022894</v>
      </c>
      <c r="Z55" s="113" t="str">
        <f>VLOOKUP(Table1[[#This Row],[SyStudentId]],SSR!$A$2:$CC$4982,30,FALSE)</f>
        <v>16-Accepted</v>
      </c>
      <c r="AA55" s="113" t="str">
        <f>IF(VLOOKUP(Table1[[#This Row],[SyStudentId]],SSR!$A$2:$CC$4982,36,FALSE)="Bachelor of Science","BS Computer Science","Check Program")</f>
        <v>BS Computer Science</v>
      </c>
      <c r="AB55" s="113">
        <f>VLOOKUP(Table1[[#This Row],[SyStudentId]],SSR!$A$2:$CC$4982,37,FALSE)</f>
        <v>0</v>
      </c>
      <c r="AC55" s="113" t="str">
        <f>VLOOKUP(Table1[[#This Row],[SyStudentId]],SSR!$A$2:$CC$4982,42,FALSE)</f>
        <v xml:space="preserve">1060    </v>
      </c>
      <c r="AD55" s="113" t="str">
        <f>VLOOKUP(Table1[[#This Row],[SyStudentId]],SSR!$A$2:$CC$4982,46,FALSE)</f>
        <v>109</v>
      </c>
      <c r="AE55" s="113" t="str">
        <f>VLOOKUP(Table1[[#This Row],[SyStudentId]],SSR!$A$2:$CC$4982,65,FALSE)</f>
        <v>III</v>
      </c>
      <c r="AF55"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55" s="113" t="str">
        <f>VLOOKUP(Table1[[#This Row],[SyStudentId]],SSR!$A$2:$CC$4982,66,FALSE)</f>
        <v>July-October</v>
      </c>
      <c r="AH55" s="113" t="str">
        <f>IFERROR(VLOOKUP(Table1[[#This Row],[SyStudentId]],ISIR!$A$2:$X$999,7,FALSE),"")</f>
        <v/>
      </c>
      <c r="AI55" s="121" t="str">
        <f>IF(Table1[[#This Row],[EFCRaw]]="","",IF(Table1[[#This Row],[EFCRaw]]="No EFC","No EFC",_xlfn.NUMBERVALUE(Table1[[#This Row],[EFCRaw]])))</f>
        <v/>
      </c>
      <c r="AJ55" s="119" t="str">
        <f>IFERROR(VLOOKUP(Table1[[#This Row],[SyStudentId]],ISIR!$A$2:$X$4999,19,FALSE),"")</f>
        <v/>
      </c>
      <c r="AK55" s="113" t="str">
        <f>IFERROR(VLOOKUP(Table1[[#This Row],[SyStudentId]],ISIR!$A$2:$X$4999,8,FALSE),"")</f>
        <v/>
      </c>
      <c r="AL55" s="132" t="str">
        <f>IF(Table1[[#This Row],[VerReq]]="N","n/a","")</f>
        <v/>
      </c>
      <c r="AM55" s="122"/>
      <c r="AN55" s="122"/>
      <c r="AO55" s="122"/>
      <c r="AP55" s="122"/>
      <c r="AQ55" s="122"/>
      <c r="AR55" s="122"/>
      <c r="AS55" s="122"/>
      <c r="AT55" s="122"/>
      <c r="AU55" s="122"/>
      <c r="AV55" s="122"/>
      <c r="AW55" s="122"/>
      <c r="AX55" s="122"/>
      <c r="AY55" s="122"/>
      <c r="AZ55" s="122"/>
      <c r="BA55" s="122"/>
      <c r="BB55" s="122"/>
      <c r="BC55" s="133"/>
      <c r="BD55" s="140" t="str">
        <f>IF(Table1[[#This Row],[VerReq]]="N","x","")</f>
        <v/>
      </c>
      <c r="BE55" s="140" t="str">
        <f>IF(Table1[[#This Row],[VerReq]]="N","x","")</f>
        <v/>
      </c>
      <c r="BF55" s="140" t="str">
        <f>IF(Table1[[#This Row],[VerReq]]="N","x","")</f>
        <v/>
      </c>
      <c r="BG55" s="140" t="str">
        <f>IF(Table1[[#This Row],[VerReq]]="N","x","")</f>
        <v/>
      </c>
      <c r="BH55" s="140" t="str">
        <f>IF(Table1[[#This Row],[VerReq]]="N","x","")</f>
        <v/>
      </c>
      <c r="BI55" s="140" t="str">
        <f>IF(Table1[[#This Row],[VerReq]]="N","x","")</f>
        <v/>
      </c>
      <c r="BJ55" s="123">
        <f>1-((COUNTBLANK(Table1[[#This Row],[ALESent]:[TaxTran]]))/(COUNT(Table1[[#This Row],[ALESent]:[TaxTran]])+COUNTBLANK(Table1[[#This Row],[ALESent]:[TaxTran]])))</f>
        <v>0</v>
      </c>
      <c r="BK55" s="136">
        <f>IF(VLOOKUP(Table1[[#This Row],[SyStudentId]],SSR!$A$2:$CC$4982,22,FALSE)=44109,44109,"Check Program")</f>
        <v>44109</v>
      </c>
      <c r="BL55" s="124">
        <f>IF(Table1[[#This Row],[AYStart]]=44109,44356,"Check Program")</f>
        <v>44356</v>
      </c>
      <c r="BM55" s="219">
        <v>8505</v>
      </c>
      <c r="BN55" s="219">
        <v>8505</v>
      </c>
      <c r="BO55" s="219">
        <v>8505</v>
      </c>
      <c r="BP55" s="220">
        <f t="shared" si="0"/>
        <v>25515</v>
      </c>
      <c r="BQ55" s="221">
        <v>3300</v>
      </c>
      <c r="BR55" s="219">
        <v>400</v>
      </c>
      <c r="BS55" s="219">
        <v>400</v>
      </c>
      <c r="BT55" s="220">
        <f t="shared" si="1"/>
        <v>4100</v>
      </c>
      <c r="BU55" s="219">
        <v>2100</v>
      </c>
      <c r="BV55" s="219">
        <v>2100</v>
      </c>
      <c r="BW55" s="219">
        <v>2100</v>
      </c>
      <c r="BX55" s="220">
        <f t="shared" si="2"/>
        <v>6300</v>
      </c>
      <c r="BY55" s="275">
        <v>1200</v>
      </c>
      <c r="BZ55" s="275">
        <v>1200</v>
      </c>
      <c r="CA55" s="275">
        <v>1200</v>
      </c>
      <c r="CB55" s="220">
        <f>SUM(Table1[[#This Row],[LEQ1]:[LEQ3]])</f>
        <v>3600</v>
      </c>
      <c r="CC55" s="275">
        <v>0</v>
      </c>
      <c r="CD55" s="275">
        <v>0</v>
      </c>
      <c r="CE55" s="275">
        <v>0</v>
      </c>
      <c r="CF55" s="220">
        <f>SUM(Table1[[#This Row],[OthCostQ1]:[OthCostQ3]])</f>
        <v>0</v>
      </c>
      <c r="CG55" s="220">
        <f>(Table1[[#This Row],[T&amp;FTot]]+Table1[[#This Row],[B&amp;STot]]+Table1[[#This Row],[HousTot]]+Table1[[#This Row],[LETot]]+Table1[[#This Row],[OthCostTot]])</f>
        <v>39515</v>
      </c>
      <c r="CH55" s="250"/>
      <c r="CI55" s="250"/>
      <c r="CJ55" s="250"/>
      <c r="CK55" s="251">
        <f>SUM(Table1[[#This Row],[SEOGQ1]:[SEOGQ3]])</f>
        <v>0</v>
      </c>
      <c r="CL55" s="250">
        <f>IFERROR(ROUNDUP(Table1[[#This Row],[PellTot]]/3,0),0)</f>
        <v>0</v>
      </c>
      <c r="CM55" s="250">
        <f>IFERROR(ROUND(Table1[[#This Row],[PellTot]]/3,0),0)</f>
        <v>0</v>
      </c>
      <c r="CN55" s="250">
        <f>IFERROR(ROUNDDOWN(Table1[[#This Row],[PellTot]]/3,0),0)</f>
        <v>0</v>
      </c>
      <c r="CO55" s="251">
        <f>IFERROR(LOOKUP(Table1[EFC],Pell_Table[#Data],Pell_Table[Pell Amt]),0)</f>
        <v>0</v>
      </c>
      <c r="CP55" s="250">
        <f>Table1[[#This Row],[AccessTot]]/3</f>
        <v>0</v>
      </c>
      <c r="CQ55" s="250">
        <f>Table1[[#This Row],[AccessTot]]/3</f>
        <v>0</v>
      </c>
      <c r="CR55" s="250">
        <f>Table1[[#This Row],[AccessTot]]/3</f>
        <v>0</v>
      </c>
      <c r="CS55" s="251">
        <f>IF(Table1[[#This Row],[PellTot]]&gt;0,1500,0)</f>
        <v>0</v>
      </c>
      <c r="CT55" s="250">
        <f>Table1[[#This Row],[AchiTot]]/3</f>
        <v>1300</v>
      </c>
      <c r="CU55" s="250">
        <f>Table1[[#This Row],[AchiTot]]/3</f>
        <v>1300</v>
      </c>
      <c r="CV55" s="250">
        <f>Table1[[#This Row],[AchiTot]]/3</f>
        <v>1300</v>
      </c>
      <c r="CW55" s="252">
        <f>IF(Table1[[#This Row],[Rank]]="","",IF(Table1[[#This Row],[Rank]]=1,5100,IF(Table1[[#This Row],[Rank]]=2,4500,IF(Table1[[#This Row],[Rank]]=3,3900,IF(Table1[[#This Row],[Rank]]=4,3750,IF(Table1[[#This Row],[Rank]]=5,3000,IF(Table1[[#This Row],[Rank]]=6,2250,0)))))))</f>
        <v>3900</v>
      </c>
      <c r="CX55" s="250">
        <f>Table1[[#This Row],[UTTot]]/3</f>
        <v>0</v>
      </c>
      <c r="CY55" s="250">
        <f>Table1[[#This Row],[UTTot]]/3</f>
        <v>0</v>
      </c>
      <c r="CZ55" s="250">
        <f>Table1[[#This Row],[UTTot]]/3</f>
        <v>0</v>
      </c>
      <c r="DA55" s="251">
        <f>IF(Table1[[#This Row],[State]]="UT",9000,0)</f>
        <v>0</v>
      </c>
      <c r="DB55" s="250">
        <f>Table1[[#This Row],[WITTot]]/3</f>
        <v>0</v>
      </c>
      <c r="DC55" s="250">
        <f>Table1[[#This Row],[WITTot]]/3</f>
        <v>0</v>
      </c>
      <c r="DD55" s="250">
        <f>Table1[[#This Row],[WITTot]]/3</f>
        <v>0</v>
      </c>
      <c r="DE55" s="251">
        <f>IF(Table1[[#This Row],[Gender]]="Female",3000,0)</f>
        <v>0</v>
      </c>
      <c r="DF55" s="250">
        <f>Table1[[#This Row],[SerTot]]/3</f>
        <v>0</v>
      </c>
      <c r="DG55" s="250">
        <f>Table1[[#This Row],[SerTot]]/3</f>
        <v>0</v>
      </c>
      <c r="DH55" s="250">
        <f>Table1[[#This Row],[SerTot]]/3</f>
        <v>0</v>
      </c>
      <c r="DI55" s="252"/>
      <c r="DJ55" s="250"/>
      <c r="DK55" s="250"/>
      <c r="DL55" s="250"/>
      <c r="DM55" s="252"/>
      <c r="DN55" s="250">
        <f>Table1[[#This Row],[MatTot]]/3</f>
        <v>0</v>
      </c>
      <c r="DO55" s="250">
        <f>Table1[[#This Row],[MatTot]]/3</f>
        <v>0</v>
      </c>
      <c r="DP55" s="250">
        <f>Table1[[#This Row],[MatTot]]/3</f>
        <v>0</v>
      </c>
      <c r="DQ55" s="252">
        <v>0</v>
      </c>
      <c r="DR55" s="250">
        <f>Table1[[#This Row],[OutTot]]/3</f>
        <v>0</v>
      </c>
      <c r="DS55" s="250">
        <f>Table1[[#This Row],[OutTot]]/3</f>
        <v>0</v>
      </c>
      <c r="DT55" s="250">
        <f>Table1[[#This Row],[OutTot]]/3</f>
        <v>0</v>
      </c>
      <c r="DU55" s="252">
        <v>0</v>
      </c>
      <c r="DV55" s="250">
        <v>0</v>
      </c>
      <c r="DW55" s="250">
        <v>0</v>
      </c>
      <c r="DX55" s="250">
        <v>0</v>
      </c>
      <c r="DY55" s="252">
        <f>SUM(Table1[[#This Row],[VAQ1]:[VAQ3]])</f>
        <v>0</v>
      </c>
      <c r="DZ55" s="250">
        <v>0</v>
      </c>
      <c r="EA55" s="250">
        <v>0</v>
      </c>
      <c r="EB55" s="250">
        <v>0</v>
      </c>
      <c r="EC55" s="252">
        <f>SUM(Table1[[#This Row],[OthGrantQ1]:[OthGrantQ3]])</f>
        <v>0</v>
      </c>
      <c r="ED55" s="263">
        <f>Table1[[#This Row],[SEOGTot]]+Table1[[#This Row],[PellTot]]+Table1[[#This Row],[AccessTot]]+Table1[[#This Row],[AchiTot]]+Table1[[#This Row],[UTTot]]+Table1[[#This Row],[WITTot]]+Table1[[#This Row],[SerTot]]+Table1[[#This Row],[TranTot]]+Table1[[#This Row],[MatTot]]+Table1[[#This Row],[OutTot]]+Table1[[#This Row],[VATot]]+Table1[[#This Row],[OthGrantTot]]</f>
        <v>3900</v>
      </c>
      <c r="EE55" s="249"/>
      <c r="EF55" s="237"/>
      <c r="EG55" s="237"/>
      <c r="EH55" s="232">
        <f>SUM(Table1[[#This Row],[CashQ1]]:Table1[[#This Row],[CashQ3]])</f>
        <v>0</v>
      </c>
      <c r="EI55" s="271">
        <f>ROUND((Table1[[#This Row],[SubTot]]/3)/1.01059,0)</f>
        <v>1154</v>
      </c>
      <c r="EJ55" s="234">
        <f>ROUND((Table1[[#This Row],[SubTot]]/3)/1.01059,0)</f>
        <v>1154</v>
      </c>
      <c r="EK55" s="234">
        <f>ROUNDUP((Table1[[#This Row],[SubTot]]/3)/1.01059,0)</f>
        <v>1155</v>
      </c>
      <c r="EL55" s="235">
        <v>3500</v>
      </c>
      <c r="EM55" s="240">
        <f>Table1[[#This Row],[SubTot]]*0.01059</f>
        <v>37.065000000000005</v>
      </c>
      <c r="EN55" s="234">
        <f>ROUND((Table1[[#This Row],[UnsubTot]]/3)/1.01062,0)</f>
        <v>660</v>
      </c>
      <c r="EO55" s="234">
        <f>ROUND((Table1[[#This Row],[UnsubTot]]/3)/1.01062,0)</f>
        <v>660</v>
      </c>
      <c r="EP55" s="234">
        <f>ROUNDDOWN((Table1[[#This Row],[UnsubTot]]/3)/1.01062,0)</f>
        <v>659</v>
      </c>
      <c r="EQ55" s="235">
        <f>IF(Table1[D/I]="I",6000,2000)</f>
        <v>2000</v>
      </c>
      <c r="ER55" s="240">
        <f>Table1[[#This Row],[UnsubTot]]*0.01059</f>
        <v>21.18</v>
      </c>
      <c r="ES55" s="234">
        <f>ROUND((Table1[[#This Row],[PLUSTot]]/3)/1.04236,0)</f>
        <v>0</v>
      </c>
      <c r="ET55" s="234">
        <f>ROUND((Table1[[#This Row],[PLUSTot]]/3)/1.04236,0)</f>
        <v>0</v>
      </c>
      <c r="EU55" s="234">
        <f>ROUND((Table1[[#This Row],[PLUSTot]]/3)/1.04236,0)</f>
        <v>0</v>
      </c>
      <c r="EV55" s="235">
        <v>0</v>
      </c>
      <c r="EW55" s="239">
        <f>Table1[[#This Row],[PLUSTot]]*0.04248</f>
        <v>0</v>
      </c>
      <c r="EX55" s="237"/>
      <c r="EY55" s="237"/>
      <c r="EZ55" s="237"/>
      <c r="FA55" s="232">
        <f>SUM(Table1[[#This Row],[PrivQ1]:[PrivQ3]])</f>
        <v>0</v>
      </c>
      <c r="FB55" s="237"/>
      <c r="FC55" s="237"/>
      <c r="FD55" s="237"/>
      <c r="FE55" s="232">
        <f>SUM(Table1[[#This Row],[TOQ1]:[TOQ3]])</f>
        <v>0</v>
      </c>
      <c r="FF55" s="237"/>
      <c r="FG55" s="237"/>
      <c r="FH55" s="237"/>
      <c r="FI55" s="232">
        <f>SUM(Table1[[#This Row],[OFundQ1]:[OFundQ3]])</f>
        <v>0</v>
      </c>
      <c r="FJ55" s="239">
        <f>(Table1[[#This Row],[SubTot]]-Table1[[#This Row],[SubFee]])+(Table1[[#This Row],[UnsubTot]]-Table1[[#This Row],[UnsubFee]])+(Table1[[#This Row],[PLUSTot]]-Table1[[#This Row],[PLUSFee]])+Table1[[#This Row],[PrivTot]]+Table1[[#This Row],[TOTot]]+Table1[[#This Row],[OFundTot]]</f>
        <v>5441.7550000000001</v>
      </c>
      <c r="FK55" s="125">
        <f>Table1[[#This Row],[CostTot]]-Table1[[#This Row],[GiftTot]]</f>
        <v>35615</v>
      </c>
      <c r="FL55" s="130">
        <f>Table1[[#This Row],[NetNeed]]/(1-0.04248)</f>
        <v>31511.869203776419</v>
      </c>
      <c r="FM55" s="131">
        <f>Table1[[#This Row],[NetCost]]-Table1[[#This Row],[CashTot]]-(Table1[[#This Row],[SubTot]]-Table1[[#This Row],[SubFee]])-(Table1[[#This Row],[UnsubTot]]-Table1[[#This Row],[UnsubFee]])-(Table1[[#This Row],[PLUSTot]]-Table1[[#This Row],[PLUSFee]])-Table1[[#This Row],[PrivTot]]-Table1[[#This Row],[TOTot]]-Table1[[#This Row],[OFundTot]]</f>
        <v>30173.244999999999</v>
      </c>
      <c r="FN55" s="161"/>
      <c r="FO55" s="113"/>
      <c r="FP55" s="113"/>
    </row>
    <row r="56" spans="1:172" s="160" customFormat="1" ht="15" x14ac:dyDescent="0.25">
      <c r="A56" s="267">
        <v>198890</v>
      </c>
      <c r="B56" s="113" t="str">
        <f>VLOOKUP(Table1[[#This Row],[SyStudentId]],SSR!$A$2:$CC$4982,4,FALSE)</f>
        <v>Norgard</v>
      </c>
      <c r="C56" s="113" t="str">
        <f>VLOOKUP(Table1[[#This Row],[SyStudentId]],SSR!$A$2:$CC$4982,5,FALSE)</f>
        <v>Karsten</v>
      </c>
      <c r="D56" s="113" t="str">
        <f>VLOOKUP(Table1[[#This Row],[SyStudentId]],SSR!$A$2:$CC$4982,6,FALSE)</f>
        <v>Norgard, Karsten</v>
      </c>
      <c r="E56" s="113" t="str">
        <f>CONCATENATE(Table1[[#This Row],[FirstName]]," ",Table1[[#This Row],[LastName]])</f>
        <v>Karsten Norgard</v>
      </c>
      <c r="F56" s="112"/>
      <c r="G56" s="114"/>
      <c r="H56" s="114"/>
      <c r="I56" s="114"/>
      <c r="J56" s="115"/>
      <c r="K56" s="116"/>
      <c r="L56" s="112" t="str">
        <f>IFERROR(VLOOKUP(Table1[[#This Row],[SyStudentId]],ISIR!$A$2:$X$999,11,FALSE),"")</f>
        <v/>
      </c>
      <c r="M56" s="113" t="str">
        <f>VLOOKUP(Table1[[#This Row],[SyStudentId]],SSR!$A$2:$CC$4982,7,FALSE)</f>
        <v>karstennorgard1@gmail.com</v>
      </c>
      <c r="N56" s="113" t="str">
        <f>VLOOKUP(Table1[[#This Row],[SyStudentId]],SSR!$A$2:$CC$4982,8,FALSE)</f>
        <v>1620 14TH Street</v>
      </c>
      <c r="O56" s="113" t="str">
        <f>VLOOKUP(Table1[[#This Row],[SyStudentId]],SSR!$A$2:$CC$4982,9,FALSE)</f>
        <v>Mitchell</v>
      </c>
      <c r="P56" s="292" t="str">
        <f>VLOOKUP(Table1[[#This Row],[SyStudentId]],SSR!$A$2:$CC$4982,10,FALSE)</f>
        <v>NE</v>
      </c>
      <c r="Q56" s="117" t="str">
        <f>VLOOKUP(Table1[[#This Row],[SyStudentId]],SSR!$A$2:$CC$4982,11,FALSE)</f>
        <v xml:space="preserve">69357     </v>
      </c>
      <c r="R56" s="118">
        <f>VLOOKUP(Table1[[#This Row],[SyStudentId]],SSR!$A$2:$CC$4982,15,FALSE)</f>
        <v>2.5419999999999998</v>
      </c>
      <c r="S56" s="119">
        <f>VLOOKUP(Table1[[#This Row],[SyStudentId]],SSR!$A$2:$CC$4982,22,FALSE)</f>
        <v>44109</v>
      </c>
      <c r="T56" s="113" t="str">
        <f>VLOOKUP(Table1[[#This Row],[SyStudentId]],SSR!$A$2:$CC$4982,24,FALSE)</f>
        <v>JT</v>
      </c>
      <c r="U56" s="113" t="str">
        <f>IF(VLOOKUP(Table1[[#This Row],[SyStudentId]],SSR!$A$2:$CC$4982,26,FALSE)=0,"Not Selected",VLOOKUP(Table1[[#This Row],[SyStudentId]],SSR!$A$2:$CC$4982,26,FALSE))</f>
        <v>Male</v>
      </c>
      <c r="V56" s="113" t="str">
        <f>VLOOKUP(Table1[[#This Row],[SyStudentId]],SSR!$A$2:$CC$4982,27,FALSE)</f>
        <v xml:space="preserve">HS2020  </v>
      </c>
      <c r="W56" s="113" t="str">
        <f>VLOOKUP(LEFT(Table1[[#This Row],[LastName]],1),Alpha!$A$1:$B$26,2,FALSE)</f>
        <v>Maureen Ranks</v>
      </c>
      <c r="X56" s="149" t="str">
        <f>VLOOKUP(Table1[[#This Row],[FAA]],Alpha!$B$1:$D$26,2,FALSE)</f>
        <v>mranks@neumont.edu</v>
      </c>
      <c r="Y56" s="113">
        <f>VLOOKUP(Table1[[#This Row],[FAA]],Alpha!$B$1:$D$26,3,FALSE)</f>
        <v>8883022894</v>
      </c>
      <c r="Z56" s="113" t="str">
        <f>VLOOKUP(Table1[[#This Row],[SyStudentId]],SSR!$A$2:$CC$4982,30,FALSE)</f>
        <v>16-Accepted</v>
      </c>
      <c r="AA56" s="113" t="str">
        <f>IF(VLOOKUP(Table1[[#This Row],[SyStudentId]],SSR!$A$2:$CC$4982,36,FALSE)="Bachelor of Science","BS Computer Science","Check Program")</f>
        <v>BS Computer Science</v>
      </c>
      <c r="AB56" s="113" t="str">
        <f>VLOOKUP(Table1[[#This Row],[SyStudentId]],SSR!$A$2:$CC$4982,37,FALSE)</f>
        <v xml:space="preserve">23      </v>
      </c>
      <c r="AC56" s="113">
        <f>VLOOKUP(Table1[[#This Row],[SyStudentId]],SSR!$A$2:$CC$4982,42,FALSE)</f>
        <v>0</v>
      </c>
      <c r="AD56" s="113" t="str">
        <f>VLOOKUP(Table1[[#This Row],[SyStudentId]],SSR!$A$2:$CC$4982,46,FALSE)</f>
        <v>92</v>
      </c>
      <c r="AE56" s="113" t="str">
        <f>VLOOKUP(Table1[[#This Row],[SyStudentId]],SSR!$A$2:$CC$4982,65,FALSE)</f>
        <v>IX</v>
      </c>
      <c r="AF56"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56" s="113" t="str">
        <f>VLOOKUP(Table1[[#This Row],[SyStudentId]],SSR!$A$2:$CC$4982,66,FALSE)</f>
        <v>October</v>
      </c>
      <c r="AH56" s="113" t="str">
        <f>IFERROR(VLOOKUP(Table1[[#This Row],[SyStudentId]],ISIR!$A$2:$X$999,7,FALSE),"")</f>
        <v/>
      </c>
      <c r="AI56" s="121" t="str">
        <f>IF(Table1[[#This Row],[EFCRaw]]="","",IF(Table1[[#This Row],[EFCRaw]]="No EFC","No EFC",_xlfn.NUMBERVALUE(Table1[[#This Row],[EFCRaw]])))</f>
        <v/>
      </c>
      <c r="AJ56" s="119" t="str">
        <f>IFERROR(VLOOKUP(Table1[[#This Row],[SyStudentId]],ISIR!$A$2:$X$4999,19,FALSE),"")</f>
        <v/>
      </c>
      <c r="AK56" s="113" t="str">
        <f>IFERROR(VLOOKUP(Table1[[#This Row],[SyStudentId]],ISIR!$A$2:$X$4999,8,FALSE),"")</f>
        <v/>
      </c>
      <c r="AL56" s="132" t="str">
        <f>IF(Table1[[#This Row],[VerReq]]="N","n/a","")</f>
        <v/>
      </c>
      <c r="AM56" s="122"/>
      <c r="AN56" s="122"/>
      <c r="AO56" s="122"/>
      <c r="AP56" s="122"/>
      <c r="AQ56" s="122"/>
      <c r="AR56" s="122"/>
      <c r="AS56" s="122"/>
      <c r="AT56" s="122"/>
      <c r="AU56" s="122"/>
      <c r="AV56" s="122"/>
      <c r="AW56" s="122"/>
      <c r="AX56" s="122"/>
      <c r="AY56" s="122"/>
      <c r="AZ56" s="122"/>
      <c r="BA56" s="122"/>
      <c r="BB56" s="122"/>
      <c r="BC56" s="133"/>
      <c r="BD56" s="140" t="str">
        <f>IF(Table1[[#This Row],[VerReq]]="N","x","")</f>
        <v/>
      </c>
      <c r="BE56" s="140" t="str">
        <f>IF(Table1[[#This Row],[VerReq]]="N","x","")</f>
        <v/>
      </c>
      <c r="BF56" s="140" t="str">
        <f>IF(Table1[[#This Row],[VerReq]]="N","x","")</f>
        <v/>
      </c>
      <c r="BG56" s="140" t="str">
        <f>IF(Table1[[#This Row],[VerReq]]="N","x","")</f>
        <v/>
      </c>
      <c r="BH56" s="140" t="str">
        <f>IF(Table1[[#This Row],[VerReq]]="N","x","")</f>
        <v/>
      </c>
      <c r="BI56" s="140" t="str">
        <f>IF(Table1[[#This Row],[VerReq]]="N","x","")</f>
        <v/>
      </c>
      <c r="BJ56" s="123">
        <f>1-((COUNTBLANK(Table1[[#This Row],[ALESent]:[TaxTran]]))/(COUNT(Table1[[#This Row],[ALESent]:[TaxTran]])+COUNTBLANK(Table1[[#This Row],[ALESent]:[TaxTran]])))</f>
        <v>0</v>
      </c>
      <c r="BK56" s="136">
        <f>IF(VLOOKUP(Table1[[#This Row],[SyStudentId]],SSR!$A$2:$CC$4982,22,FALSE)=44109,44109,"Check Program")</f>
        <v>44109</v>
      </c>
      <c r="BL56" s="124">
        <f>IF(Table1[[#This Row],[AYStart]]=44109,44356,"Check Program")</f>
        <v>44356</v>
      </c>
      <c r="BM56" s="219">
        <v>8505</v>
      </c>
      <c r="BN56" s="219">
        <v>8505</v>
      </c>
      <c r="BO56" s="219">
        <v>8505</v>
      </c>
      <c r="BP56" s="220">
        <f t="shared" si="0"/>
        <v>25515</v>
      </c>
      <c r="BQ56" s="221">
        <v>3300</v>
      </c>
      <c r="BR56" s="219">
        <v>400</v>
      </c>
      <c r="BS56" s="219">
        <v>400</v>
      </c>
      <c r="BT56" s="220">
        <f t="shared" si="1"/>
        <v>4100</v>
      </c>
      <c r="BU56" s="219">
        <v>2100</v>
      </c>
      <c r="BV56" s="219">
        <v>2100</v>
      </c>
      <c r="BW56" s="219">
        <v>2100</v>
      </c>
      <c r="BX56" s="220">
        <f t="shared" si="2"/>
        <v>6300</v>
      </c>
      <c r="BY56" s="275">
        <v>1200</v>
      </c>
      <c r="BZ56" s="275">
        <v>1200</v>
      </c>
      <c r="CA56" s="275">
        <v>1200</v>
      </c>
      <c r="CB56" s="220">
        <f>SUM(Table1[[#This Row],[LEQ1]:[LEQ3]])</f>
        <v>3600</v>
      </c>
      <c r="CC56" s="275"/>
      <c r="CD56" s="275"/>
      <c r="CE56" s="275"/>
      <c r="CF56" s="220">
        <f>SUM(Table1[[#This Row],[OthCostQ1]:[OthCostQ3]])</f>
        <v>0</v>
      </c>
      <c r="CG56" s="220">
        <f>(Table1[[#This Row],[T&amp;FTot]]+Table1[[#This Row],[B&amp;STot]]+Table1[[#This Row],[HousTot]]+Table1[[#This Row],[LETot]]+Table1[[#This Row],[OthCostTot]])</f>
        <v>39515</v>
      </c>
      <c r="CH56" s="250"/>
      <c r="CI56" s="250"/>
      <c r="CJ56" s="250"/>
      <c r="CK56" s="251">
        <f>SUM(Table1[[#This Row],[SEOGQ1]:[SEOGQ3]])</f>
        <v>0</v>
      </c>
      <c r="CL56" s="250">
        <f>IFERROR(ROUNDUP(Table1[[#This Row],[PellTot]]/3,0),0)</f>
        <v>0</v>
      </c>
      <c r="CM56" s="250">
        <f>IFERROR(ROUND(Table1[[#This Row],[PellTot]]/3,0),0)</f>
        <v>0</v>
      </c>
      <c r="CN56" s="250">
        <f>IFERROR(ROUNDDOWN(Table1[[#This Row],[PellTot]]/3,0),0)</f>
        <v>0</v>
      </c>
      <c r="CO56" s="251">
        <f>IFERROR(LOOKUP(Table1[EFC],Pell_Table[#Data],Pell_Table[Pell Amt]),0)</f>
        <v>0</v>
      </c>
      <c r="CP56" s="250">
        <f>Table1[[#This Row],[AccessTot]]/3</f>
        <v>0</v>
      </c>
      <c r="CQ56" s="250">
        <f>Table1[[#This Row],[AccessTot]]/3</f>
        <v>0</v>
      </c>
      <c r="CR56" s="250">
        <f>Table1[[#This Row],[AccessTot]]/3</f>
        <v>0</v>
      </c>
      <c r="CS56" s="251">
        <f>IF(Table1[[#This Row],[PellTot]]&gt;0,1500,0)</f>
        <v>0</v>
      </c>
      <c r="CT56" s="250">
        <f>Table1[[#This Row],[AchiTot]]/3</f>
        <v>0</v>
      </c>
      <c r="CU56" s="250">
        <f>Table1[[#This Row],[AchiTot]]/3</f>
        <v>0</v>
      </c>
      <c r="CV56" s="250">
        <f>Table1[[#This Row],[AchiTot]]/3</f>
        <v>0</v>
      </c>
      <c r="CW56" s="252">
        <f>IF(Table1[[#This Row],[Rank]]="","",IF(Table1[[#This Row],[Rank]]=1,5100,IF(Table1[[#This Row],[Rank]]=2,4500,IF(Table1[[#This Row],[Rank]]=3,3900,IF(Table1[[#This Row],[Rank]]=4,3750,IF(Table1[[#This Row],[Rank]]=5,3000,IF(Table1[[#This Row],[Rank]]=6,2250,0)))))))</f>
        <v>0</v>
      </c>
      <c r="CX56" s="250">
        <f>Table1[[#This Row],[UTTot]]/3</f>
        <v>0</v>
      </c>
      <c r="CY56" s="250">
        <f>Table1[[#This Row],[UTTot]]/3</f>
        <v>0</v>
      </c>
      <c r="CZ56" s="250">
        <f>Table1[[#This Row],[UTTot]]/3</f>
        <v>0</v>
      </c>
      <c r="DA56" s="251">
        <f>IF(Table1[[#This Row],[State]]="UT",9000,0)</f>
        <v>0</v>
      </c>
      <c r="DB56" s="250">
        <f>Table1[[#This Row],[WITTot]]/3</f>
        <v>0</v>
      </c>
      <c r="DC56" s="250">
        <f>Table1[[#This Row],[WITTot]]/3</f>
        <v>0</v>
      </c>
      <c r="DD56" s="250">
        <f>Table1[[#This Row],[WITTot]]/3</f>
        <v>0</v>
      </c>
      <c r="DE56" s="251">
        <f>IF(Table1[[#This Row],[Gender]]="Female",3000,0)</f>
        <v>0</v>
      </c>
      <c r="DF56" s="250">
        <f>Table1[[#This Row],[SerTot]]/3</f>
        <v>0</v>
      </c>
      <c r="DG56" s="250">
        <f>Table1[[#This Row],[SerTot]]/3</f>
        <v>0</v>
      </c>
      <c r="DH56" s="250">
        <f>Table1[[#This Row],[SerTot]]/3</f>
        <v>0</v>
      </c>
      <c r="DI56" s="252"/>
      <c r="DJ56" s="250"/>
      <c r="DK56" s="250"/>
      <c r="DL56" s="250"/>
      <c r="DM56" s="252"/>
      <c r="DN56" s="250">
        <f>Table1[[#This Row],[MatTot]]/3</f>
        <v>0</v>
      </c>
      <c r="DO56" s="250">
        <f>Table1[[#This Row],[MatTot]]/3</f>
        <v>0</v>
      </c>
      <c r="DP56" s="250">
        <f>Table1[[#This Row],[MatTot]]/3</f>
        <v>0</v>
      </c>
      <c r="DQ56" s="252"/>
      <c r="DR56" s="250">
        <f>Table1[[#This Row],[OutTot]]/3</f>
        <v>0</v>
      </c>
      <c r="DS56" s="250">
        <f>Table1[[#This Row],[OutTot]]/3</f>
        <v>0</v>
      </c>
      <c r="DT56" s="250">
        <f>Table1[[#This Row],[OutTot]]/3</f>
        <v>0</v>
      </c>
      <c r="DU56" s="252"/>
      <c r="DV56" s="250"/>
      <c r="DW56" s="250"/>
      <c r="DX56" s="250"/>
      <c r="DY56" s="252">
        <f>SUM(Table1[[#This Row],[VAQ1]:[VAQ3]])</f>
        <v>0</v>
      </c>
      <c r="DZ56" s="250"/>
      <c r="EA56" s="250"/>
      <c r="EB56" s="250"/>
      <c r="EC56" s="252">
        <f>SUM(Table1[[#This Row],[OthGrantQ1]:[OthGrantQ3]])</f>
        <v>0</v>
      </c>
      <c r="ED56" s="263">
        <f>Table1[[#This Row],[SEOGTot]]+Table1[[#This Row],[PellTot]]+Table1[[#This Row],[AccessTot]]+Table1[[#This Row],[AchiTot]]+Table1[[#This Row],[UTTot]]+Table1[[#This Row],[WITTot]]+Table1[[#This Row],[SerTot]]+Table1[[#This Row],[TranTot]]+Table1[[#This Row],[MatTot]]+Table1[[#This Row],[OutTot]]+Table1[[#This Row],[VATot]]+Table1[[#This Row],[OthGrantTot]]</f>
        <v>0</v>
      </c>
      <c r="EE56" s="249"/>
      <c r="EF56" s="237"/>
      <c r="EG56" s="237"/>
      <c r="EH56" s="232">
        <f>SUM(Table1[[#This Row],[CashQ1]]:Table1[[#This Row],[CashQ3]])</f>
        <v>0</v>
      </c>
      <c r="EI56" s="271">
        <f>ROUND((Table1[[#This Row],[SubTot]]/3)/1.01059,0)</f>
        <v>0</v>
      </c>
      <c r="EJ56" s="234">
        <f>ROUND((Table1[[#This Row],[SubTot]]/3)/1.01059,0)</f>
        <v>0</v>
      </c>
      <c r="EK56" s="234">
        <f>ROUNDUP((Table1[[#This Row],[SubTot]]/3)/1.01059,0)</f>
        <v>0</v>
      </c>
      <c r="EL56" s="235"/>
      <c r="EM56" s="240">
        <f>Table1[[#This Row],[SubTot]]*0.01059</f>
        <v>0</v>
      </c>
      <c r="EN56" s="234">
        <f>ROUND((Table1[[#This Row],[UnsubTot]]/3)/1.01062,0)</f>
        <v>660</v>
      </c>
      <c r="EO56" s="234">
        <f>ROUND((Table1[[#This Row],[UnsubTot]]/3)/1.01062,0)</f>
        <v>660</v>
      </c>
      <c r="EP56" s="234">
        <f>ROUNDDOWN((Table1[[#This Row],[UnsubTot]]/3)/1.01062,0)</f>
        <v>659</v>
      </c>
      <c r="EQ56" s="235">
        <f>IF(Table1[D/I]="I",6000,2000)</f>
        <v>2000</v>
      </c>
      <c r="ER56" s="240">
        <f>Table1[[#This Row],[UnsubTot]]*0.01062</f>
        <v>21.24</v>
      </c>
      <c r="ES56" s="234">
        <f>ROUND((Table1[[#This Row],[PLUSTot]]/3)/1.04248,0)</f>
        <v>0</v>
      </c>
      <c r="ET56" s="234">
        <f>ROUND((Table1[[#This Row],[PLUSTot]]/3)/1.04248,0)</f>
        <v>0</v>
      </c>
      <c r="EU56" s="234">
        <f>ROUND((Table1[[#This Row],[PLUSTot]]/3)/1.04248,0)</f>
        <v>0</v>
      </c>
      <c r="EV56" s="235"/>
      <c r="EW56" s="239">
        <f>Table1[[#This Row],[PLUSTot]]*0.04248</f>
        <v>0</v>
      </c>
      <c r="EX56" s="237"/>
      <c r="EY56" s="237"/>
      <c r="EZ56" s="237"/>
      <c r="FA56" s="232">
        <f>SUM(Table1[[#This Row],[PrivQ1]:[PrivQ3]])</f>
        <v>0</v>
      </c>
      <c r="FB56" s="237"/>
      <c r="FC56" s="237"/>
      <c r="FD56" s="237"/>
      <c r="FE56" s="232">
        <f>SUM(Table1[[#This Row],[TOQ1]:[TOQ3]])</f>
        <v>0</v>
      </c>
      <c r="FF56" s="237"/>
      <c r="FG56" s="237"/>
      <c r="FH56" s="237"/>
      <c r="FI56" s="232">
        <f>SUM(Table1[[#This Row],[OFundQ1]:[OFundQ3]])</f>
        <v>0</v>
      </c>
      <c r="FJ56" s="239">
        <f>(Table1[[#This Row],[SubTot]]-Table1[[#This Row],[SubFee]])+(Table1[[#This Row],[UnsubTot]]-Table1[[#This Row],[UnsubFee]])+(Table1[[#This Row],[PLUSTot]]-Table1[[#This Row],[PLUSFee]])+Table1[[#This Row],[PrivTot]]+Table1[[#This Row],[TOTot]]+Table1[[#This Row],[OFundTot]]</f>
        <v>1978.76</v>
      </c>
      <c r="FK56" s="125">
        <f>Table1[[#This Row],[CostTot]]-Table1[[#This Row],[GiftTot]]</f>
        <v>39515</v>
      </c>
      <c r="FL56" s="130">
        <f>Table1[[#This Row],[NetNeed]]/(1-0.04248)</f>
        <v>39201.520594870075</v>
      </c>
      <c r="FM56" s="131">
        <f>Table1[[#This Row],[NetCost]]-Table1[[#This Row],[CashTot]]-(Table1[[#This Row],[SubTot]]-Table1[[#This Row],[SubFee]])-(Table1[[#This Row],[UnsubTot]]-Table1[[#This Row],[UnsubFee]])-(Table1[[#This Row],[PLUSTot]]-Table1[[#This Row],[PLUSFee]])-Table1[[#This Row],[PrivTot]]-Table1[[#This Row],[TOTot]]-Table1[[#This Row],[OFundTot]]</f>
        <v>37536.239999999998</v>
      </c>
      <c r="FN56" s="161"/>
      <c r="FO56" s="113"/>
      <c r="FP56" s="113"/>
    </row>
    <row r="57" spans="1:172" s="160" customFormat="1" ht="15" x14ac:dyDescent="0.25">
      <c r="A57" s="267">
        <v>198179</v>
      </c>
      <c r="B57" s="113" t="str">
        <f>VLOOKUP(Table1[[#This Row],[SyStudentId]],SSR!$A$2:$CC$4982,4,FALSE)</f>
        <v>Norton</v>
      </c>
      <c r="C57" s="113" t="str">
        <f>VLOOKUP(Table1[[#This Row],[SyStudentId]],SSR!$A$2:$CC$4982,5,FALSE)</f>
        <v>Lauren</v>
      </c>
      <c r="D57" s="113" t="str">
        <f>VLOOKUP(Table1[[#This Row],[SyStudentId]],SSR!$A$2:$CC$4982,6,FALSE)</f>
        <v>Norton, Lauren</v>
      </c>
      <c r="E57" s="113" t="str">
        <f>CONCATENATE(Table1[[#This Row],[FirstName]]," ",Table1[[#This Row],[LastName]])</f>
        <v>Lauren Norton</v>
      </c>
      <c r="F57" s="112">
        <v>1</v>
      </c>
      <c r="G57" s="114"/>
      <c r="H57" s="114"/>
      <c r="I57" s="114">
        <v>43776</v>
      </c>
      <c r="J57" s="115"/>
      <c r="K57" s="116"/>
      <c r="L57" s="112" t="str">
        <f>IFERROR(VLOOKUP(Table1[[#This Row],[SyStudentId]],ISIR!$A$2:$X$999,11,FALSE),"")</f>
        <v>D</v>
      </c>
      <c r="M57" s="113" t="str">
        <f>VLOOKUP(Table1[[#This Row],[SyStudentId]],SSR!$A$2:$CC$4982,7,FALSE)</f>
        <v>lnorton928@gmail.com</v>
      </c>
      <c r="N57" s="113" t="str">
        <f>VLOOKUP(Table1[[#This Row],[SyStudentId]],SSR!$A$2:$CC$4982,8,FALSE)</f>
        <v>680 Humphries Road</v>
      </c>
      <c r="O57" s="113" t="str">
        <f>VLOOKUP(Table1[[#This Row],[SyStudentId]],SSR!$A$2:$CC$4982,9,FALSE)</f>
        <v>Cowpens</v>
      </c>
      <c r="P57" s="303" t="str">
        <f>VLOOKUP(Table1[[#This Row],[SyStudentId]],SSR!$A$2:$CC$4982,10,FALSE)</f>
        <v>SC</v>
      </c>
      <c r="Q57" s="117" t="str">
        <f>VLOOKUP(Table1[[#This Row],[SyStudentId]],SSR!$A$2:$CC$4982,11,FALSE)</f>
        <v xml:space="preserve">29330     </v>
      </c>
      <c r="R57" s="118">
        <f>VLOOKUP(Table1[[#This Row],[SyStudentId]],SSR!$A$2:$CC$4982,15,FALSE)</f>
        <v>3.9169999999999998</v>
      </c>
      <c r="S57" s="119">
        <f>VLOOKUP(Table1[[#This Row],[SyStudentId]],SSR!$A$2:$CC$4982,22,FALSE)</f>
        <v>44109</v>
      </c>
      <c r="T57" s="113" t="str">
        <f>VLOOKUP(Table1[[#This Row],[SyStudentId]],SSR!$A$2:$CC$4982,24,FALSE)</f>
        <v>JT</v>
      </c>
      <c r="U57" s="113" t="str">
        <f>IF(VLOOKUP(Table1[[#This Row],[SyStudentId]],SSR!$A$2:$CC$4982,26,FALSE)=0,"Not Selected",VLOOKUP(Table1[[#This Row],[SyStudentId]],SSR!$A$2:$CC$4982,26,FALSE))</f>
        <v>Female</v>
      </c>
      <c r="V57" s="113" t="str">
        <f>VLOOKUP(Table1[[#This Row],[SyStudentId]],SSR!$A$2:$CC$4982,27,FALSE)</f>
        <v xml:space="preserve">HS2020  </v>
      </c>
      <c r="W57" s="113" t="str">
        <f>VLOOKUP(LEFT(Table1[[#This Row],[LastName]],1),Alpha!$A$1:$B$26,2,FALSE)</f>
        <v>Maureen Ranks</v>
      </c>
      <c r="X57" s="149" t="str">
        <f>VLOOKUP(Table1[[#This Row],[FAA]],Alpha!$B$1:$D$26,2,FALSE)</f>
        <v>mranks@neumont.edu</v>
      </c>
      <c r="Y57" s="113">
        <f>VLOOKUP(Table1[[#This Row],[FAA]],Alpha!$B$1:$D$26,3,FALSE)</f>
        <v>8883022894</v>
      </c>
      <c r="Z57" s="113" t="str">
        <f>VLOOKUP(Table1[[#This Row],[SyStudentId]],SSR!$A$2:$CC$4982,30,FALSE)</f>
        <v>16-Accepted</v>
      </c>
      <c r="AA57" s="113" t="str">
        <f>IF(VLOOKUP(Table1[[#This Row],[SyStudentId]],SSR!$A$2:$CC$4982,36,FALSE)="Bachelor of Science","BS Computer Science","Check Program")</f>
        <v>BS Computer Science</v>
      </c>
      <c r="AB57" s="113">
        <f>VLOOKUP(Table1[[#This Row],[SyStudentId]],SSR!$A$2:$CC$4982,37,FALSE)</f>
        <v>0</v>
      </c>
      <c r="AC57" s="113" t="str">
        <f>VLOOKUP(Table1[[#This Row],[SyStudentId]],SSR!$A$2:$CC$4982,42,FALSE)</f>
        <v xml:space="preserve">1110    </v>
      </c>
      <c r="AD57" s="113" t="str">
        <f>VLOOKUP(Table1[[#This Row],[SyStudentId]],SSR!$A$2:$CC$4982,46,FALSE)</f>
        <v>118</v>
      </c>
      <c r="AE57" s="113" t="str">
        <f>VLOOKUP(Table1[[#This Row],[SyStudentId]],SSR!$A$2:$CC$4982,65,FALSE)</f>
        <v>I</v>
      </c>
      <c r="AF57"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57" s="113" t="str">
        <f>VLOOKUP(Table1[[#This Row],[SyStudentId]],SSR!$A$2:$CC$4982,66,FALSE)</f>
        <v>July-October</v>
      </c>
      <c r="AH57" s="113" t="str">
        <f>IFERROR(VLOOKUP(Table1[[#This Row],[SyStudentId]],ISIR!$A$2:$X$999,7,FALSE),"")</f>
        <v>000505</v>
      </c>
      <c r="AI57" s="121">
        <f>IF(Table1[[#This Row],[EFCRaw]]="","",IF(Table1[[#This Row],[EFCRaw]]="No EFC","No EFC",_xlfn.NUMBERVALUE(Table1[[#This Row],[EFCRaw]])))</f>
        <v>505</v>
      </c>
      <c r="AJ57" s="119">
        <f>IFERROR(VLOOKUP(Table1[[#This Row],[SyStudentId]],ISIR!$A$2:$X$4999,19,FALSE),"")</f>
        <v>43776</v>
      </c>
      <c r="AK57" s="113" t="str">
        <f>IFERROR(VLOOKUP(Table1[[#This Row],[SyStudentId]],ISIR!$A$2:$X$4999,8,FALSE),"")</f>
        <v>Y</v>
      </c>
      <c r="AL57" s="132" t="str">
        <f>IF(Table1[[#This Row],[VerReq]]="N","n/a","")</f>
        <v/>
      </c>
      <c r="AM57" s="122"/>
      <c r="AN57" s="122"/>
      <c r="AO57" s="122"/>
      <c r="AP57" s="122"/>
      <c r="AQ57" s="122"/>
      <c r="AR57" s="122"/>
      <c r="AS57" s="122"/>
      <c r="AT57" s="122"/>
      <c r="AU57" s="122"/>
      <c r="AV57" s="122"/>
      <c r="AW57" s="122"/>
      <c r="AX57" s="122"/>
      <c r="AY57" s="122"/>
      <c r="AZ57" s="122"/>
      <c r="BA57" s="122"/>
      <c r="BB57" s="122"/>
      <c r="BC57" s="133"/>
      <c r="BD57" s="140" t="str">
        <f>IF(Table1[[#This Row],[VerReq]]="N","x","")</f>
        <v/>
      </c>
      <c r="BE57" s="140" t="str">
        <f>IF(Table1[[#This Row],[VerReq]]="N","x","")</f>
        <v/>
      </c>
      <c r="BF57" s="140" t="str">
        <f>IF(Table1[[#This Row],[VerReq]]="N","x","")</f>
        <v/>
      </c>
      <c r="BG57" s="140" t="str">
        <f>IF(Table1[[#This Row],[VerReq]]="N","x","")</f>
        <v/>
      </c>
      <c r="BH57" s="140" t="str">
        <f>IF(Table1[[#This Row],[VerReq]]="N","x","")</f>
        <v/>
      </c>
      <c r="BI57" s="140" t="str">
        <f>IF(Table1[[#This Row],[VerReq]]="N","x","")</f>
        <v/>
      </c>
      <c r="BJ57" s="123">
        <f>1-((COUNTBLANK(Table1[[#This Row],[ALESent]:[TaxTran]]))/(COUNT(Table1[[#This Row],[ALESent]:[TaxTran]])+COUNTBLANK(Table1[[#This Row],[ALESent]:[TaxTran]])))</f>
        <v>0</v>
      </c>
      <c r="BK57" s="136">
        <f>IF(VLOOKUP(Table1[[#This Row],[SyStudentId]],SSR!$A$2:$CC$4982,22,FALSE)=44109,44109,"Check Program")</f>
        <v>44109</v>
      </c>
      <c r="BL57" s="124">
        <f>IF(Table1[[#This Row],[AYStart]]=44109,44356,"Check Program")</f>
        <v>44356</v>
      </c>
      <c r="BM57" s="219">
        <v>8505</v>
      </c>
      <c r="BN57" s="219">
        <v>8505</v>
      </c>
      <c r="BO57" s="219">
        <v>8505</v>
      </c>
      <c r="BP57" s="220">
        <f t="shared" si="0"/>
        <v>25515</v>
      </c>
      <c r="BQ57" s="221">
        <v>3300</v>
      </c>
      <c r="BR57" s="219">
        <v>400</v>
      </c>
      <c r="BS57" s="219">
        <v>400</v>
      </c>
      <c r="BT57" s="220">
        <f t="shared" si="1"/>
        <v>4100</v>
      </c>
      <c r="BU57" s="219">
        <v>2100</v>
      </c>
      <c r="BV57" s="219">
        <v>2100</v>
      </c>
      <c r="BW57" s="219">
        <v>2100</v>
      </c>
      <c r="BX57" s="220">
        <f t="shared" si="2"/>
        <v>6300</v>
      </c>
      <c r="BY57" s="275">
        <v>1200</v>
      </c>
      <c r="BZ57" s="275">
        <v>1200</v>
      </c>
      <c r="CA57" s="275">
        <v>1200</v>
      </c>
      <c r="CB57" s="220">
        <f>SUM(Table1[[#This Row],[LEQ1]:[LEQ3]])</f>
        <v>3600</v>
      </c>
      <c r="CC57" s="275">
        <v>0</v>
      </c>
      <c r="CD57" s="275">
        <v>0</v>
      </c>
      <c r="CE57" s="275">
        <v>0</v>
      </c>
      <c r="CF57" s="220">
        <f>SUM(Table1[[#This Row],[OthCostQ1]:[OthCostQ3]])</f>
        <v>0</v>
      </c>
      <c r="CG57" s="220">
        <f>(Table1[[#This Row],[T&amp;FTot]]+Table1[[#This Row],[B&amp;STot]]+Table1[[#This Row],[HousTot]]+Table1[[#This Row],[LETot]]+Table1[[#This Row],[OthCostTot]])</f>
        <v>39515</v>
      </c>
      <c r="CH57" s="250"/>
      <c r="CI57" s="250"/>
      <c r="CJ57" s="250"/>
      <c r="CK57" s="251">
        <f>SUM(Table1[[#This Row],[SEOGQ1]:[SEOGQ3]])</f>
        <v>0</v>
      </c>
      <c r="CL57" s="250">
        <f>IFERROR(ROUNDUP(Table1[[#This Row],[PellTot]]/3,0),0)</f>
        <v>1882</v>
      </c>
      <c r="CM57" s="250">
        <f>IFERROR(ROUND(Table1[[#This Row],[PellTot]]/3,0),0)</f>
        <v>1882</v>
      </c>
      <c r="CN57" s="250">
        <f>IFERROR(ROUNDDOWN(Table1[[#This Row],[PellTot]]/3,0),0)</f>
        <v>1881</v>
      </c>
      <c r="CO57" s="251">
        <f>IFERROR(LOOKUP(Table1[EFC],Pell_Table[#Data],Pell_Table[Pell Amt]),0)</f>
        <v>5645</v>
      </c>
      <c r="CP57" s="250">
        <f>Table1[[#This Row],[AccessTot]]/3</f>
        <v>500</v>
      </c>
      <c r="CQ57" s="250">
        <f>Table1[[#This Row],[AccessTot]]/3</f>
        <v>500</v>
      </c>
      <c r="CR57" s="250">
        <f>Table1[[#This Row],[AccessTot]]/3</f>
        <v>500</v>
      </c>
      <c r="CS57" s="251">
        <f>IF(Table1[[#This Row],[PellTot]]&gt;0,1500,0)</f>
        <v>1500</v>
      </c>
      <c r="CT57" s="250">
        <f>Table1[[#This Row],[AchiTot]]/3</f>
        <v>1700</v>
      </c>
      <c r="CU57" s="250">
        <f>Table1[[#This Row],[AchiTot]]/3</f>
        <v>1700</v>
      </c>
      <c r="CV57" s="250">
        <f>Table1[[#This Row],[AchiTot]]/3</f>
        <v>1700</v>
      </c>
      <c r="CW57" s="252">
        <f>IF(Table1[[#This Row],[Rank]]="","",IF(Table1[[#This Row],[Rank]]=1,5100,IF(Table1[[#This Row],[Rank]]=2,4500,IF(Table1[[#This Row],[Rank]]=3,3900,IF(Table1[[#This Row],[Rank]]=4,3750,IF(Table1[[#This Row],[Rank]]=5,3000,IF(Table1[[#This Row],[Rank]]=6,2250,0)))))))</f>
        <v>5100</v>
      </c>
      <c r="CX57" s="250">
        <f>Table1[[#This Row],[UTTot]]/3</f>
        <v>0</v>
      </c>
      <c r="CY57" s="250">
        <f>Table1[[#This Row],[UTTot]]/3</f>
        <v>0</v>
      </c>
      <c r="CZ57" s="250">
        <f>Table1[[#This Row],[UTTot]]/3</f>
        <v>0</v>
      </c>
      <c r="DA57" s="251">
        <f>IF(Table1[[#This Row],[State]]="UT",9000,0)</f>
        <v>0</v>
      </c>
      <c r="DB57" s="250">
        <f>Table1[[#This Row],[WITTot]]/3</f>
        <v>1000</v>
      </c>
      <c r="DC57" s="250">
        <f>Table1[[#This Row],[WITTot]]/3</f>
        <v>1000</v>
      </c>
      <c r="DD57" s="250">
        <f>Table1[[#This Row],[WITTot]]/3</f>
        <v>1000</v>
      </c>
      <c r="DE57" s="251">
        <f>IF(Table1[[#This Row],[Gender]]="Female",3000,0)</f>
        <v>3000</v>
      </c>
      <c r="DF57" s="250">
        <f>Table1[[#This Row],[SerTot]]/3</f>
        <v>0</v>
      </c>
      <c r="DG57" s="250">
        <f>Table1[[#This Row],[SerTot]]/3</f>
        <v>0</v>
      </c>
      <c r="DH57" s="250">
        <f>Table1[[#This Row],[SerTot]]/3</f>
        <v>0</v>
      </c>
      <c r="DI57" s="252"/>
      <c r="DJ57" s="250"/>
      <c r="DK57" s="250"/>
      <c r="DL57" s="250"/>
      <c r="DM57" s="252"/>
      <c r="DN57" s="250">
        <f>Table1[[#This Row],[MatTot]]/3</f>
        <v>0</v>
      </c>
      <c r="DO57" s="250">
        <f>Table1[[#This Row],[MatTot]]/3</f>
        <v>0</v>
      </c>
      <c r="DP57" s="250">
        <f>Table1[[#This Row],[MatTot]]/3</f>
        <v>0</v>
      </c>
      <c r="DQ57" s="252">
        <v>0</v>
      </c>
      <c r="DR57" s="250">
        <f>Table1[[#This Row],[OutTot]]/3</f>
        <v>0</v>
      </c>
      <c r="DS57" s="250">
        <f>Table1[[#This Row],[OutTot]]/3</f>
        <v>0</v>
      </c>
      <c r="DT57" s="250">
        <f>Table1[[#This Row],[OutTot]]/3</f>
        <v>0</v>
      </c>
      <c r="DU57" s="252">
        <v>0</v>
      </c>
      <c r="DV57" s="250">
        <v>0</v>
      </c>
      <c r="DW57" s="250">
        <v>0</v>
      </c>
      <c r="DX57" s="250">
        <v>0</v>
      </c>
      <c r="DY57" s="252">
        <f>SUM(Table1[[#This Row],[VAQ1]:[VAQ3]])</f>
        <v>0</v>
      </c>
      <c r="DZ57" s="250">
        <v>0</v>
      </c>
      <c r="EA57" s="250">
        <v>0</v>
      </c>
      <c r="EB57" s="250">
        <v>0</v>
      </c>
      <c r="EC57" s="252">
        <f>SUM(Table1[[#This Row],[OthGrantQ1]:[OthGrantQ3]])</f>
        <v>0</v>
      </c>
      <c r="ED57" s="263">
        <f>Table1[[#This Row],[SEOGTot]]+Table1[[#This Row],[PellTot]]+Table1[[#This Row],[AccessTot]]+Table1[[#This Row],[AchiTot]]+Table1[[#This Row],[UTTot]]+Table1[[#This Row],[WITTot]]+Table1[[#This Row],[SerTot]]+Table1[[#This Row],[TranTot]]+Table1[[#This Row],[MatTot]]+Table1[[#This Row],[OutTot]]+Table1[[#This Row],[VATot]]+Table1[[#This Row],[OthGrantTot]]</f>
        <v>15245</v>
      </c>
      <c r="EE57" s="249"/>
      <c r="EF57" s="237"/>
      <c r="EG57" s="237"/>
      <c r="EH57" s="232">
        <f>SUM(Table1[[#This Row],[CashQ1]]:Table1[[#This Row],[CashQ3]])</f>
        <v>0</v>
      </c>
      <c r="EI57" s="271">
        <f>ROUND((Table1[[#This Row],[SubTot]]/3)/1.01059,0)</f>
        <v>1154</v>
      </c>
      <c r="EJ57" s="234">
        <f>ROUND((Table1[[#This Row],[SubTot]]/3)/1.01059,0)</f>
        <v>1154</v>
      </c>
      <c r="EK57" s="234">
        <f>ROUNDUP((Table1[[#This Row],[SubTot]]/3)/1.01059,0)</f>
        <v>1155</v>
      </c>
      <c r="EL57" s="235">
        <v>3500</v>
      </c>
      <c r="EM57" s="240">
        <f>Table1[[#This Row],[SubTot]]*0.01059</f>
        <v>37.065000000000005</v>
      </c>
      <c r="EN57" s="234">
        <f>ROUND((Table1[[#This Row],[UnsubTot]]/3)/1.01062,0)</f>
        <v>660</v>
      </c>
      <c r="EO57" s="234">
        <f>ROUND((Table1[[#This Row],[UnsubTot]]/3)/1.01062,0)</f>
        <v>660</v>
      </c>
      <c r="EP57" s="234">
        <f>ROUNDDOWN((Table1[[#This Row],[UnsubTot]]/3)/1.01062,0)</f>
        <v>659</v>
      </c>
      <c r="EQ57" s="235">
        <f>IF(Table1[D/I]="I",6000,2000)</f>
        <v>2000</v>
      </c>
      <c r="ER57" s="240">
        <f>Table1[[#This Row],[UnsubTot]]*0.01059</f>
        <v>21.18</v>
      </c>
      <c r="ES57" s="234">
        <f>ROUND((Table1[[#This Row],[PLUSTot]]/3)/1.04236,0)</f>
        <v>0</v>
      </c>
      <c r="ET57" s="234">
        <f>ROUND((Table1[[#This Row],[PLUSTot]]/3)/1.04236,0)</f>
        <v>0</v>
      </c>
      <c r="EU57" s="234">
        <f>ROUND((Table1[[#This Row],[PLUSTot]]/3)/1.04236,0)</f>
        <v>0</v>
      </c>
      <c r="EV57" s="235">
        <v>0</v>
      </c>
      <c r="EW57" s="239">
        <f>Table1[[#This Row],[PLUSTot]]*0.04248</f>
        <v>0</v>
      </c>
      <c r="EX57" s="237"/>
      <c r="EY57" s="237"/>
      <c r="EZ57" s="237"/>
      <c r="FA57" s="232">
        <f>SUM(Table1[[#This Row],[PrivQ1]:[PrivQ3]])</f>
        <v>0</v>
      </c>
      <c r="FB57" s="237"/>
      <c r="FC57" s="237"/>
      <c r="FD57" s="237"/>
      <c r="FE57" s="232">
        <f>SUM(Table1[[#This Row],[TOQ1]:[TOQ3]])</f>
        <v>0</v>
      </c>
      <c r="FF57" s="237"/>
      <c r="FG57" s="237"/>
      <c r="FH57" s="237"/>
      <c r="FI57" s="232">
        <f>SUM(Table1[[#This Row],[OFundQ1]:[OFundQ3]])</f>
        <v>0</v>
      </c>
      <c r="FJ57" s="239">
        <f>(Table1[[#This Row],[SubTot]]-Table1[[#This Row],[SubFee]])+(Table1[[#This Row],[UnsubTot]]-Table1[[#This Row],[UnsubFee]])+(Table1[[#This Row],[PLUSTot]]-Table1[[#This Row],[PLUSFee]])+Table1[[#This Row],[PrivTot]]+Table1[[#This Row],[TOTot]]+Table1[[#This Row],[OFundTot]]</f>
        <v>5441.7550000000001</v>
      </c>
      <c r="FK57" s="125">
        <f>Table1[[#This Row],[CostTot]]-Table1[[#This Row],[GiftTot]]</f>
        <v>24270</v>
      </c>
      <c r="FL57" s="130">
        <f>Table1[[#This Row],[NetNeed]]/(1-0.04248)</f>
        <v>19663.55271952544</v>
      </c>
      <c r="FM57" s="131">
        <f>Table1[[#This Row],[NetCost]]-Table1[[#This Row],[CashTot]]-(Table1[[#This Row],[SubTot]]-Table1[[#This Row],[SubFee]])-(Table1[[#This Row],[UnsubTot]]-Table1[[#This Row],[UnsubFee]])-(Table1[[#This Row],[PLUSTot]]-Table1[[#This Row],[PLUSFee]])-Table1[[#This Row],[PrivTot]]-Table1[[#This Row],[TOTot]]-Table1[[#This Row],[OFundTot]]</f>
        <v>18828.244999999999</v>
      </c>
      <c r="FN57" s="161"/>
      <c r="FO57" s="113"/>
      <c r="FP57" s="113"/>
    </row>
    <row r="58" spans="1:172" s="160" customFormat="1" ht="15" x14ac:dyDescent="0.25">
      <c r="A58" s="267">
        <v>197503</v>
      </c>
      <c r="B58" s="113" t="str">
        <f>VLOOKUP(Table1[[#This Row],[SyStudentId]],SSR!$A$2:$CC$4982,4,FALSE)</f>
        <v>Nusser</v>
      </c>
      <c r="C58" s="113" t="str">
        <f>VLOOKUP(Table1[[#This Row],[SyStudentId]],SSR!$A$2:$CC$4982,5,FALSE)</f>
        <v>Mark</v>
      </c>
      <c r="D58" s="113" t="str">
        <f>VLOOKUP(Table1[[#This Row],[SyStudentId]],SSR!$A$2:$CC$4982,6,FALSE)</f>
        <v>Nusser, Mark</v>
      </c>
      <c r="E58" s="113" t="str">
        <f>CONCATENATE(Table1[[#This Row],[FirstName]]," ",Table1[[#This Row],[LastName]])</f>
        <v>Mark Nusser</v>
      </c>
      <c r="F58" s="112">
        <v>1</v>
      </c>
      <c r="G58" s="114"/>
      <c r="H58" s="114"/>
      <c r="I58" s="114">
        <v>43782</v>
      </c>
      <c r="J58" s="115"/>
      <c r="K58" s="116"/>
      <c r="L58" s="112" t="str">
        <f>IFERROR(VLOOKUP(Table1[[#This Row],[SyStudentId]],ISIR!$A$2:$X$999,11,FALSE),"")</f>
        <v>D</v>
      </c>
      <c r="M58" s="113" t="str">
        <f>VLOOKUP(Table1[[#This Row],[SyStudentId]],SSR!$A$2:$CC$4982,7,FALSE)</f>
        <v>303234@my.puhsd.org</v>
      </c>
      <c r="N58" s="113" t="str">
        <f>VLOOKUP(Table1[[#This Row],[SyStudentId]],SSR!$A$2:$CC$4982,8,FALSE)</f>
        <v>29084 Golden Pebble Ct</v>
      </c>
      <c r="O58" s="113" t="str">
        <f>VLOOKUP(Table1[[#This Row],[SyStudentId]],SSR!$A$2:$CC$4982,9,FALSE)</f>
        <v>Menifee</v>
      </c>
      <c r="P58" s="290" t="str">
        <f>VLOOKUP(Table1[[#This Row],[SyStudentId]],SSR!$A$2:$CC$4982,10,FALSE)</f>
        <v>CA</v>
      </c>
      <c r="Q58" s="117" t="str">
        <f>VLOOKUP(Table1[[#This Row],[SyStudentId]],SSR!$A$2:$CC$4982,11,FALSE)</f>
        <v xml:space="preserve">92584     </v>
      </c>
      <c r="R58" s="118">
        <f>VLOOKUP(Table1[[#This Row],[SyStudentId]],SSR!$A$2:$CC$4982,15,FALSE)</f>
        <v>3.6</v>
      </c>
      <c r="S58" s="119">
        <f>VLOOKUP(Table1[[#This Row],[SyStudentId]],SSR!$A$2:$CC$4982,22,FALSE)</f>
        <v>44109</v>
      </c>
      <c r="T58" s="113" t="str">
        <f>VLOOKUP(Table1[[#This Row],[SyStudentId]],SSR!$A$2:$CC$4982,24,FALSE)</f>
        <v>GM</v>
      </c>
      <c r="U58" s="113" t="str">
        <f>IF(VLOOKUP(Table1[[#This Row],[SyStudentId]],SSR!$A$2:$CC$4982,26,FALSE)=0,"Not Selected",VLOOKUP(Table1[[#This Row],[SyStudentId]],SSR!$A$2:$CC$4982,26,FALSE))</f>
        <v>Male</v>
      </c>
      <c r="V58" s="113" t="str">
        <f>VLOOKUP(Table1[[#This Row],[SyStudentId]],SSR!$A$2:$CC$4982,27,FALSE)</f>
        <v xml:space="preserve">HS2020  </v>
      </c>
      <c r="W58" s="113" t="str">
        <f>VLOOKUP(LEFT(Table1[[#This Row],[LastName]],1),Alpha!$A$1:$B$26,2,FALSE)</f>
        <v>Maureen Ranks</v>
      </c>
      <c r="X58" s="149" t="str">
        <f>VLOOKUP(Table1[[#This Row],[FAA]],Alpha!$B$1:$D$26,2,FALSE)</f>
        <v>mranks@neumont.edu</v>
      </c>
      <c r="Y58" s="113">
        <f>VLOOKUP(Table1[[#This Row],[FAA]],Alpha!$B$1:$D$26,3,FALSE)</f>
        <v>8883022894</v>
      </c>
      <c r="Z58" s="113" t="str">
        <f>VLOOKUP(Table1[[#This Row],[SyStudentId]],SSR!$A$2:$CC$4982,30,FALSE)</f>
        <v>16-Accepted</v>
      </c>
      <c r="AA58" s="113" t="str">
        <f>IF(VLOOKUP(Table1[[#This Row],[SyStudentId]],SSR!$A$2:$CC$4982,36,FALSE)="Bachelor of Science","BS Computer Science","Check Program")</f>
        <v>BS Computer Science</v>
      </c>
      <c r="AB58" s="113">
        <f>VLOOKUP(Table1[[#This Row],[SyStudentId]],SSR!$A$2:$CC$4982,37,FALSE)</f>
        <v>0</v>
      </c>
      <c r="AC58" s="113" t="str">
        <f>VLOOKUP(Table1[[#This Row],[SyStudentId]],SSR!$A$2:$CC$4982,42,FALSE)</f>
        <v xml:space="preserve">1140    </v>
      </c>
      <c r="AD58" s="113" t="str">
        <f>VLOOKUP(Table1[[#This Row],[SyStudentId]],SSR!$A$2:$CC$4982,46,FALSE)</f>
        <v>115</v>
      </c>
      <c r="AE58" s="113" t="str">
        <f>VLOOKUP(Table1[[#This Row],[SyStudentId]],SSR!$A$2:$CC$4982,65,FALSE)</f>
        <v>I</v>
      </c>
      <c r="AF58"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58" s="113" t="str">
        <f>VLOOKUP(Table1[[#This Row],[SyStudentId]],SSR!$A$2:$CC$4982,66,FALSE)</f>
        <v>July-October</v>
      </c>
      <c r="AH58" s="113" t="str">
        <f>IFERROR(VLOOKUP(Table1[[#This Row],[SyStudentId]],ISIR!$A$2:$X$999,7,FALSE),"")</f>
        <v>021957</v>
      </c>
      <c r="AI58" s="121">
        <f>IF(Table1[[#This Row],[EFCRaw]]="","",IF(Table1[[#This Row],[EFCRaw]]="No EFC","No EFC",_xlfn.NUMBERVALUE(Table1[[#This Row],[EFCRaw]])))</f>
        <v>21957</v>
      </c>
      <c r="AJ58" s="119">
        <f>IFERROR(VLOOKUP(Table1[[#This Row],[SyStudentId]],ISIR!$A$2:$X$4999,19,FALSE),"")</f>
        <v>43774</v>
      </c>
      <c r="AK58" s="113" t="str">
        <f>IFERROR(VLOOKUP(Table1[[#This Row],[SyStudentId]],ISIR!$A$2:$X$4999,8,FALSE),"")</f>
        <v>N</v>
      </c>
      <c r="AL58" s="132" t="str">
        <f>IF(Table1[[#This Row],[VerReq]]="N","n/a","")</f>
        <v>n/a</v>
      </c>
      <c r="AM58" s="122"/>
      <c r="AN58" s="122"/>
      <c r="AO58" s="122"/>
      <c r="AP58" s="122"/>
      <c r="AQ58" s="122"/>
      <c r="AR58" s="122"/>
      <c r="AS58" s="122"/>
      <c r="AT58" s="122"/>
      <c r="AU58" s="122"/>
      <c r="AV58" s="122"/>
      <c r="AW58" s="122"/>
      <c r="AX58" s="122"/>
      <c r="AY58" s="122"/>
      <c r="AZ58" s="122"/>
      <c r="BA58" s="122"/>
      <c r="BB58" s="122"/>
      <c r="BC58" s="133"/>
      <c r="BD58" s="140" t="str">
        <f>IF(Table1[[#This Row],[VerReq]]="N","x","")</f>
        <v>x</v>
      </c>
      <c r="BE58" s="140" t="str">
        <f>IF(Table1[[#This Row],[VerReq]]="N","x","")</f>
        <v>x</v>
      </c>
      <c r="BF58" s="140" t="str">
        <f>IF(Table1[[#This Row],[VerReq]]="N","x","")</f>
        <v>x</v>
      </c>
      <c r="BG58" s="140" t="str">
        <f>IF(Table1[[#This Row],[VerReq]]="N","x","")</f>
        <v>x</v>
      </c>
      <c r="BH58" s="140" t="str">
        <f>IF(Table1[[#This Row],[VerReq]]="N","x","")</f>
        <v>x</v>
      </c>
      <c r="BI58" s="140" t="str">
        <f>IF(Table1[[#This Row],[VerReq]]="N","x","")</f>
        <v>x</v>
      </c>
      <c r="BJ58" s="123">
        <f>1-((COUNTBLANK(Table1[[#This Row],[ALESent]:[TaxTran]]))/(COUNT(Table1[[#This Row],[ALESent]:[TaxTran]])+COUNTBLANK(Table1[[#This Row],[ALESent]:[TaxTran]])))</f>
        <v>0</v>
      </c>
      <c r="BK58" s="136">
        <f>IF(VLOOKUP(Table1[[#This Row],[SyStudentId]],SSR!$A$2:$CC$4982,22,FALSE)=44109,44109,"Check Program")</f>
        <v>44109</v>
      </c>
      <c r="BL58" s="124">
        <f>IF(Table1[[#This Row],[AYStart]]=44109,44356,"Check Program")</f>
        <v>44356</v>
      </c>
      <c r="BM58" s="219">
        <v>8505</v>
      </c>
      <c r="BN58" s="219">
        <v>8505</v>
      </c>
      <c r="BO58" s="219">
        <v>8505</v>
      </c>
      <c r="BP58" s="220">
        <f t="shared" si="0"/>
        <v>25515</v>
      </c>
      <c r="BQ58" s="221">
        <v>3300</v>
      </c>
      <c r="BR58" s="219">
        <v>400</v>
      </c>
      <c r="BS58" s="219">
        <v>400</v>
      </c>
      <c r="BT58" s="220">
        <f t="shared" si="1"/>
        <v>4100</v>
      </c>
      <c r="BU58" s="219">
        <v>2100</v>
      </c>
      <c r="BV58" s="219">
        <v>2100</v>
      </c>
      <c r="BW58" s="219">
        <v>2100</v>
      </c>
      <c r="BX58" s="220">
        <f t="shared" si="2"/>
        <v>6300</v>
      </c>
      <c r="BY58" s="275">
        <v>1200</v>
      </c>
      <c r="BZ58" s="275">
        <v>1200</v>
      </c>
      <c r="CA58" s="275">
        <v>1200</v>
      </c>
      <c r="CB58" s="220">
        <f>SUM(Table1[[#This Row],[LEQ1]:[LEQ3]])</f>
        <v>3600</v>
      </c>
      <c r="CC58" s="275">
        <v>0</v>
      </c>
      <c r="CD58" s="275">
        <v>0</v>
      </c>
      <c r="CE58" s="275">
        <v>0</v>
      </c>
      <c r="CF58" s="220">
        <f>SUM(Table1[[#This Row],[OthCostQ1]:[OthCostQ3]])</f>
        <v>0</v>
      </c>
      <c r="CG58" s="220">
        <f>(Table1[[#This Row],[T&amp;FTot]]+Table1[[#This Row],[B&amp;STot]]+Table1[[#This Row],[HousTot]]+Table1[[#This Row],[LETot]]+Table1[[#This Row],[OthCostTot]])</f>
        <v>39515</v>
      </c>
      <c r="CH58" s="250"/>
      <c r="CI58" s="250"/>
      <c r="CJ58" s="250"/>
      <c r="CK58" s="251">
        <f>SUM(Table1[[#This Row],[SEOGQ1]:[SEOGQ3]])</f>
        <v>0</v>
      </c>
      <c r="CL58" s="250">
        <f>IFERROR(ROUNDUP(Table1[[#This Row],[PellTot]]/3,0),0)</f>
        <v>0</v>
      </c>
      <c r="CM58" s="250">
        <f>IFERROR(ROUND(Table1[[#This Row],[PellTot]]/3,0),0)</f>
        <v>0</v>
      </c>
      <c r="CN58" s="250">
        <f>IFERROR(ROUNDDOWN(Table1[[#This Row],[PellTot]]/3,0),0)</f>
        <v>0</v>
      </c>
      <c r="CO58" s="251">
        <f>IFERROR(LOOKUP(Table1[EFC],Pell_Table[#Data],Pell_Table[Pell Amt]),0)</f>
        <v>0</v>
      </c>
      <c r="CP58" s="250">
        <f>Table1[[#This Row],[AccessTot]]/3</f>
        <v>0</v>
      </c>
      <c r="CQ58" s="250">
        <f>Table1[[#This Row],[AccessTot]]/3</f>
        <v>0</v>
      </c>
      <c r="CR58" s="250">
        <f>Table1[[#This Row],[AccessTot]]/3</f>
        <v>0</v>
      </c>
      <c r="CS58" s="251">
        <f>IF(Table1[[#This Row],[PellTot]]&gt;0,1500,0)</f>
        <v>0</v>
      </c>
      <c r="CT58" s="250">
        <f>Table1[[#This Row],[AchiTot]]/3</f>
        <v>1700</v>
      </c>
      <c r="CU58" s="250">
        <f>Table1[[#This Row],[AchiTot]]/3</f>
        <v>1700</v>
      </c>
      <c r="CV58" s="250">
        <f>Table1[[#This Row],[AchiTot]]/3</f>
        <v>1700</v>
      </c>
      <c r="CW58" s="252">
        <f>IF(Table1[[#This Row],[Rank]]="","",IF(Table1[[#This Row],[Rank]]=1,5100,IF(Table1[[#This Row],[Rank]]=2,4500,IF(Table1[[#This Row],[Rank]]=3,3900,IF(Table1[[#This Row],[Rank]]=4,3750,IF(Table1[[#This Row],[Rank]]=5,3000,IF(Table1[[#This Row],[Rank]]=6,2250,0)))))))</f>
        <v>5100</v>
      </c>
      <c r="CX58" s="250">
        <f>Table1[[#This Row],[UTTot]]/3</f>
        <v>0</v>
      </c>
      <c r="CY58" s="250">
        <f>Table1[[#This Row],[UTTot]]/3</f>
        <v>0</v>
      </c>
      <c r="CZ58" s="250">
        <f>Table1[[#This Row],[UTTot]]/3</f>
        <v>0</v>
      </c>
      <c r="DA58" s="251">
        <f>IF(Table1[[#This Row],[State]]="UT",9000,0)</f>
        <v>0</v>
      </c>
      <c r="DB58" s="250">
        <f>Table1[[#This Row],[WITTot]]/3</f>
        <v>0</v>
      </c>
      <c r="DC58" s="250">
        <f>Table1[[#This Row],[WITTot]]/3</f>
        <v>0</v>
      </c>
      <c r="DD58" s="250">
        <f>Table1[[#This Row],[WITTot]]/3</f>
        <v>0</v>
      </c>
      <c r="DE58" s="251">
        <f>IF(Table1[[#This Row],[Gender]]="Female",3000,0)</f>
        <v>0</v>
      </c>
      <c r="DF58" s="250">
        <f>Table1[[#This Row],[SerTot]]/3</f>
        <v>0</v>
      </c>
      <c r="DG58" s="250">
        <f>Table1[[#This Row],[SerTot]]/3</f>
        <v>0</v>
      </c>
      <c r="DH58" s="250">
        <f>Table1[[#This Row],[SerTot]]/3</f>
        <v>0</v>
      </c>
      <c r="DI58" s="252"/>
      <c r="DJ58" s="250"/>
      <c r="DK58" s="250"/>
      <c r="DL58" s="250"/>
      <c r="DM58" s="252"/>
      <c r="DN58" s="250">
        <f>Table1[[#This Row],[MatTot]]/3</f>
        <v>0</v>
      </c>
      <c r="DO58" s="250">
        <f>Table1[[#This Row],[MatTot]]/3</f>
        <v>0</v>
      </c>
      <c r="DP58" s="250">
        <f>Table1[[#This Row],[MatTot]]/3</f>
        <v>0</v>
      </c>
      <c r="DQ58" s="252">
        <v>0</v>
      </c>
      <c r="DR58" s="250">
        <f>Table1[[#This Row],[OutTot]]/3</f>
        <v>0</v>
      </c>
      <c r="DS58" s="250">
        <f>Table1[[#This Row],[OutTot]]/3</f>
        <v>0</v>
      </c>
      <c r="DT58" s="250">
        <f>Table1[[#This Row],[OutTot]]/3</f>
        <v>0</v>
      </c>
      <c r="DU58" s="252">
        <v>0</v>
      </c>
      <c r="DV58" s="250">
        <v>0</v>
      </c>
      <c r="DW58" s="250">
        <v>0</v>
      </c>
      <c r="DX58" s="250">
        <v>0</v>
      </c>
      <c r="DY58" s="252">
        <f>SUM(Table1[[#This Row],[VAQ1]:[VAQ3]])</f>
        <v>0</v>
      </c>
      <c r="DZ58" s="250">
        <v>0</v>
      </c>
      <c r="EA58" s="250">
        <v>0</v>
      </c>
      <c r="EB58" s="250">
        <v>0</v>
      </c>
      <c r="EC58" s="252">
        <f>SUM(Table1[[#This Row],[OthGrantQ1]:[OthGrantQ3]])</f>
        <v>0</v>
      </c>
      <c r="ED58" s="263">
        <f>Table1[[#This Row],[SEOGTot]]+Table1[[#This Row],[PellTot]]+Table1[[#This Row],[AccessTot]]+Table1[[#This Row],[AchiTot]]+Table1[[#This Row],[UTTot]]+Table1[[#This Row],[WITTot]]+Table1[[#This Row],[SerTot]]+Table1[[#This Row],[TranTot]]+Table1[[#This Row],[MatTot]]+Table1[[#This Row],[OutTot]]+Table1[[#This Row],[VATot]]+Table1[[#This Row],[OthGrantTot]]</f>
        <v>5100</v>
      </c>
      <c r="EE58" s="249"/>
      <c r="EF58" s="237"/>
      <c r="EG58" s="237"/>
      <c r="EH58" s="232">
        <f>SUM(Table1[[#This Row],[CashQ1]]:Table1[[#This Row],[CashQ3]])</f>
        <v>0</v>
      </c>
      <c r="EI58" s="271">
        <f>ROUND((Table1[[#This Row],[SubTot]]/3)/1.01059,0)</f>
        <v>1154</v>
      </c>
      <c r="EJ58" s="234">
        <f>ROUND((Table1[[#This Row],[SubTot]]/3)/1.01059,0)</f>
        <v>1154</v>
      </c>
      <c r="EK58" s="234">
        <f>ROUNDUP((Table1[[#This Row],[SubTot]]/3)/1.01059,0)</f>
        <v>1155</v>
      </c>
      <c r="EL58" s="235">
        <v>3500</v>
      </c>
      <c r="EM58" s="240">
        <f>Table1[[#This Row],[SubTot]]*0.01059</f>
        <v>37.065000000000005</v>
      </c>
      <c r="EN58" s="234">
        <f>ROUND((Table1[[#This Row],[UnsubTot]]/3)/1.01062,0)</f>
        <v>660</v>
      </c>
      <c r="EO58" s="234">
        <f>ROUND((Table1[[#This Row],[UnsubTot]]/3)/1.01062,0)</f>
        <v>660</v>
      </c>
      <c r="EP58" s="234">
        <f>ROUNDDOWN((Table1[[#This Row],[UnsubTot]]/3)/1.01062,0)</f>
        <v>659</v>
      </c>
      <c r="EQ58" s="235">
        <f>IF(Table1[D/I]="I",6000,2000)</f>
        <v>2000</v>
      </c>
      <c r="ER58" s="240">
        <f>Table1[[#This Row],[UnsubTot]]*0.01059</f>
        <v>21.18</v>
      </c>
      <c r="ES58" s="234">
        <f>ROUND((Table1[[#This Row],[PLUSTot]]/3)/1.04236,0)</f>
        <v>0</v>
      </c>
      <c r="ET58" s="234">
        <f>ROUND((Table1[[#This Row],[PLUSTot]]/3)/1.04236,0)</f>
        <v>0</v>
      </c>
      <c r="EU58" s="234">
        <f>ROUND((Table1[[#This Row],[PLUSTot]]/3)/1.04236,0)</f>
        <v>0</v>
      </c>
      <c r="EV58" s="235">
        <v>0</v>
      </c>
      <c r="EW58" s="239">
        <f>Table1[[#This Row],[PLUSTot]]*0.04248</f>
        <v>0</v>
      </c>
      <c r="EX58" s="237"/>
      <c r="EY58" s="237"/>
      <c r="EZ58" s="237"/>
      <c r="FA58" s="232">
        <f>SUM(Table1[[#This Row],[PrivQ1]:[PrivQ3]])</f>
        <v>0</v>
      </c>
      <c r="FB58" s="237"/>
      <c r="FC58" s="237"/>
      <c r="FD58" s="237"/>
      <c r="FE58" s="232">
        <f>SUM(Table1[[#This Row],[TOQ1]:[TOQ3]])</f>
        <v>0</v>
      </c>
      <c r="FF58" s="237"/>
      <c r="FG58" s="237"/>
      <c r="FH58" s="237"/>
      <c r="FI58" s="232">
        <f>SUM(Table1[[#This Row],[OFundQ1]:[OFundQ3]])</f>
        <v>0</v>
      </c>
      <c r="FJ58" s="239">
        <f>(Table1[[#This Row],[SubTot]]-Table1[[#This Row],[SubFee]])+(Table1[[#This Row],[UnsubTot]]-Table1[[#This Row],[UnsubFee]])+(Table1[[#This Row],[PLUSTot]]-Table1[[#This Row],[PLUSFee]])+Table1[[#This Row],[PrivTot]]+Table1[[#This Row],[TOTot]]+Table1[[#This Row],[OFundTot]]</f>
        <v>5441.7550000000001</v>
      </c>
      <c r="FK58" s="125">
        <f>Table1[[#This Row],[CostTot]]-Table1[[#This Row],[GiftTot]]</f>
        <v>34415</v>
      </c>
      <c r="FL58" s="130">
        <f>Table1[[#This Row],[NetNeed]]/(1-0.04248)</f>
        <v>30258.631673489846</v>
      </c>
      <c r="FM58" s="131">
        <f>Table1[[#This Row],[NetCost]]-Table1[[#This Row],[CashTot]]-(Table1[[#This Row],[SubTot]]-Table1[[#This Row],[SubFee]])-(Table1[[#This Row],[UnsubTot]]-Table1[[#This Row],[UnsubFee]])-(Table1[[#This Row],[PLUSTot]]-Table1[[#This Row],[PLUSFee]])-Table1[[#This Row],[PrivTot]]-Table1[[#This Row],[TOTot]]-Table1[[#This Row],[OFundTot]]</f>
        <v>28973.244999999999</v>
      </c>
      <c r="FN58" s="161"/>
      <c r="FO58" s="113"/>
      <c r="FP58" s="113"/>
    </row>
    <row r="59" spans="1:172" s="160" customFormat="1" ht="15" x14ac:dyDescent="0.25">
      <c r="A59" s="267">
        <v>198277</v>
      </c>
      <c r="B59" s="113" t="str">
        <f>VLOOKUP(Table1[[#This Row],[SyStudentId]],SSR!$A$2:$CC$4982,4,FALSE)</f>
        <v>Ogrin</v>
      </c>
      <c r="C59" s="113" t="str">
        <f>VLOOKUP(Table1[[#This Row],[SyStudentId]],SSR!$A$2:$CC$4982,5,FALSE)</f>
        <v>Colby</v>
      </c>
      <c r="D59" s="113" t="str">
        <f>VLOOKUP(Table1[[#This Row],[SyStudentId]],SSR!$A$2:$CC$4982,6,FALSE)</f>
        <v>Ogrin, Colby</v>
      </c>
      <c r="E59" s="113" t="str">
        <f>CONCATENATE(Table1[[#This Row],[FirstName]]," ",Table1[[#This Row],[LastName]])</f>
        <v>Colby Ogrin</v>
      </c>
      <c r="F59" s="112">
        <v>1</v>
      </c>
      <c r="G59" s="114"/>
      <c r="H59" s="114"/>
      <c r="I59" s="114">
        <v>43776</v>
      </c>
      <c r="J59" s="115"/>
      <c r="K59" s="116"/>
      <c r="L59" s="112" t="str">
        <f>IFERROR(VLOOKUP(Table1[[#This Row],[SyStudentId]],ISIR!$A$2:$X$999,11,FALSE),"")</f>
        <v>D</v>
      </c>
      <c r="M59" s="113" t="str">
        <f>VLOOKUP(Table1[[#This Row],[SyStudentId]],SSR!$A$2:$CC$4982,7,FALSE)</f>
        <v>colbyjackcheese123@gmail.com</v>
      </c>
      <c r="N59" s="113" t="str">
        <f>VLOOKUP(Table1[[#This Row],[SyStudentId]],SSR!$A$2:$CC$4982,8,FALSE)</f>
        <v>20274 Dewey Lake St.</v>
      </c>
      <c r="O59" s="113" t="str">
        <f>VLOOKUP(Table1[[#This Row],[SyStudentId]],SSR!$A$2:$CC$4982,9,FALSE)</f>
        <v>Decatur</v>
      </c>
      <c r="P59" s="303" t="str">
        <f>VLOOKUP(Table1[[#This Row],[SyStudentId]],SSR!$A$2:$CC$4982,10,FALSE)</f>
        <v>MI</v>
      </c>
      <c r="Q59" s="117" t="str">
        <f>VLOOKUP(Table1[[#This Row],[SyStudentId]],SSR!$A$2:$CC$4982,11,FALSE)</f>
        <v xml:space="preserve">49045     </v>
      </c>
      <c r="R59" s="118">
        <f>VLOOKUP(Table1[[#This Row],[SyStudentId]],SSR!$A$2:$CC$4982,15,FALSE)</f>
        <v>4</v>
      </c>
      <c r="S59" s="119">
        <f>VLOOKUP(Table1[[#This Row],[SyStudentId]],SSR!$A$2:$CC$4982,22,FALSE)</f>
        <v>44109</v>
      </c>
      <c r="T59" s="113" t="str">
        <f>VLOOKUP(Table1[[#This Row],[SyStudentId]],SSR!$A$2:$CC$4982,24,FALSE)</f>
        <v>JT</v>
      </c>
      <c r="U59" s="113" t="str">
        <f>IF(VLOOKUP(Table1[[#This Row],[SyStudentId]],SSR!$A$2:$CC$4982,26,FALSE)=0,"Not Selected",VLOOKUP(Table1[[#This Row],[SyStudentId]],SSR!$A$2:$CC$4982,26,FALSE))</f>
        <v>Male</v>
      </c>
      <c r="V59" s="113" t="str">
        <f>VLOOKUP(Table1[[#This Row],[SyStudentId]],SSR!$A$2:$CC$4982,27,FALSE)</f>
        <v xml:space="preserve">HS2020  </v>
      </c>
      <c r="W59" s="113" t="str">
        <f>VLOOKUP(LEFT(Table1[[#This Row],[LastName]],1),Alpha!$A$1:$B$26,2,FALSE)</f>
        <v>Maureen Ranks</v>
      </c>
      <c r="X59" s="149" t="str">
        <f>VLOOKUP(Table1[[#This Row],[FAA]],Alpha!$B$1:$D$26,2,FALSE)</f>
        <v>mranks@neumont.edu</v>
      </c>
      <c r="Y59" s="113">
        <f>VLOOKUP(Table1[[#This Row],[FAA]],Alpha!$B$1:$D$26,3,FALSE)</f>
        <v>8883022894</v>
      </c>
      <c r="Z59" s="113" t="str">
        <f>VLOOKUP(Table1[[#This Row],[SyStudentId]],SSR!$A$2:$CC$4982,30,FALSE)</f>
        <v>16-Accepted</v>
      </c>
      <c r="AA59" s="113" t="str">
        <f>IF(VLOOKUP(Table1[[#This Row],[SyStudentId]],SSR!$A$2:$CC$4982,36,FALSE)="Bachelor of Science","BS Computer Science","Check Program")</f>
        <v>BS Computer Science</v>
      </c>
      <c r="AB59" s="113">
        <f>VLOOKUP(Table1[[#This Row],[SyStudentId]],SSR!$A$2:$CC$4982,37,FALSE)</f>
        <v>0</v>
      </c>
      <c r="AC59" s="113" t="str">
        <f>VLOOKUP(Table1[[#This Row],[SyStudentId]],SSR!$A$2:$CC$4982,42,FALSE)</f>
        <v xml:space="preserve">1300    </v>
      </c>
      <c r="AD59" s="113" t="str">
        <f>VLOOKUP(Table1[[#This Row],[SyStudentId]],SSR!$A$2:$CC$4982,46,FALSE)</f>
        <v>129</v>
      </c>
      <c r="AE59" s="113" t="str">
        <f>VLOOKUP(Table1[[#This Row],[SyStudentId]],SSR!$A$2:$CC$4982,65,FALSE)</f>
        <v>I</v>
      </c>
      <c r="AF59"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59" s="113" t="str">
        <f>VLOOKUP(Table1[[#This Row],[SyStudentId]],SSR!$A$2:$CC$4982,66,FALSE)</f>
        <v>July-October</v>
      </c>
      <c r="AH59" s="113" t="str">
        <f>IFERROR(VLOOKUP(Table1[[#This Row],[SyStudentId]],ISIR!$A$2:$X$999,7,FALSE),"")</f>
        <v>004993</v>
      </c>
      <c r="AI59" s="121">
        <f>IF(Table1[[#This Row],[EFCRaw]]="","",IF(Table1[[#This Row],[EFCRaw]]="No EFC","No EFC",_xlfn.NUMBERVALUE(Table1[[#This Row],[EFCRaw]])))</f>
        <v>4993</v>
      </c>
      <c r="AJ59" s="119">
        <f>IFERROR(VLOOKUP(Table1[[#This Row],[SyStudentId]],ISIR!$A$2:$X$4999,19,FALSE),"")</f>
        <v>43783</v>
      </c>
      <c r="AK59" s="113" t="str">
        <f>IFERROR(VLOOKUP(Table1[[#This Row],[SyStudentId]],ISIR!$A$2:$X$4999,8,FALSE),"")</f>
        <v>Y</v>
      </c>
      <c r="AL59" s="132" t="str">
        <f>IF(Table1[[#This Row],[VerReq]]="N","n/a","")</f>
        <v/>
      </c>
      <c r="AM59" s="122"/>
      <c r="AN59" s="122"/>
      <c r="AO59" s="122"/>
      <c r="AP59" s="122"/>
      <c r="AQ59" s="122"/>
      <c r="AR59" s="122"/>
      <c r="AS59" s="122"/>
      <c r="AT59" s="122"/>
      <c r="AU59" s="122"/>
      <c r="AV59" s="122"/>
      <c r="AW59" s="122"/>
      <c r="AX59" s="122"/>
      <c r="AY59" s="122"/>
      <c r="AZ59" s="122"/>
      <c r="BA59" s="122"/>
      <c r="BB59" s="122"/>
      <c r="BC59" s="133"/>
      <c r="BD59" s="140" t="str">
        <f>IF(Table1[[#This Row],[VerReq]]="N","x","")</f>
        <v/>
      </c>
      <c r="BE59" s="140" t="str">
        <f>IF(Table1[[#This Row],[VerReq]]="N","x","")</f>
        <v/>
      </c>
      <c r="BF59" s="140" t="str">
        <f>IF(Table1[[#This Row],[VerReq]]="N","x","")</f>
        <v/>
      </c>
      <c r="BG59" s="140" t="str">
        <f>IF(Table1[[#This Row],[VerReq]]="N","x","")</f>
        <v/>
      </c>
      <c r="BH59" s="140" t="str">
        <f>IF(Table1[[#This Row],[VerReq]]="N","x","")</f>
        <v/>
      </c>
      <c r="BI59" s="140" t="str">
        <f>IF(Table1[[#This Row],[VerReq]]="N","x","")</f>
        <v/>
      </c>
      <c r="BJ59" s="123">
        <f>1-((COUNTBLANK(Table1[[#This Row],[ALESent]:[TaxTran]]))/(COUNT(Table1[[#This Row],[ALESent]:[TaxTran]])+COUNTBLANK(Table1[[#This Row],[ALESent]:[TaxTran]])))</f>
        <v>0</v>
      </c>
      <c r="BK59" s="136">
        <f>IF(VLOOKUP(Table1[[#This Row],[SyStudentId]],SSR!$A$2:$CC$4982,22,FALSE)=44109,44109,"Check Program")</f>
        <v>44109</v>
      </c>
      <c r="BL59" s="124">
        <f>IF(Table1[[#This Row],[AYStart]]=44109,44356,"Check Program")</f>
        <v>44356</v>
      </c>
      <c r="BM59" s="219">
        <v>8505</v>
      </c>
      <c r="BN59" s="219">
        <v>8505</v>
      </c>
      <c r="BO59" s="219">
        <v>8505</v>
      </c>
      <c r="BP59" s="220">
        <f t="shared" si="0"/>
        <v>25515</v>
      </c>
      <c r="BQ59" s="221">
        <v>3300</v>
      </c>
      <c r="BR59" s="219">
        <v>400</v>
      </c>
      <c r="BS59" s="219">
        <v>400</v>
      </c>
      <c r="BT59" s="220">
        <f t="shared" si="1"/>
        <v>4100</v>
      </c>
      <c r="BU59" s="219">
        <v>2100</v>
      </c>
      <c r="BV59" s="219">
        <v>2100</v>
      </c>
      <c r="BW59" s="219">
        <v>2100</v>
      </c>
      <c r="BX59" s="220">
        <f t="shared" si="2"/>
        <v>6300</v>
      </c>
      <c r="BY59" s="275">
        <v>1200</v>
      </c>
      <c r="BZ59" s="275">
        <v>1200</v>
      </c>
      <c r="CA59" s="275">
        <v>1200</v>
      </c>
      <c r="CB59" s="220">
        <f>SUM(Table1[[#This Row],[LEQ1]:[LEQ3]])</f>
        <v>3600</v>
      </c>
      <c r="CC59" s="275">
        <v>0</v>
      </c>
      <c r="CD59" s="275">
        <v>0</v>
      </c>
      <c r="CE59" s="275">
        <v>0</v>
      </c>
      <c r="CF59" s="220">
        <f>SUM(Table1[[#This Row],[OthCostQ1]:[OthCostQ3]])</f>
        <v>0</v>
      </c>
      <c r="CG59" s="220">
        <f>(Table1[[#This Row],[T&amp;FTot]]+Table1[[#This Row],[B&amp;STot]]+Table1[[#This Row],[HousTot]]+Table1[[#This Row],[LETot]]+Table1[[#This Row],[OthCostTot]])</f>
        <v>39515</v>
      </c>
      <c r="CH59" s="250"/>
      <c r="CI59" s="250"/>
      <c r="CJ59" s="250"/>
      <c r="CK59" s="251">
        <f>SUM(Table1[[#This Row],[SEOGQ1]:[SEOGQ3]])</f>
        <v>0</v>
      </c>
      <c r="CL59" s="250">
        <f>IFERROR(ROUNDUP(Table1[[#This Row],[PellTot]]/3,0),0)</f>
        <v>415</v>
      </c>
      <c r="CM59" s="250">
        <f>IFERROR(ROUND(Table1[[#This Row],[PellTot]]/3,0),0)</f>
        <v>415</v>
      </c>
      <c r="CN59" s="250">
        <f>IFERROR(ROUNDDOWN(Table1[[#This Row],[PellTot]]/3,0),0)</f>
        <v>415</v>
      </c>
      <c r="CO59" s="251">
        <f>IFERROR(LOOKUP(Table1[EFC],Pell_Table[#Data],Pell_Table[Pell Amt]),0)</f>
        <v>1245</v>
      </c>
      <c r="CP59" s="250">
        <f>Table1[[#This Row],[AccessTot]]/3</f>
        <v>500</v>
      </c>
      <c r="CQ59" s="250">
        <f>Table1[[#This Row],[AccessTot]]/3</f>
        <v>500</v>
      </c>
      <c r="CR59" s="250">
        <f>Table1[[#This Row],[AccessTot]]/3</f>
        <v>500</v>
      </c>
      <c r="CS59" s="251">
        <f>IF(Table1[[#This Row],[PellTot]]&gt;0,1500,0)</f>
        <v>1500</v>
      </c>
      <c r="CT59" s="250">
        <f>Table1[[#This Row],[AchiTot]]/3</f>
        <v>1700</v>
      </c>
      <c r="CU59" s="250">
        <f>Table1[[#This Row],[AchiTot]]/3</f>
        <v>1700</v>
      </c>
      <c r="CV59" s="250">
        <f>Table1[[#This Row],[AchiTot]]/3</f>
        <v>1700</v>
      </c>
      <c r="CW59" s="252">
        <f>IF(Table1[[#This Row],[Rank]]="","",IF(Table1[[#This Row],[Rank]]=1,5100,IF(Table1[[#This Row],[Rank]]=2,4500,IF(Table1[[#This Row],[Rank]]=3,3900,IF(Table1[[#This Row],[Rank]]=4,3750,IF(Table1[[#This Row],[Rank]]=5,3000,IF(Table1[[#This Row],[Rank]]=6,2250,0)))))))</f>
        <v>5100</v>
      </c>
      <c r="CX59" s="250">
        <f>Table1[[#This Row],[UTTot]]/3</f>
        <v>0</v>
      </c>
      <c r="CY59" s="250">
        <f>Table1[[#This Row],[UTTot]]/3</f>
        <v>0</v>
      </c>
      <c r="CZ59" s="250">
        <f>Table1[[#This Row],[UTTot]]/3</f>
        <v>0</v>
      </c>
      <c r="DA59" s="251">
        <f>IF(Table1[[#This Row],[State]]="UT",9000,0)</f>
        <v>0</v>
      </c>
      <c r="DB59" s="250">
        <f>Table1[[#This Row],[WITTot]]/3</f>
        <v>0</v>
      </c>
      <c r="DC59" s="250">
        <f>Table1[[#This Row],[WITTot]]/3</f>
        <v>0</v>
      </c>
      <c r="DD59" s="250">
        <f>Table1[[#This Row],[WITTot]]/3</f>
        <v>0</v>
      </c>
      <c r="DE59" s="251">
        <f>IF(Table1[[#This Row],[Gender]]="Female",3000,0)</f>
        <v>0</v>
      </c>
      <c r="DF59" s="250">
        <f>Table1[[#This Row],[SerTot]]/3</f>
        <v>0</v>
      </c>
      <c r="DG59" s="250">
        <f>Table1[[#This Row],[SerTot]]/3</f>
        <v>0</v>
      </c>
      <c r="DH59" s="250">
        <f>Table1[[#This Row],[SerTot]]/3</f>
        <v>0</v>
      </c>
      <c r="DI59" s="252"/>
      <c r="DJ59" s="250"/>
      <c r="DK59" s="250"/>
      <c r="DL59" s="250"/>
      <c r="DM59" s="252"/>
      <c r="DN59" s="250">
        <f>Table1[[#This Row],[MatTot]]/3</f>
        <v>0</v>
      </c>
      <c r="DO59" s="250">
        <f>Table1[[#This Row],[MatTot]]/3</f>
        <v>0</v>
      </c>
      <c r="DP59" s="250">
        <f>Table1[[#This Row],[MatTot]]/3</f>
        <v>0</v>
      </c>
      <c r="DQ59" s="252">
        <v>0</v>
      </c>
      <c r="DR59" s="250">
        <f>Table1[[#This Row],[OutTot]]/3</f>
        <v>0</v>
      </c>
      <c r="DS59" s="250">
        <f>Table1[[#This Row],[OutTot]]/3</f>
        <v>0</v>
      </c>
      <c r="DT59" s="250">
        <f>Table1[[#This Row],[OutTot]]/3</f>
        <v>0</v>
      </c>
      <c r="DU59" s="252">
        <v>0</v>
      </c>
      <c r="DV59" s="250">
        <v>0</v>
      </c>
      <c r="DW59" s="250">
        <v>0</v>
      </c>
      <c r="DX59" s="250">
        <v>0</v>
      </c>
      <c r="DY59" s="252">
        <f>SUM(Table1[[#This Row],[VAQ1]:[VAQ3]])</f>
        <v>0</v>
      </c>
      <c r="DZ59" s="250">
        <v>0</v>
      </c>
      <c r="EA59" s="250">
        <v>0</v>
      </c>
      <c r="EB59" s="250">
        <v>0</v>
      </c>
      <c r="EC59" s="252">
        <f>SUM(Table1[[#This Row],[OthGrantQ1]:[OthGrantQ3]])</f>
        <v>0</v>
      </c>
      <c r="ED59" s="263">
        <f>Table1[[#This Row],[SEOGTot]]+Table1[[#This Row],[PellTot]]+Table1[[#This Row],[AccessTot]]+Table1[[#This Row],[AchiTot]]+Table1[[#This Row],[UTTot]]+Table1[[#This Row],[WITTot]]+Table1[[#This Row],[SerTot]]+Table1[[#This Row],[TranTot]]+Table1[[#This Row],[MatTot]]+Table1[[#This Row],[OutTot]]+Table1[[#This Row],[VATot]]+Table1[[#This Row],[OthGrantTot]]</f>
        <v>7845</v>
      </c>
      <c r="EE59" s="249"/>
      <c r="EF59" s="237"/>
      <c r="EG59" s="237"/>
      <c r="EH59" s="232">
        <f>SUM(Table1[[#This Row],[CashQ1]]:Table1[[#This Row],[CashQ3]])</f>
        <v>0</v>
      </c>
      <c r="EI59" s="271">
        <f>ROUND((Table1[[#This Row],[SubTot]]/3)/1.01059,0)</f>
        <v>1154</v>
      </c>
      <c r="EJ59" s="234">
        <f>ROUND((Table1[[#This Row],[SubTot]]/3)/1.01059,0)</f>
        <v>1154</v>
      </c>
      <c r="EK59" s="234">
        <f>ROUNDUP((Table1[[#This Row],[SubTot]]/3)/1.01059,0)</f>
        <v>1155</v>
      </c>
      <c r="EL59" s="235">
        <v>3500</v>
      </c>
      <c r="EM59" s="240">
        <f>Table1[[#This Row],[SubTot]]*0.01059</f>
        <v>37.065000000000005</v>
      </c>
      <c r="EN59" s="234">
        <f>ROUND((Table1[[#This Row],[UnsubTot]]/3)/1.01062,0)</f>
        <v>660</v>
      </c>
      <c r="EO59" s="234">
        <f>ROUND((Table1[[#This Row],[UnsubTot]]/3)/1.01062,0)</f>
        <v>660</v>
      </c>
      <c r="EP59" s="234">
        <f>ROUNDDOWN((Table1[[#This Row],[UnsubTot]]/3)/1.01062,0)</f>
        <v>659</v>
      </c>
      <c r="EQ59" s="235">
        <f>IF(Table1[D/I]="I",6000,2000)</f>
        <v>2000</v>
      </c>
      <c r="ER59" s="240">
        <f>Table1[[#This Row],[UnsubTot]]*0.01059</f>
        <v>21.18</v>
      </c>
      <c r="ES59" s="234">
        <f>ROUND((Table1[[#This Row],[PLUSTot]]/3)/1.04236,0)</f>
        <v>0</v>
      </c>
      <c r="ET59" s="234">
        <f>ROUND((Table1[[#This Row],[PLUSTot]]/3)/1.04236,0)</f>
        <v>0</v>
      </c>
      <c r="EU59" s="234">
        <f>ROUND((Table1[[#This Row],[PLUSTot]]/3)/1.04236,0)</f>
        <v>0</v>
      </c>
      <c r="EV59" s="235">
        <v>0</v>
      </c>
      <c r="EW59" s="239">
        <f>Table1[[#This Row],[PLUSTot]]*0.04248</f>
        <v>0</v>
      </c>
      <c r="EX59" s="237"/>
      <c r="EY59" s="237"/>
      <c r="EZ59" s="237"/>
      <c r="FA59" s="232">
        <f>SUM(Table1[[#This Row],[PrivQ1]:[PrivQ3]])</f>
        <v>0</v>
      </c>
      <c r="FB59" s="237"/>
      <c r="FC59" s="237"/>
      <c r="FD59" s="237"/>
      <c r="FE59" s="232">
        <f>SUM(Table1[[#This Row],[TOQ1]:[TOQ3]])</f>
        <v>0</v>
      </c>
      <c r="FF59" s="237"/>
      <c r="FG59" s="237"/>
      <c r="FH59" s="237"/>
      <c r="FI59" s="232">
        <f>SUM(Table1[[#This Row],[OFundQ1]:[OFundQ3]])</f>
        <v>0</v>
      </c>
      <c r="FJ59" s="239">
        <f>(Table1[[#This Row],[SubTot]]-Table1[[#This Row],[SubFee]])+(Table1[[#This Row],[UnsubTot]]-Table1[[#This Row],[UnsubFee]])+(Table1[[#This Row],[PLUSTot]]-Table1[[#This Row],[PLUSFee]])+Table1[[#This Row],[PrivTot]]+Table1[[#This Row],[TOTot]]+Table1[[#This Row],[OFundTot]]</f>
        <v>5441.7550000000001</v>
      </c>
      <c r="FK59" s="125">
        <f>Table1[[#This Row],[CostTot]]-Table1[[#This Row],[GiftTot]]</f>
        <v>31670</v>
      </c>
      <c r="FL59" s="130">
        <f>Table1[[#This Row],[NetNeed]]/(1-0.04248)</f>
        <v>27391.85082295931</v>
      </c>
      <c r="FM59" s="131">
        <f>Table1[[#This Row],[NetCost]]-Table1[[#This Row],[CashTot]]-(Table1[[#This Row],[SubTot]]-Table1[[#This Row],[SubFee]])-(Table1[[#This Row],[UnsubTot]]-Table1[[#This Row],[UnsubFee]])-(Table1[[#This Row],[PLUSTot]]-Table1[[#This Row],[PLUSFee]])-Table1[[#This Row],[PrivTot]]-Table1[[#This Row],[TOTot]]-Table1[[#This Row],[OFundTot]]</f>
        <v>26228.244999999999</v>
      </c>
      <c r="FN59" s="161"/>
      <c r="FO59" s="113"/>
      <c r="FP59" s="113"/>
    </row>
    <row r="60" spans="1:172" s="160" customFormat="1" ht="15" x14ac:dyDescent="0.25">
      <c r="A60" s="267">
        <v>198029</v>
      </c>
      <c r="B60" s="113" t="str">
        <f>VLOOKUP(Table1[[#This Row],[SyStudentId]],SSR!$A$2:$CC$4982,4,FALSE)</f>
        <v>Okaiteye</v>
      </c>
      <c r="C60" s="113" t="str">
        <f>VLOOKUP(Table1[[#This Row],[SyStudentId]],SSR!$A$2:$CC$4982,5,FALSE)</f>
        <v>Jason</v>
      </c>
      <c r="D60" s="113" t="str">
        <f>VLOOKUP(Table1[[#This Row],[SyStudentId]],SSR!$A$2:$CC$4982,6,FALSE)</f>
        <v>Okaiteye, Jason</v>
      </c>
      <c r="E60" s="113" t="str">
        <f>CONCATENATE(Table1[[#This Row],[FirstName]]," ",Table1[[#This Row],[LastName]])</f>
        <v>Jason Okaiteye</v>
      </c>
      <c r="F60" s="112"/>
      <c r="G60" s="114"/>
      <c r="H60" s="114"/>
      <c r="I60" s="114"/>
      <c r="J60" s="115"/>
      <c r="K60" s="116"/>
      <c r="L60" s="112" t="str">
        <f>IFERROR(VLOOKUP(Table1[[#This Row],[SyStudentId]],ISIR!$A$2:$X$999,11,FALSE),"")</f>
        <v/>
      </c>
      <c r="M60" s="113" t="str">
        <f>VLOOKUP(Table1[[#This Row],[SyStudentId]],SSR!$A$2:$CC$4982,7,FALSE)</f>
        <v>jasonokaiteye@gmail.com</v>
      </c>
      <c r="N60" s="113" t="str">
        <f>VLOOKUP(Table1[[#This Row],[SyStudentId]],SSR!$A$2:$CC$4982,8,FALSE)</f>
        <v>22114 Normandie Ave.</v>
      </c>
      <c r="O60" s="113" t="str">
        <f>VLOOKUP(Table1[[#This Row],[SyStudentId]],SSR!$A$2:$CC$4982,9,FALSE)</f>
        <v>Torrance</v>
      </c>
      <c r="P60" s="290" t="str">
        <f>VLOOKUP(Table1[[#This Row],[SyStudentId]],SSR!$A$2:$CC$4982,10,FALSE)</f>
        <v>CA</v>
      </c>
      <c r="Q60" s="117" t="str">
        <f>VLOOKUP(Table1[[#This Row],[SyStudentId]],SSR!$A$2:$CC$4982,11,FALSE)</f>
        <v xml:space="preserve">90502     </v>
      </c>
      <c r="R60" s="118">
        <f>VLOOKUP(Table1[[#This Row],[SyStudentId]],SSR!$A$2:$CC$4982,15,FALSE)</f>
        <v>3.91</v>
      </c>
      <c r="S60" s="119">
        <f>VLOOKUP(Table1[[#This Row],[SyStudentId]],SSR!$A$2:$CC$4982,22,FALSE)</f>
        <v>44109</v>
      </c>
      <c r="T60" s="113" t="str">
        <f>VLOOKUP(Table1[[#This Row],[SyStudentId]],SSR!$A$2:$CC$4982,24,FALSE)</f>
        <v>MN</v>
      </c>
      <c r="U60" s="113" t="str">
        <f>IF(VLOOKUP(Table1[[#This Row],[SyStudentId]],SSR!$A$2:$CC$4982,26,FALSE)=0,"Not Selected",VLOOKUP(Table1[[#This Row],[SyStudentId]],SSR!$A$2:$CC$4982,26,FALSE))</f>
        <v>Male</v>
      </c>
      <c r="V60" s="113" t="str">
        <f>VLOOKUP(Table1[[#This Row],[SyStudentId]],SSR!$A$2:$CC$4982,27,FALSE)</f>
        <v xml:space="preserve">HS2020  </v>
      </c>
      <c r="W60" s="113" t="str">
        <f>VLOOKUP(LEFT(Table1[[#This Row],[LastName]],1),Alpha!$A$1:$B$26,2,FALSE)</f>
        <v>Maureen Ranks</v>
      </c>
      <c r="X60" s="149" t="str">
        <f>VLOOKUP(Table1[[#This Row],[FAA]],Alpha!$B$1:$D$26,2,FALSE)</f>
        <v>mranks@neumont.edu</v>
      </c>
      <c r="Y60" s="113">
        <f>VLOOKUP(Table1[[#This Row],[FAA]],Alpha!$B$1:$D$26,3,FALSE)</f>
        <v>8883022894</v>
      </c>
      <c r="Z60" s="113" t="str">
        <f>VLOOKUP(Table1[[#This Row],[SyStudentId]],SSR!$A$2:$CC$4982,30,FALSE)</f>
        <v>16-Accepted</v>
      </c>
      <c r="AA60" s="113" t="str">
        <f>IF(VLOOKUP(Table1[[#This Row],[SyStudentId]],SSR!$A$2:$CC$4982,36,FALSE)="Bachelor of Science","BS Computer Science","Check Program")</f>
        <v>BS Computer Science</v>
      </c>
      <c r="AB60" s="113">
        <f>VLOOKUP(Table1[[#This Row],[SyStudentId]],SSR!$A$2:$CC$4982,37,FALSE)</f>
        <v>0</v>
      </c>
      <c r="AC60" s="113" t="str">
        <f>VLOOKUP(Table1[[#This Row],[SyStudentId]],SSR!$A$2:$CC$4982,42,FALSE)</f>
        <v xml:space="preserve">1250    </v>
      </c>
      <c r="AD60" s="113" t="str">
        <f>VLOOKUP(Table1[[#This Row],[SyStudentId]],SSR!$A$2:$CC$4982,46,FALSE)</f>
        <v>125</v>
      </c>
      <c r="AE60" s="113" t="str">
        <f>VLOOKUP(Table1[[#This Row],[SyStudentId]],SSR!$A$2:$CC$4982,65,FALSE)</f>
        <v>I</v>
      </c>
      <c r="AF60"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60" s="113" t="str">
        <f>VLOOKUP(Table1[[#This Row],[SyStudentId]],SSR!$A$2:$CC$4982,66,FALSE)</f>
        <v>July-October</v>
      </c>
      <c r="AH60" s="113" t="str">
        <f>IFERROR(VLOOKUP(Table1[[#This Row],[SyStudentId]],ISIR!$A$2:$X$999,7,FALSE),"")</f>
        <v/>
      </c>
      <c r="AI60" s="121" t="str">
        <f>IF(Table1[[#This Row],[EFCRaw]]="","",IF(Table1[[#This Row],[EFCRaw]]="No EFC","No EFC",_xlfn.NUMBERVALUE(Table1[[#This Row],[EFCRaw]])))</f>
        <v/>
      </c>
      <c r="AJ60" s="119" t="str">
        <f>IFERROR(VLOOKUP(Table1[[#This Row],[SyStudentId]],ISIR!$A$2:$X$4999,19,FALSE),"")</f>
        <v/>
      </c>
      <c r="AK60" s="113" t="str">
        <f>IFERROR(VLOOKUP(Table1[[#This Row],[SyStudentId]],ISIR!$A$2:$X$4999,8,FALSE),"")</f>
        <v/>
      </c>
      <c r="AL60" s="132" t="str">
        <f>IF(Table1[[#This Row],[VerReq]]="N","n/a","")</f>
        <v/>
      </c>
      <c r="AM60" s="122"/>
      <c r="AN60" s="122"/>
      <c r="AO60" s="122"/>
      <c r="AP60" s="122"/>
      <c r="AQ60" s="122"/>
      <c r="AR60" s="122"/>
      <c r="AS60" s="122"/>
      <c r="AT60" s="122"/>
      <c r="AU60" s="122"/>
      <c r="AV60" s="122"/>
      <c r="AW60" s="122"/>
      <c r="AX60" s="122"/>
      <c r="AY60" s="122"/>
      <c r="AZ60" s="122"/>
      <c r="BA60" s="122"/>
      <c r="BB60" s="122"/>
      <c r="BC60" s="133"/>
      <c r="BD60" s="140" t="str">
        <f>IF(Table1[[#This Row],[VerReq]]="N","x","")</f>
        <v/>
      </c>
      <c r="BE60" s="140" t="str">
        <f>IF(Table1[[#This Row],[VerReq]]="N","x","")</f>
        <v/>
      </c>
      <c r="BF60" s="140" t="str">
        <f>IF(Table1[[#This Row],[VerReq]]="N","x","")</f>
        <v/>
      </c>
      <c r="BG60" s="140" t="str">
        <f>IF(Table1[[#This Row],[VerReq]]="N","x","")</f>
        <v/>
      </c>
      <c r="BH60" s="140" t="str">
        <f>IF(Table1[[#This Row],[VerReq]]="N","x","")</f>
        <v/>
      </c>
      <c r="BI60" s="140" t="str">
        <f>IF(Table1[[#This Row],[VerReq]]="N","x","")</f>
        <v/>
      </c>
      <c r="BJ60" s="123">
        <f>1-((COUNTBLANK(Table1[[#This Row],[ALESent]:[TaxTran]]))/(COUNT(Table1[[#This Row],[ALESent]:[TaxTran]])+COUNTBLANK(Table1[[#This Row],[ALESent]:[TaxTran]])))</f>
        <v>0</v>
      </c>
      <c r="BK60" s="136">
        <f>IF(VLOOKUP(Table1[[#This Row],[SyStudentId]],SSR!$A$2:$CC$4982,22,FALSE)=44109,44109,"Check Program")</f>
        <v>44109</v>
      </c>
      <c r="BL60" s="124">
        <f>IF(Table1[[#This Row],[AYStart]]=44109,44356,"Check Program")</f>
        <v>44356</v>
      </c>
      <c r="BM60" s="219">
        <v>8505</v>
      </c>
      <c r="BN60" s="219">
        <v>8505</v>
      </c>
      <c r="BO60" s="219">
        <v>8505</v>
      </c>
      <c r="BP60" s="220">
        <f t="shared" si="0"/>
        <v>25515</v>
      </c>
      <c r="BQ60" s="221">
        <v>3300</v>
      </c>
      <c r="BR60" s="219">
        <v>400</v>
      </c>
      <c r="BS60" s="219">
        <v>400</v>
      </c>
      <c r="BT60" s="220">
        <f t="shared" si="1"/>
        <v>4100</v>
      </c>
      <c r="BU60" s="219">
        <v>2100</v>
      </c>
      <c r="BV60" s="219">
        <v>2100</v>
      </c>
      <c r="BW60" s="219">
        <v>2100</v>
      </c>
      <c r="BX60" s="220">
        <f t="shared" si="2"/>
        <v>6300</v>
      </c>
      <c r="BY60" s="275">
        <v>1200</v>
      </c>
      <c r="BZ60" s="275">
        <v>1200</v>
      </c>
      <c r="CA60" s="275">
        <v>1200</v>
      </c>
      <c r="CB60" s="220">
        <f>SUM(Table1[[#This Row],[LEQ1]:[LEQ3]])</f>
        <v>3600</v>
      </c>
      <c r="CC60" s="275">
        <v>0</v>
      </c>
      <c r="CD60" s="275">
        <v>0</v>
      </c>
      <c r="CE60" s="275">
        <v>0</v>
      </c>
      <c r="CF60" s="220">
        <f>SUM(Table1[[#This Row],[OthCostQ1]:[OthCostQ3]])</f>
        <v>0</v>
      </c>
      <c r="CG60" s="220">
        <f>(Table1[[#This Row],[T&amp;FTot]]+Table1[[#This Row],[B&amp;STot]]+Table1[[#This Row],[HousTot]]+Table1[[#This Row],[LETot]]+Table1[[#This Row],[OthCostTot]])</f>
        <v>39515</v>
      </c>
      <c r="CH60" s="250"/>
      <c r="CI60" s="250"/>
      <c r="CJ60" s="250"/>
      <c r="CK60" s="251">
        <f>SUM(Table1[[#This Row],[SEOGQ1]:[SEOGQ3]])</f>
        <v>0</v>
      </c>
      <c r="CL60" s="250">
        <f>IFERROR(ROUNDUP(Table1[[#This Row],[PellTot]]/3,0),0)</f>
        <v>0</v>
      </c>
      <c r="CM60" s="250">
        <f>IFERROR(ROUND(Table1[[#This Row],[PellTot]]/3,0),0)</f>
        <v>0</v>
      </c>
      <c r="CN60" s="250">
        <f>IFERROR(ROUNDDOWN(Table1[[#This Row],[PellTot]]/3,0),0)</f>
        <v>0</v>
      </c>
      <c r="CO60" s="251">
        <f>IFERROR(LOOKUP(Table1[EFC],Pell_Table[#Data],Pell_Table[Pell Amt]),0)</f>
        <v>0</v>
      </c>
      <c r="CP60" s="250">
        <f>Table1[[#This Row],[AccessTot]]/3</f>
        <v>0</v>
      </c>
      <c r="CQ60" s="250">
        <f>Table1[[#This Row],[AccessTot]]/3</f>
        <v>0</v>
      </c>
      <c r="CR60" s="250">
        <f>Table1[[#This Row],[AccessTot]]/3</f>
        <v>0</v>
      </c>
      <c r="CS60" s="251">
        <f>IF(Table1[[#This Row],[PellTot]]&gt;0,1500,0)</f>
        <v>0</v>
      </c>
      <c r="CT60" s="250">
        <f>Table1[[#This Row],[AchiTot]]/3</f>
        <v>1700</v>
      </c>
      <c r="CU60" s="250">
        <f>Table1[[#This Row],[AchiTot]]/3</f>
        <v>1700</v>
      </c>
      <c r="CV60" s="250">
        <f>Table1[[#This Row],[AchiTot]]/3</f>
        <v>1700</v>
      </c>
      <c r="CW60" s="252">
        <f>IF(Table1[[#This Row],[Rank]]="","",IF(Table1[[#This Row],[Rank]]=1,5100,IF(Table1[[#This Row],[Rank]]=2,4500,IF(Table1[[#This Row],[Rank]]=3,3900,IF(Table1[[#This Row],[Rank]]=4,3750,IF(Table1[[#This Row],[Rank]]=5,3000,IF(Table1[[#This Row],[Rank]]=6,2250,0)))))))</f>
        <v>5100</v>
      </c>
      <c r="CX60" s="250">
        <f>Table1[[#This Row],[UTTot]]/3</f>
        <v>0</v>
      </c>
      <c r="CY60" s="250">
        <f>Table1[[#This Row],[UTTot]]/3</f>
        <v>0</v>
      </c>
      <c r="CZ60" s="250">
        <f>Table1[[#This Row],[UTTot]]/3</f>
        <v>0</v>
      </c>
      <c r="DA60" s="251">
        <f>IF(Table1[[#This Row],[State]]="UT",9000,0)</f>
        <v>0</v>
      </c>
      <c r="DB60" s="250">
        <f>Table1[[#This Row],[WITTot]]/3</f>
        <v>0</v>
      </c>
      <c r="DC60" s="250">
        <f>Table1[[#This Row],[WITTot]]/3</f>
        <v>0</v>
      </c>
      <c r="DD60" s="250">
        <f>Table1[[#This Row],[WITTot]]/3</f>
        <v>0</v>
      </c>
      <c r="DE60" s="251">
        <f>IF(Table1[[#This Row],[Gender]]="Female",3000,0)</f>
        <v>0</v>
      </c>
      <c r="DF60" s="250">
        <f>Table1[[#This Row],[SerTot]]/3</f>
        <v>0</v>
      </c>
      <c r="DG60" s="250">
        <f>Table1[[#This Row],[SerTot]]/3</f>
        <v>0</v>
      </c>
      <c r="DH60" s="250">
        <f>Table1[[#This Row],[SerTot]]/3</f>
        <v>0</v>
      </c>
      <c r="DI60" s="252"/>
      <c r="DJ60" s="250"/>
      <c r="DK60" s="250"/>
      <c r="DL60" s="250"/>
      <c r="DM60" s="252"/>
      <c r="DN60" s="250">
        <f>Table1[[#This Row],[MatTot]]/3</f>
        <v>0</v>
      </c>
      <c r="DO60" s="250">
        <f>Table1[[#This Row],[MatTot]]/3</f>
        <v>0</v>
      </c>
      <c r="DP60" s="250">
        <f>Table1[[#This Row],[MatTot]]/3</f>
        <v>0</v>
      </c>
      <c r="DQ60" s="252">
        <v>0</v>
      </c>
      <c r="DR60" s="250">
        <f>Table1[[#This Row],[OutTot]]/3</f>
        <v>0</v>
      </c>
      <c r="DS60" s="250">
        <f>Table1[[#This Row],[OutTot]]/3</f>
        <v>0</v>
      </c>
      <c r="DT60" s="250">
        <f>Table1[[#This Row],[OutTot]]/3</f>
        <v>0</v>
      </c>
      <c r="DU60" s="252">
        <v>0</v>
      </c>
      <c r="DV60" s="250">
        <v>0</v>
      </c>
      <c r="DW60" s="250">
        <v>0</v>
      </c>
      <c r="DX60" s="250">
        <v>0</v>
      </c>
      <c r="DY60" s="252">
        <f>SUM(Table1[[#This Row],[VAQ1]:[VAQ3]])</f>
        <v>0</v>
      </c>
      <c r="DZ60" s="250">
        <v>0</v>
      </c>
      <c r="EA60" s="250">
        <v>0</v>
      </c>
      <c r="EB60" s="250">
        <v>0</v>
      </c>
      <c r="EC60" s="252">
        <f>SUM(Table1[[#This Row],[OthGrantQ1]:[OthGrantQ3]])</f>
        <v>0</v>
      </c>
      <c r="ED60" s="263">
        <f>Table1[[#This Row],[SEOGTot]]+Table1[[#This Row],[PellTot]]+Table1[[#This Row],[AccessTot]]+Table1[[#This Row],[AchiTot]]+Table1[[#This Row],[UTTot]]+Table1[[#This Row],[WITTot]]+Table1[[#This Row],[SerTot]]+Table1[[#This Row],[TranTot]]+Table1[[#This Row],[MatTot]]+Table1[[#This Row],[OutTot]]+Table1[[#This Row],[VATot]]+Table1[[#This Row],[OthGrantTot]]</f>
        <v>5100</v>
      </c>
      <c r="EE60" s="249"/>
      <c r="EF60" s="237"/>
      <c r="EG60" s="237"/>
      <c r="EH60" s="232">
        <f>SUM(Table1[[#This Row],[CashQ1]]:Table1[[#This Row],[CashQ3]])</f>
        <v>0</v>
      </c>
      <c r="EI60" s="271">
        <f>ROUND((Table1[[#This Row],[SubTot]]/3)/1.01059,0)</f>
        <v>1154</v>
      </c>
      <c r="EJ60" s="234">
        <f>ROUND((Table1[[#This Row],[SubTot]]/3)/1.01059,0)</f>
        <v>1154</v>
      </c>
      <c r="EK60" s="234">
        <f>ROUNDUP((Table1[[#This Row],[SubTot]]/3)/1.01059,0)</f>
        <v>1155</v>
      </c>
      <c r="EL60" s="235">
        <v>3500</v>
      </c>
      <c r="EM60" s="240">
        <f>Table1[[#This Row],[SubTot]]*0.01059</f>
        <v>37.065000000000005</v>
      </c>
      <c r="EN60" s="234">
        <f>ROUND((Table1[[#This Row],[UnsubTot]]/3)/1.01062,0)</f>
        <v>660</v>
      </c>
      <c r="EO60" s="234">
        <f>ROUND((Table1[[#This Row],[UnsubTot]]/3)/1.01062,0)</f>
        <v>660</v>
      </c>
      <c r="EP60" s="234">
        <f>ROUNDDOWN((Table1[[#This Row],[UnsubTot]]/3)/1.01062,0)</f>
        <v>659</v>
      </c>
      <c r="EQ60" s="235">
        <f>IF(Table1[D/I]="I",6000,2000)</f>
        <v>2000</v>
      </c>
      <c r="ER60" s="240">
        <f>Table1[[#This Row],[UnsubTot]]*0.01059</f>
        <v>21.18</v>
      </c>
      <c r="ES60" s="234">
        <f>ROUND((Table1[[#This Row],[PLUSTot]]/3)/1.04236,0)</f>
        <v>0</v>
      </c>
      <c r="ET60" s="234">
        <f>ROUND((Table1[[#This Row],[PLUSTot]]/3)/1.04236,0)</f>
        <v>0</v>
      </c>
      <c r="EU60" s="234">
        <f>ROUND((Table1[[#This Row],[PLUSTot]]/3)/1.04236,0)</f>
        <v>0</v>
      </c>
      <c r="EV60" s="235">
        <v>0</v>
      </c>
      <c r="EW60" s="239">
        <f>Table1[[#This Row],[PLUSTot]]*0.04248</f>
        <v>0</v>
      </c>
      <c r="EX60" s="237"/>
      <c r="EY60" s="237"/>
      <c r="EZ60" s="237"/>
      <c r="FA60" s="232">
        <f>SUM(Table1[[#This Row],[PrivQ1]:[PrivQ3]])</f>
        <v>0</v>
      </c>
      <c r="FB60" s="237"/>
      <c r="FC60" s="237"/>
      <c r="FD60" s="237"/>
      <c r="FE60" s="232">
        <f>SUM(Table1[[#This Row],[TOQ1]:[TOQ3]])</f>
        <v>0</v>
      </c>
      <c r="FF60" s="237"/>
      <c r="FG60" s="237"/>
      <c r="FH60" s="237"/>
      <c r="FI60" s="232">
        <f>SUM(Table1[[#This Row],[OFundQ1]:[OFundQ3]])</f>
        <v>0</v>
      </c>
      <c r="FJ60" s="239">
        <f>(Table1[[#This Row],[SubTot]]-Table1[[#This Row],[SubFee]])+(Table1[[#This Row],[UnsubTot]]-Table1[[#This Row],[UnsubFee]])+(Table1[[#This Row],[PLUSTot]]-Table1[[#This Row],[PLUSFee]])+Table1[[#This Row],[PrivTot]]+Table1[[#This Row],[TOTot]]+Table1[[#This Row],[OFundTot]]</f>
        <v>5441.7550000000001</v>
      </c>
      <c r="FK60" s="125">
        <f>Table1[[#This Row],[CostTot]]-Table1[[#This Row],[GiftTot]]</f>
        <v>34415</v>
      </c>
      <c r="FL60" s="130">
        <f>Table1[[#This Row],[NetNeed]]/(1-0.04248)</f>
        <v>30258.631673489846</v>
      </c>
      <c r="FM60" s="131">
        <f>Table1[[#This Row],[NetCost]]-Table1[[#This Row],[CashTot]]-(Table1[[#This Row],[SubTot]]-Table1[[#This Row],[SubFee]])-(Table1[[#This Row],[UnsubTot]]-Table1[[#This Row],[UnsubFee]])-(Table1[[#This Row],[PLUSTot]]-Table1[[#This Row],[PLUSFee]])-Table1[[#This Row],[PrivTot]]-Table1[[#This Row],[TOTot]]-Table1[[#This Row],[OFundTot]]</f>
        <v>28973.244999999999</v>
      </c>
      <c r="FN60" s="161"/>
      <c r="FO60" s="113"/>
      <c r="FP60" s="113"/>
    </row>
    <row r="61" spans="1:172" s="160" customFormat="1" ht="15" x14ac:dyDescent="0.25">
      <c r="A61" s="267">
        <v>199211</v>
      </c>
      <c r="B61" s="113" t="str">
        <f>VLOOKUP(Table1[[#This Row],[SyStudentId]],SSR!$A$2:$CC$4982,4,FALSE)</f>
        <v>Olea Tapia</v>
      </c>
      <c r="C61" s="113" t="str">
        <f>VLOOKUP(Table1[[#This Row],[SyStudentId]],SSR!$A$2:$CC$4982,5,FALSE)</f>
        <v>Alejandra</v>
      </c>
      <c r="D61" s="113" t="str">
        <f>VLOOKUP(Table1[[#This Row],[SyStudentId]],SSR!$A$2:$CC$4982,6,FALSE)</f>
        <v>Olea Tapia, Alejandra</v>
      </c>
      <c r="E61" s="113" t="str">
        <f>CONCATENATE(Table1[[#This Row],[FirstName]]," ",Table1[[#This Row],[LastName]])</f>
        <v>Alejandra Olea Tapia</v>
      </c>
      <c r="F61" s="112"/>
      <c r="G61" s="114"/>
      <c r="H61" s="114"/>
      <c r="I61" s="114"/>
      <c r="J61" s="115" t="s">
        <v>6041</v>
      </c>
      <c r="K61" s="116"/>
      <c r="L61" s="112" t="str">
        <f>IFERROR(VLOOKUP(Table1[[#This Row],[SyStudentId]],ISIR!$A$2:$X$999,11,FALSE),"")</f>
        <v/>
      </c>
      <c r="M61" s="113" t="str">
        <f>VLOOKUP(Table1[[#This Row],[SyStudentId]],SSR!$A$2:$CC$4982,7,FALSE)</f>
        <v>tapiaalex360@yahoo.com</v>
      </c>
      <c r="N61" s="113" t="str">
        <f>VLOOKUP(Table1[[#This Row],[SyStudentId]],SSR!$A$2:$CC$4982,8,FALSE)</f>
        <v>2627 W. Baseline Rd.</v>
      </c>
      <c r="O61" s="113" t="str">
        <f>VLOOKUP(Table1[[#This Row],[SyStudentId]],SSR!$A$2:$CC$4982,9,FALSE)</f>
        <v>Montrose</v>
      </c>
      <c r="P61" s="113" t="str">
        <f>VLOOKUP(Table1[[#This Row],[SyStudentId]],SSR!$A$2:$CC$4982,10,FALSE)</f>
        <v>CO</v>
      </c>
      <c r="Q61" s="117" t="str">
        <f>VLOOKUP(Table1[[#This Row],[SyStudentId]],SSR!$A$2:$CC$4982,11,FALSE)</f>
        <v xml:space="preserve">81401     </v>
      </c>
      <c r="R61" s="118">
        <f>VLOOKUP(Table1[[#This Row],[SyStudentId]],SSR!$A$2:$CC$4982,15,FALSE)</f>
        <v>2.931</v>
      </c>
      <c r="S61" s="119">
        <f>VLOOKUP(Table1[[#This Row],[SyStudentId]],SSR!$A$2:$CC$4982,22,FALSE)</f>
        <v>44109</v>
      </c>
      <c r="T61" s="113" t="str">
        <f>VLOOKUP(Table1[[#This Row],[SyStudentId]],SSR!$A$2:$CC$4982,24,FALSE)</f>
        <v>JT</v>
      </c>
      <c r="U61" s="113" t="str">
        <f>IF(VLOOKUP(Table1[[#This Row],[SyStudentId]],SSR!$A$2:$CC$4982,26,FALSE)=0,"Not Selected",VLOOKUP(Table1[[#This Row],[SyStudentId]],SSR!$A$2:$CC$4982,26,FALSE))</f>
        <v>Female</v>
      </c>
      <c r="V61" s="113" t="str">
        <f>VLOOKUP(Table1[[#This Row],[SyStudentId]],SSR!$A$2:$CC$4982,27,FALSE)</f>
        <v xml:space="preserve">HS2019  </v>
      </c>
      <c r="W61" s="113" t="str">
        <f>VLOOKUP(LEFT(Table1[[#This Row],[LastName]],1),Alpha!$A$1:$B$26,2,FALSE)</f>
        <v>Maureen Ranks</v>
      </c>
      <c r="X61" s="149" t="str">
        <f>VLOOKUP(Table1[[#This Row],[FAA]],Alpha!$B$1:$D$26,2,FALSE)</f>
        <v>mranks@neumont.edu</v>
      </c>
      <c r="Y61" s="113">
        <f>VLOOKUP(Table1[[#This Row],[FAA]],Alpha!$B$1:$D$26,3,FALSE)</f>
        <v>8883022894</v>
      </c>
      <c r="Z61" s="113" t="str">
        <f>VLOOKUP(Table1[[#This Row],[SyStudentId]],SSR!$A$2:$CC$4982,30,FALSE)</f>
        <v>16-Accepted</v>
      </c>
      <c r="AA61" s="113" t="str">
        <f>IF(VLOOKUP(Table1[[#This Row],[SyStudentId]],SSR!$A$2:$CC$4982,36,FALSE)="Bachelor of Science","BS Computer Science","Check Program")</f>
        <v>BS Computer Science</v>
      </c>
      <c r="AB61" s="113">
        <f>VLOOKUP(Table1[[#This Row],[SyStudentId]],SSR!$A$2:$CC$4982,37,FALSE)</f>
        <v>0</v>
      </c>
      <c r="AC61" s="113" t="str">
        <f>VLOOKUP(Table1[[#This Row],[SyStudentId]],SSR!$A$2:$CC$4982,42,FALSE)</f>
        <v xml:space="preserve">840     </v>
      </c>
      <c r="AD61" s="113" t="str">
        <f>VLOOKUP(Table1[[#This Row],[SyStudentId]],SSR!$A$2:$CC$4982,46,FALSE)</f>
        <v>89</v>
      </c>
      <c r="AE61" s="113" t="str">
        <f>VLOOKUP(Table1[[#This Row],[SyStudentId]],SSR!$A$2:$CC$4982,65,FALSE)</f>
        <v>VII</v>
      </c>
      <c r="AF61"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7</v>
      </c>
      <c r="AG61" s="113" t="str">
        <f>VLOOKUP(Table1[[#This Row],[SyStudentId]],SSR!$A$2:$CC$4982,66,FALSE)</f>
        <v>November</v>
      </c>
      <c r="AH61" s="113" t="str">
        <f>IFERROR(VLOOKUP(Table1[[#This Row],[SyStudentId]],ISIR!$A$2:$X$999,7,FALSE),"")</f>
        <v/>
      </c>
      <c r="AI61" s="121" t="str">
        <f>IF(Table1[[#This Row],[EFCRaw]]="","",IF(Table1[[#This Row],[EFCRaw]]="No EFC","No EFC",_xlfn.NUMBERVALUE(Table1[[#This Row],[EFCRaw]])))</f>
        <v/>
      </c>
      <c r="AJ61" s="119" t="str">
        <f>IFERROR(VLOOKUP(Table1[[#This Row],[SyStudentId]],ISIR!$A$2:$X$4999,19,FALSE),"")</f>
        <v/>
      </c>
      <c r="AK61" s="113" t="str">
        <f>IFERROR(VLOOKUP(Table1[[#This Row],[SyStudentId]],ISIR!$A$2:$X$4999,8,FALSE),"")</f>
        <v/>
      </c>
      <c r="AL61" s="132" t="str">
        <f>IF(Table1[[#This Row],[VerReq]]="N","n/a","")</f>
        <v/>
      </c>
      <c r="AM61" s="122"/>
      <c r="AN61" s="122"/>
      <c r="AO61" s="122"/>
      <c r="AP61" s="122"/>
      <c r="AQ61" s="122"/>
      <c r="AR61" s="122"/>
      <c r="AS61" s="122"/>
      <c r="AT61" s="122"/>
      <c r="AU61" s="122"/>
      <c r="AV61" s="122"/>
      <c r="AW61" s="122"/>
      <c r="AX61" s="122"/>
      <c r="AY61" s="122"/>
      <c r="AZ61" s="122"/>
      <c r="BA61" s="122"/>
      <c r="BB61" s="122"/>
      <c r="BC61" s="133"/>
      <c r="BD61" s="140" t="str">
        <f>IF(Table1[[#This Row],[VerReq]]="N","x","")</f>
        <v/>
      </c>
      <c r="BE61" s="140" t="str">
        <f>IF(Table1[[#This Row],[VerReq]]="N","x","")</f>
        <v/>
      </c>
      <c r="BF61" s="140" t="str">
        <f>IF(Table1[[#This Row],[VerReq]]="N","x","")</f>
        <v/>
      </c>
      <c r="BG61" s="140" t="str">
        <f>IF(Table1[[#This Row],[VerReq]]="N","x","")</f>
        <v/>
      </c>
      <c r="BH61" s="140" t="str">
        <f>IF(Table1[[#This Row],[VerReq]]="N","x","")</f>
        <v/>
      </c>
      <c r="BI61" s="140" t="str">
        <f>IF(Table1[[#This Row],[VerReq]]="N","x","")</f>
        <v/>
      </c>
      <c r="BJ61" s="123">
        <f>1-((COUNTBLANK(Table1[[#This Row],[ALESent]:[TaxTran]]))/(COUNT(Table1[[#This Row],[ALESent]:[TaxTran]])+COUNTBLANK(Table1[[#This Row],[ALESent]:[TaxTran]])))</f>
        <v>0</v>
      </c>
      <c r="BK61" s="136">
        <f>IF(VLOOKUP(Table1[[#This Row],[SyStudentId]],SSR!$A$2:$CC$4982,22,FALSE)=44109,44109,"Check Program")</f>
        <v>44109</v>
      </c>
      <c r="BL61" s="124">
        <f>IF(Table1[[#This Row],[AYStart]]=44109,44356,"Check Program")</f>
        <v>44356</v>
      </c>
      <c r="BM61" s="219"/>
      <c r="BN61" s="219"/>
      <c r="BO61" s="219"/>
      <c r="BP61" s="220">
        <f t="shared" si="0"/>
        <v>0</v>
      </c>
      <c r="BQ61" s="221"/>
      <c r="BR61" s="219"/>
      <c r="BS61" s="219"/>
      <c r="BT61" s="220">
        <f t="shared" si="1"/>
        <v>0</v>
      </c>
      <c r="BU61" s="219"/>
      <c r="BV61" s="219"/>
      <c r="BW61" s="219"/>
      <c r="BX61" s="220">
        <f t="shared" si="2"/>
        <v>0</v>
      </c>
      <c r="BY61" s="275"/>
      <c r="BZ61" s="275"/>
      <c r="CA61" s="275"/>
      <c r="CB61" s="220">
        <f>SUM(Table1[[#This Row],[LEQ1]:[LEQ3]])</f>
        <v>0</v>
      </c>
      <c r="CC61" s="275"/>
      <c r="CD61" s="275"/>
      <c r="CE61" s="275"/>
      <c r="CF61" s="220">
        <f>SUM(Table1[[#This Row],[OthCostQ1]:[OthCostQ3]])</f>
        <v>0</v>
      </c>
      <c r="CG61" s="220">
        <f>(Table1[[#This Row],[T&amp;FTot]]+Table1[[#This Row],[B&amp;STot]]+Table1[[#This Row],[HousTot]]+Table1[[#This Row],[LETot]]+Table1[[#This Row],[OthCostTot]])</f>
        <v>0</v>
      </c>
      <c r="CH61" s="250"/>
      <c r="CI61" s="250"/>
      <c r="CJ61" s="250"/>
      <c r="CK61" s="251">
        <f>SUM(Table1[[#This Row],[SEOGQ1]:[SEOGQ3]])</f>
        <v>0</v>
      </c>
      <c r="CL61" s="250">
        <f>IFERROR(ROUNDUP(Table1[[#This Row],[PellTot]]/3,0),0)</f>
        <v>0</v>
      </c>
      <c r="CM61" s="250">
        <f>IFERROR(ROUND(Table1[[#This Row],[PellTot]]/3,0),0)</f>
        <v>0</v>
      </c>
      <c r="CN61" s="250">
        <f>IFERROR(ROUNDDOWN(Table1[[#This Row],[PellTot]]/3,0),0)</f>
        <v>0</v>
      </c>
      <c r="CO61" s="251">
        <f>IFERROR(LOOKUP(Table1[EFC],Pell_Table[#Data],Pell_Table[Pell Amt]),0)</f>
        <v>0</v>
      </c>
      <c r="CP61" s="250">
        <f>Table1[[#This Row],[AccessTot]]/3</f>
        <v>0</v>
      </c>
      <c r="CQ61" s="250">
        <f>Table1[[#This Row],[AccessTot]]/3</f>
        <v>0</v>
      </c>
      <c r="CR61" s="250">
        <f>Table1[[#This Row],[AccessTot]]/3</f>
        <v>0</v>
      </c>
      <c r="CS61" s="251">
        <f>IF(Table1[[#This Row],[PellTot]]&gt;0,1500,0)</f>
        <v>0</v>
      </c>
      <c r="CT61" s="250">
        <f>Table1[[#This Row],[AchiTot]]/3</f>
        <v>0</v>
      </c>
      <c r="CU61" s="250">
        <f>Table1[[#This Row],[AchiTot]]/3</f>
        <v>0</v>
      </c>
      <c r="CV61" s="250">
        <f>Table1[[#This Row],[AchiTot]]/3</f>
        <v>0</v>
      </c>
      <c r="CW61" s="252">
        <f>IF(Table1[[#This Row],[Rank]]="","",IF(Table1[[#This Row],[Rank]]=1,5100,IF(Table1[[#This Row],[Rank]]=2,4500,IF(Table1[[#This Row],[Rank]]=3,3900,IF(Table1[[#This Row],[Rank]]=4,3750,IF(Table1[[#This Row],[Rank]]=5,3000,IF(Table1[[#This Row],[Rank]]=6,2250,0)))))))</f>
        <v>0</v>
      </c>
      <c r="CX61" s="250">
        <f>Table1[[#This Row],[UTTot]]/3</f>
        <v>0</v>
      </c>
      <c r="CY61" s="250">
        <f>Table1[[#This Row],[UTTot]]/3</f>
        <v>0</v>
      </c>
      <c r="CZ61" s="250">
        <f>Table1[[#This Row],[UTTot]]/3</f>
        <v>0</v>
      </c>
      <c r="DA61" s="251">
        <f>IF(Table1[[#This Row],[State]]="UT",9000,0)</f>
        <v>0</v>
      </c>
      <c r="DB61" s="250">
        <f>Table1[[#This Row],[WITTot]]/3</f>
        <v>1000</v>
      </c>
      <c r="DC61" s="250">
        <f>Table1[[#This Row],[WITTot]]/3</f>
        <v>1000</v>
      </c>
      <c r="DD61" s="250">
        <f>Table1[[#This Row],[WITTot]]/3</f>
        <v>1000</v>
      </c>
      <c r="DE61" s="251">
        <f>IF(Table1[[#This Row],[Gender]]="Female",3000,0)</f>
        <v>3000</v>
      </c>
      <c r="DF61" s="250">
        <f>Table1[[#This Row],[SerTot]]/3</f>
        <v>0</v>
      </c>
      <c r="DG61" s="250">
        <f>Table1[[#This Row],[SerTot]]/3</f>
        <v>0</v>
      </c>
      <c r="DH61" s="250">
        <f>Table1[[#This Row],[SerTot]]/3</f>
        <v>0</v>
      </c>
      <c r="DI61" s="252"/>
      <c r="DJ61" s="250"/>
      <c r="DK61" s="250"/>
      <c r="DL61" s="250"/>
      <c r="DM61" s="252"/>
      <c r="DN61" s="250">
        <f>Table1[[#This Row],[MatTot]]/3</f>
        <v>0</v>
      </c>
      <c r="DO61" s="250">
        <f>Table1[[#This Row],[MatTot]]/3</f>
        <v>0</v>
      </c>
      <c r="DP61" s="250">
        <f>Table1[[#This Row],[MatTot]]/3</f>
        <v>0</v>
      </c>
      <c r="DQ61" s="252"/>
      <c r="DR61" s="250">
        <f>Table1[[#This Row],[OutTot]]/3</f>
        <v>0</v>
      </c>
      <c r="DS61" s="250">
        <f>Table1[[#This Row],[OutTot]]/3</f>
        <v>0</v>
      </c>
      <c r="DT61" s="250">
        <f>Table1[[#This Row],[OutTot]]/3</f>
        <v>0</v>
      </c>
      <c r="DU61" s="252"/>
      <c r="DV61" s="250"/>
      <c r="DW61" s="250"/>
      <c r="DX61" s="250"/>
      <c r="DY61" s="252">
        <f>SUM(Table1[[#This Row],[VAQ1]:[VAQ3]])</f>
        <v>0</v>
      </c>
      <c r="DZ61" s="250"/>
      <c r="EA61" s="250"/>
      <c r="EB61" s="250"/>
      <c r="EC61" s="252">
        <f>SUM(Table1[[#This Row],[OthGrantQ1]:[OthGrantQ3]])</f>
        <v>0</v>
      </c>
      <c r="ED61" s="263">
        <f>Table1[[#This Row],[SEOGTot]]+Table1[[#This Row],[PellTot]]+Table1[[#This Row],[AccessTot]]+Table1[[#This Row],[AchiTot]]+Table1[[#This Row],[UTTot]]+Table1[[#This Row],[WITTot]]+Table1[[#This Row],[SerTot]]+Table1[[#This Row],[TranTot]]+Table1[[#This Row],[MatTot]]+Table1[[#This Row],[OutTot]]+Table1[[#This Row],[VATot]]+Table1[[#This Row],[OthGrantTot]]</f>
        <v>3000</v>
      </c>
      <c r="EE61" s="249"/>
      <c r="EF61" s="237"/>
      <c r="EG61" s="237"/>
      <c r="EH61" s="232">
        <f>SUM(Table1[[#This Row],[CashQ1]]:Table1[[#This Row],[CashQ3]])</f>
        <v>0</v>
      </c>
      <c r="EI61" s="271">
        <f>ROUND((Table1[[#This Row],[SubTot]]/3)/1.01059,0)</f>
        <v>0</v>
      </c>
      <c r="EJ61" s="234">
        <f>ROUND((Table1[[#This Row],[SubTot]]/3)/1.01059,0)</f>
        <v>0</v>
      </c>
      <c r="EK61" s="234">
        <f>ROUNDUP((Table1[[#This Row],[SubTot]]/3)/1.01059,0)</f>
        <v>0</v>
      </c>
      <c r="EL61" s="235"/>
      <c r="EM61" s="240">
        <f>Table1[[#This Row],[SubTot]]*0.01059</f>
        <v>0</v>
      </c>
      <c r="EN61" s="234">
        <f>ROUND((Table1[[#This Row],[UnsubTot]]/3)/1.01062,0)</f>
        <v>660</v>
      </c>
      <c r="EO61" s="234">
        <f>ROUND((Table1[[#This Row],[UnsubTot]]/3)/1.01062,0)</f>
        <v>660</v>
      </c>
      <c r="EP61" s="234">
        <f>ROUNDDOWN((Table1[[#This Row],[UnsubTot]]/3)/1.01062,0)</f>
        <v>659</v>
      </c>
      <c r="EQ61" s="235">
        <f>IF(Table1[D/I]="I",6000,2000)</f>
        <v>2000</v>
      </c>
      <c r="ER61" s="240">
        <f>Table1[[#This Row],[UnsubTot]]*0.01062</f>
        <v>21.24</v>
      </c>
      <c r="ES61" s="234">
        <f>ROUND((Table1[[#This Row],[PLUSTot]]/3)/1.04248,0)</f>
        <v>0</v>
      </c>
      <c r="ET61" s="234">
        <f>ROUND((Table1[[#This Row],[PLUSTot]]/3)/1.04248,0)</f>
        <v>0</v>
      </c>
      <c r="EU61" s="234">
        <f>ROUND((Table1[[#This Row],[PLUSTot]]/3)/1.04248,0)</f>
        <v>0</v>
      </c>
      <c r="EV61" s="235"/>
      <c r="EW61" s="239">
        <f>Table1[[#This Row],[PLUSTot]]*0.04248</f>
        <v>0</v>
      </c>
      <c r="EX61" s="237"/>
      <c r="EY61" s="237"/>
      <c r="EZ61" s="237"/>
      <c r="FA61" s="232">
        <f>SUM(Table1[[#This Row],[PrivQ1]:[PrivQ3]])</f>
        <v>0</v>
      </c>
      <c r="FB61" s="237"/>
      <c r="FC61" s="237"/>
      <c r="FD61" s="237"/>
      <c r="FE61" s="232">
        <f>SUM(Table1[[#This Row],[TOQ1]:[TOQ3]])</f>
        <v>0</v>
      </c>
      <c r="FF61" s="237"/>
      <c r="FG61" s="237"/>
      <c r="FH61" s="237"/>
      <c r="FI61" s="232">
        <f>SUM(Table1[[#This Row],[OFundQ1]:[OFundQ3]])</f>
        <v>0</v>
      </c>
      <c r="FJ61" s="239">
        <f>(Table1[[#This Row],[SubTot]]-Table1[[#This Row],[SubFee]])+(Table1[[#This Row],[UnsubTot]]-Table1[[#This Row],[UnsubFee]])+(Table1[[#This Row],[PLUSTot]]-Table1[[#This Row],[PLUSFee]])+Table1[[#This Row],[PrivTot]]+Table1[[#This Row],[TOTot]]+Table1[[#This Row],[OFundTot]]</f>
        <v>1978.76</v>
      </c>
      <c r="FK61" s="125">
        <f>Table1[[#This Row],[CostTot]]-Table1[[#This Row],[GiftTot]]</f>
        <v>-3000</v>
      </c>
      <c r="FL61" s="130">
        <f>Table1[[#This Row],[NetNeed]]/(1-0.04248)</f>
        <v>-5199.6407385746516</v>
      </c>
      <c r="FM61" s="131">
        <f>Table1[[#This Row],[NetCost]]-Table1[[#This Row],[CashTot]]-(Table1[[#This Row],[SubTot]]-Table1[[#This Row],[SubFee]])-(Table1[[#This Row],[UnsubTot]]-Table1[[#This Row],[UnsubFee]])-(Table1[[#This Row],[PLUSTot]]-Table1[[#This Row],[PLUSFee]])-Table1[[#This Row],[PrivTot]]-Table1[[#This Row],[TOTot]]-Table1[[#This Row],[OFundTot]]</f>
        <v>-4978.76</v>
      </c>
      <c r="FN61" s="161"/>
      <c r="FO61" s="113"/>
      <c r="FP61" s="113"/>
    </row>
    <row r="62" spans="1:172" s="160" customFormat="1" ht="15" x14ac:dyDescent="0.25">
      <c r="A62" s="267">
        <v>196002</v>
      </c>
      <c r="B62" s="113" t="str">
        <f>VLOOKUP(Table1[[#This Row],[SyStudentId]],SSR!$A$2:$CC$4982,4,FALSE)</f>
        <v>Olea</v>
      </c>
      <c r="C62" s="113" t="str">
        <f>VLOOKUP(Table1[[#This Row],[SyStudentId]],SSR!$A$2:$CC$4982,5,FALSE)</f>
        <v>Moises</v>
      </c>
      <c r="D62" s="113" t="str">
        <f>VLOOKUP(Table1[[#This Row],[SyStudentId]],SSR!$A$2:$CC$4982,6,FALSE)</f>
        <v>Olea, Moises</v>
      </c>
      <c r="E62" s="113" t="str">
        <f>CONCATENATE(Table1[[#This Row],[FirstName]]," ",Table1[[#This Row],[LastName]])</f>
        <v>Moises Olea</v>
      </c>
      <c r="F62" s="112"/>
      <c r="G62" s="114"/>
      <c r="H62" s="114"/>
      <c r="I62" s="114"/>
      <c r="J62" s="115"/>
      <c r="K62" s="116"/>
      <c r="L62" s="112" t="str">
        <f>IFERROR(VLOOKUP(Table1[[#This Row],[SyStudentId]],ISIR!$A$2:$X$999,11,FALSE),"")</f>
        <v/>
      </c>
      <c r="M62" s="113" t="str">
        <f>VLOOKUP(Table1[[#This Row],[SyStudentId]],SSR!$A$2:$CC$4982,7,FALSE)</f>
        <v>moises.olea12@gmail.com</v>
      </c>
      <c r="N62" s="113" t="str">
        <f>VLOOKUP(Table1[[#This Row],[SyStudentId]],SSR!$A$2:$CC$4982,8,FALSE)</f>
        <v>1022 Locust Ave Apt. E</v>
      </c>
      <c r="O62" s="113" t="str">
        <f>VLOOKUP(Table1[[#This Row],[SyStudentId]],SSR!$A$2:$CC$4982,9,FALSE)</f>
        <v>Long Beach</v>
      </c>
      <c r="P62" s="290" t="str">
        <f>VLOOKUP(Table1[[#This Row],[SyStudentId]],SSR!$A$2:$CC$4982,10,FALSE)</f>
        <v>CA</v>
      </c>
      <c r="Q62" s="117" t="str">
        <f>VLOOKUP(Table1[[#This Row],[SyStudentId]],SSR!$A$2:$CC$4982,11,FALSE)</f>
        <v xml:space="preserve">90813     </v>
      </c>
      <c r="R62" s="118">
        <f>VLOOKUP(Table1[[#This Row],[SyStudentId]],SSR!$A$2:$CC$4982,15,FALSE)</f>
        <v>3.02</v>
      </c>
      <c r="S62" s="119">
        <f>VLOOKUP(Table1[[#This Row],[SyStudentId]],SSR!$A$2:$CC$4982,22,FALSE)</f>
        <v>44109</v>
      </c>
      <c r="T62" s="113" t="str">
        <f>VLOOKUP(Table1[[#This Row],[SyStudentId]],SSR!$A$2:$CC$4982,24,FALSE)</f>
        <v>JT</v>
      </c>
      <c r="U62" s="113" t="str">
        <f>IF(VLOOKUP(Table1[[#This Row],[SyStudentId]],SSR!$A$2:$CC$4982,26,FALSE)=0,"Not Selected",VLOOKUP(Table1[[#This Row],[SyStudentId]],SSR!$A$2:$CC$4982,26,FALSE))</f>
        <v>Male</v>
      </c>
      <c r="V62" s="113" t="str">
        <f>VLOOKUP(Table1[[#This Row],[SyStudentId]],SSR!$A$2:$CC$4982,27,FALSE)</f>
        <v xml:space="preserve">HS2020  </v>
      </c>
      <c r="W62" s="113" t="str">
        <f>VLOOKUP(LEFT(Table1[[#This Row],[LastName]],1),Alpha!$A$1:$B$26,2,FALSE)</f>
        <v>Maureen Ranks</v>
      </c>
      <c r="X62" s="149" t="str">
        <f>VLOOKUP(Table1[[#This Row],[FAA]],Alpha!$B$1:$D$26,2,FALSE)</f>
        <v>mranks@neumont.edu</v>
      </c>
      <c r="Y62" s="113">
        <f>VLOOKUP(Table1[[#This Row],[FAA]],Alpha!$B$1:$D$26,3,FALSE)</f>
        <v>8883022894</v>
      </c>
      <c r="Z62" s="113" t="str">
        <f>VLOOKUP(Table1[[#This Row],[SyStudentId]],SSR!$A$2:$CC$4982,30,FALSE)</f>
        <v>16-Accepted</v>
      </c>
      <c r="AA62" s="113" t="str">
        <f>IF(VLOOKUP(Table1[[#This Row],[SyStudentId]],SSR!$A$2:$CC$4982,36,FALSE)="Bachelor of Science","BS Computer Science","Check Program")</f>
        <v>BS Computer Science</v>
      </c>
      <c r="AB62" s="113">
        <f>VLOOKUP(Table1[[#This Row],[SyStudentId]],SSR!$A$2:$CC$4982,37,FALSE)</f>
        <v>0</v>
      </c>
      <c r="AC62" s="113" t="str">
        <f>VLOOKUP(Table1[[#This Row],[SyStudentId]],SSR!$A$2:$CC$4982,42,FALSE)</f>
        <v xml:space="preserve">950     </v>
      </c>
      <c r="AD62" s="113" t="str">
        <f>VLOOKUP(Table1[[#This Row],[SyStudentId]],SSR!$A$2:$CC$4982,46,FALSE)</f>
        <v>95</v>
      </c>
      <c r="AE62" s="113" t="str">
        <f>VLOOKUP(Table1[[#This Row],[SyStudentId]],SSR!$A$2:$CC$4982,65,FALSE)</f>
        <v>IV</v>
      </c>
      <c r="AF62"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4</v>
      </c>
      <c r="AG62" s="113" t="str">
        <f>VLOOKUP(Table1[[#This Row],[SyStudentId]],SSR!$A$2:$CC$4982,66,FALSE)</f>
        <v>July-October</v>
      </c>
      <c r="AH62" s="113" t="str">
        <f>IFERROR(VLOOKUP(Table1[[#This Row],[SyStudentId]],ISIR!$A$2:$X$999,7,FALSE),"")</f>
        <v/>
      </c>
      <c r="AI62" s="121" t="str">
        <f>IF(Table1[[#This Row],[EFCRaw]]="","",IF(Table1[[#This Row],[EFCRaw]]="No EFC","No EFC",_xlfn.NUMBERVALUE(Table1[[#This Row],[EFCRaw]])))</f>
        <v/>
      </c>
      <c r="AJ62" s="119" t="str">
        <f>IFERROR(VLOOKUP(Table1[[#This Row],[SyStudentId]],ISIR!$A$2:$X$4999,19,FALSE),"")</f>
        <v/>
      </c>
      <c r="AK62" s="113" t="str">
        <f>IFERROR(VLOOKUP(Table1[[#This Row],[SyStudentId]],ISIR!$A$2:$X$4999,8,FALSE),"")</f>
        <v/>
      </c>
      <c r="AL62" s="132" t="str">
        <f>IF(Table1[[#This Row],[VerReq]]="N","n/a","")</f>
        <v/>
      </c>
      <c r="AM62" s="122"/>
      <c r="AN62" s="122"/>
      <c r="AO62" s="122"/>
      <c r="AP62" s="122"/>
      <c r="AQ62" s="122"/>
      <c r="AR62" s="122"/>
      <c r="AS62" s="122"/>
      <c r="AT62" s="122"/>
      <c r="AU62" s="122"/>
      <c r="AV62" s="122"/>
      <c r="AW62" s="122"/>
      <c r="AX62" s="122"/>
      <c r="AY62" s="122"/>
      <c r="AZ62" s="122"/>
      <c r="BA62" s="122"/>
      <c r="BB62" s="122"/>
      <c r="BC62" s="133"/>
      <c r="BD62" s="140" t="str">
        <f>IF(Table1[[#This Row],[VerReq]]="N","x","")</f>
        <v/>
      </c>
      <c r="BE62" s="140" t="str">
        <f>IF(Table1[[#This Row],[VerReq]]="N","x","")</f>
        <v/>
      </c>
      <c r="BF62" s="140" t="str">
        <f>IF(Table1[[#This Row],[VerReq]]="N","x","")</f>
        <v/>
      </c>
      <c r="BG62" s="140" t="str">
        <f>IF(Table1[[#This Row],[VerReq]]="N","x","")</f>
        <v/>
      </c>
      <c r="BH62" s="140" t="str">
        <f>IF(Table1[[#This Row],[VerReq]]="N","x","")</f>
        <v/>
      </c>
      <c r="BI62" s="140" t="str">
        <f>IF(Table1[[#This Row],[VerReq]]="N","x","")</f>
        <v/>
      </c>
      <c r="BJ62" s="123">
        <f>1-((COUNTBLANK(Table1[[#This Row],[ALESent]:[TaxTran]]))/(COUNT(Table1[[#This Row],[ALESent]:[TaxTran]])+COUNTBLANK(Table1[[#This Row],[ALESent]:[TaxTran]])))</f>
        <v>0</v>
      </c>
      <c r="BK62" s="136">
        <f>IF(VLOOKUP(Table1[[#This Row],[SyStudentId]],SSR!$A$2:$CC$4982,22,FALSE)=44109,44109,"Check Program")</f>
        <v>44109</v>
      </c>
      <c r="BL62" s="124">
        <f>IF(Table1[[#This Row],[AYStart]]=44109,44356,"Check Program")</f>
        <v>44356</v>
      </c>
      <c r="BM62" s="219">
        <v>8505</v>
      </c>
      <c r="BN62" s="219">
        <v>8505</v>
      </c>
      <c r="BO62" s="219">
        <v>8505</v>
      </c>
      <c r="BP62" s="220">
        <f t="shared" si="0"/>
        <v>25515</v>
      </c>
      <c r="BQ62" s="221">
        <v>3300</v>
      </c>
      <c r="BR62" s="219">
        <v>400</v>
      </c>
      <c r="BS62" s="219">
        <v>400</v>
      </c>
      <c r="BT62" s="220">
        <f t="shared" si="1"/>
        <v>4100</v>
      </c>
      <c r="BU62" s="219">
        <v>2100</v>
      </c>
      <c r="BV62" s="219">
        <v>2100</v>
      </c>
      <c r="BW62" s="219">
        <v>2100</v>
      </c>
      <c r="BX62" s="220">
        <f t="shared" si="2"/>
        <v>6300</v>
      </c>
      <c r="BY62" s="275">
        <v>1200</v>
      </c>
      <c r="BZ62" s="275">
        <v>1200</v>
      </c>
      <c r="CA62" s="275">
        <v>1200</v>
      </c>
      <c r="CB62" s="220">
        <f>SUM(Table1[[#This Row],[LEQ1]:[LEQ3]])</f>
        <v>3600</v>
      </c>
      <c r="CC62" s="275">
        <v>0</v>
      </c>
      <c r="CD62" s="275">
        <v>0</v>
      </c>
      <c r="CE62" s="275">
        <v>0</v>
      </c>
      <c r="CF62" s="220">
        <f>SUM(Table1[[#This Row],[OthCostQ1]:[OthCostQ3]])</f>
        <v>0</v>
      </c>
      <c r="CG62" s="220">
        <f>(Table1[[#This Row],[T&amp;FTot]]+Table1[[#This Row],[B&amp;STot]]+Table1[[#This Row],[HousTot]]+Table1[[#This Row],[LETot]]+Table1[[#This Row],[OthCostTot]])</f>
        <v>39515</v>
      </c>
      <c r="CH62" s="250"/>
      <c r="CI62" s="250"/>
      <c r="CJ62" s="250"/>
      <c r="CK62" s="251">
        <f>SUM(Table1[[#This Row],[SEOGQ1]:[SEOGQ3]])</f>
        <v>0</v>
      </c>
      <c r="CL62" s="250">
        <f>IFERROR(ROUNDUP(Table1[[#This Row],[PellTot]]/3,0),0)</f>
        <v>0</v>
      </c>
      <c r="CM62" s="250">
        <f>IFERROR(ROUND(Table1[[#This Row],[PellTot]]/3,0),0)</f>
        <v>0</v>
      </c>
      <c r="CN62" s="250">
        <f>IFERROR(ROUNDDOWN(Table1[[#This Row],[PellTot]]/3,0),0)</f>
        <v>0</v>
      </c>
      <c r="CO62" s="251">
        <f>IFERROR(LOOKUP(Table1[EFC],Pell_Table[#Data],Pell_Table[Pell Amt]),0)</f>
        <v>0</v>
      </c>
      <c r="CP62" s="250">
        <f>Table1[[#This Row],[AccessTot]]/3</f>
        <v>0</v>
      </c>
      <c r="CQ62" s="250">
        <f>Table1[[#This Row],[AccessTot]]/3</f>
        <v>0</v>
      </c>
      <c r="CR62" s="250">
        <f>Table1[[#This Row],[AccessTot]]/3</f>
        <v>0</v>
      </c>
      <c r="CS62" s="251">
        <f>IF(Table1[[#This Row],[PellTot]]&gt;0,1500,0)</f>
        <v>0</v>
      </c>
      <c r="CT62" s="250">
        <f>Table1[[#This Row],[AchiTot]]/3</f>
        <v>1250</v>
      </c>
      <c r="CU62" s="250">
        <f>Table1[[#This Row],[AchiTot]]/3</f>
        <v>1250</v>
      </c>
      <c r="CV62" s="250">
        <f>Table1[[#This Row],[AchiTot]]/3</f>
        <v>1250</v>
      </c>
      <c r="CW62" s="252">
        <f>IF(Table1[[#This Row],[Rank]]="","",IF(Table1[[#This Row],[Rank]]=1,5100,IF(Table1[[#This Row],[Rank]]=2,4500,IF(Table1[[#This Row],[Rank]]=3,3900,IF(Table1[[#This Row],[Rank]]=4,3750,IF(Table1[[#This Row],[Rank]]=5,3000,IF(Table1[[#This Row],[Rank]]=6,2250,0)))))))</f>
        <v>3750</v>
      </c>
      <c r="CX62" s="250">
        <f>Table1[[#This Row],[UTTot]]/3</f>
        <v>0</v>
      </c>
      <c r="CY62" s="250">
        <f>Table1[[#This Row],[UTTot]]/3</f>
        <v>0</v>
      </c>
      <c r="CZ62" s="250">
        <f>Table1[[#This Row],[UTTot]]/3</f>
        <v>0</v>
      </c>
      <c r="DA62" s="251">
        <f>IF(Table1[[#This Row],[State]]="UT",9000,0)</f>
        <v>0</v>
      </c>
      <c r="DB62" s="250">
        <f>Table1[[#This Row],[WITTot]]/3</f>
        <v>0</v>
      </c>
      <c r="DC62" s="250">
        <f>Table1[[#This Row],[WITTot]]/3</f>
        <v>0</v>
      </c>
      <c r="DD62" s="250">
        <f>Table1[[#This Row],[WITTot]]/3</f>
        <v>0</v>
      </c>
      <c r="DE62" s="251">
        <f>IF(Table1[[#This Row],[Gender]]="Female",3000,0)</f>
        <v>0</v>
      </c>
      <c r="DF62" s="250">
        <f>Table1[[#This Row],[SerTot]]/3</f>
        <v>0</v>
      </c>
      <c r="DG62" s="250">
        <f>Table1[[#This Row],[SerTot]]/3</f>
        <v>0</v>
      </c>
      <c r="DH62" s="250">
        <f>Table1[[#This Row],[SerTot]]/3</f>
        <v>0</v>
      </c>
      <c r="DI62" s="252"/>
      <c r="DJ62" s="250"/>
      <c r="DK62" s="250"/>
      <c r="DL62" s="250"/>
      <c r="DM62" s="252"/>
      <c r="DN62" s="250">
        <f>Table1[[#This Row],[MatTot]]/3</f>
        <v>0</v>
      </c>
      <c r="DO62" s="250">
        <f>Table1[[#This Row],[MatTot]]/3</f>
        <v>0</v>
      </c>
      <c r="DP62" s="250">
        <f>Table1[[#This Row],[MatTot]]/3</f>
        <v>0</v>
      </c>
      <c r="DQ62" s="252">
        <v>0</v>
      </c>
      <c r="DR62" s="250">
        <f>Table1[[#This Row],[OutTot]]/3</f>
        <v>0</v>
      </c>
      <c r="DS62" s="250">
        <f>Table1[[#This Row],[OutTot]]/3</f>
        <v>0</v>
      </c>
      <c r="DT62" s="250">
        <f>Table1[[#This Row],[OutTot]]/3</f>
        <v>0</v>
      </c>
      <c r="DU62" s="252">
        <v>0</v>
      </c>
      <c r="DV62" s="250">
        <v>0</v>
      </c>
      <c r="DW62" s="250">
        <v>0</v>
      </c>
      <c r="DX62" s="250">
        <v>0</v>
      </c>
      <c r="DY62" s="252">
        <f>SUM(Table1[[#This Row],[VAQ1]:[VAQ3]])</f>
        <v>0</v>
      </c>
      <c r="DZ62" s="250">
        <v>0</v>
      </c>
      <c r="EA62" s="250">
        <v>0</v>
      </c>
      <c r="EB62" s="250">
        <v>0</v>
      </c>
      <c r="EC62" s="252">
        <f>SUM(Table1[[#This Row],[OthGrantQ1]:[OthGrantQ3]])</f>
        <v>0</v>
      </c>
      <c r="ED62" s="263">
        <f>Table1[[#This Row],[SEOGTot]]+Table1[[#This Row],[PellTot]]+Table1[[#This Row],[AccessTot]]+Table1[[#This Row],[AchiTot]]+Table1[[#This Row],[UTTot]]+Table1[[#This Row],[WITTot]]+Table1[[#This Row],[SerTot]]+Table1[[#This Row],[TranTot]]+Table1[[#This Row],[MatTot]]+Table1[[#This Row],[OutTot]]+Table1[[#This Row],[VATot]]+Table1[[#This Row],[OthGrantTot]]</f>
        <v>3750</v>
      </c>
      <c r="EE62" s="249"/>
      <c r="EF62" s="237"/>
      <c r="EG62" s="237"/>
      <c r="EH62" s="232">
        <f>SUM(Table1[[#This Row],[CashQ1]]:Table1[[#This Row],[CashQ3]])</f>
        <v>0</v>
      </c>
      <c r="EI62" s="271">
        <f>ROUND((Table1[[#This Row],[SubTot]]/3)/1.01059,0)</f>
        <v>1154</v>
      </c>
      <c r="EJ62" s="234">
        <f>ROUND((Table1[[#This Row],[SubTot]]/3)/1.01059,0)</f>
        <v>1154</v>
      </c>
      <c r="EK62" s="234">
        <f>ROUNDUP((Table1[[#This Row],[SubTot]]/3)/1.01059,0)</f>
        <v>1155</v>
      </c>
      <c r="EL62" s="235">
        <v>3500</v>
      </c>
      <c r="EM62" s="240">
        <f>Table1[[#This Row],[SubTot]]*0.01059</f>
        <v>37.065000000000005</v>
      </c>
      <c r="EN62" s="234">
        <f>ROUND((Table1[[#This Row],[UnsubTot]]/3)/1.01062,0)</f>
        <v>660</v>
      </c>
      <c r="EO62" s="234">
        <f>ROUND((Table1[[#This Row],[UnsubTot]]/3)/1.01062,0)</f>
        <v>660</v>
      </c>
      <c r="EP62" s="234">
        <f>ROUNDDOWN((Table1[[#This Row],[UnsubTot]]/3)/1.01062,0)</f>
        <v>659</v>
      </c>
      <c r="EQ62" s="235">
        <f>IF(Table1[D/I]="I",6000,2000)</f>
        <v>2000</v>
      </c>
      <c r="ER62" s="240">
        <f>Table1[[#This Row],[UnsubTot]]*0.01059</f>
        <v>21.18</v>
      </c>
      <c r="ES62" s="234">
        <f>ROUND((Table1[[#This Row],[PLUSTot]]/3)/1.04236,0)</f>
        <v>0</v>
      </c>
      <c r="ET62" s="234">
        <f>ROUND((Table1[[#This Row],[PLUSTot]]/3)/1.04236,0)</f>
        <v>0</v>
      </c>
      <c r="EU62" s="234">
        <f>ROUND((Table1[[#This Row],[PLUSTot]]/3)/1.04236,0)</f>
        <v>0</v>
      </c>
      <c r="EV62" s="235">
        <v>0</v>
      </c>
      <c r="EW62" s="239">
        <f>Table1[[#This Row],[PLUSTot]]*0.04248</f>
        <v>0</v>
      </c>
      <c r="EX62" s="237"/>
      <c r="EY62" s="237"/>
      <c r="EZ62" s="237"/>
      <c r="FA62" s="232">
        <f>SUM(Table1[[#This Row],[PrivQ1]:[PrivQ3]])</f>
        <v>0</v>
      </c>
      <c r="FB62" s="237"/>
      <c r="FC62" s="237"/>
      <c r="FD62" s="237"/>
      <c r="FE62" s="232">
        <f>SUM(Table1[[#This Row],[TOQ1]:[TOQ3]])</f>
        <v>0</v>
      </c>
      <c r="FF62" s="237"/>
      <c r="FG62" s="237"/>
      <c r="FH62" s="237"/>
      <c r="FI62" s="232">
        <f>SUM(Table1[[#This Row],[OFundQ1]:[OFundQ3]])</f>
        <v>0</v>
      </c>
      <c r="FJ62" s="239">
        <f>(Table1[[#This Row],[SubTot]]-Table1[[#This Row],[SubFee]])+(Table1[[#This Row],[UnsubTot]]-Table1[[#This Row],[UnsubFee]])+(Table1[[#This Row],[PLUSTot]]-Table1[[#This Row],[PLUSFee]])+Table1[[#This Row],[PrivTot]]+Table1[[#This Row],[TOTot]]+Table1[[#This Row],[OFundTot]]</f>
        <v>5441.7550000000001</v>
      </c>
      <c r="FK62" s="125">
        <f>Table1[[#This Row],[CostTot]]-Table1[[#This Row],[GiftTot]]</f>
        <v>35765</v>
      </c>
      <c r="FL62" s="130">
        <f>Table1[[#This Row],[NetNeed]]/(1-0.04248)</f>
        <v>31668.523895062241</v>
      </c>
      <c r="FM62" s="131">
        <f>Table1[[#This Row],[NetCost]]-Table1[[#This Row],[CashTot]]-(Table1[[#This Row],[SubTot]]-Table1[[#This Row],[SubFee]])-(Table1[[#This Row],[UnsubTot]]-Table1[[#This Row],[UnsubFee]])-(Table1[[#This Row],[PLUSTot]]-Table1[[#This Row],[PLUSFee]])-Table1[[#This Row],[PrivTot]]-Table1[[#This Row],[TOTot]]-Table1[[#This Row],[OFundTot]]</f>
        <v>30323.244999999999</v>
      </c>
      <c r="FN62" s="161"/>
      <c r="FO62" s="113"/>
      <c r="FP62" s="113"/>
    </row>
    <row r="63" spans="1:172" s="160" customFormat="1" ht="15" x14ac:dyDescent="0.25">
      <c r="A63" s="311">
        <v>198664</v>
      </c>
      <c r="B63" s="113" t="str">
        <f>VLOOKUP(Table1[[#This Row],[SyStudentId]],SSR!$A$2:$CC$4982,4,FALSE)</f>
        <v>Olsen</v>
      </c>
      <c r="C63" s="113" t="str">
        <f>VLOOKUP(Table1[[#This Row],[SyStudentId]],SSR!$A$2:$CC$4982,5,FALSE)</f>
        <v>Reese</v>
      </c>
      <c r="D63" s="113" t="str">
        <f>VLOOKUP(Table1[[#This Row],[SyStudentId]],SSR!$A$2:$CC$4982,6,FALSE)</f>
        <v>Olsen, Reese</v>
      </c>
      <c r="E63" s="113" t="str">
        <f>CONCATENATE(Table1[[#This Row],[FirstName]]," ",Table1[[#This Row],[LastName]])</f>
        <v>Reese Olsen</v>
      </c>
      <c r="F63" s="112"/>
      <c r="G63" s="114"/>
      <c r="H63" s="114"/>
      <c r="I63" s="114"/>
      <c r="J63" s="115" t="s">
        <v>5311</v>
      </c>
      <c r="K63" s="116"/>
      <c r="L63" s="112" t="str">
        <f>IFERROR(VLOOKUP(Table1[[#This Row],[SyStudentId]],ISIR!$A$2:$X$999,11,FALSE),"")</f>
        <v>D</v>
      </c>
      <c r="M63" s="113" t="str">
        <f>VLOOKUP(Table1[[#This Row],[SyStudentId]],SSR!$A$2:$CC$4982,7,FALSE)</f>
        <v>rnolsen811@gmail.com</v>
      </c>
      <c r="N63" s="113" t="str">
        <f>VLOOKUP(Table1[[#This Row],[SyStudentId]],SSR!$A$2:$CC$4982,8,FALSE)</f>
        <v>12319 HAVEN ARBOR DR</v>
      </c>
      <c r="O63" s="113" t="str">
        <f>VLOOKUP(Table1[[#This Row],[SyStudentId]],SSR!$A$2:$CC$4982,9,FALSE)</f>
        <v>CYPRESS</v>
      </c>
      <c r="P63" s="292" t="str">
        <f>VLOOKUP(Table1[[#This Row],[SyStudentId]],SSR!$A$2:$CC$4982,10,FALSE)</f>
        <v>TX</v>
      </c>
      <c r="Q63" s="117" t="str">
        <f>VLOOKUP(Table1[[#This Row],[SyStudentId]],SSR!$A$2:$CC$4982,11,FALSE)</f>
        <v>77433-6254</v>
      </c>
      <c r="R63" s="118">
        <f>VLOOKUP(Table1[[#This Row],[SyStudentId]],SSR!$A$2:$CC$4982,15,FALSE)</f>
        <v>3.4762</v>
      </c>
      <c r="S63" s="119">
        <f>VLOOKUP(Table1[[#This Row],[SyStudentId]],SSR!$A$2:$CC$4982,22,FALSE)</f>
        <v>44109</v>
      </c>
      <c r="T63" s="113" t="str">
        <f>VLOOKUP(Table1[[#This Row],[SyStudentId]],SSR!$A$2:$CC$4982,24,FALSE)</f>
        <v>JT</v>
      </c>
      <c r="U63" s="113" t="str">
        <f>IF(VLOOKUP(Table1[[#This Row],[SyStudentId]],SSR!$A$2:$CC$4982,26,FALSE)=0,"Not Selected",VLOOKUP(Table1[[#This Row],[SyStudentId]],SSR!$A$2:$CC$4982,26,FALSE))</f>
        <v>Male</v>
      </c>
      <c r="V63" s="113" t="str">
        <f>VLOOKUP(Table1[[#This Row],[SyStudentId]],SSR!$A$2:$CC$4982,27,FALSE)</f>
        <v xml:space="preserve">UNKNOWN </v>
      </c>
      <c r="W63" s="113" t="str">
        <f>VLOOKUP(LEFT(Table1[[#This Row],[LastName]],1),Alpha!$A$1:$B$26,2,FALSE)</f>
        <v>Maureen Ranks</v>
      </c>
      <c r="X63" s="149" t="str">
        <f>VLOOKUP(Table1[[#This Row],[FAA]],Alpha!$B$1:$D$26,2,FALSE)</f>
        <v>mranks@neumont.edu</v>
      </c>
      <c r="Y63" s="113">
        <f>VLOOKUP(Table1[[#This Row],[FAA]],Alpha!$B$1:$D$26,3,FALSE)</f>
        <v>8883022894</v>
      </c>
      <c r="Z63" s="113" t="str">
        <f>VLOOKUP(Table1[[#This Row],[SyStudentId]],SSR!$A$2:$CC$4982,30,FALSE)</f>
        <v>16-Accepted</v>
      </c>
      <c r="AA63" s="113" t="str">
        <f>IF(VLOOKUP(Table1[[#This Row],[SyStudentId]],SSR!$A$2:$CC$4982,36,FALSE)="Bachelor of Science","BS Computer Science","Check Program")</f>
        <v>BS Computer Science</v>
      </c>
      <c r="AB63" s="113" t="str">
        <f>VLOOKUP(Table1[[#This Row],[SyStudentId]],SSR!$A$2:$CC$4982,37,FALSE)</f>
        <v xml:space="preserve">33      </v>
      </c>
      <c r="AC63" s="113" t="str">
        <f>VLOOKUP(Table1[[#This Row],[SyStudentId]],SSR!$A$2:$CC$4982,42,FALSE)</f>
        <v xml:space="preserve">1420    </v>
      </c>
      <c r="AD63" s="113" t="str">
        <f>VLOOKUP(Table1[[#This Row],[SyStudentId]],SSR!$A$2:$CC$4982,46,FALSE)</f>
        <v>129</v>
      </c>
      <c r="AE63" s="113" t="str">
        <f>VLOOKUP(Table1[[#This Row],[SyStudentId]],SSR!$A$2:$CC$4982,65,FALSE)</f>
        <v>I</v>
      </c>
      <c r="AF6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63" s="113" t="str">
        <f>VLOOKUP(Table1[[#This Row],[SyStudentId]],SSR!$A$2:$CC$4982,66,FALSE)</f>
        <v>November</v>
      </c>
      <c r="AH63" s="113" t="str">
        <f>IFERROR(VLOOKUP(Table1[[#This Row],[SyStudentId]],ISIR!$A$2:$X$999,7,FALSE),"")</f>
        <v>016149</v>
      </c>
      <c r="AI63" s="121">
        <f>IF(Table1[[#This Row],[EFCRaw]]="","",IF(Table1[[#This Row],[EFCRaw]]="No EFC","No EFC",_xlfn.NUMBERVALUE(Table1[[#This Row],[EFCRaw]])))</f>
        <v>16149</v>
      </c>
      <c r="AJ63" s="119">
        <f>IFERROR(VLOOKUP(Table1[[#This Row],[SyStudentId]],ISIR!$A$2:$X$4999,19,FALSE),"")</f>
        <v>43776</v>
      </c>
      <c r="AK63" s="113" t="str">
        <f>IFERROR(VLOOKUP(Table1[[#This Row],[SyStudentId]],ISIR!$A$2:$X$4999,8,FALSE),"")</f>
        <v>N</v>
      </c>
      <c r="AL63" s="132" t="str">
        <f>IF(Table1[[#This Row],[VerReq]]="N","n/a","")</f>
        <v>n/a</v>
      </c>
      <c r="AM63" s="122"/>
      <c r="AN63" s="122"/>
      <c r="AO63" s="122"/>
      <c r="AP63" s="122"/>
      <c r="AQ63" s="122"/>
      <c r="AR63" s="122"/>
      <c r="AS63" s="122"/>
      <c r="AT63" s="122"/>
      <c r="AU63" s="122"/>
      <c r="AV63" s="122"/>
      <c r="AW63" s="122"/>
      <c r="AX63" s="122"/>
      <c r="AY63" s="122"/>
      <c r="AZ63" s="122"/>
      <c r="BA63" s="122"/>
      <c r="BB63" s="122"/>
      <c r="BC63" s="133"/>
      <c r="BD63" s="140" t="str">
        <f>IF(Table1[[#This Row],[VerReq]]="N","x","")</f>
        <v>x</v>
      </c>
      <c r="BE63" s="140" t="str">
        <f>IF(Table1[[#This Row],[VerReq]]="N","x","")</f>
        <v>x</v>
      </c>
      <c r="BF63" s="140" t="str">
        <f>IF(Table1[[#This Row],[VerReq]]="N","x","")</f>
        <v>x</v>
      </c>
      <c r="BG63" s="140" t="str">
        <f>IF(Table1[[#This Row],[VerReq]]="N","x","")</f>
        <v>x</v>
      </c>
      <c r="BH63" s="140" t="str">
        <f>IF(Table1[[#This Row],[VerReq]]="N","x","")</f>
        <v>x</v>
      </c>
      <c r="BI63" s="140" t="str">
        <f>IF(Table1[[#This Row],[VerReq]]="N","x","")</f>
        <v>x</v>
      </c>
      <c r="BJ63" s="123">
        <f>1-((COUNTBLANK(Table1[[#This Row],[ALESent]:[TaxTran]]))/(COUNT(Table1[[#This Row],[ALESent]:[TaxTran]])+COUNTBLANK(Table1[[#This Row],[ALESent]:[TaxTran]])))</f>
        <v>0</v>
      </c>
      <c r="BK63" s="136">
        <f>IF(VLOOKUP(Table1[[#This Row],[SyStudentId]],SSR!$A$2:$CC$4982,22,FALSE)=44109,44109,"Check Program")</f>
        <v>44109</v>
      </c>
      <c r="BL63" s="124">
        <f>IF(Table1[[#This Row],[AYStart]]=44109,44356,"Check Program")</f>
        <v>44356</v>
      </c>
      <c r="BM63" s="219">
        <v>8505</v>
      </c>
      <c r="BN63" s="219">
        <v>8505</v>
      </c>
      <c r="BO63" s="219">
        <v>8505</v>
      </c>
      <c r="BP63" s="220">
        <f t="shared" si="0"/>
        <v>25515</v>
      </c>
      <c r="BQ63" s="221">
        <v>3300</v>
      </c>
      <c r="BR63" s="219">
        <v>400</v>
      </c>
      <c r="BS63" s="219">
        <v>400</v>
      </c>
      <c r="BT63" s="220">
        <f t="shared" si="1"/>
        <v>4100</v>
      </c>
      <c r="BU63" s="219">
        <v>2100</v>
      </c>
      <c r="BV63" s="219">
        <v>2100</v>
      </c>
      <c r="BW63" s="219">
        <v>2100</v>
      </c>
      <c r="BX63" s="220">
        <f t="shared" si="2"/>
        <v>6300</v>
      </c>
      <c r="BY63" s="275">
        <v>1200</v>
      </c>
      <c r="BZ63" s="275">
        <v>1200</v>
      </c>
      <c r="CA63" s="275">
        <v>1200</v>
      </c>
      <c r="CB63" s="220">
        <f>SUM(Table1[[#This Row],[LEQ1]:[LEQ3]])</f>
        <v>3600</v>
      </c>
      <c r="CC63" s="275"/>
      <c r="CD63" s="275"/>
      <c r="CE63" s="275"/>
      <c r="CF63" s="220">
        <f>SUM(Table1[[#This Row],[OthCostQ1]:[OthCostQ3]])</f>
        <v>0</v>
      </c>
      <c r="CG63" s="220">
        <f>(Table1[[#This Row],[T&amp;FTot]]+Table1[[#This Row],[B&amp;STot]]+Table1[[#This Row],[HousTot]]+Table1[[#This Row],[LETot]]+Table1[[#This Row],[OthCostTot]])</f>
        <v>39515</v>
      </c>
      <c r="CH63" s="250"/>
      <c r="CI63" s="250"/>
      <c r="CJ63" s="250"/>
      <c r="CK63" s="251">
        <f>SUM(Table1[[#This Row],[SEOGQ1]:[SEOGQ3]])</f>
        <v>0</v>
      </c>
      <c r="CL63" s="250">
        <f>IFERROR(ROUNDUP(Table1[[#This Row],[PellTot]]/3,0),0)</f>
        <v>0</v>
      </c>
      <c r="CM63" s="250">
        <f>IFERROR(ROUND(Table1[[#This Row],[PellTot]]/3,0),0)</f>
        <v>0</v>
      </c>
      <c r="CN63" s="250">
        <f>IFERROR(ROUNDDOWN(Table1[[#This Row],[PellTot]]/3,0),0)</f>
        <v>0</v>
      </c>
      <c r="CO63" s="251">
        <f>IFERROR(LOOKUP(Table1[EFC],Pell_Table[#Data],Pell_Table[Pell Amt]),0)</f>
        <v>0</v>
      </c>
      <c r="CP63" s="250">
        <f>Table1[[#This Row],[AccessTot]]/3</f>
        <v>0</v>
      </c>
      <c r="CQ63" s="250">
        <f>Table1[[#This Row],[AccessTot]]/3</f>
        <v>0</v>
      </c>
      <c r="CR63" s="250">
        <f>Table1[[#This Row],[AccessTot]]/3</f>
        <v>0</v>
      </c>
      <c r="CS63" s="251">
        <f>IF(Table1[[#This Row],[PellTot]]&gt;0,1500,0)</f>
        <v>0</v>
      </c>
      <c r="CT63" s="250">
        <f>Table1[[#This Row],[AchiTot]]/3</f>
        <v>1700</v>
      </c>
      <c r="CU63" s="250">
        <f>Table1[[#This Row],[AchiTot]]/3</f>
        <v>1700</v>
      </c>
      <c r="CV63" s="250">
        <f>Table1[[#This Row],[AchiTot]]/3</f>
        <v>1700</v>
      </c>
      <c r="CW63" s="252">
        <f>IF(Table1[[#This Row],[Rank]]="","",IF(Table1[[#This Row],[Rank]]=1,5100,IF(Table1[[#This Row],[Rank]]=2,4500,IF(Table1[[#This Row],[Rank]]=3,3900,IF(Table1[[#This Row],[Rank]]=4,3750,IF(Table1[[#This Row],[Rank]]=5,3000,IF(Table1[[#This Row],[Rank]]=6,2250,0)))))))</f>
        <v>5100</v>
      </c>
      <c r="CX63" s="250">
        <f>Table1[[#This Row],[UTTot]]/3</f>
        <v>0</v>
      </c>
      <c r="CY63" s="250">
        <f>Table1[[#This Row],[UTTot]]/3</f>
        <v>0</v>
      </c>
      <c r="CZ63" s="250">
        <f>Table1[[#This Row],[UTTot]]/3</f>
        <v>0</v>
      </c>
      <c r="DA63" s="251">
        <f>IF(Table1[[#This Row],[State]]="UT",9000,0)</f>
        <v>0</v>
      </c>
      <c r="DB63" s="250">
        <f>Table1[[#This Row],[WITTot]]/3</f>
        <v>0</v>
      </c>
      <c r="DC63" s="250">
        <f>Table1[[#This Row],[WITTot]]/3</f>
        <v>0</v>
      </c>
      <c r="DD63" s="250">
        <f>Table1[[#This Row],[WITTot]]/3</f>
        <v>0</v>
      </c>
      <c r="DE63" s="251">
        <f>IF(Table1[[#This Row],[Gender]]="Female",3000,0)</f>
        <v>0</v>
      </c>
      <c r="DF63" s="250">
        <f>Table1[[#This Row],[SerTot]]/3</f>
        <v>0</v>
      </c>
      <c r="DG63" s="250">
        <f>Table1[[#This Row],[SerTot]]/3</f>
        <v>0</v>
      </c>
      <c r="DH63" s="250">
        <f>Table1[[#This Row],[SerTot]]/3</f>
        <v>0</v>
      </c>
      <c r="DI63" s="252"/>
      <c r="DJ63" s="250"/>
      <c r="DK63" s="250"/>
      <c r="DL63" s="250"/>
      <c r="DM63" s="252"/>
      <c r="DN63" s="250">
        <f>Table1[[#This Row],[MatTot]]/3</f>
        <v>0</v>
      </c>
      <c r="DO63" s="250">
        <f>Table1[[#This Row],[MatTot]]/3</f>
        <v>0</v>
      </c>
      <c r="DP63" s="250">
        <f>Table1[[#This Row],[MatTot]]/3</f>
        <v>0</v>
      </c>
      <c r="DQ63" s="252"/>
      <c r="DR63" s="250">
        <f>Table1[[#This Row],[OutTot]]/3</f>
        <v>0</v>
      </c>
      <c r="DS63" s="250">
        <f>Table1[[#This Row],[OutTot]]/3</f>
        <v>0</v>
      </c>
      <c r="DT63" s="250">
        <f>Table1[[#This Row],[OutTot]]/3</f>
        <v>0</v>
      </c>
      <c r="DU63" s="252"/>
      <c r="DV63" s="250"/>
      <c r="DW63" s="250"/>
      <c r="DX63" s="250"/>
      <c r="DY63" s="252">
        <f>SUM(Table1[[#This Row],[VAQ1]:[VAQ3]])</f>
        <v>0</v>
      </c>
      <c r="DZ63" s="250"/>
      <c r="EA63" s="250"/>
      <c r="EB63" s="250"/>
      <c r="EC63" s="252">
        <f>SUM(Table1[[#This Row],[OthGrantQ1]:[OthGrantQ3]])</f>
        <v>0</v>
      </c>
      <c r="ED63" s="263">
        <f>Table1[[#This Row],[SEOGTot]]+Table1[[#This Row],[PellTot]]+Table1[[#This Row],[AccessTot]]+Table1[[#This Row],[AchiTot]]+Table1[[#This Row],[UTTot]]+Table1[[#This Row],[WITTot]]+Table1[[#This Row],[SerTot]]+Table1[[#This Row],[TranTot]]+Table1[[#This Row],[MatTot]]+Table1[[#This Row],[OutTot]]+Table1[[#This Row],[VATot]]+Table1[[#This Row],[OthGrantTot]]</f>
        <v>5100</v>
      </c>
      <c r="EE63" s="249"/>
      <c r="EF63" s="237"/>
      <c r="EG63" s="237"/>
      <c r="EH63" s="232">
        <f>SUM(Table1[[#This Row],[CashQ1]]:Table1[[#This Row],[CashQ3]])</f>
        <v>0</v>
      </c>
      <c r="EI63" s="271">
        <f>ROUND((Table1[[#This Row],[SubTot]]/3)/1.01059,0)</f>
        <v>0</v>
      </c>
      <c r="EJ63" s="234">
        <f>ROUND((Table1[[#This Row],[SubTot]]/3)/1.01059,0)</f>
        <v>0</v>
      </c>
      <c r="EK63" s="234">
        <f>ROUNDUP((Table1[[#This Row],[SubTot]]/3)/1.01059,0)</f>
        <v>0</v>
      </c>
      <c r="EL63" s="235"/>
      <c r="EM63" s="240">
        <f>Table1[[#This Row],[SubTot]]*0.01059</f>
        <v>0</v>
      </c>
      <c r="EN63" s="234">
        <f>ROUND((Table1[[#This Row],[UnsubTot]]/3)/1.01062,0)</f>
        <v>660</v>
      </c>
      <c r="EO63" s="234">
        <f>ROUND((Table1[[#This Row],[UnsubTot]]/3)/1.01062,0)</f>
        <v>660</v>
      </c>
      <c r="EP63" s="234">
        <f>ROUNDDOWN((Table1[[#This Row],[UnsubTot]]/3)/1.01062,0)</f>
        <v>659</v>
      </c>
      <c r="EQ63" s="235">
        <f>IF(Table1[D/I]="I",6000,2000)</f>
        <v>2000</v>
      </c>
      <c r="ER63" s="240">
        <f>Table1[[#This Row],[UnsubTot]]*0.01062</f>
        <v>21.24</v>
      </c>
      <c r="ES63" s="234">
        <f>ROUND((Table1[[#This Row],[PLUSTot]]/3)/1.04248,0)</f>
        <v>0</v>
      </c>
      <c r="ET63" s="234">
        <f>ROUND((Table1[[#This Row],[PLUSTot]]/3)/1.04248,0)</f>
        <v>0</v>
      </c>
      <c r="EU63" s="234">
        <f>ROUND((Table1[[#This Row],[PLUSTot]]/3)/1.04248,0)</f>
        <v>0</v>
      </c>
      <c r="EV63" s="235"/>
      <c r="EW63" s="239">
        <f>Table1[[#This Row],[PLUSTot]]*0.04248</f>
        <v>0</v>
      </c>
      <c r="EX63" s="237"/>
      <c r="EY63" s="237"/>
      <c r="EZ63" s="237"/>
      <c r="FA63" s="232">
        <f>SUM(Table1[[#This Row],[PrivQ1]:[PrivQ3]])</f>
        <v>0</v>
      </c>
      <c r="FB63" s="237"/>
      <c r="FC63" s="237"/>
      <c r="FD63" s="237"/>
      <c r="FE63" s="232">
        <f>SUM(Table1[[#This Row],[TOQ1]:[TOQ3]])</f>
        <v>0</v>
      </c>
      <c r="FF63" s="237"/>
      <c r="FG63" s="237"/>
      <c r="FH63" s="237"/>
      <c r="FI63" s="232">
        <f>SUM(Table1[[#This Row],[OFundQ1]:[OFundQ3]])</f>
        <v>0</v>
      </c>
      <c r="FJ63" s="239">
        <f>(Table1[[#This Row],[SubTot]]-Table1[[#This Row],[SubFee]])+(Table1[[#This Row],[UnsubTot]]-Table1[[#This Row],[UnsubFee]])+(Table1[[#This Row],[PLUSTot]]-Table1[[#This Row],[PLUSFee]])+Table1[[#This Row],[PrivTot]]+Table1[[#This Row],[TOTot]]+Table1[[#This Row],[OFundTot]]</f>
        <v>1978.76</v>
      </c>
      <c r="FK63" s="125">
        <f>Table1[[#This Row],[CostTot]]-Table1[[#This Row],[GiftTot]]</f>
        <v>34415</v>
      </c>
      <c r="FL63" s="130">
        <f>Table1[[#This Row],[NetNeed]]/(1-0.04248)</f>
        <v>33875.261091152141</v>
      </c>
      <c r="FM63" s="131">
        <f>Table1[[#This Row],[NetCost]]-Table1[[#This Row],[CashTot]]-(Table1[[#This Row],[SubTot]]-Table1[[#This Row],[SubFee]])-(Table1[[#This Row],[UnsubTot]]-Table1[[#This Row],[UnsubFee]])-(Table1[[#This Row],[PLUSTot]]-Table1[[#This Row],[PLUSFee]])-Table1[[#This Row],[PrivTot]]-Table1[[#This Row],[TOTot]]-Table1[[#This Row],[OFundTot]]</f>
        <v>32436.240000000002</v>
      </c>
      <c r="FN63" s="161"/>
      <c r="FO63" s="113"/>
      <c r="FP63" s="113"/>
    </row>
    <row r="64" spans="1:172" s="160" customFormat="1" ht="15" x14ac:dyDescent="0.25">
      <c r="A64" s="316">
        <v>198106</v>
      </c>
      <c r="B64" s="113" t="str">
        <f>VLOOKUP(Table1[[#This Row],[SyStudentId]],SSR!$A$2:$CC$4982,4,FALSE)</f>
        <v>Ordonez</v>
      </c>
      <c r="C64" s="113" t="str">
        <f>VLOOKUP(Table1[[#This Row],[SyStudentId]],SSR!$A$2:$CC$4982,5,FALSE)</f>
        <v>Daniel</v>
      </c>
      <c r="D64" s="113" t="str">
        <f>VLOOKUP(Table1[[#This Row],[SyStudentId]],SSR!$A$2:$CC$4982,6,FALSE)</f>
        <v>Ordonez, Daniel</v>
      </c>
      <c r="E64" s="113" t="str">
        <f>CONCATENATE(Table1[[#This Row],[FirstName]]," ",Table1[[#This Row],[LastName]])</f>
        <v>Daniel Ordonez</v>
      </c>
      <c r="F64" s="112">
        <v>1</v>
      </c>
      <c r="G64" s="114">
        <v>43801</v>
      </c>
      <c r="H64" s="114">
        <v>43801</v>
      </c>
      <c r="I64" s="114">
        <v>43801</v>
      </c>
      <c r="J64" s="115" t="s">
        <v>6148</v>
      </c>
      <c r="K64" s="116"/>
      <c r="L64" s="112" t="str">
        <f>IFERROR(VLOOKUP(Table1[[#This Row],[SyStudentId]],ISIR!$A$2:$X$999,11,FALSE),"")</f>
        <v>D</v>
      </c>
      <c r="M64" s="113" t="str">
        <f>VLOOKUP(Table1[[#This Row],[SyStudentId]],SSR!$A$2:$CC$4982,7,FALSE)</f>
        <v>daniel.ordonez210@gmail.com</v>
      </c>
      <c r="N64" s="113" t="str">
        <f>VLOOKUP(Table1[[#This Row],[SyStudentId]],SSR!$A$2:$CC$4982,8,FALSE)</f>
        <v>1330 N BASCOM AVE, APT#26</v>
      </c>
      <c r="O64" s="113" t="str">
        <f>VLOOKUP(Table1[[#This Row],[SyStudentId]],SSR!$A$2:$CC$4982,9,FALSE)</f>
        <v>SAN JOSE</v>
      </c>
      <c r="P64" s="290" t="str">
        <f>VLOOKUP(Table1[[#This Row],[SyStudentId]],SSR!$A$2:$CC$4982,10,FALSE)</f>
        <v>CA</v>
      </c>
      <c r="Q64" s="117" t="str">
        <f>VLOOKUP(Table1[[#This Row],[SyStudentId]],SSR!$A$2:$CC$4982,11,FALSE)</f>
        <v xml:space="preserve">95128     </v>
      </c>
      <c r="R64" s="118">
        <f>VLOOKUP(Table1[[#This Row],[SyStudentId]],SSR!$A$2:$CC$4982,15,FALSE)</f>
        <v>2.81</v>
      </c>
      <c r="S64" s="119">
        <f>VLOOKUP(Table1[[#This Row],[SyStudentId]],SSR!$A$2:$CC$4982,22,FALSE)</f>
        <v>44109</v>
      </c>
      <c r="T64" s="113" t="str">
        <f>VLOOKUP(Table1[[#This Row],[SyStudentId]],SSR!$A$2:$CC$4982,24,FALSE)</f>
        <v>JT</v>
      </c>
      <c r="U64" s="113" t="str">
        <f>IF(VLOOKUP(Table1[[#This Row],[SyStudentId]],SSR!$A$2:$CC$4982,26,FALSE)=0,"Not Selected",VLOOKUP(Table1[[#This Row],[SyStudentId]],SSR!$A$2:$CC$4982,26,FALSE))</f>
        <v>Male</v>
      </c>
      <c r="V64" s="113" t="str">
        <f>VLOOKUP(Table1[[#This Row],[SyStudentId]],SSR!$A$2:$CC$4982,27,FALSE)</f>
        <v xml:space="preserve">HS2020  </v>
      </c>
      <c r="W64" s="113" t="str">
        <f>VLOOKUP(LEFT(Table1[[#This Row],[LastName]],1),Alpha!$A$1:$B$26,2,FALSE)</f>
        <v>Maureen Ranks</v>
      </c>
      <c r="X64" s="149" t="str">
        <f>VLOOKUP(Table1[[#This Row],[FAA]],Alpha!$B$1:$D$26,2,FALSE)</f>
        <v>mranks@neumont.edu</v>
      </c>
      <c r="Y64" s="113">
        <f>VLOOKUP(Table1[[#This Row],[FAA]],Alpha!$B$1:$D$26,3,FALSE)</f>
        <v>8883022894</v>
      </c>
      <c r="Z64" s="156" t="str">
        <f>VLOOKUP(Table1[[#This Row],[SyStudentId]],SSR!$A$2:$CC$4982,30,FALSE)</f>
        <v>16-Accepted</v>
      </c>
      <c r="AA64" s="113" t="str">
        <f>IF(VLOOKUP(Table1[[#This Row],[SyStudentId]],SSR!$A$2:$CC$4982,36,FALSE)="Bachelor of Science","BS Computer Science","Check Program")</f>
        <v>BS Computer Science</v>
      </c>
      <c r="AB64" s="113">
        <f>VLOOKUP(Table1[[#This Row],[SyStudentId]],SSR!$A$2:$CC$4982,37,FALSE)</f>
        <v>0</v>
      </c>
      <c r="AC64" s="113">
        <f>VLOOKUP(Table1[[#This Row],[SyStudentId]],SSR!$A$2:$CC$4982,42,FALSE)</f>
        <v>0</v>
      </c>
      <c r="AD64" s="113" t="str">
        <f>VLOOKUP(Table1[[#This Row],[SyStudentId]],SSR!$A$2:$CC$4982,46,FALSE)</f>
        <v>0</v>
      </c>
      <c r="AE64" s="113" t="str">
        <f>VLOOKUP(Table1[[#This Row],[SyStudentId]],SSR!$A$2:$CC$4982,65,FALSE)</f>
        <v>VI</v>
      </c>
      <c r="AF64"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6</v>
      </c>
      <c r="AG64" s="113" t="str">
        <f>VLOOKUP(Table1[[#This Row],[SyStudentId]],SSR!$A$2:$CC$4982,66,FALSE)</f>
        <v>November</v>
      </c>
      <c r="AH64" s="113" t="str">
        <f>IFERROR(VLOOKUP(Table1[[#This Row],[SyStudentId]],ISIR!$A$2:$X$999,7,FALSE),"")</f>
        <v>000000</v>
      </c>
      <c r="AI64" s="121">
        <f>IF(Table1[[#This Row],[EFCRaw]]="","",IF(Table1[[#This Row],[EFCRaw]]="No EFC","No EFC",_xlfn.NUMBERVALUE(Table1[[#This Row],[EFCRaw]])))</f>
        <v>0</v>
      </c>
      <c r="AJ64" s="119">
        <f>IFERROR(VLOOKUP(Table1[[#This Row],[SyStudentId]],ISIR!$A$2:$X$4999,19,FALSE),"")</f>
        <v>43804</v>
      </c>
      <c r="AK64" s="113" t="str">
        <f>IFERROR(VLOOKUP(Table1[[#This Row],[SyStudentId]],ISIR!$A$2:$X$4999,8,FALSE),"")</f>
        <v>N</v>
      </c>
      <c r="AL64" s="132" t="str">
        <f>IF(Table1[[#This Row],[VerReq]]="N","n/a","")</f>
        <v>n/a</v>
      </c>
      <c r="AM64" s="122"/>
      <c r="AN64" s="122"/>
      <c r="AO64" s="122">
        <v>43801</v>
      </c>
      <c r="AP64" s="122"/>
      <c r="AQ64" s="122"/>
      <c r="AR64" s="122"/>
      <c r="AS64" s="122"/>
      <c r="AT64" s="122"/>
      <c r="AU64" s="122"/>
      <c r="AV64" s="122"/>
      <c r="AW64" s="122"/>
      <c r="AX64" s="122"/>
      <c r="AY64" s="122"/>
      <c r="AZ64" s="122"/>
      <c r="BA64" s="122"/>
      <c r="BB64" s="122"/>
      <c r="BC64" s="133"/>
      <c r="BD64" s="140" t="str">
        <f>IF(Table1[[#This Row],[VerReq]]="N","x","")</f>
        <v>x</v>
      </c>
      <c r="BE64" s="140" t="str">
        <f>IF(Table1[[#This Row],[VerReq]]="N","x","")</f>
        <v>x</v>
      </c>
      <c r="BF64" s="140" t="str">
        <f>IF(Table1[[#This Row],[VerReq]]="N","x","")</f>
        <v>x</v>
      </c>
      <c r="BG64" s="140" t="str">
        <f>IF(Table1[[#This Row],[VerReq]]="N","x","")</f>
        <v>x</v>
      </c>
      <c r="BH64" s="140" t="str">
        <f>IF(Table1[[#This Row],[VerReq]]="N","x","")</f>
        <v>x</v>
      </c>
      <c r="BI64" s="140" t="str">
        <f>IF(Table1[[#This Row],[VerReq]]="N","x","")</f>
        <v>x</v>
      </c>
      <c r="BJ64" s="123">
        <f>1-((COUNTBLANK(Table1[[#This Row],[ALESent]:[TaxTran]]))/(COUNT(Table1[[#This Row],[ALESent]:[TaxTran]])+COUNTBLANK(Table1[[#This Row],[ALESent]:[TaxTran]])))</f>
        <v>5.8823529411764719E-2</v>
      </c>
      <c r="BK64" s="136">
        <f>IF(VLOOKUP(Table1[[#This Row],[SyStudentId]],SSR!$A$2:$CC$4982,22,FALSE)=44109,44109,"Check Program")</f>
        <v>44109</v>
      </c>
      <c r="BL64" s="124">
        <f>IF(Table1[[#This Row],[AYStart]]=44109,44356,"Check Program")</f>
        <v>44356</v>
      </c>
      <c r="BM64" s="219"/>
      <c r="BN64" s="219"/>
      <c r="BO64" s="219"/>
      <c r="BP64" s="220">
        <f t="shared" si="0"/>
        <v>0</v>
      </c>
      <c r="BQ64" s="221"/>
      <c r="BR64" s="219"/>
      <c r="BS64" s="219"/>
      <c r="BT64" s="220">
        <f t="shared" si="1"/>
        <v>0</v>
      </c>
      <c r="BU64" s="219"/>
      <c r="BV64" s="219"/>
      <c r="BW64" s="219"/>
      <c r="BX64" s="220">
        <f t="shared" si="2"/>
        <v>0</v>
      </c>
      <c r="BY64" s="275"/>
      <c r="BZ64" s="275"/>
      <c r="CA64" s="275"/>
      <c r="CB64" s="220">
        <f>SUM(Table1[[#This Row],[LEQ1]:[LEQ3]])</f>
        <v>0</v>
      </c>
      <c r="CC64" s="275"/>
      <c r="CD64" s="275"/>
      <c r="CE64" s="275"/>
      <c r="CF64" s="220">
        <f>SUM(Table1[[#This Row],[OthCostQ1]:[OthCostQ3]])</f>
        <v>0</v>
      </c>
      <c r="CG64" s="220">
        <f>(Table1[[#This Row],[T&amp;FTot]]+Table1[[#This Row],[B&amp;STot]]+Table1[[#This Row],[HousTot]]+Table1[[#This Row],[LETot]]+Table1[[#This Row],[OthCostTot]])</f>
        <v>0</v>
      </c>
      <c r="CH64" s="250"/>
      <c r="CI64" s="250"/>
      <c r="CJ64" s="250"/>
      <c r="CK64" s="251">
        <f>SUM(Table1[[#This Row],[SEOGQ1]:[SEOGQ3]])</f>
        <v>0</v>
      </c>
      <c r="CL64" s="250">
        <f>IFERROR(ROUNDUP(Table1[[#This Row],[PellTot]]/3,0),0)</f>
        <v>2065</v>
      </c>
      <c r="CM64" s="250">
        <f>IFERROR(ROUND(Table1[[#This Row],[PellTot]]/3,0),0)</f>
        <v>2065</v>
      </c>
      <c r="CN64" s="250">
        <f>IFERROR(ROUNDDOWN(Table1[[#This Row],[PellTot]]/3,0),0)</f>
        <v>2065</v>
      </c>
      <c r="CO64" s="251">
        <f>IFERROR(LOOKUP(Table1[EFC],Pell_Table[#Data],Pell_Table[Pell Amt]),0)</f>
        <v>6195</v>
      </c>
      <c r="CP64" s="250">
        <f>Table1[[#This Row],[AccessTot]]/3</f>
        <v>500</v>
      </c>
      <c r="CQ64" s="250">
        <f>Table1[[#This Row],[AccessTot]]/3</f>
        <v>500</v>
      </c>
      <c r="CR64" s="250">
        <f>Table1[[#This Row],[AccessTot]]/3</f>
        <v>500</v>
      </c>
      <c r="CS64" s="251">
        <f>IF(Table1[[#This Row],[PellTot]]&gt;0,1500,0)</f>
        <v>1500</v>
      </c>
      <c r="CT64" s="250">
        <f>Table1[[#This Row],[AchiTot]]/3</f>
        <v>750</v>
      </c>
      <c r="CU64" s="250">
        <f>Table1[[#This Row],[AchiTot]]/3</f>
        <v>750</v>
      </c>
      <c r="CV64" s="250">
        <f>Table1[[#This Row],[AchiTot]]/3</f>
        <v>750</v>
      </c>
      <c r="CW64" s="252">
        <f>IF(Table1[[#This Row],[Rank]]="","",IF(Table1[[#This Row],[Rank]]=1,5100,IF(Table1[[#This Row],[Rank]]=2,4500,IF(Table1[[#This Row],[Rank]]=3,3900,IF(Table1[[#This Row],[Rank]]=4,3750,IF(Table1[[#This Row],[Rank]]=5,3000,IF(Table1[[#This Row],[Rank]]=6,2250,0)))))))</f>
        <v>2250</v>
      </c>
      <c r="CX64" s="250">
        <f>Table1[[#This Row],[UTTot]]/3</f>
        <v>0</v>
      </c>
      <c r="CY64" s="250">
        <f>Table1[[#This Row],[UTTot]]/3</f>
        <v>0</v>
      </c>
      <c r="CZ64" s="250">
        <f>Table1[[#This Row],[UTTot]]/3</f>
        <v>0</v>
      </c>
      <c r="DA64" s="251">
        <f>IF(Table1[[#This Row],[State]]="UT",9000,0)</f>
        <v>0</v>
      </c>
      <c r="DB64" s="250">
        <f>Table1[[#This Row],[WITTot]]/3</f>
        <v>0</v>
      </c>
      <c r="DC64" s="250">
        <f>Table1[[#This Row],[WITTot]]/3</f>
        <v>0</v>
      </c>
      <c r="DD64" s="250">
        <f>Table1[[#This Row],[WITTot]]/3</f>
        <v>0</v>
      </c>
      <c r="DE64" s="251">
        <f>IF(Table1[[#This Row],[Gender]]="Female",3000,0)</f>
        <v>0</v>
      </c>
      <c r="DF64" s="250">
        <f>Table1[[#This Row],[SerTot]]/3</f>
        <v>0</v>
      </c>
      <c r="DG64" s="250">
        <f>Table1[[#This Row],[SerTot]]/3</f>
        <v>0</v>
      </c>
      <c r="DH64" s="250">
        <f>Table1[[#This Row],[SerTot]]/3</f>
        <v>0</v>
      </c>
      <c r="DI64" s="252"/>
      <c r="DJ64" s="250"/>
      <c r="DK64" s="250"/>
      <c r="DL64" s="250"/>
      <c r="DM64" s="252"/>
      <c r="DN64" s="250">
        <f>Table1[[#This Row],[MatTot]]/3</f>
        <v>0</v>
      </c>
      <c r="DO64" s="250">
        <f>Table1[[#This Row],[MatTot]]/3</f>
        <v>0</v>
      </c>
      <c r="DP64" s="250">
        <f>Table1[[#This Row],[MatTot]]/3</f>
        <v>0</v>
      </c>
      <c r="DQ64" s="252"/>
      <c r="DR64" s="250">
        <f>Table1[[#This Row],[OutTot]]/3</f>
        <v>0</v>
      </c>
      <c r="DS64" s="250">
        <f>Table1[[#This Row],[OutTot]]/3</f>
        <v>0</v>
      </c>
      <c r="DT64" s="250">
        <f>Table1[[#This Row],[OutTot]]/3</f>
        <v>0</v>
      </c>
      <c r="DU64" s="252"/>
      <c r="DV64" s="250"/>
      <c r="DW64" s="250"/>
      <c r="DX64" s="250"/>
      <c r="DY64" s="252">
        <f>SUM(Table1[[#This Row],[VAQ1]:[VAQ3]])</f>
        <v>0</v>
      </c>
      <c r="DZ64" s="250"/>
      <c r="EA64" s="250"/>
      <c r="EB64" s="250"/>
      <c r="EC64" s="252">
        <f>SUM(Table1[[#This Row],[OthGrantQ1]:[OthGrantQ3]])</f>
        <v>0</v>
      </c>
      <c r="ED64" s="263">
        <f>Table1[[#This Row],[SEOGTot]]+Table1[[#This Row],[PellTot]]+Table1[[#This Row],[AccessTot]]+Table1[[#This Row],[AchiTot]]+Table1[[#This Row],[UTTot]]+Table1[[#This Row],[WITTot]]+Table1[[#This Row],[SerTot]]+Table1[[#This Row],[TranTot]]+Table1[[#This Row],[MatTot]]+Table1[[#This Row],[OutTot]]+Table1[[#This Row],[VATot]]+Table1[[#This Row],[OthGrantTot]]</f>
        <v>9945</v>
      </c>
      <c r="EE64" s="249"/>
      <c r="EF64" s="237"/>
      <c r="EG64" s="237"/>
      <c r="EH64" s="232">
        <f>SUM(Table1[[#This Row],[CashQ1]]:Table1[[#This Row],[CashQ3]])</f>
        <v>0</v>
      </c>
      <c r="EI64" s="271">
        <f>ROUND((Table1[[#This Row],[SubTot]]/3)/1.01059,0)</f>
        <v>0</v>
      </c>
      <c r="EJ64" s="234">
        <f>ROUND((Table1[[#This Row],[SubTot]]/3)/1.01059,0)</f>
        <v>0</v>
      </c>
      <c r="EK64" s="234">
        <f>ROUNDUP((Table1[[#This Row],[SubTot]]/3)/1.01059,0)</f>
        <v>0</v>
      </c>
      <c r="EL64" s="235"/>
      <c r="EM64" s="240">
        <f>Table1[[#This Row],[SubTot]]*0.01059</f>
        <v>0</v>
      </c>
      <c r="EN64" s="234">
        <f>ROUND((Table1[[#This Row],[UnsubTot]]/3)/1.01062,0)</f>
        <v>660</v>
      </c>
      <c r="EO64" s="234">
        <f>ROUND((Table1[[#This Row],[UnsubTot]]/3)/1.01062,0)</f>
        <v>660</v>
      </c>
      <c r="EP64" s="234">
        <f>ROUNDDOWN((Table1[[#This Row],[UnsubTot]]/3)/1.01062,0)</f>
        <v>659</v>
      </c>
      <c r="EQ64" s="235">
        <f>IF(Table1[D/I]="I",6000,2000)</f>
        <v>2000</v>
      </c>
      <c r="ER64" s="240">
        <f>Table1[[#This Row],[UnsubTot]]*0.01062</f>
        <v>21.24</v>
      </c>
      <c r="ES64" s="234">
        <f>ROUND((Table1[[#This Row],[PLUSTot]]/3)/1.04248,0)</f>
        <v>0</v>
      </c>
      <c r="ET64" s="234">
        <f>ROUND((Table1[[#This Row],[PLUSTot]]/3)/1.04248,0)</f>
        <v>0</v>
      </c>
      <c r="EU64" s="234">
        <f>ROUND((Table1[[#This Row],[PLUSTot]]/3)/1.04248,0)</f>
        <v>0</v>
      </c>
      <c r="EV64" s="235"/>
      <c r="EW64" s="239">
        <f>Table1[[#This Row],[PLUSTot]]*0.04248</f>
        <v>0</v>
      </c>
      <c r="EX64" s="237"/>
      <c r="EY64" s="237"/>
      <c r="EZ64" s="237"/>
      <c r="FA64" s="232">
        <f>SUM(Table1[[#This Row],[PrivQ1]:[PrivQ3]])</f>
        <v>0</v>
      </c>
      <c r="FB64" s="237"/>
      <c r="FC64" s="237"/>
      <c r="FD64" s="237"/>
      <c r="FE64" s="232">
        <f>SUM(Table1[[#This Row],[TOQ1]:[TOQ3]])</f>
        <v>0</v>
      </c>
      <c r="FF64" s="237"/>
      <c r="FG64" s="237"/>
      <c r="FH64" s="237"/>
      <c r="FI64" s="232">
        <f>SUM(Table1[[#This Row],[OFundQ1]:[OFundQ3]])</f>
        <v>0</v>
      </c>
      <c r="FJ64" s="239">
        <f>(Table1[[#This Row],[SubTot]]-Table1[[#This Row],[SubFee]])+(Table1[[#This Row],[UnsubTot]]-Table1[[#This Row],[UnsubFee]])+(Table1[[#This Row],[PLUSTot]]-Table1[[#This Row],[PLUSFee]])+Table1[[#This Row],[PrivTot]]+Table1[[#This Row],[TOTot]]+Table1[[#This Row],[OFundTot]]</f>
        <v>1978.76</v>
      </c>
      <c r="FK64" s="125">
        <f>Table1[[#This Row],[CostTot]]-Table1[[#This Row],[GiftTot]]</f>
        <v>-9945</v>
      </c>
      <c r="FL64" s="130">
        <f>Table1[[#This Row],[NetNeed]]/(1-0.04248)</f>
        <v>-12452.752945108195</v>
      </c>
      <c r="FM64" s="131">
        <f>Table1[[#This Row],[NetCost]]-Table1[[#This Row],[CashTot]]-(Table1[[#This Row],[SubTot]]-Table1[[#This Row],[SubFee]])-(Table1[[#This Row],[UnsubTot]]-Table1[[#This Row],[UnsubFee]])-(Table1[[#This Row],[PLUSTot]]-Table1[[#This Row],[PLUSFee]])-Table1[[#This Row],[PrivTot]]-Table1[[#This Row],[TOTot]]-Table1[[#This Row],[OFundTot]]</f>
        <v>-11923.76</v>
      </c>
      <c r="FN64" s="161"/>
      <c r="FO64" s="113"/>
      <c r="FP64" s="113"/>
    </row>
    <row r="65" spans="1:172" s="160" customFormat="1" ht="15" x14ac:dyDescent="0.25">
      <c r="A65" s="316">
        <v>199019</v>
      </c>
      <c r="B65" s="113" t="str">
        <f>VLOOKUP(Table1[[#This Row],[SyStudentId]],SSR!$A$2:$CC$4982,4,FALSE)</f>
        <v>Ortiz</v>
      </c>
      <c r="C65" s="113" t="str">
        <f>VLOOKUP(Table1[[#This Row],[SyStudentId]],SSR!$A$2:$CC$4982,5,FALSE)</f>
        <v>Kristina</v>
      </c>
      <c r="D65" s="113" t="str">
        <f>VLOOKUP(Table1[[#This Row],[SyStudentId]],SSR!$A$2:$CC$4982,6,FALSE)</f>
        <v>Ortiz, Kristina</v>
      </c>
      <c r="E65" s="113" t="str">
        <f>CONCATENATE(Table1[[#This Row],[FirstName]]," ",Table1[[#This Row],[LastName]])</f>
        <v>Kristina Ortiz</v>
      </c>
      <c r="F65" s="112"/>
      <c r="G65" s="114"/>
      <c r="H65" s="114"/>
      <c r="I65" s="114"/>
      <c r="J65" s="115" t="s">
        <v>5311</v>
      </c>
      <c r="K65" s="116"/>
      <c r="L65" s="112" t="str">
        <f>IFERROR(VLOOKUP(Table1[[#This Row],[SyStudentId]],ISIR!$A$2:$X$999,11,FALSE),"")</f>
        <v/>
      </c>
      <c r="M65" s="113" t="str">
        <f>VLOOKUP(Table1[[#This Row],[SyStudentId]],SSR!$A$2:$CC$4982,7,FALSE)</f>
        <v>kristinaortiz2002@gmail.com</v>
      </c>
      <c r="N65" s="113" t="str">
        <f>VLOOKUP(Table1[[#This Row],[SyStudentId]],SSR!$A$2:$CC$4982,8,FALSE)</f>
        <v>1231 E 89TH AVE.</v>
      </c>
      <c r="O65" s="113" t="str">
        <f>VLOOKUP(Table1[[#This Row],[SyStudentId]],SSR!$A$2:$CC$4982,9,FALSE)</f>
        <v>THORNTON</v>
      </c>
      <c r="P65" s="234" t="str">
        <f>VLOOKUP(Table1[[#This Row],[SyStudentId]],SSR!$A$2:$CC$4982,10,FALSE)</f>
        <v>CO</v>
      </c>
      <c r="Q65" s="117" t="str">
        <f>VLOOKUP(Table1[[#This Row],[SyStudentId]],SSR!$A$2:$CC$4982,11,FALSE)</f>
        <v xml:space="preserve">80229     </v>
      </c>
      <c r="R65" s="118">
        <f>VLOOKUP(Table1[[#This Row],[SyStudentId]],SSR!$A$2:$CC$4982,15,FALSE)</f>
        <v>3.5</v>
      </c>
      <c r="S65" s="119">
        <f>VLOOKUP(Table1[[#This Row],[SyStudentId]],SSR!$A$2:$CC$4982,22,FALSE)</f>
        <v>44109</v>
      </c>
      <c r="T65" s="113" t="str">
        <f>VLOOKUP(Table1[[#This Row],[SyStudentId]],SSR!$A$2:$CC$4982,24,FALSE)</f>
        <v>JT</v>
      </c>
      <c r="U65" s="113" t="str">
        <f>IF(VLOOKUP(Table1[[#This Row],[SyStudentId]],SSR!$A$2:$CC$4982,26,FALSE)=0,"Not Selected",VLOOKUP(Table1[[#This Row],[SyStudentId]],SSR!$A$2:$CC$4982,26,FALSE))</f>
        <v>Female</v>
      </c>
      <c r="V65" s="113" t="str">
        <f>VLOOKUP(Table1[[#This Row],[SyStudentId]],SSR!$A$2:$CC$4982,27,FALSE)</f>
        <v xml:space="preserve">HS2020  </v>
      </c>
      <c r="W65" s="113" t="str">
        <f>VLOOKUP(LEFT(Table1[[#This Row],[LastName]],1),Alpha!$A$1:$B$26,2,FALSE)</f>
        <v>Maureen Ranks</v>
      </c>
      <c r="X65" s="149" t="str">
        <f>VLOOKUP(Table1[[#This Row],[FAA]],Alpha!$B$1:$D$26,2,FALSE)</f>
        <v>mranks@neumont.edu</v>
      </c>
      <c r="Y65" s="113">
        <f>VLOOKUP(Table1[[#This Row],[FAA]],Alpha!$B$1:$D$26,3,FALSE)</f>
        <v>8883022894</v>
      </c>
      <c r="Z65" s="113" t="str">
        <f>VLOOKUP(Table1[[#This Row],[SyStudentId]],SSR!$A$2:$CC$4982,30,FALSE)</f>
        <v>16-Accepted</v>
      </c>
      <c r="AA65" s="113" t="str">
        <f>IF(VLOOKUP(Table1[[#This Row],[SyStudentId]],SSR!$A$2:$CC$4982,36,FALSE)="Bachelor of Science","BS Computer Science","Check Program")</f>
        <v>BS Computer Science</v>
      </c>
      <c r="AB65" s="113">
        <f>VLOOKUP(Table1[[#This Row],[SyStudentId]],SSR!$A$2:$CC$4982,37,FALSE)</f>
        <v>0</v>
      </c>
      <c r="AC65" s="113" t="str">
        <f>VLOOKUP(Table1[[#This Row],[SyStudentId]],SSR!$A$2:$CC$4982,42,FALSE)</f>
        <v xml:space="preserve">1020    </v>
      </c>
      <c r="AD65" s="113" t="str">
        <f>VLOOKUP(Table1[[#This Row],[SyStudentId]],SSR!$A$2:$CC$4982,46,FALSE)</f>
        <v>108</v>
      </c>
      <c r="AE65" s="113" t="str">
        <f>VLOOKUP(Table1[[#This Row],[SyStudentId]],SSR!$A$2:$CC$4982,65,FALSE)</f>
        <v>I</v>
      </c>
      <c r="AF65"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65" s="113" t="str">
        <f>VLOOKUP(Table1[[#This Row],[SyStudentId]],SSR!$A$2:$CC$4982,66,FALSE)</f>
        <v>November</v>
      </c>
      <c r="AH65" s="113" t="str">
        <f>IFERROR(VLOOKUP(Table1[[#This Row],[SyStudentId]],ISIR!$A$2:$X$999,7,FALSE),"")</f>
        <v/>
      </c>
      <c r="AI65" s="121" t="str">
        <f>IF(Table1[[#This Row],[EFCRaw]]="","",IF(Table1[[#This Row],[EFCRaw]]="No EFC","No EFC",_xlfn.NUMBERVALUE(Table1[[#This Row],[EFCRaw]])))</f>
        <v/>
      </c>
      <c r="AJ65" s="119" t="str">
        <f>IFERROR(VLOOKUP(Table1[[#This Row],[SyStudentId]],ISIR!$A$2:$X$4999,19,FALSE),"")</f>
        <v/>
      </c>
      <c r="AK65" s="113" t="str">
        <f>IFERROR(VLOOKUP(Table1[[#This Row],[SyStudentId]],ISIR!$A$2:$X$4999,8,FALSE),"")</f>
        <v/>
      </c>
      <c r="AL65" s="132" t="str">
        <f>IF(Table1[[#This Row],[VerReq]]="N","n/a","")</f>
        <v/>
      </c>
      <c r="AM65" s="122"/>
      <c r="AN65" s="122"/>
      <c r="AO65" s="122"/>
      <c r="AP65" s="122"/>
      <c r="AQ65" s="122"/>
      <c r="AR65" s="122"/>
      <c r="AS65" s="122"/>
      <c r="AT65" s="122"/>
      <c r="AU65" s="122"/>
      <c r="AV65" s="122"/>
      <c r="AW65" s="122"/>
      <c r="AX65" s="122"/>
      <c r="AY65" s="122"/>
      <c r="AZ65" s="122"/>
      <c r="BA65" s="122"/>
      <c r="BB65" s="122"/>
      <c r="BC65" s="133"/>
      <c r="BD65" s="140" t="str">
        <f>IF(Table1[[#This Row],[VerReq]]="N","x","")</f>
        <v/>
      </c>
      <c r="BE65" s="140" t="str">
        <f>IF(Table1[[#This Row],[VerReq]]="N","x","")</f>
        <v/>
      </c>
      <c r="BF65" s="140" t="str">
        <f>IF(Table1[[#This Row],[VerReq]]="N","x","")</f>
        <v/>
      </c>
      <c r="BG65" s="140" t="str">
        <f>IF(Table1[[#This Row],[VerReq]]="N","x","")</f>
        <v/>
      </c>
      <c r="BH65" s="140" t="str">
        <f>IF(Table1[[#This Row],[VerReq]]="N","x","")</f>
        <v/>
      </c>
      <c r="BI65" s="140" t="str">
        <f>IF(Table1[[#This Row],[VerReq]]="N","x","")</f>
        <v/>
      </c>
      <c r="BJ65" s="123">
        <f>1-((COUNTBLANK(Table1[[#This Row],[ALESent]:[TaxTran]]))/(COUNT(Table1[[#This Row],[ALESent]:[TaxTran]])+COUNTBLANK(Table1[[#This Row],[ALESent]:[TaxTran]])))</f>
        <v>0</v>
      </c>
      <c r="BK65" s="136">
        <f>IF(VLOOKUP(Table1[[#This Row],[SyStudentId]],SSR!$A$2:$CC$4982,22,FALSE)=44109,44109,"Check Program")</f>
        <v>44109</v>
      </c>
      <c r="BL65" s="124">
        <f>IF(Table1[[#This Row],[AYStart]]=44109,44356,"Check Program")</f>
        <v>44356</v>
      </c>
      <c r="BM65" s="219">
        <v>8505</v>
      </c>
      <c r="BN65" s="219">
        <v>8505</v>
      </c>
      <c r="BO65" s="219">
        <v>8505</v>
      </c>
      <c r="BP65" s="220">
        <f t="shared" si="0"/>
        <v>25515</v>
      </c>
      <c r="BQ65" s="221">
        <v>3300</v>
      </c>
      <c r="BR65" s="219">
        <v>400</v>
      </c>
      <c r="BS65" s="219">
        <v>400</v>
      </c>
      <c r="BT65" s="220">
        <f t="shared" si="1"/>
        <v>4100</v>
      </c>
      <c r="BU65" s="219">
        <v>2100</v>
      </c>
      <c r="BV65" s="219">
        <v>2100</v>
      </c>
      <c r="BW65" s="219">
        <v>2100</v>
      </c>
      <c r="BX65" s="220">
        <f t="shared" si="2"/>
        <v>6300</v>
      </c>
      <c r="BY65" s="275">
        <v>1200</v>
      </c>
      <c r="BZ65" s="275">
        <v>1200</v>
      </c>
      <c r="CA65" s="275">
        <v>1200</v>
      </c>
      <c r="CB65" s="220">
        <f>SUM(Table1[[#This Row],[LEQ1]:[LEQ3]])</f>
        <v>3600</v>
      </c>
      <c r="CC65" s="275"/>
      <c r="CD65" s="275"/>
      <c r="CE65" s="275"/>
      <c r="CF65" s="220">
        <f>SUM(Table1[[#This Row],[OthCostQ1]:[OthCostQ3]])</f>
        <v>0</v>
      </c>
      <c r="CG65" s="220">
        <f>(Table1[[#This Row],[T&amp;FTot]]+Table1[[#This Row],[B&amp;STot]]+Table1[[#This Row],[HousTot]]+Table1[[#This Row],[LETot]]+Table1[[#This Row],[OthCostTot]])</f>
        <v>39515</v>
      </c>
      <c r="CH65" s="250"/>
      <c r="CI65" s="250"/>
      <c r="CJ65" s="250"/>
      <c r="CK65" s="251">
        <f>SUM(Table1[[#This Row],[SEOGQ1]:[SEOGQ3]])</f>
        <v>0</v>
      </c>
      <c r="CL65" s="250">
        <f>IFERROR(ROUNDUP(Table1[[#This Row],[PellTot]]/3,0),0)</f>
        <v>0</v>
      </c>
      <c r="CM65" s="250">
        <f>IFERROR(ROUND(Table1[[#This Row],[PellTot]]/3,0),0)</f>
        <v>0</v>
      </c>
      <c r="CN65" s="250">
        <f>IFERROR(ROUNDDOWN(Table1[[#This Row],[PellTot]]/3,0),0)</f>
        <v>0</v>
      </c>
      <c r="CO65" s="251">
        <f>IFERROR(LOOKUP(Table1[EFC],Pell_Table[#Data],Pell_Table[Pell Amt]),0)</f>
        <v>0</v>
      </c>
      <c r="CP65" s="250">
        <f>Table1[[#This Row],[AccessTot]]/3</f>
        <v>0</v>
      </c>
      <c r="CQ65" s="250">
        <f>Table1[[#This Row],[AccessTot]]/3</f>
        <v>0</v>
      </c>
      <c r="CR65" s="250">
        <f>Table1[[#This Row],[AccessTot]]/3</f>
        <v>0</v>
      </c>
      <c r="CS65" s="251">
        <f>IF(Table1[[#This Row],[PellTot]]&gt;0,1500,0)</f>
        <v>0</v>
      </c>
      <c r="CT65" s="250">
        <f>Table1[[#This Row],[AchiTot]]/3</f>
        <v>1700</v>
      </c>
      <c r="CU65" s="250">
        <f>Table1[[#This Row],[AchiTot]]/3</f>
        <v>1700</v>
      </c>
      <c r="CV65" s="250">
        <f>Table1[[#This Row],[AchiTot]]/3</f>
        <v>1700</v>
      </c>
      <c r="CW65" s="252">
        <f>IF(Table1[[#This Row],[Rank]]="","",IF(Table1[[#This Row],[Rank]]=1,5100,IF(Table1[[#This Row],[Rank]]=2,4500,IF(Table1[[#This Row],[Rank]]=3,3900,IF(Table1[[#This Row],[Rank]]=4,3750,IF(Table1[[#This Row],[Rank]]=5,3000,IF(Table1[[#This Row],[Rank]]=6,2250,0)))))))</f>
        <v>5100</v>
      </c>
      <c r="CX65" s="250">
        <f>Table1[[#This Row],[UTTot]]/3</f>
        <v>0</v>
      </c>
      <c r="CY65" s="250">
        <f>Table1[[#This Row],[UTTot]]/3</f>
        <v>0</v>
      </c>
      <c r="CZ65" s="250">
        <f>Table1[[#This Row],[UTTot]]/3</f>
        <v>0</v>
      </c>
      <c r="DA65" s="251">
        <f>IF(Table1[[#This Row],[State]]="UT",9000,0)</f>
        <v>0</v>
      </c>
      <c r="DB65" s="250">
        <f>Table1[[#This Row],[WITTot]]/3</f>
        <v>1000</v>
      </c>
      <c r="DC65" s="250">
        <f>Table1[[#This Row],[WITTot]]/3</f>
        <v>1000</v>
      </c>
      <c r="DD65" s="250">
        <f>Table1[[#This Row],[WITTot]]/3</f>
        <v>1000</v>
      </c>
      <c r="DE65" s="251">
        <f>IF(Table1[[#This Row],[Gender]]="Female",3000,0)</f>
        <v>3000</v>
      </c>
      <c r="DF65" s="250">
        <f>Table1[[#This Row],[SerTot]]/3</f>
        <v>0</v>
      </c>
      <c r="DG65" s="250">
        <f>Table1[[#This Row],[SerTot]]/3</f>
        <v>0</v>
      </c>
      <c r="DH65" s="250">
        <f>Table1[[#This Row],[SerTot]]/3</f>
        <v>0</v>
      </c>
      <c r="DI65" s="252"/>
      <c r="DJ65" s="250"/>
      <c r="DK65" s="250"/>
      <c r="DL65" s="250"/>
      <c r="DM65" s="252"/>
      <c r="DN65" s="250">
        <f>Table1[[#This Row],[MatTot]]/3</f>
        <v>0</v>
      </c>
      <c r="DO65" s="250">
        <f>Table1[[#This Row],[MatTot]]/3</f>
        <v>0</v>
      </c>
      <c r="DP65" s="250">
        <f>Table1[[#This Row],[MatTot]]/3</f>
        <v>0</v>
      </c>
      <c r="DQ65" s="252"/>
      <c r="DR65" s="250">
        <f>Table1[[#This Row],[OutTot]]/3</f>
        <v>0</v>
      </c>
      <c r="DS65" s="250">
        <f>Table1[[#This Row],[OutTot]]/3</f>
        <v>0</v>
      </c>
      <c r="DT65" s="250">
        <f>Table1[[#This Row],[OutTot]]/3</f>
        <v>0</v>
      </c>
      <c r="DU65" s="252"/>
      <c r="DV65" s="250"/>
      <c r="DW65" s="250"/>
      <c r="DX65" s="250"/>
      <c r="DY65" s="252">
        <f>SUM(Table1[[#This Row],[VAQ1]:[VAQ3]])</f>
        <v>0</v>
      </c>
      <c r="DZ65" s="250"/>
      <c r="EA65" s="250"/>
      <c r="EB65" s="250"/>
      <c r="EC65" s="252">
        <f>SUM(Table1[[#This Row],[OthGrantQ1]:[OthGrantQ3]])</f>
        <v>0</v>
      </c>
      <c r="ED65" s="263">
        <f>Table1[[#This Row],[SEOGTot]]+Table1[[#This Row],[PellTot]]+Table1[[#This Row],[AccessTot]]+Table1[[#This Row],[AchiTot]]+Table1[[#This Row],[UTTot]]+Table1[[#This Row],[WITTot]]+Table1[[#This Row],[SerTot]]+Table1[[#This Row],[TranTot]]+Table1[[#This Row],[MatTot]]+Table1[[#This Row],[OutTot]]+Table1[[#This Row],[VATot]]+Table1[[#This Row],[OthGrantTot]]</f>
        <v>8100</v>
      </c>
      <c r="EE65" s="249"/>
      <c r="EF65" s="237"/>
      <c r="EG65" s="237"/>
      <c r="EH65" s="232">
        <f>SUM(Table1[[#This Row],[CashQ1]]:Table1[[#This Row],[CashQ3]])</f>
        <v>0</v>
      </c>
      <c r="EI65" s="271">
        <f>ROUND((Table1[[#This Row],[SubTot]]/3)/1.01059,0)</f>
        <v>0</v>
      </c>
      <c r="EJ65" s="234">
        <f>ROUND((Table1[[#This Row],[SubTot]]/3)/1.01059,0)</f>
        <v>0</v>
      </c>
      <c r="EK65" s="234">
        <f>ROUNDUP((Table1[[#This Row],[SubTot]]/3)/1.01059,0)</f>
        <v>0</v>
      </c>
      <c r="EL65" s="235"/>
      <c r="EM65" s="240">
        <f>Table1[[#This Row],[SubTot]]*0.01059</f>
        <v>0</v>
      </c>
      <c r="EN65" s="234">
        <f>ROUND((Table1[[#This Row],[UnsubTot]]/3)/1.01062,0)</f>
        <v>660</v>
      </c>
      <c r="EO65" s="234">
        <f>ROUND((Table1[[#This Row],[UnsubTot]]/3)/1.01062,0)</f>
        <v>660</v>
      </c>
      <c r="EP65" s="234">
        <f>ROUNDDOWN((Table1[[#This Row],[UnsubTot]]/3)/1.01062,0)</f>
        <v>659</v>
      </c>
      <c r="EQ65" s="235">
        <f>IF(Table1[D/I]="I",6000,2000)</f>
        <v>2000</v>
      </c>
      <c r="ER65" s="240">
        <f>Table1[[#This Row],[UnsubTot]]*0.01062</f>
        <v>21.24</v>
      </c>
      <c r="ES65" s="234">
        <f>ROUND((Table1[[#This Row],[PLUSTot]]/3)/1.04248,0)</f>
        <v>0</v>
      </c>
      <c r="ET65" s="234">
        <f>ROUND((Table1[[#This Row],[PLUSTot]]/3)/1.04248,0)</f>
        <v>0</v>
      </c>
      <c r="EU65" s="234">
        <f>ROUND((Table1[[#This Row],[PLUSTot]]/3)/1.04248,0)</f>
        <v>0</v>
      </c>
      <c r="EV65" s="235"/>
      <c r="EW65" s="239">
        <f>Table1[[#This Row],[PLUSTot]]*0.04248</f>
        <v>0</v>
      </c>
      <c r="EX65" s="237"/>
      <c r="EY65" s="237"/>
      <c r="EZ65" s="237"/>
      <c r="FA65" s="232">
        <f>SUM(Table1[[#This Row],[PrivQ1]:[PrivQ3]])</f>
        <v>0</v>
      </c>
      <c r="FB65" s="237"/>
      <c r="FC65" s="237"/>
      <c r="FD65" s="237"/>
      <c r="FE65" s="232">
        <f>SUM(Table1[[#This Row],[TOQ1]:[TOQ3]])</f>
        <v>0</v>
      </c>
      <c r="FF65" s="237"/>
      <c r="FG65" s="237"/>
      <c r="FH65" s="237"/>
      <c r="FI65" s="232">
        <f>SUM(Table1[[#This Row],[OFundQ1]:[OFundQ3]])</f>
        <v>0</v>
      </c>
      <c r="FJ65" s="239">
        <f>(Table1[[#This Row],[SubTot]]-Table1[[#This Row],[SubFee]])+(Table1[[#This Row],[UnsubTot]]-Table1[[#This Row],[UnsubFee]])+(Table1[[#This Row],[PLUSTot]]-Table1[[#This Row],[PLUSFee]])+Table1[[#This Row],[PrivTot]]+Table1[[#This Row],[TOTot]]+Table1[[#This Row],[OFundTot]]</f>
        <v>1978.76</v>
      </c>
      <c r="FK65" s="125">
        <f>Table1[[#This Row],[CostTot]]-Table1[[#This Row],[GiftTot]]</f>
        <v>31415</v>
      </c>
      <c r="FL65" s="130">
        <f>Table1[[#This Row],[NetNeed]]/(1-0.04248)</f>
        <v>30742.16726543571</v>
      </c>
      <c r="FM65" s="131">
        <f>Table1[[#This Row],[NetCost]]-Table1[[#This Row],[CashTot]]-(Table1[[#This Row],[SubTot]]-Table1[[#This Row],[SubFee]])-(Table1[[#This Row],[UnsubTot]]-Table1[[#This Row],[UnsubFee]])-(Table1[[#This Row],[PLUSTot]]-Table1[[#This Row],[PLUSFee]])-Table1[[#This Row],[PrivTot]]-Table1[[#This Row],[TOTot]]-Table1[[#This Row],[OFundTot]]</f>
        <v>29436.240000000002</v>
      </c>
      <c r="FN65" s="161"/>
      <c r="FO65" s="113"/>
      <c r="FP65" s="113"/>
    </row>
    <row r="66" spans="1:172" s="160" customFormat="1" ht="15" x14ac:dyDescent="0.25">
      <c r="A66" s="316">
        <v>196408</v>
      </c>
      <c r="B66" s="113" t="str">
        <f>VLOOKUP(Table1[[#This Row],[SyStudentId]],SSR!$A$2:$CC$4982,4,FALSE)</f>
        <v>Osborne</v>
      </c>
      <c r="C66" s="113" t="str">
        <f>VLOOKUP(Table1[[#This Row],[SyStudentId]],SSR!$A$2:$CC$4982,5,FALSE)</f>
        <v>Ashley</v>
      </c>
      <c r="D66" s="113" t="str">
        <f>VLOOKUP(Table1[[#This Row],[SyStudentId]],SSR!$A$2:$CC$4982,6,FALSE)</f>
        <v>Osborne, Ashley</v>
      </c>
      <c r="E66" s="113" t="str">
        <f>CONCATENATE(Table1[[#This Row],[FirstName]]," ",Table1[[#This Row],[LastName]])</f>
        <v>Ashley Osborne</v>
      </c>
      <c r="F66" s="112"/>
      <c r="G66" s="114"/>
      <c r="H66" s="114"/>
      <c r="I66" s="114"/>
      <c r="J66" s="115"/>
      <c r="K66" s="116"/>
      <c r="L66" s="112" t="str">
        <f>IFERROR(VLOOKUP(Table1[[#This Row],[SyStudentId]],ISIR!$A$2:$X$999,11,FALSE),"")</f>
        <v>D</v>
      </c>
      <c r="M66" s="113" t="str">
        <f>VLOOKUP(Table1[[#This Row],[SyStudentId]],SSR!$A$2:$CC$4982,7,FALSE)</f>
        <v>ashley.osborne@pisgahpats.org</v>
      </c>
      <c r="N66" s="113" t="str">
        <f>VLOOKUP(Table1[[#This Row],[SyStudentId]],SSR!$A$2:$CC$4982,8,FALSE)</f>
        <v>4998 Bridgeport Way</v>
      </c>
      <c r="O66" s="113" t="str">
        <f>VLOOKUP(Table1[[#This Row],[SyStudentId]],SSR!$A$2:$CC$4982,9,FALSE)</f>
        <v>Peachtree Corners</v>
      </c>
      <c r="P66" s="303" t="str">
        <f>VLOOKUP(Table1[[#This Row],[SyStudentId]],SSR!$A$2:$CC$4982,10,FALSE)</f>
        <v>GA</v>
      </c>
      <c r="Q66" s="117" t="str">
        <f>VLOOKUP(Table1[[#This Row],[SyStudentId]],SSR!$A$2:$CC$4982,11,FALSE)</f>
        <v xml:space="preserve">30092     </v>
      </c>
      <c r="R66" s="118">
        <f>VLOOKUP(Table1[[#This Row],[SyStudentId]],SSR!$A$2:$CC$4982,15,FALSE)</f>
        <v>3.8</v>
      </c>
      <c r="S66" s="119">
        <f>VLOOKUP(Table1[[#This Row],[SyStudentId]],SSR!$A$2:$CC$4982,22,FALSE)</f>
        <v>44109</v>
      </c>
      <c r="T66" s="113" t="str">
        <f>VLOOKUP(Table1[[#This Row],[SyStudentId]],SSR!$A$2:$CC$4982,24,FALSE)</f>
        <v>GM</v>
      </c>
      <c r="U66" s="113" t="str">
        <f>IF(VLOOKUP(Table1[[#This Row],[SyStudentId]],SSR!$A$2:$CC$4982,26,FALSE)=0,"Not Selected",VLOOKUP(Table1[[#This Row],[SyStudentId]],SSR!$A$2:$CC$4982,26,FALSE))</f>
        <v>Female</v>
      </c>
      <c r="V66" s="113" t="str">
        <f>VLOOKUP(Table1[[#This Row],[SyStudentId]],SSR!$A$2:$CC$4982,27,FALSE)</f>
        <v xml:space="preserve">HS2020  </v>
      </c>
      <c r="W66" s="113" t="str">
        <f>VLOOKUP(LEFT(Table1[[#This Row],[LastName]],1),Alpha!$A$1:$B$26,2,FALSE)</f>
        <v>Maureen Ranks</v>
      </c>
      <c r="X66" s="149" t="str">
        <f>VLOOKUP(Table1[[#This Row],[FAA]],Alpha!$B$1:$D$26,2,FALSE)</f>
        <v>mranks@neumont.edu</v>
      </c>
      <c r="Y66" s="113">
        <f>VLOOKUP(Table1[[#This Row],[FAA]],Alpha!$B$1:$D$26,3,FALSE)</f>
        <v>8883022894</v>
      </c>
      <c r="Z66" s="113" t="str">
        <f>VLOOKUP(Table1[[#This Row],[SyStudentId]],SSR!$A$2:$CC$4982,30,FALSE)</f>
        <v>16-Accepted</v>
      </c>
      <c r="AA66" s="113" t="str">
        <f>IF(VLOOKUP(Table1[[#This Row],[SyStudentId]],SSR!$A$2:$CC$4982,36,FALSE)="Bachelor of Science","BS Computer Science","Check Program")</f>
        <v>BS Computer Science</v>
      </c>
      <c r="AB66" s="113" t="str">
        <f>VLOOKUP(Table1[[#This Row],[SyStudentId]],SSR!$A$2:$CC$4982,37,FALSE)</f>
        <v xml:space="preserve">29      </v>
      </c>
      <c r="AC66" s="113" t="str">
        <f>VLOOKUP(Table1[[#This Row],[SyStudentId]],SSR!$A$2:$CC$4982,42,FALSE)</f>
        <v xml:space="preserve">1310    </v>
      </c>
      <c r="AD66" s="113" t="str">
        <f>VLOOKUP(Table1[[#This Row],[SyStudentId]],SSR!$A$2:$CC$4982,46,FALSE)</f>
        <v>126</v>
      </c>
      <c r="AE66" s="113" t="str">
        <f>VLOOKUP(Table1[[#This Row],[SyStudentId]],SSR!$A$2:$CC$4982,65,FALSE)</f>
        <v>I</v>
      </c>
      <c r="AF66"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66" s="113" t="str">
        <f>VLOOKUP(Table1[[#This Row],[SyStudentId]],SSR!$A$2:$CC$4982,66,FALSE)</f>
        <v>October</v>
      </c>
      <c r="AH66" s="113" t="str">
        <f>IFERROR(VLOOKUP(Table1[[#This Row],[SyStudentId]],ISIR!$A$2:$X$999,7,FALSE),"")</f>
        <v>070299</v>
      </c>
      <c r="AI66" s="121">
        <f>IF(Table1[[#This Row],[EFCRaw]]="","",IF(Table1[[#This Row],[EFCRaw]]="No EFC","No EFC",_xlfn.NUMBERVALUE(Table1[[#This Row],[EFCRaw]])))</f>
        <v>70299</v>
      </c>
      <c r="AJ66" s="119">
        <f>IFERROR(VLOOKUP(Table1[[#This Row],[SyStudentId]],ISIR!$A$2:$X$4999,19,FALSE),"")</f>
        <v>43804</v>
      </c>
      <c r="AK66" s="113" t="str">
        <f>IFERROR(VLOOKUP(Table1[[#This Row],[SyStudentId]],ISIR!$A$2:$X$4999,8,FALSE),"")</f>
        <v>N</v>
      </c>
      <c r="AL66" s="132" t="str">
        <f>IF(Table1[[#This Row],[VerReq]]="N","n/a","")</f>
        <v>n/a</v>
      </c>
      <c r="AM66" s="122"/>
      <c r="AN66" s="122"/>
      <c r="AO66" s="122"/>
      <c r="AP66" s="122"/>
      <c r="AQ66" s="122"/>
      <c r="AR66" s="122"/>
      <c r="AS66" s="122"/>
      <c r="AT66" s="122"/>
      <c r="AU66" s="122"/>
      <c r="AV66" s="122"/>
      <c r="AW66" s="122"/>
      <c r="AX66" s="122"/>
      <c r="AY66" s="122"/>
      <c r="AZ66" s="122"/>
      <c r="BA66" s="122"/>
      <c r="BB66" s="122"/>
      <c r="BC66" s="133"/>
      <c r="BD66" s="140" t="str">
        <f>IF(Table1[[#This Row],[VerReq]]="N","x","")</f>
        <v>x</v>
      </c>
      <c r="BE66" s="140" t="str">
        <f>IF(Table1[[#This Row],[VerReq]]="N","x","")</f>
        <v>x</v>
      </c>
      <c r="BF66" s="140" t="str">
        <f>IF(Table1[[#This Row],[VerReq]]="N","x","")</f>
        <v>x</v>
      </c>
      <c r="BG66" s="140" t="str">
        <f>IF(Table1[[#This Row],[VerReq]]="N","x","")</f>
        <v>x</v>
      </c>
      <c r="BH66" s="140" t="str">
        <f>IF(Table1[[#This Row],[VerReq]]="N","x","")</f>
        <v>x</v>
      </c>
      <c r="BI66" s="140" t="str">
        <f>IF(Table1[[#This Row],[VerReq]]="N","x","")</f>
        <v>x</v>
      </c>
      <c r="BJ66" s="123">
        <f>1-((COUNTBLANK(Table1[[#This Row],[ALESent]:[TaxTran]]))/(COUNT(Table1[[#This Row],[ALESent]:[TaxTran]])+COUNTBLANK(Table1[[#This Row],[ALESent]:[TaxTran]])))</f>
        <v>0</v>
      </c>
      <c r="BK66" s="136">
        <f>IF(VLOOKUP(Table1[[#This Row],[SyStudentId]],SSR!$A$2:$CC$4982,22,FALSE)=44109,44109,"Check Program")</f>
        <v>44109</v>
      </c>
      <c r="BL66" s="124">
        <f>IF(Table1[[#This Row],[AYStart]]=44109,44356,"Check Program")</f>
        <v>44356</v>
      </c>
      <c r="BM66" s="219">
        <v>8505</v>
      </c>
      <c r="BN66" s="219">
        <v>8505</v>
      </c>
      <c r="BO66" s="219">
        <v>8505</v>
      </c>
      <c r="BP66" s="220">
        <f t="shared" ref="BP66:BP129" si="3">SUM(BM66:BO66)</f>
        <v>25515</v>
      </c>
      <c r="BQ66" s="221">
        <v>3300</v>
      </c>
      <c r="BR66" s="219">
        <v>400</v>
      </c>
      <c r="BS66" s="219">
        <v>400</v>
      </c>
      <c r="BT66" s="220">
        <f t="shared" ref="BT66:BT129" si="4">SUM(BQ66:BS66)</f>
        <v>4100</v>
      </c>
      <c r="BU66" s="219">
        <v>2100</v>
      </c>
      <c r="BV66" s="219">
        <v>2100</v>
      </c>
      <c r="BW66" s="219">
        <v>2100</v>
      </c>
      <c r="BX66" s="220">
        <f t="shared" ref="BX66:BX129" si="5">SUM(BU66:BW66)</f>
        <v>6300</v>
      </c>
      <c r="BY66" s="275">
        <v>1200</v>
      </c>
      <c r="BZ66" s="275">
        <v>1200</v>
      </c>
      <c r="CA66" s="275">
        <v>1200</v>
      </c>
      <c r="CB66" s="220">
        <f>SUM(Table1[[#This Row],[LEQ1]:[LEQ3]])</f>
        <v>3600</v>
      </c>
      <c r="CC66" s="275"/>
      <c r="CD66" s="275"/>
      <c r="CE66" s="275"/>
      <c r="CF66" s="220">
        <f>SUM(Table1[[#This Row],[OthCostQ1]:[OthCostQ3]])</f>
        <v>0</v>
      </c>
      <c r="CG66" s="220">
        <f>(Table1[[#This Row],[T&amp;FTot]]+Table1[[#This Row],[B&amp;STot]]+Table1[[#This Row],[HousTot]]+Table1[[#This Row],[LETot]]+Table1[[#This Row],[OthCostTot]])</f>
        <v>39515</v>
      </c>
      <c r="CH66" s="250"/>
      <c r="CI66" s="250"/>
      <c r="CJ66" s="250"/>
      <c r="CK66" s="251">
        <f>SUM(Table1[[#This Row],[SEOGQ1]:[SEOGQ3]])</f>
        <v>0</v>
      </c>
      <c r="CL66" s="250">
        <f>IFERROR(ROUNDUP(Table1[[#This Row],[PellTot]]/3,0),0)</f>
        <v>0</v>
      </c>
      <c r="CM66" s="250">
        <f>IFERROR(ROUND(Table1[[#This Row],[PellTot]]/3,0),0)</f>
        <v>0</v>
      </c>
      <c r="CN66" s="250">
        <f>IFERROR(ROUNDDOWN(Table1[[#This Row],[PellTot]]/3,0),0)</f>
        <v>0</v>
      </c>
      <c r="CO66" s="251">
        <f>IFERROR(LOOKUP(Table1[EFC],Pell_Table[#Data],Pell_Table[Pell Amt]),0)</f>
        <v>0</v>
      </c>
      <c r="CP66" s="250">
        <f>Table1[[#This Row],[AccessTot]]/3</f>
        <v>0</v>
      </c>
      <c r="CQ66" s="250">
        <f>Table1[[#This Row],[AccessTot]]/3</f>
        <v>0</v>
      </c>
      <c r="CR66" s="250">
        <f>Table1[[#This Row],[AccessTot]]/3</f>
        <v>0</v>
      </c>
      <c r="CS66" s="251">
        <f>IF(Table1[[#This Row],[PellTot]]&gt;0,1500,0)</f>
        <v>0</v>
      </c>
      <c r="CT66" s="250">
        <f>Table1[[#This Row],[AchiTot]]/3</f>
        <v>1700</v>
      </c>
      <c r="CU66" s="250">
        <f>Table1[[#This Row],[AchiTot]]/3</f>
        <v>1700</v>
      </c>
      <c r="CV66" s="250">
        <f>Table1[[#This Row],[AchiTot]]/3</f>
        <v>1700</v>
      </c>
      <c r="CW66" s="252">
        <f>IF(Table1[[#This Row],[Rank]]="","",IF(Table1[[#This Row],[Rank]]=1,5100,IF(Table1[[#This Row],[Rank]]=2,4500,IF(Table1[[#This Row],[Rank]]=3,3900,IF(Table1[[#This Row],[Rank]]=4,3750,IF(Table1[[#This Row],[Rank]]=5,3000,IF(Table1[[#This Row],[Rank]]=6,2250,0)))))))</f>
        <v>5100</v>
      </c>
      <c r="CX66" s="250">
        <f>Table1[[#This Row],[UTTot]]/3</f>
        <v>0</v>
      </c>
      <c r="CY66" s="250">
        <f>Table1[[#This Row],[UTTot]]/3</f>
        <v>0</v>
      </c>
      <c r="CZ66" s="250">
        <f>Table1[[#This Row],[UTTot]]/3</f>
        <v>0</v>
      </c>
      <c r="DA66" s="251">
        <f>IF(Table1[[#This Row],[State]]="UT",9000,0)</f>
        <v>0</v>
      </c>
      <c r="DB66" s="250">
        <f>Table1[[#This Row],[WITTot]]/3</f>
        <v>1000</v>
      </c>
      <c r="DC66" s="250">
        <f>Table1[[#This Row],[WITTot]]/3</f>
        <v>1000</v>
      </c>
      <c r="DD66" s="250">
        <f>Table1[[#This Row],[WITTot]]/3</f>
        <v>1000</v>
      </c>
      <c r="DE66" s="251">
        <f>IF(Table1[[#This Row],[Gender]]="Female",3000,0)</f>
        <v>3000</v>
      </c>
      <c r="DF66" s="250">
        <f>Table1[[#This Row],[SerTot]]/3</f>
        <v>0</v>
      </c>
      <c r="DG66" s="250">
        <f>Table1[[#This Row],[SerTot]]/3</f>
        <v>0</v>
      </c>
      <c r="DH66" s="250">
        <f>Table1[[#This Row],[SerTot]]/3</f>
        <v>0</v>
      </c>
      <c r="DI66" s="252"/>
      <c r="DJ66" s="250"/>
      <c r="DK66" s="250"/>
      <c r="DL66" s="250"/>
      <c r="DM66" s="252"/>
      <c r="DN66" s="250">
        <f>Table1[[#This Row],[MatTot]]/3</f>
        <v>0</v>
      </c>
      <c r="DO66" s="250">
        <f>Table1[[#This Row],[MatTot]]/3</f>
        <v>0</v>
      </c>
      <c r="DP66" s="250">
        <f>Table1[[#This Row],[MatTot]]/3</f>
        <v>0</v>
      </c>
      <c r="DQ66" s="252"/>
      <c r="DR66" s="250">
        <f>Table1[[#This Row],[OutTot]]/3</f>
        <v>0</v>
      </c>
      <c r="DS66" s="250">
        <f>Table1[[#This Row],[OutTot]]/3</f>
        <v>0</v>
      </c>
      <c r="DT66" s="250">
        <f>Table1[[#This Row],[OutTot]]/3</f>
        <v>0</v>
      </c>
      <c r="DU66" s="252"/>
      <c r="DV66" s="250"/>
      <c r="DW66" s="250"/>
      <c r="DX66" s="250"/>
      <c r="DY66" s="252">
        <f>SUM(Table1[[#This Row],[VAQ1]:[VAQ3]])</f>
        <v>0</v>
      </c>
      <c r="DZ66" s="250"/>
      <c r="EA66" s="250"/>
      <c r="EB66" s="250"/>
      <c r="EC66" s="252">
        <f>SUM(Table1[[#This Row],[OthGrantQ1]:[OthGrantQ3]])</f>
        <v>0</v>
      </c>
      <c r="ED66" s="263">
        <f>Table1[[#This Row],[SEOGTot]]+Table1[[#This Row],[PellTot]]+Table1[[#This Row],[AccessTot]]+Table1[[#This Row],[AchiTot]]+Table1[[#This Row],[UTTot]]+Table1[[#This Row],[WITTot]]+Table1[[#This Row],[SerTot]]+Table1[[#This Row],[TranTot]]+Table1[[#This Row],[MatTot]]+Table1[[#This Row],[OutTot]]+Table1[[#This Row],[VATot]]+Table1[[#This Row],[OthGrantTot]]</f>
        <v>8100</v>
      </c>
      <c r="EE66" s="249"/>
      <c r="EF66" s="237"/>
      <c r="EG66" s="237"/>
      <c r="EH66" s="232">
        <f>SUM(Table1[[#This Row],[CashQ1]]:Table1[[#This Row],[CashQ3]])</f>
        <v>0</v>
      </c>
      <c r="EI66" s="271">
        <f>ROUND((Table1[[#This Row],[SubTot]]/3)/1.01059,0)</f>
        <v>0</v>
      </c>
      <c r="EJ66" s="234">
        <f>ROUND((Table1[[#This Row],[SubTot]]/3)/1.01059,0)</f>
        <v>0</v>
      </c>
      <c r="EK66" s="234">
        <f>ROUNDUP((Table1[[#This Row],[SubTot]]/3)/1.01059,0)</f>
        <v>0</v>
      </c>
      <c r="EL66" s="235"/>
      <c r="EM66" s="240">
        <f>Table1[[#This Row],[SubTot]]*0.01059</f>
        <v>0</v>
      </c>
      <c r="EN66" s="234">
        <f>ROUND((Table1[[#This Row],[UnsubTot]]/3)/1.01062,0)</f>
        <v>660</v>
      </c>
      <c r="EO66" s="234">
        <f>ROUND((Table1[[#This Row],[UnsubTot]]/3)/1.01062,0)</f>
        <v>660</v>
      </c>
      <c r="EP66" s="234">
        <f>ROUNDDOWN((Table1[[#This Row],[UnsubTot]]/3)/1.01062,0)</f>
        <v>659</v>
      </c>
      <c r="EQ66" s="235">
        <f>IF(Table1[D/I]="I",6000,2000)</f>
        <v>2000</v>
      </c>
      <c r="ER66" s="240">
        <f>Table1[[#This Row],[UnsubTot]]*0.01062</f>
        <v>21.24</v>
      </c>
      <c r="ES66" s="234">
        <f>ROUND((Table1[[#This Row],[PLUSTot]]/3)/1.04248,0)</f>
        <v>0</v>
      </c>
      <c r="ET66" s="234">
        <f>ROUND((Table1[[#This Row],[PLUSTot]]/3)/1.04248,0)</f>
        <v>0</v>
      </c>
      <c r="EU66" s="234">
        <f>ROUND((Table1[[#This Row],[PLUSTot]]/3)/1.04248,0)</f>
        <v>0</v>
      </c>
      <c r="EV66" s="235"/>
      <c r="EW66" s="239">
        <f>Table1[[#This Row],[PLUSTot]]*0.04248</f>
        <v>0</v>
      </c>
      <c r="EX66" s="237"/>
      <c r="EY66" s="237"/>
      <c r="EZ66" s="237"/>
      <c r="FA66" s="232">
        <f>SUM(Table1[[#This Row],[PrivQ1]:[PrivQ3]])</f>
        <v>0</v>
      </c>
      <c r="FB66" s="237"/>
      <c r="FC66" s="237"/>
      <c r="FD66" s="237"/>
      <c r="FE66" s="232">
        <f>SUM(Table1[[#This Row],[TOQ1]:[TOQ3]])</f>
        <v>0</v>
      </c>
      <c r="FF66" s="237"/>
      <c r="FG66" s="237"/>
      <c r="FH66" s="237"/>
      <c r="FI66" s="232">
        <f>SUM(Table1[[#This Row],[OFundQ1]:[OFundQ3]])</f>
        <v>0</v>
      </c>
      <c r="FJ66" s="239">
        <f>(Table1[[#This Row],[SubTot]]-Table1[[#This Row],[SubFee]])+(Table1[[#This Row],[UnsubTot]]-Table1[[#This Row],[UnsubFee]])+(Table1[[#This Row],[PLUSTot]]-Table1[[#This Row],[PLUSFee]])+Table1[[#This Row],[PrivTot]]+Table1[[#This Row],[TOTot]]+Table1[[#This Row],[OFundTot]]</f>
        <v>1978.76</v>
      </c>
      <c r="FK66" s="125">
        <f>Table1[[#This Row],[CostTot]]-Table1[[#This Row],[GiftTot]]</f>
        <v>31415</v>
      </c>
      <c r="FL66" s="130">
        <f>Table1[[#This Row],[NetNeed]]/(1-0.04248)</f>
        <v>30742.16726543571</v>
      </c>
      <c r="FM66" s="131">
        <f>Table1[[#This Row],[NetCost]]-Table1[[#This Row],[CashTot]]-(Table1[[#This Row],[SubTot]]-Table1[[#This Row],[SubFee]])-(Table1[[#This Row],[UnsubTot]]-Table1[[#This Row],[UnsubFee]])-(Table1[[#This Row],[PLUSTot]]-Table1[[#This Row],[PLUSFee]])-Table1[[#This Row],[PrivTot]]-Table1[[#This Row],[TOTot]]-Table1[[#This Row],[OFundTot]]</f>
        <v>29436.240000000002</v>
      </c>
      <c r="FN66" s="161"/>
      <c r="FO66" s="113"/>
      <c r="FP66" s="113"/>
    </row>
    <row r="67" spans="1:172" s="160" customFormat="1" ht="15" x14ac:dyDescent="0.25">
      <c r="A67" s="316">
        <v>197731</v>
      </c>
      <c r="B67" s="113" t="str">
        <f>VLOOKUP(Table1[[#This Row],[SyStudentId]],SSR!$A$2:$CC$4982,4,FALSE)</f>
        <v>Owens</v>
      </c>
      <c r="C67" s="113" t="str">
        <f>VLOOKUP(Table1[[#This Row],[SyStudentId]],SSR!$A$2:$CC$4982,5,FALSE)</f>
        <v>Alexandria</v>
      </c>
      <c r="D67" s="113" t="str">
        <f>VLOOKUP(Table1[[#This Row],[SyStudentId]],SSR!$A$2:$CC$4982,6,FALSE)</f>
        <v>Owens, Alexandria</v>
      </c>
      <c r="E67" s="113" t="str">
        <f>CONCATENATE(Table1[[#This Row],[FirstName]]," ",Table1[[#This Row],[LastName]])</f>
        <v>Alexandria Owens</v>
      </c>
      <c r="F67" s="112"/>
      <c r="G67" s="114"/>
      <c r="H67" s="114"/>
      <c r="I67" s="114"/>
      <c r="J67" s="115"/>
      <c r="K67" s="116"/>
      <c r="L67" s="112" t="str">
        <f>IFERROR(VLOOKUP(Table1[[#This Row],[SyStudentId]],ISIR!$A$2:$X$999,11,FALSE),"")</f>
        <v/>
      </c>
      <c r="M67" s="113" t="str">
        <f>VLOOKUP(Table1[[#This Row],[SyStudentId]],SSR!$A$2:$CC$4982,7,FALSE)</f>
        <v>lexiboo1366@gmail.com</v>
      </c>
      <c r="N67" s="113" t="str">
        <f>VLOOKUP(Table1[[#This Row],[SyStudentId]],SSR!$A$2:$CC$4982,8,FALSE)</f>
        <v>1940 Roberson Rd</v>
      </c>
      <c r="O67" s="113" t="str">
        <f>VLOOKUP(Table1[[#This Row],[SyStudentId]],SSR!$A$2:$CC$4982,9,FALSE)</f>
        <v>Augusta</v>
      </c>
      <c r="P67" s="303" t="str">
        <f>VLOOKUP(Table1[[#This Row],[SyStudentId]],SSR!$A$2:$CC$4982,10,FALSE)</f>
        <v>GA</v>
      </c>
      <c r="Q67" s="117" t="str">
        <f>VLOOKUP(Table1[[#This Row],[SyStudentId]],SSR!$A$2:$CC$4982,11,FALSE)</f>
        <v xml:space="preserve">30906     </v>
      </c>
      <c r="R67" s="118">
        <f>VLOOKUP(Table1[[#This Row],[SyStudentId]],SSR!$A$2:$CC$4982,15,FALSE)</f>
        <v>3.5190000000000001</v>
      </c>
      <c r="S67" s="119">
        <f>VLOOKUP(Table1[[#This Row],[SyStudentId]],SSR!$A$2:$CC$4982,22,FALSE)</f>
        <v>44109</v>
      </c>
      <c r="T67" s="113" t="str">
        <f>VLOOKUP(Table1[[#This Row],[SyStudentId]],SSR!$A$2:$CC$4982,24,FALSE)</f>
        <v>MN</v>
      </c>
      <c r="U67" s="113" t="str">
        <f>IF(VLOOKUP(Table1[[#This Row],[SyStudentId]],SSR!$A$2:$CC$4982,26,FALSE)=0,"Not Selected",VLOOKUP(Table1[[#This Row],[SyStudentId]],SSR!$A$2:$CC$4982,26,FALSE))</f>
        <v>Female</v>
      </c>
      <c r="V67" s="113" t="str">
        <f>VLOOKUP(Table1[[#This Row],[SyStudentId]],SSR!$A$2:$CC$4982,27,FALSE)</f>
        <v xml:space="preserve">HS2020  </v>
      </c>
      <c r="W67" s="113" t="str">
        <f>VLOOKUP(LEFT(Table1[[#This Row],[LastName]],1),Alpha!$A$1:$B$26,2,FALSE)</f>
        <v>Maureen Ranks</v>
      </c>
      <c r="X67" s="149" t="str">
        <f>VLOOKUP(Table1[[#This Row],[FAA]],Alpha!$B$1:$D$26,2,FALSE)</f>
        <v>mranks@neumont.edu</v>
      </c>
      <c r="Y67" s="113">
        <f>VLOOKUP(Table1[[#This Row],[FAA]],Alpha!$B$1:$D$26,3,FALSE)</f>
        <v>8883022894</v>
      </c>
      <c r="Z67" s="113" t="str">
        <f>VLOOKUP(Table1[[#This Row],[SyStudentId]],SSR!$A$2:$CC$4982,30,FALSE)</f>
        <v>16-Accepted</v>
      </c>
      <c r="AA67" s="113" t="str">
        <f>IF(VLOOKUP(Table1[[#This Row],[SyStudentId]],SSR!$A$2:$CC$4982,36,FALSE)="Bachelor of Science","BS Computer Science","Check Program")</f>
        <v>BS Computer Science</v>
      </c>
      <c r="AB67" s="113">
        <f>VLOOKUP(Table1[[#This Row],[SyStudentId]],SSR!$A$2:$CC$4982,37,FALSE)</f>
        <v>0</v>
      </c>
      <c r="AC67" s="113">
        <f>VLOOKUP(Table1[[#This Row],[SyStudentId]],SSR!$A$2:$CC$4982,42,FALSE)</f>
        <v>0</v>
      </c>
      <c r="AD67" s="113" t="str">
        <f>VLOOKUP(Table1[[#This Row],[SyStudentId]],SSR!$A$2:$CC$4982,46,FALSE)</f>
        <v>0</v>
      </c>
      <c r="AE67" s="113" t="str">
        <f>VLOOKUP(Table1[[#This Row],[SyStudentId]],SSR!$A$2:$CC$4982,65,FALSE)</f>
        <v>IV</v>
      </c>
      <c r="AF67"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4</v>
      </c>
      <c r="AG67" s="113" t="str">
        <f>VLOOKUP(Table1[[#This Row],[SyStudentId]],SSR!$A$2:$CC$4982,66,FALSE)</f>
        <v>October</v>
      </c>
      <c r="AH67" s="113" t="str">
        <f>IFERROR(VLOOKUP(Table1[[#This Row],[SyStudentId]],ISIR!$A$2:$X$999,7,FALSE),"")</f>
        <v/>
      </c>
      <c r="AI67" s="121" t="str">
        <f>IF(Table1[[#This Row],[EFCRaw]]="","",IF(Table1[[#This Row],[EFCRaw]]="No EFC","No EFC",_xlfn.NUMBERVALUE(Table1[[#This Row],[EFCRaw]])))</f>
        <v/>
      </c>
      <c r="AJ67" s="119" t="str">
        <f>IFERROR(VLOOKUP(Table1[[#This Row],[SyStudentId]],ISIR!$A$2:$X$4999,19,FALSE),"")</f>
        <v/>
      </c>
      <c r="AK67" s="113" t="str">
        <f>IFERROR(VLOOKUP(Table1[[#This Row],[SyStudentId]],ISIR!$A$2:$X$4999,8,FALSE),"")</f>
        <v/>
      </c>
      <c r="AL67" s="132" t="str">
        <f>IF(Table1[[#This Row],[VerReq]]="N","n/a","")</f>
        <v/>
      </c>
      <c r="AM67" s="122"/>
      <c r="AN67" s="122"/>
      <c r="AO67" s="122"/>
      <c r="AP67" s="122"/>
      <c r="AQ67" s="122"/>
      <c r="AR67" s="122"/>
      <c r="AS67" s="122"/>
      <c r="AT67" s="122"/>
      <c r="AU67" s="122"/>
      <c r="AV67" s="122"/>
      <c r="AW67" s="122"/>
      <c r="AX67" s="122"/>
      <c r="AY67" s="122"/>
      <c r="AZ67" s="122"/>
      <c r="BA67" s="122"/>
      <c r="BB67" s="122"/>
      <c r="BC67" s="133"/>
      <c r="BD67" s="140" t="str">
        <f>IF(Table1[[#This Row],[VerReq]]="N","x","")</f>
        <v/>
      </c>
      <c r="BE67" s="140" t="str">
        <f>IF(Table1[[#This Row],[VerReq]]="N","x","")</f>
        <v/>
      </c>
      <c r="BF67" s="140" t="str">
        <f>IF(Table1[[#This Row],[VerReq]]="N","x","")</f>
        <v/>
      </c>
      <c r="BG67" s="140" t="str">
        <f>IF(Table1[[#This Row],[VerReq]]="N","x","")</f>
        <v/>
      </c>
      <c r="BH67" s="140" t="str">
        <f>IF(Table1[[#This Row],[VerReq]]="N","x","")</f>
        <v/>
      </c>
      <c r="BI67" s="140" t="str">
        <f>IF(Table1[[#This Row],[VerReq]]="N","x","")</f>
        <v/>
      </c>
      <c r="BJ67" s="123">
        <f>1-((COUNTBLANK(Table1[[#This Row],[ALESent]:[TaxTran]]))/(COUNT(Table1[[#This Row],[ALESent]:[TaxTran]])+COUNTBLANK(Table1[[#This Row],[ALESent]:[TaxTran]])))</f>
        <v>0</v>
      </c>
      <c r="BK67" s="136">
        <f>IF(VLOOKUP(Table1[[#This Row],[SyStudentId]],SSR!$A$2:$CC$4982,22,FALSE)=44109,44109,"Check Program")</f>
        <v>44109</v>
      </c>
      <c r="BL67" s="124">
        <f>IF(Table1[[#This Row],[AYStart]]=44109,44356,"Check Program")</f>
        <v>44356</v>
      </c>
      <c r="BM67" s="219">
        <v>8505</v>
      </c>
      <c r="BN67" s="219">
        <v>8505</v>
      </c>
      <c r="BO67" s="219">
        <v>8505</v>
      </c>
      <c r="BP67" s="220">
        <f t="shared" si="3"/>
        <v>25515</v>
      </c>
      <c r="BQ67" s="221">
        <v>3300</v>
      </c>
      <c r="BR67" s="219">
        <v>400</v>
      </c>
      <c r="BS67" s="219">
        <v>400</v>
      </c>
      <c r="BT67" s="220">
        <f t="shared" si="4"/>
        <v>4100</v>
      </c>
      <c r="BU67" s="219">
        <v>2100</v>
      </c>
      <c r="BV67" s="219">
        <v>2100</v>
      </c>
      <c r="BW67" s="219">
        <v>2100</v>
      </c>
      <c r="BX67" s="220">
        <f t="shared" si="5"/>
        <v>6300</v>
      </c>
      <c r="BY67" s="275">
        <v>1200</v>
      </c>
      <c r="BZ67" s="275">
        <v>1200</v>
      </c>
      <c r="CA67" s="275">
        <v>1200</v>
      </c>
      <c r="CB67" s="220">
        <f>SUM(Table1[[#This Row],[LEQ1]:[LEQ3]])</f>
        <v>3600</v>
      </c>
      <c r="CC67" s="275"/>
      <c r="CD67" s="275"/>
      <c r="CE67" s="275"/>
      <c r="CF67" s="220">
        <f>SUM(Table1[[#This Row],[OthCostQ1]:[OthCostQ3]])</f>
        <v>0</v>
      </c>
      <c r="CG67" s="220">
        <f>(Table1[[#This Row],[T&amp;FTot]]+Table1[[#This Row],[B&amp;STot]]+Table1[[#This Row],[HousTot]]+Table1[[#This Row],[LETot]]+Table1[[#This Row],[OthCostTot]])</f>
        <v>39515</v>
      </c>
      <c r="CH67" s="250"/>
      <c r="CI67" s="250"/>
      <c r="CJ67" s="250"/>
      <c r="CK67" s="251">
        <f>SUM(Table1[[#This Row],[SEOGQ1]:[SEOGQ3]])</f>
        <v>0</v>
      </c>
      <c r="CL67" s="250">
        <f>IFERROR(ROUNDUP(Table1[[#This Row],[PellTot]]/3,0),0)</f>
        <v>0</v>
      </c>
      <c r="CM67" s="250">
        <f>IFERROR(ROUND(Table1[[#This Row],[PellTot]]/3,0),0)</f>
        <v>0</v>
      </c>
      <c r="CN67" s="250">
        <f>IFERROR(ROUNDDOWN(Table1[[#This Row],[PellTot]]/3,0),0)</f>
        <v>0</v>
      </c>
      <c r="CO67" s="251">
        <f>IFERROR(LOOKUP(Table1[EFC],Pell_Table[#Data],Pell_Table[Pell Amt]),0)</f>
        <v>0</v>
      </c>
      <c r="CP67" s="250">
        <f>Table1[[#This Row],[AccessTot]]/3</f>
        <v>0</v>
      </c>
      <c r="CQ67" s="250">
        <f>Table1[[#This Row],[AccessTot]]/3</f>
        <v>0</v>
      </c>
      <c r="CR67" s="250">
        <f>Table1[[#This Row],[AccessTot]]/3</f>
        <v>0</v>
      </c>
      <c r="CS67" s="251">
        <f>IF(Table1[[#This Row],[PellTot]]&gt;0,1500,0)</f>
        <v>0</v>
      </c>
      <c r="CT67" s="250">
        <f>Table1[[#This Row],[AchiTot]]/3</f>
        <v>1250</v>
      </c>
      <c r="CU67" s="250">
        <f>Table1[[#This Row],[AchiTot]]/3</f>
        <v>1250</v>
      </c>
      <c r="CV67" s="250">
        <f>Table1[[#This Row],[AchiTot]]/3</f>
        <v>1250</v>
      </c>
      <c r="CW67" s="252">
        <f>IF(Table1[[#This Row],[Rank]]="","",IF(Table1[[#This Row],[Rank]]=1,5100,IF(Table1[[#This Row],[Rank]]=2,4500,IF(Table1[[#This Row],[Rank]]=3,3900,IF(Table1[[#This Row],[Rank]]=4,3750,IF(Table1[[#This Row],[Rank]]=5,3000,IF(Table1[[#This Row],[Rank]]=6,2250,0)))))))</f>
        <v>3750</v>
      </c>
      <c r="CX67" s="250">
        <f>Table1[[#This Row],[UTTot]]/3</f>
        <v>0</v>
      </c>
      <c r="CY67" s="250">
        <f>Table1[[#This Row],[UTTot]]/3</f>
        <v>0</v>
      </c>
      <c r="CZ67" s="250">
        <f>Table1[[#This Row],[UTTot]]/3</f>
        <v>0</v>
      </c>
      <c r="DA67" s="251">
        <f>IF(Table1[[#This Row],[State]]="UT",9000,0)</f>
        <v>0</v>
      </c>
      <c r="DB67" s="250">
        <f>Table1[[#This Row],[WITTot]]/3</f>
        <v>1000</v>
      </c>
      <c r="DC67" s="250">
        <f>Table1[[#This Row],[WITTot]]/3</f>
        <v>1000</v>
      </c>
      <c r="DD67" s="250">
        <f>Table1[[#This Row],[WITTot]]/3</f>
        <v>1000</v>
      </c>
      <c r="DE67" s="251">
        <f>IF(Table1[[#This Row],[Gender]]="Female",3000,0)</f>
        <v>3000</v>
      </c>
      <c r="DF67" s="250">
        <f>Table1[[#This Row],[SerTot]]/3</f>
        <v>0</v>
      </c>
      <c r="DG67" s="250">
        <f>Table1[[#This Row],[SerTot]]/3</f>
        <v>0</v>
      </c>
      <c r="DH67" s="250">
        <f>Table1[[#This Row],[SerTot]]/3</f>
        <v>0</v>
      </c>
      <c r="DI67" s="252"/>
      <c r="DJ67" s="250"/>
      <c r="DK67" s="250"/>
      <c r="DL67" s="250"/>
      <c r="DM67" s="252"/>
      <c r="DN67" s="250">
        <f>Table1[[#This Row],[MatTot]]/3</f>
        <v>0</v>
      </c>
      <c r="DO67" s="250">
        <f>Table1[[#This Row],[MatTot]]/3</f>
        <v>0</v>
      </c>
      <c r="DP67" s="250">
        <f>Table1[[#This Row],[MatTot]]/3</f>
        <v>0</v>
      </c>
      <c r="DQ67" s="252"/>
      <c r="DR67" s="250">
        <f>Table1[[#This Row],[OutTot]]/3</f>
        <v>0</v>
      </c>
      <c r="DS67" s="250">
        <f>Table1[[#This Row],[OutTot]]/3</f>
        <v>0</v>
      </c>
      <c r="DT67" s="250">
        <f>Table1[[#This Row],[OutTot]]/3</f>
        <v>0</v>
      </c>
      <c r="DU67" s="252"/>
      <c r="DV67" s="250"/>
      <c r="DW67" s="250"/>
      <c r="DX67" s="250"/>
      <c r="DY67" s="252">
        <f>SUM(Table1[[#This Row],[VAQ1]:[VAQ3]])</f>
        <v>0</v>
      </c>
      <c r="DZ67" s="250"/>
      <c r="EA67" s="250"/>
      <c r="EB67" s="250"/>
      <c r="EC67" s="252">
        <f>SUM(Table1[[#This Row],[OthGrantQ1]:[OthGrantQ3]])</f>
        <v>0</v>
      </c>
      <c r="ED67" s="263">
        <f>Table1[[#This Row],[SEOGTot]]+Table1[[#This Row],[PellTot]]+Table1[[#This Row],[AccessTot]]+Table1[[#This Row],[AchiTot]]+Table1[[#This Row],[UTTot]]+Table1[[#This Row],[WITTot]]+Table1[[#This Row],[SerTot]]+Table1[[#This Row],[TranTot]]+Table1[[#This Row],[MatTot]]+Table1[[#This Row],[OutTot]]+Table1[[#This Row],[VATot]]+Table1[[#This Row],[OthGrantTot]]</f>
        <v>6750</v>
      </c>
      <c r="EE67" s="249"/>
      <c r="EF67" s="237"/>
      <c r="EG67" s="237"/>
      <c r="EH67" s="232">
        <f>SUM(Table1[[#This Row],[CashQ1]]:Table1[[#This Row],[CashQ3]])</f>
        <v>0</v>
      </c>
      <c r="EI67" s="271">
        <f>ROUND((Table1[[#This Row],[SubTot]]/3)/1.01059,0)</f>
        <v>0</v>
      </c>
      <c r="EJ67" s="234">
        <f>ROUND((Table1[[#This Row],[SubTot]]/3)/1.01059,0)</f>
        <v>0</v>
      </c>
      <c r="EK67" s="234">
        <f>ROUNDUP((Table1[[#This Row],[SubTot]]/3)/1.01059,0)</f>
        <v>0</v>
      </c>
      <c r="EL67" s="235"/>
      <c r="EM67" s="240">
        <f>Table1[[#This Row],[SubTot]]*0.01059</f>
        <v>0</v>
      </c>
      <c r="EN67" s="234">
        <f>ROUND((Table1[[#This Row],[UnsubTot]]/3)/1.01062,0)</f>
        <v>660</v>
      </c>
      <c r="EO67" s="234">
        <f>ROUND((Table1[[#This Row],[UnsubTot]]/3)/1.01062,0)</f>
        <v>660</v>
      </c>
      <c r="EP67" s="234">
        <f>ROUNDDOWN((Table1[[#This Row],[UnsubTot]]/3)/1.01062,0)</f>
        <v>659</v>
      </c>
      <c r="EQ67" s="235">
        <f>IF(Table1[D/I]="I",6000,2000)</f>
        <v>2000</v>
      </c>
      <c r="ER67" s="240">
        <f>Table1[[#This Row],[UnsubTot]]*0.01062</f>
        <v>21.24</v>
      </c>
      <c r="ES67" s="234">
        <f>ROUND((Table1[[#This Row],[PLUSTot]]/3)/1.04248,0)</f>
        <v>0</v>
      </c>
      <c r="ET67" s="234">
        <f>ROUND((Table1[[#This Row],[PLUSTot]]/3)/1.04248,0)</f>
        <v>0</v>
      </c>
      <c r="EU67" s="234">
        <f>ROUND((Table1[[#This Row],[PLUSTot]]/3)/1.04248,0)</f>
        <v>0</v>
      </c>
      <c r="EV67" s="235"/>
      <c r="EW67" s="239">
        <f>Table1[[#This Row],[PLUSTot]]*0.04248</f>
        <v>0</v>
      </c>
      <c r="EX67" s="237"/>
      <c r="EY67" s="237"/>
      <c r="EZ67" s="237"/>
      <c r="FA67" s="232">
        <f>SUM(Table1[[#This Row],[PrivQ1]:[PrivQ3]])</f>
        <v>0</v>
      </c>
      <c r="FB67" s="237"/>
      <c r="FC67" s="237"/>
      <c r="FD67" s="237"/>
      <c r="FE67" s="232">
        <f>SUM(Table1[[#This Row],[TOQ1]:[TOQ3]])</f>
        <v>0</v>
      </c>
      <c r="FF67" s="237"/>
      <c r="FG67" s="237"/>
      <c r="FH67" s="237"/>
      <c r="FI67" s="232">
        <f>SUM(Table1[[#This Row],[OFundQ1]:[OFundQ3]])</f>
        <v>0</v>
      </c>
      <c r="FJ67" s="239">
        <f>(Table1[[#This Row],[SubTot]]-Table1[[#This Row],[SubFee]])+(Table1[[#This Row],[UnsubTot]]-Table1[[#This Row],[UnsubFee]])+(Table1[[#This Row],[PLUSTot]]-Table1[[#This Row],[PLUSFee]])+Table1[[#This Row],[PrivTot]]+Table1[[#This Row],[TOTot]]+Table1[[#This Row],[OFundTot]]</f>
        <v>1978.76</v>
      </c>
      <c r="FK67" s="125">
        <f>Table1[[#This Row],[CostTot]]-Table1[[#This Row],[GiftTot]]</f>
        <v>32765</v>
      </c>
      <c r="FL67" s="130">
        <f>Table1[[#This Row],[NetNeed]]/(1-0.04248)</f>
        <v>32152.059487008104</v>
      </c>
      <c r="FM67" s="131">
        <f>Table1[[#This Row],[NetCost]]-Table1[[#This Row],[CashTot]]-(Table1[[#This Row],[SubTot]]-Table1[[#This Row],[SubFee]])-(Table1[[#This Row],[UnsubTot]]-Table1[[#This Row],[UnsubFee]])-(Table1[[#This Row],[PLUSTot]]-Table1[[#This Row],[PLUSFee]])-Table1[[#This Row],[PrivTot]]-Table1[[#This Row],[TOTot]]-Table1[[#This Row],[OFundTot]]</f>
        <v>30786.240000000002</v>
      </c>
      <c r="FN67" s="161"/>
      <c r="FO67" s="113"/>
      <c r="FP67" s="113"/>
    </row>
    <row r="68" spans="1:172" s="160" customFormat="1" ht="15" x14ac:dyDescent="0.25">
      <c r="A68" s="311">
        <v>198066</v>
      </c>
      <c r="B68" s="113" t="str">
        <f>VLOOKUP(Table1[[#This Row],[SyStudentId]],SSR!$A$2:$CC$4982,4,FALSE)</f>
        <v>Pagonas</v>
      </c>
      <c r="C68" s="113" t="str">
        <f>VLOOKUP(Table1[[#This Row],[SyStudentId]],SSR!$A$2:$CC$4982,5,FALSE)</f>
        <v>Joshua</v>
      </c>
      <c r="D68" s="113" t="str">
        <f>VLOOKUP(Table1[[#This Row],[SyStudentId]],SSR!$A$2:$CC$4982,6,FALSE)</f>
        <v>Pagonas, Joshua</v>
      </c>
      <c r="E68" s="113" t="str">
        <f>CONCATENATE(Table1[[#This Row],[FirstName]]," ",Table1[[#This Row],[LastName]])</f>
        <v>Joshua Pagonas</v>
      </c>
      <c r="F68" s="112"/>
      <c r="G68" s="114"/>
      <c r="H68" s="114"/>
      <c r="I68" s="114"/>
      <c r="J68" s="115" t="s">
        <v>6041</v>
      </c>
      <c r="K68" s="116"/>
      <c r="L68" s="112" t="str">
        <f>IFERROR(VLOOKUP(Table1[[#This Row],[SyStudentId]],ISIR!$A$2:$X$999,11,FALSE),"")</f>
        <v/>
      </c>
      <c r="M68" s="113" t="str">
        <f>VLOOKUP(Table1[[#This Row],[SyStudentId]],SSR!$A$2:$CC$4982,7,FALSE)</f>
        <v>jkp19mail@yahoo.com</v>
      </c>
      <c r="N68" s="113" t="str">
        <f>VLOOKUP(Table1[[#This Row],[SyStudentId]],SSR!$A$2:$CC$4982,8,FALSE)</f>
        <v>6358 WALKER DRIVE</v>
      </c>
      <c r="O68" s="113" t="str">
        <f>VLOOKUP(Table1[[#This Row],[SyStudentId]],SSR!$A$2:$CC$4982,9,FALSE)</f>
        <v>TROY</v>
      </c>
      <c r="P68" s="113" t="str">
        <f>VLOOKUP(Table1[[#This Row],[SyStudentId]],SSR!$A$2:$CC$4982,10,FALSE)</f>
        <v>MI</v>
      </c>
      <c r="Q68" s="117" t="str">
        <f>VLOOKUP(Table1[[#This Row],[SyStudentId]],SSR!$A$2:$CC$4982,11,FALSE)</f>
        <v xml:space="preserve">48085     </v>
      </c>
      <c r="R68" s="118">
        <f>VLOOKUP(Table1[[#This Row],[SyStudentId]],SSR!$A$2:$CC$4982,15,FALSE)</f>
        <v>3.7</v>
      </c>
      <c r="S68" s="119">
        <f>VLOOKUP(Table1[[#This Row],[SyStudentId]],SSR!$A$2:$CC$4982,22,FALSE)</f>
        <v>44109</v>
      </c>
      <c r="T68" s="113" t="str">
        <f>VLOOKUP(Table1[[#This Row],[SyStudentId]],SSR!$A$2:$CC$4982,24,FALSE)</f>
        <v>GM</v>
      </c>
      <c r="U68" s="113" t="str">
        <f>IF(VLOOKUP(Table1[[#This Row],[SyStudentId]],SSR!$A$2:$CC$4982,26,FALSE)=0,"Not Selected",VLOOKUP(Table1[[#This Row],[SyStudentId]],SSR!$A$2:$CC$4982,26,FALSE))</f>
        <v>Male</v>
      </c>
      <c r="V68" s="113" t="str">
        <f>VLOOKUP(Table1[[#This Row],[SyStudentId]],SSR!$A$2:$CC$4982,27,FALSE)</f>
        <v xml:space="preserve">HS2020  </v>
      </c>
      <c r="W68" s="113" t="str">
        <f>VLOOKUP(LEFT(Table1[[#This Row],[LastName]],1),Alpha!$A$1:$B$26,2,FALSE)</f>
        <v>Maureen Ranks</v>
      </c>
      <c r="X68" s="149" t="str">
        <f>VLOOKUP(Table1[[#This Row],[FAA]],Alpha!$B$1:$D$26,2,FALSE)</f>
        <v>mranks@neumont.edu</v>
      </c>
      <c r="Y68" s="113">
        <f>VLOOKUP(Table1[[#This Row],[FAA]],Alpha!$B$1:$D$26,3,FALSE)</f>
        <v>8883022894</v>
      </c>
      <c r="Z68" s="113" t="str">
        <f>VLOOKUP(Table1[[#This Row],[SyStudentId]],SSR!$A$2:$CC$4982,30,FALSE)</f>
        <v>16-Accepted</v>
      </c>
      <c r="AA68" s="113" t="str">
        <f>IF(VLOOKUP(Table1[[#This Row],[SyStudentId]],SSR!$A$2:$CC$4982,36,FALSE)="Bachelor of Science","BS Computer Science","Check Program")</f>
        <v>BS Computer Science</v>
      </c>
      <c r="AB68" s="113" t="str">
        <f>VLOOKUP(Table1[[#This Row],[SyStudentId]],SSR!$A$2:$CC$4982,37,FALSE)</f>
        <v xml:space="preserve">        </v>
      </c>
      <c r="AC68" s="113" t="str">
        <f>VLOOKUP(Table1[[#This Row],[SyStudentId]],SSR!$A$2:$CC$4982,42,FALSE)</f>
        <v xml:space="preserve">1030    </v>
      </c>
      <c r="AD68" s="113" t="str">
        <f>VLOOKUP(Table1[[#This Row],[SyStudentId]],SSR!$A$2:$CC$4982,46,FALSE)</f>
        <v>112</v>
      </c>
      <c r="AE68" s="113" t="str">
        <f>VLOOKUP(Table1[[#This Row],[SyStudentId]],SSR!$A$2:$CC$4982,65,FALSE)</f>
        <v>II</v>
      </c>
      <c r="AF68"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2</v>
      </c>
      <c r="AG68" s="113" t="str">
        <f>VLOOKUP(Table1[[#This Row],[SyStudentId]],SSR!$A$2:$CC$4982,66,FALSE)</f>
        <v>November</v>
      </c>
      <c r="AH68" s="113" t="str">
        <f>IFERROR(VLOOKUP(Table1[[#This Row],[SyStudentId]],ISIR!$A$2:$X$999,7,FALSE),"")</f>
        <v/>
      </c>
      <c r="AI68" s="121" t="str">
        <f>IF(Table1[[#This Row],[EFCRaw]]="","",IF(Table1[[#This Row],[EFCRaw]]="No EFC","No EFC",_xlfn.NUMBERVALUE(Table1[[#This Row],[EFCRaw]])))</f>
        <v/>
      </c>
      <c r="AJ68" s="119" t="str">
        <f>IFERROR(VLOOKUP(Table1[[#This Row],[SyStudentId]],ISIR!$A$2:$X$4999,19,FALSE),"")</f>
        <v/>
      </c>
      <c r="AK68" s="113" t="str">
        <f>IFERROR(VLOOKUP(Table1[[#This Row],[SyStudentId]],ISIR!$A$2:$X$4999,8,FALSE),"")</f>
        <v/>
      </c>
      <c r="AL68" s="132" t="str">
        <f>IF(Table1[[#This Row],[VerReq]]="N","n/a","")</f>
        <v/>
      </c>
      <c r="AM68" s="122"/>
      <c r="AN68" s="122"/>
      <c r="AO68" s="122"/>
      <c r="AP68" s="122"/>
      <c r="AQ68" s="122"/>
      <c r="AR68" s="122"/>
      <c r="AS68" s="122"/>
      <c r="AT68" s="122"/>
      <c r="AU68" s="122"/>
      <c r="AV68" s="122"/>
      <c r="AW68" s="122"/>
      <c r="AX68" s="122"/>
      <c r="AY68" s="122"/>
      <c r="AZ68" s="122"/>
      <c r="BA68" s="122"/>
      <c r="BB68" s="122"/>
      <c r="BC68" s="133"/>
      <c r="BD68" s="140" t="str">
        <f>IF(Table1[[#This Row],[VerReq]]="N","x","")</f>
        <v/>
      </c>
      <c r="BE68" s="140" t="str">
        <f>IF(Table1[[#This Row],[VerReq]]="N","x","")</f>
        <v/>
      </c>
      <c r="BF68" s="140" t="str">
        <f>IF(Table1[[#This Row],[VerReq]]="N","x","")</f>
        <v/>
      </c>
      <c r="BG68" s="140" t="str">
        <f>IF(Table1[[#This Row],[VerReq]]="N","x","")</f>
        <v/>
      </c>
      <c r="BH68" s="140" t="str">
        <f>IF(Table1[[#This Row],[VerReq]]="N","x","")</f>
        <v/>
      </c>
      <c r="BI68" s="140" t="str">
        <f>IF(Table1[[#This Row],[VerReq]]="N","x","")</f>
        <v/>
      </c>
      <c r="BJ68" s="123">
        <f>1-((COUNTBLANK(Table1[[#This Row],[ALESent]:[TaxTran]]))/(COUNT(Table1[[#This Row],[ALESent]:[TaxTran]])+COUNTBLANK(Table1[[#This Row],[ALESent]:[TaxTran]])))</f>
        <v>0</v>
      </c>
      <c r="BK68" s="136">
        <f>IF(VLOOKUP(Table1[[#This Row],[SyStudentId]],SSR!$A$2:$CC$4982,22,FALSE)=44109,44109,"Check Program")</f>
        <v>44109</v>
      </c>
      <c r="BL68" s="124">
        <f>IF(Table1[[#This Row],[AYStart]]=44109,44356,"Check Program")</f>
        <v>44356</v>
      </c>
      <c r="BM68" s="219"/>
      <c r="BN68" s="219"/>
      <c r="BO68" s="219"/>
      <c r="BP68" s="220">
        <f t="shared" si="3"/>
        <v>0</v>
      </c>
      <c r="BQ68" s="221"/>
      <c r="BR68" s="219"/>
      <c r="BS68" s="219"/>
      <c r="BT68" s="220">
        <f t="shared" si="4"/>
        <v>0</v>
      </c>
      <c r="BU68" s="219"/>
      <c r="BV68" s="219"/>
      <c r="BW68" s="219"/>
      <c r="BX68" s="220">
        <f t="shared" si="5"/>
        <v>0</v>
      </c>
      <c r="BY68" s="275"/>
      <c r="BZ68" s="275"/>
      <c r="CA68" s="275"/>
      <c r="CB68" s="220">
        <f>SUM(Table1[[#This Row],[LEQ1]:[LEQ3]])</f>
        <v>0</v>
      </c>
      <c r="CC68" s="275"/>
      <c r="CD68" s="275"/>
      <c r="CE68" s="275"/>
      <c r="CF68" s="220">
        <f>SUM(Table1[[#This Row],[OthCostQ1]:[OthCostQ3]])</f>
        <v>0</v>
      </c>
      <c r="CG68" s="220">
        <f>(Table1[[#This Row],[T&amp;FTot]]+Table1[[#This Row],[B&amp;STot]]+Table1[[#This Row],[HousTot]]+Table1[[#This Row],[LETot]]+Table1[[#This Row],[OthCostTot]])</f>
        <v>0</v>
      </c>
      <c r="CH68" s="250"/>
      <c r="CI68" s="250"/>
      <c r="CJ68" s="250"/>
      <c r="CK68" s="251">
        <f>SUM(Table1[[#This Row],[SEOGQ1]:[SEOGQ3]])</f>
        <v>0</v>
      </c>
      <c r="CL68" s="250">
        <f>IFERROR(ROUNDUP(Table1[[#This Row],[PellTot]]/3,0),0)</f>
        <v>0</v>
      </c>
      <c r="CM68" s="250">
        <f>IFERROR(ROUND(Table1[[#This Row],[PellTot]]/3,0),0)</f>
        <v>0</v>
      </c>
      <c r="CN68" s="250">
        <f>IFERROR(ROUNDDOWN(Table1[[#This Row],[PellTot]]/3,0),0)</f>
        <v>0</v>
      </c>
      <c r="CO68" s="251">
        <f>IFERROR(LOOKUP(Table1[EFC],Pell_Table[#Data],Pell_Table[Pell Amt]),0)</f>
        <v>0</v>
      </c>
      <c r="CP68" s="250">
        <f>Table1[[#This Row],[AccessTot]]/3</f>
        <v>0</v>
      </c>
      <c r="CQ68" s="250">
        <f>Table1[[#This Row],[AccessTot]]/3</f>
        <v>0</v>
      </c>
      <c r="CR68" s="250">
        <f>Table1[[#This Row],[AccessTot]]/3</f>
        <v>0</v>
      </c>
      <c r="CS68" s="251">
        <f>IF(Table1[[#This Row],[PellTot]]&gt;0,1500,0)</f>
        <v>0</v>
      </c>
      <c r="CT68" s="250">
        <f>Table1[[#This Row],[AchiTot]]/3</f>
        <v>1500</v>
      </c>
      <c r="CU68" s="250">
        <f>Table1[[#This Row],[AchiTot]]/3</f>
        <v>1500</v>
      </c>
      <c r="CV68" s="250">
        <f>Table1[[#This Row],[AchiTot]]/3</f>
        <v>1500</v>
      </c>
      <c r="CW68" s="252">
        <f>IF(Table1[[#This Row],[Rank]]="","",IF(Table1[[#This Row],[Rank]]=1,5100,IF(Table1[[#This Row],[Rank]]=2,4500,IF(Table1[[#This Row],[Rank]]=3,3900,IF(Table1[[#This Row],[Rank]]=4,3750,IF(Table1[[#This Row],[Rank]]=5,3000,IF(Table1[[#This Row],[Rank]]=6,2250,0)))))))</f>
        <v>4500</v>
      </c>
      <c r="CX68" s="250">
        <f>Table1[[#This Row],[UTTot]]/3</f>
        <v>0</v>
      </c>
      <c r="CY68" s="250">
        <f>Table1[[#This Row],[UTTot]]/3</f>
        <v>0</v>
      </c>
      <c r="CZ68" s="250">
        <f>Table1[[#This Row],[UTTot]]/3</f>
        <v>0</v>
      </c>
      <c r="DA68" s="251">
        <f>IF(Table1[[#This Row],[State]]="UT",9000,0)</f>
        <v>0</v>
      </c>
      <c r="DB68" s="250">
        <f>Table1[[#This Row],[WITTot]]/3</f>
        <v>0</v>
      </c>
      <c r="DC68" s="250">
        <f>Table1[[#This Row],[WITTot]]/3</f>
        <v>0</v>
      </c>
      <c r="DD68" s="250">
        <f>Table1[[#This Row],[WITTot]]/3</f>
        <v>0</v>
      </c>
      <c r="DE68" s="251">
        <f>IF(Table1[[#This Row],[Gender]]="Female",3000,0)</f>
        <v>0</v>
      </c>
      <c r="DF68" s="250">
        <f>Table1[[#This Row],[SerTot]]/3</f>
        <v>0</v>
      </c>
      <c r="DG68" s="250">
        <f>Table1[[#This Row],[SerTot]]/3</f>
        <v>0</v>
      </c>
      <c r="DH68" s="250">
        <f>Table1[[#This Row],[SerTot]]/3</f>
        <v>0</v>
      </c>
      <c r="DI68" s="252"/>
      <c r="DJ68" s="250"/>
      <c r="DK68" s="250"/>
      <c r="DL68" s="250"/>
      <c r="DM68" s="252"/>
      <c r="DN68" s="250">
        <f>Table1[[#This Row],[MatTot]]/3</f>
        <v>0</v>
      </c>
      <c r="DO68" s="250">
        <f>Table1[[#This Row],[MatTot]]/3</f>
        <v>0</v>
      </c>
      <c r="DP68" s="250">
        <f>Table1[[#This Row],[MatTot]]/3</f>
        <v>0</v>
      </c>
      <c r="DQ68" s="252"/>
      <c r="DR68" s="250">
        <f>Table1[[#This Row],[OutTot]]/3</f>
        <v>0</v>
      </c>
      <c r="DS68" s="250">
        <f>Table1[[#This Row],[OutTot]]/3</f>
        <v>0</v>
      </c>
      <c r="DT68" s="250">
        <f>Table1[[#This Row],[OutTot]]/3</f>
        <v>0</v>
      </c>
      <c r="DU68" s="252"/>
      <c r="DV68" s="250"/>
      <c r="DW68" s="250"/>
      <c r="DX68" s="250"/>
      <c r="DY68" s="252">
        <f>SUM(Table1[[#This Row],[VAQ1]:[VAQ3]])</f>
        <v>0</v>
      </c>
      <c r="DZ68" s="250"/>
      <c r="EA68" s="250"/>
      <c r="EB68" s="250"/>
      <c r="EC68" s="252">
        <f>SUM(Table1[[#This Row],[OthGrantQ1]:[OthGrantQ3]])</f>
        <v>0</v>
      </c>
      <c r="ED68" s="263">
        <f>Table1[[#This Row],[SEOGTot]]+Table1[[#This Row],[PellTot]]+Table1[[#This Row],[AccessTot]]+Table1[[#This Row],[AchiTot]]+Table1[[#This Row],[UTTot]]+Table1[[#This Row],[WITTot]]+Table1[[#This Row],[SerTot]]+Table1[[#This Row],[TranTot]]+Table1[[#This Row],[MatTot]]+Table1[[#This Row],[OutTot]]+Table1[[#This Row],[VATot]]+Table1[[#This Row],[OthGrantTot]]</f>
        <v>4500</v>
      </c>
      <c r="EE68" s="249"/>
      <c r="EF68" s="237"/>
      <c r="EG68" s="237"/>
      <c r="EH68" s="232">
        <f>SUM(Table1[[#This Row],[CashQ1]]:Table1[[#This Row],[CashQ3]])</f>
        <v>0</v>
      </c>
      <c r="EI68" s="271">
        <f>ROUND((Table1[[#This Row],[SubTot]]/3)/1.01059,0)</f>
        <v>0</v>
      </c>
      <c r="EJ68" s="234">
        <f>ROUND((Table1[[#This Row],[SubTot]]/3)/1.01059,0)</f>
        <v>0</v>
      </c>
      <c r="EK68" s="234">
        <f>ROUNDUP((Table1[[#This Row],[SubTot]]/3)/1.01059,0)</f>
        <v>0</v>
      </c>
      <c r="EL68" s="235"/>
      <c r="EM68" s="240">
        <f>Table1[[#This Row],[SubTot]]*0.01059</f>
        <v>0</v>
      </c>
      <c r="EN68" s="234">
        <f>ROUND((Table1[[#This Row],[UnsubTot]]/3)/1.01062,0)</f>
        <v>660</v>
      </c>
      <c r="EO68" s="234">
        <f>ROUND((Table1[[#This Row],[UnsubTot]]/3)/1.01062,0)</f>
        <v>660</v>
      </c>
      <c r="EP68" s="234">
        <f>ROUNDDOWN((Table1[[#This Row],[UnsubTot]]/3)/1.01062,0)</f>
        <v>659</v>
      </c>
      <c r="EQ68" s="235">
        <f>IF(Table1[D/I]="I",6000,2000)</f>
        <v>2000</v>
      </c>
      <c r="ER68" s="240">
        <f>Table1[[#This Row],[UnsubTot]]*0.01062</f>
        <v>21.24</v>
      </c>
      <c r="ES68" s="234">
        <f>ROUND((Table1[[#This Row],[PLUSTot]]/3)/1.04248,0)</f>
        <v>0</v>
      </c>
      <c r="ET68" s="234">
        <f>ROUND((Table1[[#This Row],[PLUSTot]]/3)/1.04248,0)</f>
        <v>0</v>
      </c>
      <c r="EU68" s="234">
        <f>ROUND((Table1[[#This Row],[PLUSTot]]/3)/1.04248,0)</f>
        <v>0</v>
      </c>
      <c r="EV68" s="235"/>
      <c r="EW68" s="239">
        <f>Table1[[#This Row],[PLUSTot]]*0.04248</f>
        <v>0</v>
      </c>
      <c r="EX68" s="237"/>
      <c r="EY68" s="237"/>
      <c r="EZ68" s="237"/>
      <c r="FA68" s="232">
        <f>SUM(Table1[[#This Row],[PrivQ1]:[PrivQ3]])</f>
        <v>0</v>
      </c>
      <c r="FB68" s="237"/>
      <c r="FC68" s="237"/>
      <c r="FD68" s="237"/>
      <c r="FE68" s="232">
        <f>SUM(Table1[[#This Row],[TOQ1]:[TOQ3]])</f>
        <v>0</v>
      </c>
      <c r="FF68" s="237"/>
      <c r="FG68" s="237"/>
      <c r="FH68" s="237"/>
      <c r="FI68" s="232">
        <f>SUM(Table1[[#This Row],[OFundQ1]:[OFundQ3]])</f>
        <v>0</v>
      </c>
      <c r="FJ68" s="239">
        <f>(Table1[[#This Row],[SubTot]]-Table1[[#This Row],[SubFee]])+(Table1[[#This Row],[UnsubTot]]-Table1[[#This Row],[UnsubFee]])+(Table1[[#This Row],[PLUSTot]]-Table1[[#This Row],[PLUSFee]])+Table1[[#This Row],[PrivTot]]+Table1[[#This Row],[TOTot]]+Table1[[#This Row],[OFundTot]]</f>
        <v>1978.76</v>
      </c>
      <c r="FK68" s="125">
        <f>Table1[[#This Row],[CostTot]]-Table1[[#This Row],[GiftTot]]</f>
        <v>-4500</v>
      </c>
      <c r="FL68" s="130">
        <f>Table1[[#This Row],[NetNeed]]/(1-0.04248)</f>
        <v>-6766.1876514328678</v>
      </c>
      <c r="FM68" s="131">
        <f>Table1[[#This Row],[NetCost]]-Table1[[#This Row],[CashTot]]-(Table1[[#This Row],[SubTot]]-Table1[[#This Row],[SubFee]])-(Table1[[#This Row],[UnsubTot]]-Table1[[#This Row],[UnsubFee]])-(Table1[[#This Row],[PLUSTot]]-Table1[[#This Row],[PLUSFee]])-Table1[[#This Row],[PrivTot]]-Table1[[#This Row],[TOTot]]-Table1[[#This Row],[OFundTot]]</f>
        <v>-6478.76</v>
      </c>
      <c r="FN68" s="161"/>
      <c r="FO68" s="113"/>
      <c r="FP68" s="113"/>
    </row>
    <row r="69" spans="1:172" s="160" customFormat="1" ht="15" x14ac:dyDescent="0.25">
      <c r="A69" s="316">
        <v>198887</v>
      </c>
      <c r="B69" s="113" t="str">
        <f>VLOOKUP(Table1[[#This Row],[SyStudentId]],SSR!$A$2:$CC$4982,4,FALSE)</f>
        <v>Patel</v>
      </c>
      <c r="C69" s="113" t="str">
        <f>VLOOKUP(Table1[[#This Row],[SyStudentId]],SSR!$A$2:$CC$4982,5,FALSE)</f>
        <v>Aaditya</v>
      </c>
      <c r="D69" s="113" t="str">
        <f>VLOOKUP(Table1[[#This Row],[SyStudentId]],SSR!$A$2:$CC$4982,6,FALSE)</f>
        <v>Patel, Aaditya</v>
      </c>
      <c r="E69" s="113" t="str">
        <f>CONCATENATE(Table1[[#This Row],[FirstName]]," ",Table1[[#This Row],[LastName]])</f>
        <v>Aaditya Patel</v>
      </c>
      <c r="F69" s="112"/>
      <c r="G69" s="114"/>
      <c r="H69" s="114"/>
      <c r="I69" s="114"/>
      <c r="J69" s="115"/>
      <c r="K69" s="116"/>
      <c r="L69" s="112" t="str">
        <f>IFERROR(VLOOKUP(Table1[[#This Row],[SyStudentId]],ISIR!$A$2:$X$999,11,FALSE),"")</f>
        <v/>
      </c>
      <c r="M69" s="113" t="str">
        <f>VLOOKUP(Table1[[#This Row],[SyStudentId]],SSR!$A$2:$CC$4982,7,FALSE)</f>
        <v>iamaaditya2020@gmail.com</v>
      </c>
      <c r="N69" s="113" t="str">
        <f>VLOOKUP(Table1[[#This Row],[SyStudentId]],SSR!$A$2:$CC$4982,8,FALSE)</f>
        <v>19459 S Highlite Dr</v>
      </c>
      <c r="O69" s="113" t="str">
        <f>VLOOKUP(Table1[[#This Row],[SyStudentId]],SSR!$A$2:$CC$4982,9,FALSE)</f>
        <v>Clinton Township</v>
      </c>
      <c r="P69" s="303" t="str">
        <f>VLOOKUP(Table1[[#This Row],[SyStudentId]],SSR!$A$2:$CC$4982,10,FALSE)</f>
        <v>MI</v>
      </c>
      <c r="Q69" s="117" t="str">
        <f>VLOOKUP(Table1[[#This Row],[SyStudentId]],SSR!$A$2:$CC$4982,11,FALSE)</f>
        <v xml:space="preserve">48035     </v>
      </c>
      <c r="R69" s="118">
        <f>VLOOKUP(Table1[[#This Row],[SyStudentId]],SSR!$A$2:$CC$4982,15,FALSE)</f>
        <v>2.52</v>
      </c>
      <c r="S69" s="119">
        <f>VLOOKUP(Table1[[#This Row],[SyStudentId]],SSR!$A$2:$CC$4982,22,FALSE)</f>
        <v>44109</v>
      </c>
      <c r="T69" s="113" t="str">
        <f>VLOOKUP(Table1[[#This Row],[SyStudentId]],SSR!$A$2:$CC$4982,24,FALSE)</f>
        <v>JT</v>
      </c>
      <c r="U69" s="113" t="str">
        <f>IF(VLOOKUP(Table1[[#This Row],[SyStudentId]],SSR!$A$2:$CC$4982,26,FALSE)=0,"Not Selected",VLOOKUP(Table1[[#This Row],[SyStudentId]],SSR!$A$2:$CC$4982,26,FALSE))</f>
        <v>Male</v>
      </c>
      <c r="V69" s="113" t="str">
        <f>VLOOKUP(Table1[[#This Row],[SyStudentId]],SSR!$A$2:$CC$4982,27,FALSE)</f>
        <v xml:space="preserve">HS2020  </v>
      </c>
      <c r="W69" s="113" t="str">
        <f>VLOOKUP(LEFT(Table1[[#This Row],[LastName]],1),Alpha!$A$1:$B$26,2,FALSE)</f>
        <v>Maureen Ranks</v>
      </c>
      <c r="X69" s="149" t="str">
        <f>VLOOKUP(Table1[[#This Row],[FAA]],Alpha!$B$1:$D$26,2,FALSE)</f>
        <v>mranks@neumont.edu</v>
      </c>
      <c r="Y69" s="113">
        <f>VLOOKUP(Table1[[#This Row],[FAA]],Alpha!$B$1:$D$26,3,FALSE)</f>
        <v>8883022894</v>
      </c>
      <c r="Z69" s="113" t="str">
        <f>VLOOKUP(Table1[[#This Row],[SyStudentId]],SSR!$A$2:$CC$4982,30,FALSE)</f>
        <v>16-Accepted</v>
      </c>
      <c r="AA69" s="113" t="str">
        <f>IF(VLOOKUP(Table1[[#This Row],[SyStudentId]],SSR!$A$2:$CC$4982,36,FALSE)="Bachelor of Science","BS Computer Science","Check Program")</f>
        <v>BS Computer Science</v>
      </c>
      <c r="AB69" s="113">
        <f>VLOOKUP(Table1[[#This Row],[SyStudentId]],SSR!$A$2:$CC$4982,37,FALSE)</f>
        <v>0</v>
      </c>
      <c r="AC69" s="113" t="str">
        <f>VLOOKUP(Table1[[#This Row],[SyStudentId]],SSR!$A$2:$CC$4982,42,FALSE)</f>
        <v xml:space="preserve">1010    </v>
      </c>
      <c r="AD69" s="113" t="str">
        <f>VLOOKUP(Table1[[#This Row],[SyStudentId]],SSR!$A$2:$CC$4982,46,FALSE)</f>
        <v>89</v>
      </c>
      <c r="AE69" s="113" t="str">
        <f>VLOOKUP(Table1[[#This Row],[SyStudentId]],SSR!$A$2:$CC$4982,65,FALSE)</f>
        <v>VI</v>
      </c>
      <c r="AF69"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6</v>
      </c>
      <c r="AG69" s="113" t="str">
        <f>VLOOKUP(Table1[[#This Row],[SyStudentId]],SSR!$A$2:$CC$4982,66,FALSE)</f>
        <v>October</v>
      </c>
      <c r="AH69" s="113" t="str">
        <f>IFERROR(VLOOKUP(Table1[[#This Row],[SyStudentId]],ISIR!$A$2:$X$999,7,FALSE),"")</f>
        <v/>
      </c>
      <c r="AI69" s="121" t="str">
        <f>IF(Table1[[#This Row],[EFCRaw]]="","",IF(Table1[[#This Row],[EFCRaw]]="No EFC","No EFC",_xlfn.NUMBERVALUE(Table1[[#This Row],[EFCRaw]])))</f>
        <v/>
      </c>
      <c r="AJ69" s="119" t="str">
        <f>IFERROR(VLOOKUP(Table1[[#This Row],[SyStudentId]],ISIR!$A$2:$X$4999,19,FALSE),"")</f>
        <v/>
      </c>
      <c r="AK69" s="113" t="str">
        <f>IFERROR(VLOOKUP(Table1[[#This Row],[SyStudentId]],ISIR!$A$2:$X$4999,8,FALSE),"")</f>
        <v/>
      </c>
      <c r="AL69" s="132" t="str">
        <f>IF(Table1[[#This Row],[VerReq]]="N","n/a","")</f>
        <v/>
      </c>
      <c r="AM69" s="122"/>
      <c r="AN69" s="122"/>
      <c r="AO69" s="122"/>
      <c r="AP69" s="122"/>
      <c r="AQ69" s="122"/>
      <c r="AR69" s="122"/>
      <c r="AS69" s="122"/>
      <c r="AT69" s="122"/>
      <c r="AU69" s="122"/>
      <c r="AV69" s="122"/>
      <c r="AW69" s="122"/>
      <c r="AX69" s="122"/>
      <c r="AY69" s="122"/>
      <c r="AZ69" s="122"/>
      <c r="BA69" s="122"/>
      <c r="BB69" s="122"/>
      <c r="BC69" s="133"/>
      <c r="BD69" s="140" t="str">
        <f>IF(Table1[[#This Row],[VerReq]]="N","x","")</f>
        <v/>
      </c>
      <c r="BE69" s="140" t="str">
        <f>IF(Table1[[#This Row],[VerReq]]="N","x","")</f>
        <v/>
      </c>
      <c r="BF69" s="140" t="str">
        <f>IF(Table1[[#This Row],[VerReq]]="N","x","")</f>
        <v/>
      </c>
      <c r="BG69" s="140" t="str">
        <f>IF(Table1[[#This Row],[VerReq]]="N","x","")</f>
        <v/>
      </c>
      <c r="BH69" s="140" t="str">
        <f>IF(Table1[[#This Row],[VerReq]]="N","x","")</f>
        <v/>
      </c>
      <c r="BI69" s="140" t="str">
        <f>IF(Table1[[#This Row],[VerReq]]="N","x","")</f>
        <v/>
      </c>
      <c r="BJ69" s="123">
        <f>1-((COUNTBLANK(Table1[[#This Row],[ALESent]:[TaxTran]]))/(COUNT(Table1[[#This Row],[ALESent]:[TaxTran]])+COUNTBLANK(Table1[[#This Row],[ALESent]:[TaxTran]])))</f>
        <v>0</v>
      </c>
      <c r="BK69" s="136">
        <f>IF(VLOOKUP(Table1[[#This Row],[SyStudentId]],SSR!$A$2:$CC$4982,22,FALSE)=44109,44109,"Check Program")</f>
        <v>44109</v>
      </c>
      <c r="BL69" s="124">
        <f>IF(Table1[[#This Row],[AYStart]]=44109,44356,"Check Program")</f>
        <v>44356</v>
      </c>
      <c r="BM69" s="219">
        <v>8505</v>
      </c>
      <c r="BN69" s="219">
        <v>8505</v>
      </c>
      <c r="BO69" s="219">
        <v>8505</v>
      </c>
      <c r="BP69" s="220">
        <f t="shared" si="3"/>
        <v>25515</v>
      </c>
      <c r="BQ69" s="221">
        <v>3300</v>
      </c>
      <c r="BR69" s="219">
        <v>400</v>
      </c>
      <c r="BS69" s="219">
        <v>400</v>
      </c>
      <c r="BT69" s="220">
        <f t="shared" si="4"/>
        <v>4100</v>
      </c>
      <c r="BU69" s="219">
        <v>2100</v>
      </c>
      <c r="BV69" s="219">
        <v>2100</v>
      </c>
      <c r="BW69" s="219">
        <v>2100</v>
      </c>
      <c r="BX69" s="220">
        <f t="shared" si="5"/>
        <v>6300</v>
      </c>
      <c r="BY69" s="275">
        <v>1200</v>
      </c>
      <c r="BZ69" s="275">
        <v>1200</v>
      </c>
      <c r="CA69" s="275">
        <v>1200</v>
      </c>
      <c r="CB69" s="220">
        <f>SUM(Table1[[#This Row],[LEQ1]:[LEQ3]])</f>
        <v>3600</v>
      </c>
      <c r="CC69" s="275"/>
      <c r="CD69" s="275"/>
      <c r="CE69" s="275"/>
      <c r="CF69" s="220">
        <f>SUM(Table1[[#This Row],[OthCostQ1]:[OthCostQ3]])</f>
        <v>0</v>
      </c>
      <c r="CG69" s="220">
        <f>(Table1[[#This Row],[T&amp;FTot]]+Table1[[#This Row],[B&amp;STot]]+Table1[[#This Row],[HousTot]]+Table1[[#This Row],[LETot]]+Table1[[#This Row],[OthCostTot]])</f>
        <v>39515</v>
      </c>
      <c r="CH69" s="250"/>
      <c r="CI69" s="250"/>
      <c r="CJ69" s="250"/>
      <c r="CK69" s="251">
        <f>SUM(Table1[[#This Row],[SEOGQ1]:[SEOGQ3]])</f>
        <v>0</v>
      </c>
      <c r="CL69" s="250">
        <f>IFERROR(ROUNDUP(Table1[[#This Row],[PellTot]]/3,0),0)</f>
        <v>0</v>
      </c>
      <c r="CM69" s="250">
        <f>IFERROR(ROUND(Table1[[#This Row],[PellTot]]/3,0),0)</f>
        <v>0</v>
      </c>
      <c r="CN69" s="250">
        <f>IFERROR(ROUNDDOWN(Table1[[#This Row],[PellTot]]/3,0),0)</f>
        <v>0</v>
      </c>
      <c r="CO69" s="251">
        <f>IFERROR(LOOKUP(Table1[EFC],Pell_Table[#Data],Pell_Table[Pell Amt]),0)</f>
        <v>0</v>
      </c>
      <c r="CP69" s="250">
        <f>Table1[[#This Row],[AccessTot]]/3</f>
        <v>0</v>
      </c>
      <c r="CQ69" s="250">
        <f>Table1[[#This Row],[AccessTot]]/3</f>
        <v>0</v>
      </c>
      <c r="CR69" s="250">
        <f>Table1[[#This Row],[AccessTot]]/3</f>
        <v>0</v>
      </c>
      <c r="CS69" s="251">
        <f>IF(Table1[[#This Row],[PellTot]]&gt;0,1500,0)</f>
        <v>0</v>
      </c>
      <c r="CT69" s="250">
        <f>Table1[[#This Row],[AchiTot]]/3</f>
        <v>750</v>
      </c>
      <c r="CU69" s="250">
        <f>Table1[[#This Row],[AchiTot]]/3</f>
        <v>750</v>
      </c>
      <c r="CV69" s="250">
        <f>Table1[[#This Row],[AchiTot]]/3</f>
        <v>750</v>
      </c>
      <c r="CW69" s="252">
        <f>IF(Table1[[#This Row],[Rank]]="","",IF(Table1[[#This Row],[Rank]]=1,5100,IF(Table1[[#This Row],[Rank]]=2,4500,IF(Table1[[#This Row],[Rank]]=3,3900,IF(Table1[[#This Row],[Rank]]=4,3750,IF(Table1[[#This Row],[Rank]]=5,3000,IF(Table1[[#This Row],[Rank]]=6,2250,0)))))))</f>
        <v>2250</v>
      </c>
      <c r="CX69" s="250">
        <f>Table1[[#This Row],[UTTot]]/3</f>
        <v>0</v>
      </c>
      <c r="CY69" s="250">
        <f>Table1[[#This Row],[UTTot]]/3</f>
        <v>0</v>
      </c>
      <c r="CZ69" s="250">
        <f>Table1[[#This Row],[UTTot]]/3</f>
        <v>0</v>
      </c>
      <c r="DA69" s="251">
        <f>IF(Table1[[#This Row],[State]]="UT",9000,0)</f>
        <v>0</v>
      </c>
      <c r="DB69" s="250">
        <f>Table1[[#This Row],[WITTot]]/3</f>
        <v>0</v>
      </c>
      <c r="DC69" s="250">
        <f>Table1[[#This Row],[WITTot]]/3</f>
        <v>0</v>
      </c>
      <c r="DD69" s="250">
        <f>Table1[[#This Row],[WITTot]]/3</f>
        <v>0</v>
      </c>
      <c r="DE69" s="251">
        <f>IF(Table1[[#This Row],[Gender]]="Female",3000,0)</f>
        <v>0</v>
      </c>
      <c r="DF69" s="250">
        <f>Table1[[#This Row],[SerTot]]/3</f>
        <v>0</v>
      </c>
      <c r="DG69" s="250">
        <f>Table1[[#This Row],[SerTot]]/3</f>
        <v>0</v>
      </c>
      <c r="DH69" s="250">
        <f>Table1[[#This Row],[SerTot]]/3</f>
        <v>0</v>
      </c>
      <c r="DI69" s="252"/>
      <c r="DJ69" s="250"/>
      <c r="DK69" s="250"/>
      <c r="DL69" s="250"/>
      <c r="DM69" s="252"/>
      <c r="DN69" s="250">
        <f>Table1[[#This Row],[MatTot]]/3</f>
        <v>0</v>
      </c>
      <c r="DO69" s="250">
        <f>Table1[[#This Row],[MatTot]]/3</f>
        <v>0</v>
      </c>
      <c r="DP69" s="250">
        <f>Table1[[#This Row],[MatTot]]/3</f>
        <v>0</v>
      </c>
      <c r="DQ69" s="252"/>
      <c r="DR69" s="250">
        <f>Table1[[#This Row],[OutTot]]/3</f>
        <v>0</v>
      </c>
      <c r="DS69" s="250">
        <f>Table1[[#This Row],[OutTot]]/3</f>
        <v>0</v>
      </c>
      <c r="DT69" s="250">
        <f>Table1[[#This Row],[OutTot]]/3</f>
        <v>0</v>
      </c>
      <c r="DU69" s="252"/>
      <c r="DV69" s="250"/>
      <c r="DW69" s="250"/>
      <c r="DX69" s="250"/>
      <c r="DY69" s="252">
        <f>SUM(Table1[[#This Row],[VAQ1]:[VAQ3]])</f>
        <v>0</v>
      </c>
      <c r="DZ69" s="250"/>
      <c r="EA69" s="250"/>
      <c r="EB69" s="250"/>
      <c r="EC69" s="252">
        <f>SUM(Table1[[#This Row],[OthGrantQ1]:[OthGrantQ3]])</f>
        <v>0</v>
      </c>
      <c r="ED69" s="263">
        <f>Table1[[#This Row],[SEOGTot]]+Table1[[#This Row],[PellTot]]+Table1[[#This Row],[AccessTot]]+Table1[[#This Row],[AchiTot]]+Table1[[#This Row],[UTTot]]+Table1[[#This Row],[WITTot]]+Table1[[#This Row],[SerTot]]+Table1[[#This Row],[TranTot]]+Table1[[#This Row],[MatTot]]+Table1[[#This Row],[OutTot]]+Table1[[#This Row],[VATot]]+Table1[[#This Row],[OthGrantTot]]</f>
        <v>2250</v>
      </c>
      <c r="EE69" s="249"/>
      <c r="EF69" s="237"/>
      <c r="EG69" s="237"/>
      <c r="EH69" s="232">
        <f>SUM(Table1[[#This Row],[CashQ1]]:Table1[[#This Row],[CashQ3]])</f>
        <v>0</v>
      </c>
      <c r="EI69" s="271">
        <f>ROUND((Table1[[#This Row],[SubTot]]/3)/1.01059,0)</f>
        <v>0</v>
      </c>
      <c r="EJ69" s="234">
        <f>ROUND((Table1[[#This Row],[SubTot]]/3)/1.01059,0)</f>
        <v>0</v>
      </c>
      <c r="EK69" s="234">
        <f>ROUNDUP((Table1[[#This Row],[SubTot]]/3)/1.01059,0)</f>
        <v>0</v>
      </c>
      <c r="EL69" s="235"/>
      <c r="EM69" s="240">
        <f>Table1[[#This Row],[SubTot]]*0.01059</f>
        <v>0</v>
      </c>
      <c r="EN69" s="234">
        <f>ROUND((Table1[[#This Row],[UnsubTot]]/3)/1.01062,0)</f>
        <v>660</v>
      </c>
      <c r="EO69" s="234">
        <f>ROUND((Table1[[#This Row],[UnsubTot]]/3)/1.01062,0)</f>
        <v>660</v>
      </c>
      <c r="EP69" s="234">
        <f>ROUNDDOWN((Table1[[#This Row],[UnsubTot]]/3)/1.01062,0)</f>
        <v>659</v>
      </c>
      <c r="EQ69" s="235">
        <f>IF(Table1[D/I]="I",6000,2000)</f>
        <v>2000</v>
      </c>
      <c r="ER69" s="240">
        <f>Table1[[#This Row],[UnsubTot]]*0.01062</f>
        <v>21.24</v>
      </c>
      <c r="ES69" s="234">
        <f>ROUND((Table1[[#This Row],[PLUSTot]]/3)/1.04248,0)</f>
        <v>0</v>
      </c>
      <c r="ET69" s="234">
        <f>ROUND((Table1[[#This Row],[PLUSTot]]/3)/1.04248,0)</f>
        <v>0</v>
      </c>
      <c r="EU69" s="234">
        <f>ROUND((Table1[[#This Row],[PLUSTot]]/3)/1.04248,0)</f>
        <v>0</v>
      </c>
      <c r="EV69" s="235"/>
      <c r="EW69" s="239">
        <f>Table1[[#This Row],[PLUSTot]]*0.04248</f>
        <v>0</v>
      </c>
      <c r="EX69" s="237"/>
      <c r="EY69" s="237"/>
      <c r="EZ69" s="237"/>
      <c r="FA69" s="232">
        <f>SUM(Table1[[#This Row],[PrivQ1]:[PrivQ3]])</f>
        <v>0</v>
      </c>
      <c r="FB69" s="237"/>
      <c r="FC69" s="237"/>
      <c r="FD69" s="237"/>
      <c r="FE69" s="232">
        <f>SUM(Table1[[#This Row],[TOQ1]:[TOQ3]])</f>
        <v>0</v>
      </c>
      <c r="FF69" s="237"/>
      <c r="FG69" s="237"/>
      <c r="FH69" s="237"/>
      <c r="FI69" s="232">
        <f>SUM(Table1[[#This Row],[OFundQ1]:[OFundQ3]])</f>
        <v>0</v>
      </c>
      <c r="FJ69" s="239">
        <f>(Table1[[#This Row],[SubTot]]-Table1[[#This Row],[SubFee]])+(Table1[[#This Row],[UnsubTot]]-Table1[[#This Row],[UnsubFee]])+(Table1[[#This Row],[PLUSTot]]-Table1[[#This Row],[PLUSFee]])+Table1[[#This Row],[PrivTot]]+Table1[[#This Row],[TOTot]]+Table1[[#This Row],[OFundTot]]</f>
        <v>1978.76</v>
      </c>
      <c r="FK69" s="125">
        <f>Table1[[#This Row],[CostTot]]-Table1[[#This Row],[GiftTot]]</f>
        <v>37265</v>
      </c>
      <c r="FL69" s="130">
        <f>Table1[[#This Row],[NetNeed]]/(1-0.04248)</f>
        <v>36851.700225582754</v>
      </c>
      <c r="FM69" s="131">
        <f>Table1[[#This Row],[NetCost]]-Table1[[#This Row],[CashTot]]-(Table1[[#This Row],[SubTot]]-Table1[[#This Row],[SubFee]])-(Table1[[#This Row],[UnsubTot]]-Table1[[#This Row],[UnsubFee]])-(Table1[[#This Row],[PLUSTot]]-Table1[[#This Row],[PLUSFee]])-Table1[[#This Row],[PrivTot]]-Table1[[#This Row],[TOTot]]-Table1[[#This Row],[OFundTot]]</f>
        <v>35286.239999999998</v>
      </c>
      <c r="FN69" s="161"/>
      <c r="FO69" s="113"/>
      <c r="FP69" s="113"/>
    </row>
    <row r="70" spans="1:172" s="160" customFormat="1" ht="15" x14ac:dyDescent="0.25">
      <c r="A70" s="311">
        <v>198185</v>
      </c>
      <c r="B70" s="113" t="str">
        <f>VLOOKUP(Table1[[#This Row],[SyStudentId]],SSR!$A$2:$CC$4982,4,FALSE)</f>
        <v>Patel</v>
      </c>
      <c r="C70" s="113" t="str">
        <f>VLOOKUP(Table1[[#This Row],[SyStudentId]],SSR!$A$2:$CC$4982,5,FALSE)</f>
        <v>Prit</v>
      </c>
      <c r="D70" s="113" t="str">
        <f>VLOOKUP(Table1[[#This Row],[SyStudentId]],SSR!$A$2:$CC$4982,6,FALSE)</f>
        <v>Patel, Prit</v>
      </c>
      <c r="E70" s="113" t="str">
        <f>CONCATENATE(Table1[[#This Row],[FirstName]]," ",Table1[[#This Row],[LastName]])</f>
        <v>Prit Patel</v>
      </c>
      <c r="F70" s="112">
        <v>1</v>
      </c>
      <c r="G70" s="114"/>
      <c r="H70" s="114"/>
      <c r="I70" s="114">
        <v>43776</v>
      </c>
      <c r="J70" s="115"/>
      <c r="K70" s="116"/>
      <c r="L70" s="112" t="str">
        <f>IFERROR(VLOOKUP(Table1[[#This Row],[SyStudentId]],ISIR!$A$2:$X$999,11,FALSE),"")</f>
        <v/>
      </c>
      <c r="M70" s="113" t="str">
        <f>VLOOKUP(Table1[[#This Row],[SyStudentId]],SSR!$A$2:$CC$4982,7,FALSE)</f>
        <v>merceded5338@gmail.com</v>
      </c>
      <c r="N70" s="113" t="str">
        <f>VLOOKUP(Table1[[#This Row],[SyStudentId]],SSR!$A$2:$CC$4982,8,FALSE)</f>
        <v>24 Hilgert Ave</v>
      </c>
      <c r="O70" s="113" t="str">
        <f>VLOOKUP(Table1[[#This Row],[SyStudentId]],SSR!$A$2:$CC$4982,9,FALSE)</f>
        <v>Reading</v>
      </c>
      <c r="P70" s="303" t="str">
        <f>VLOOKUP(Table1[[#This Row],[SyStudentId]],SSR!$A$2:$CC$4982,10,FALSE)</f>
        <v>PA</v>
      </c>
      <c r="Q70" s="117" t="str">
        <f>VLOOKUP(Table1[[#This Row],[SyStudentId]],SSR!$A$2:$CC$4982,11,FALSE)</f>
        <v xml:space="preserve">19607     </v>
      </c>
      <c r="R70" s="118">
        <f>VLOOKUP(Table1[[#This Row],[SyStudentId]],SSR!$A$2:$CC$4982,15,FALSE)</f>
        <v>2.6858</v>
      </c>
      <c r="S70" s="119">
        <f>VLOOKUP(Table1[[#This Row],[SyStudentId]],SSR!$A$2:$CC$4982,22,FALSE)</f>
        <v>44109</v>
      </c>
      <c r="T70" s="113" t="str">
        <f>VLOOKUP(Table1[[#This Row],[SyStudentId]],SSR!$A$2:$CC$4982,24,FALSE)</f>
        <v>MN</v>
      </c>
      <c r="U70" s="113" t="str">
        <f>IF(VLOOKUP(Table1[[#This Row],[SyStudentId]],SSR!$A$2:$CC$4982,26,FALSE)=0,"Not Selected",VLOOKUP(Table1[[#This Row],[SyStudentId]],SSR!$A$2:$CC$4982,26,FALSE))</f>
        <v>Male</v>
      </c>
      <c r="V70" s="113" t="str">
        <f>VLOOKUP(Table1[[#This Row],[SyStudentId]],SSR!$A$2:$CC$4982,27,FALSE)</f>
        <v xml:space="preserve">HS2020  </v>
      </c>
      <c r="W70" s="113" t="str">
        <f>VLOOKUP(LEFT(Table1[[#This Row],[LastName]],1),Alpha!$A$1:$B$26,2,FALSE)</f>
        <v>Maureen Ranks</v>
      </c>
      <c r="X70" s="149" t="str">
        <f>VLOOKUP(Table1[[#This Row],[FAA]],Alpha!$B$1:$D$26,2,FALSE)</f>
        <v>mranks@neumont.edu</v>
      </c>
      <c r="Y70" s="113">
        <f>VLOOKUP(Table1[[#This Row],[FAA]],Alpha!$B$1:$D$26,3,FALSE)</f>
        <v>8883022894</v>
      </c>
      <c r="Z70" s="113" t="str">
        <f>VLOOKUP(Table1[[#This Row],[SyStudentId]],SSR!$A$2:$CC$4982,30,FALSE)</f>
        <v>16-Accepted</v>
      </c>
      <c r="AA70" s="113" t="str">
        <f>IF(VLOOKUP(Table1[[#This Row],[SyStudentId]],SSR!$A$2:$CC$4982,36,FALSE)="Bachelor of Science","BS Computer Science","Check Program")</f>
        <v>BS Computer Science</v>
      </c>
      <c r="AB70" s="113">
        <f>VLOOKUP(Table1[[#This Row],[SyStudentId]],SSR!$A$2:$CC$4982,37,FALSE)</f>
        <v>0</v>
      </c>
      <c r="AC70" s="113" t="str">
        <f>VLOOKUP(Table1[[#This Row],[SyStudentId]],SSR!$A$2:$CC$4982,42,FALSE)</f>
        <v xml:space="preserve">1000    </v>
      </c>
      <c r="AD70" s="113" t="str">
        <f>VLOOKUP(Table1[[#This Row],[SyStudentId]],SSR!$A$2:$CC$4982,46,FALSE)</f>
        <v>92</v>
      </c>
      <c r="AE70" s="113" t="str">
        <f>VLOOKUP(Table1[[#This Row],[SyStudentId]],SSR!$A$2:$CC$4982,65,FALSE)</f>
        <v>VIII</v>
      </c>
      <c r="AF70"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70" s="113" t="str">
        <f>VLOOKUP(Table1[[#This Row],[SyStudentId]],SSR!$A$2:$CC$4982,66,FALSE)</f>
        <v>July-October</v>
      </c>
      <c r="AH70" s="113" t="str">
        <f>IFERROR(VLOOKUP(Table1[[#This Row],[SyStudentId]],ISIR!$A$2:$X$999,7,FALSE),"")</f>
        <v/>
      </c>
      <c r="AI70" s="121" t="str">
        <f>IF(Table1[[#This Row],[EFCRaw]]="","",IF(Table1[[#This Row],[EFCRaw]]="No EFC","No EFC",_xlfn.NUMBERVALUE(Table1[[#This Row],[EFCRaw]])))</f>
        <v/>
      </c>
      <c r="AJ70" s="119" t="str">
        <f>IFERROR(VLOOKUP(Table1[[#This Row],[SyStudentId]],ISIR!$A$2:$X$4999,19,FALSE),"")</f>
        <v/>
      </c>
      <c r="AK70" s="113" t="str">
        <f>IFERROR(VLOOKUP(Table1[[#This Row],[SyStudentId]],ISIR!$A$2:$X$4999,8,FALSE),"")</f>
        <v/>
      </c>
      <c r="AL70" s="132" t="str">
        <f>IF(Table1[[#This Row],[VerReq]]="N","n/a","")</f>
        <v/>
      </c>
      <c r="AM70" s="122"/>
      <c r="AN70" s="122"/>
      <c r="AO70" s="122"/>
      <c r="AP70" s="122"/>
      <c r="AQ70" s="122"/>
      <c r="AR70" s="122"/>
      <c r="AS70" s="122"/>
      <c r="AT70" s="122"/>
      <c r="AU70" s="122"/>
      <c r="AV70" s="122"/>
      <c r="AW70" s="122"/>
      <c r="AX70" s="122"/>
      <c r="AY70" s="122"/>
      <c r="AZ70" s="122"/>
      <c r="BA70" s="122"/>
      <c r="BB70" s="122"/>
      <c r="BC70" s="133"/>
      <c r="BD70" s="140" t="str">
        <f>IF(Table1[[#This Row],[VerReq]]="N","x","")</f>
        <v/>
      </c>
      <c r="BE70" s="140" t="str">
        <f>IF(Table1[[#This Row],[VerReq]]="N","x","")</f>
        <v/>
      </c>
      <c r="BF70" s="140" t="str">
        <f>IF(Table1[[#This Row],[VerReq]]="N","x","")</f>
        <v/>
      </c>
      <c r="BG70" s="140" t="str">
        <f>IF(Table1[[#This Row],[VerReq]]="N","x","")</f>
        <v/>
      </c>
      <c r="BH70" s="140" t="str">
        <f>IF(Table1[[#This Row],[VerReq]]="N","x","")</f>
        <v/>
      </c>
      <c r="BI70" s="140" t="str">
        <f>IF(Table1[[#This Row],[VerReq]]="N","x","")</f>
        <v/>
      </c>
      <c r="BJ70" s="123">
        <f>1-((COUNTBLANK(Table1[[#This Row],[ALESent]:[TaxTran]]))/(COUNT(Table1[[#This Row],[ALESent]:[TaxTran]])+COUNTBLANK(Table1[[#This Row],[ALESent]:[TaxTran]])))</f>
        <v>0</v>
      </c>
      <c r="BK70" s="136">
        <f>IF(VLOOKUP(Table1[[#This Row],[SyStudentId]],SSR!$A$2:$CC$4982,22,FALSE)=44109,44109,"Check Program")</f>
        <v>44109</v>
      </c>
      <c r="BL70" s="124">
        <f>IF(Table1[[#This Row],[AYStart]]=44109,44356,"Check Program")</f>
        <v>44356</v>
      </c>
      <c r="BM70" s="219">
        <v>8505</v>
      </c>
      <c r="BN70" s="219">
        <v>8505</v>
      </c>
      <c r="BO70" s="219">
        <v>8505</v>
      </c>
      <c r="BP70" s="220">
        <f t="shared" si="3"/>
        <v>25515</v>
      </c>
      <c r="BQ70" s="221">
        <v>3300</v>
      </c>
      <c r="BR70" s="219">
        <v>400</v>
      </c>
      <c r="BS70" s="219">
        <v>400</v>
      </c>
      <c r="BT70" s="220">
        <f t="shared" si="4"/>
        <v>4100</v>
      </c>
      <c r="BU70" s="219">
        <v>2100</v>
      </c>
      <c r="BV70" s="219">
        <v>2100</v>
      </c>
      <c r="BW70" s="219">
        <v>2100</v>
      </c>
      <c r="BX70" s="220">
        <f t="shared" si="5"/>
        <v>6300</v>
      </c>
      <c r="BY70" s="275">
        <v>1200</v>
      </c>
      <c r="BZ70" s="275">
        <v>1200</v>
      </c>
      <c r="CA70" s="275">
        <v>1200</v>
      </c>
      <c r="CB70" s="220">
        <f>SUM(Table1[[#This Row],[LEQ1]:[LEQ3]])</f>
        <v>3600</v>
      </c>
      <c r="CC70" s="275">
        <v>0</v>
      </c>
      <c r="CD70" s="275">
        <v>0</v>
      </c>
      <c r="CE70" s="275">
        <v>0</v>
      </c>
      <c r="CF70" s="220">
        <f>SUM(Table1[[#This Row],[OthCostQ1]:[OthCostQ3]])</f>
        <v>0</v>
      </c>
      <c r="CG70" s="220">
        <f>(Table1[[#This Row],[T&amp;FTot]]+Table1[[#This Row],[B&amp;STot]]+Table1[[#This Row],[HousTot]]+Table1[[#This Row],[LETot]]+Table1[[#This Row],[OthCostTot]])</f>
        <v>39515</v>
      </c>
      <c r="CH70" s="250"/>
      <c r="CI70" s="250"/>
      <c r="CJ70" s="250"/>
      <c r="CK70" s="251">
        <f>SUM(Table1[[#This Row],[SEOGQ1]:[SEOGQ3]])</f>
        <v>0</v>
      </c>
      <c r="CL70" s="250">
        <f>IFERROR(ROUNDUP(Table1[[#This Row],[PellTot]]/3,0),0)</f>
        <v>0</v>
      </c>
      <c r="CM70" s="250">
        <f>IFERROR(ROUND(Table1[[#This Row],[PellTot]]/3,0),0)</f>
        <v>0</v>
      </c>
      <c r="CN70" s="250">
        <f>IFERROR(ROUNDDOWN(Table1[[#This Row],[PellTot]]/3,0),0)</f>
        <v>0</v>
      </c>
      <c r="CO70" s="251">
        <f>IFERROR(LOOKUP(Table1[EFC],Pell_Table[#Data],Pell_Table[Pell Amt]),0)</f>
        <v>0</v>
      </c>
      <c r="CP70" s="250">
        <f>Table1[[#This Row],[AccessTot]]/3</f>
        <v>0</v>
      </c>
      <c r="CQ70" s="250">
        <f>Table1[[#This Row],[AccessTot]]/3</f>
        <v>0</v>
      </c>
      <c r="CR70" s="250">
        <f>Table1[[#This Row],[AccessTot]]/3</f>
        <v>0</v>
      </c>
      <c r="CS70" s="251">
        <f>IF(Table1[[#This Row],[PellTot]]&gt;0,1500,0)</f>
        <v>0</v>
      </c>
      <c r="CT70" s="250">
        <f>Table1[[#This Row],[AchiTot]]/3</f>
        <v>0</v>
      </c>
      <c r="CU70" s="250">
        <f>Table1[[#This Row],[AchiTot]]/3</f>
        <v>0</v>
      </c>
      <c r="CV70" s="250">
        <f>Table1[[#This Row],[AchiTot]]/3</f>
        <v>0</v>
      </c>
      <c r="CW70" s="252">
        <f>IF(Table1[[#This Row],[Rank]]="","",IF(Table1[[#This Row],[Rank]]=1,5100,IF(Table1[[#This Row],[Rank]]=2,4500,IF(Table1[[#This Row],[Rank]]=3,3900,IF(Table1[[#This Row],[Rank]]=4,3750,IF(Table1[[#This Row],[Rank]]=5,3000,IF(Table1[[#This Row],[Rank]]=6,2250,0)))))))</f>
        <v>0</v>
      </c>
      <c r="CX70" s="250">
        <f>Table1[[#This Row],[UTTot]]/3</f>
        <v>0</v>
      </c>
      <c r="CY70" s="250">
        <f>Table1[[#This Row],[UTTot]]/3</f>
        <v>0</v>
      </c>
      <c r="CZ70" s="250">
        <f>Table1[[#This Row],[UTTot]]/3</f>
        <v>0</v>
      </c>
      <c r="DA70" s="251">
        <f>IF(Table1[[#This Row],[State]]="UT",9000,0)</f>
        <v>0</v>
      </c>
      <c r="DB70" s="250">
        <f>Table1[[#This Row],[WITTot]]/3</f>
        <v>0</v>
      </c>
      <c r="DC70" s="250">
        <f>Table1[[#This Row],[WITTot]]/3</f>
        <v>0</v>
      </c>
      <c r="DD70" s="250">
        <f>Table1[[#This Row],[WITTot]]/3</f>
        <v>0</v>
      </c>
      <c r="DE70" s="251">
        <f>IF(Table1[[#This Row],[Gender]]="Female",3000,0)</f>
        <v>0</v>
      </c>
      <c r="DF70" s="250">
        <f>Table1[[#This Row],[SerTot]]/3</f>
        <v>0</v>
      </c>
      <c r="DG70" s="250">
        <f>Table1[[#This Row],[SerTot]]/3</f>
        <v>0</v>
      </c>
      <c r="DH70" s="250">
        <f>Table1[[#This Row],[SerTot]]/3</f>
        <v>0</v>
      </c>
      <c r="DI70" s="252"/>
      <c r="DJ70" s="250"/>
      <c r="DK70" s="250"/>
      <c r="DL70" s="250"/>
      <c r="DM70" s="252"/>
      <c r="DN70" s="250">
        <f>Table1[[#This Row],[MatTot]]/3</f>
        <v>0</v>
      </c>
      <c r="DO70" s="250">
        <f>Table1[[#This Row],[MatTot]]/3</f>
        <v>0</v>
      </c>
      <c r="DP70" s="250">
        <f>Table1[[#This Row],[MatTot]]/3</f>
        <v>0</v>
      </c>
      <c r="DQ70" s="252">
        <v>0</v>
      </c>
      <c r="DR70" s="250">
        <f>Table1[[#This Row],[OutTot]]/3</f>
        <v>0</v>
      </c>
      <c r="DS70" s="250">
        <f>Table1[[#This Row],[OutTot]]/3</f>
        <v>0</v>
      </c>
      <c r="DT70" s="250">
        <f>Table1[[#This Row],[OutTot]]/3</f>
        <v>0</v>
      </c>
      <c r="DU70" s="252">
        <v>0</v>
      </c>
      <c r="DV70" s="250">
        <v>0</v>
      </c>
      <c r="DW70" s="250">
        <v>0</v>
      </c>
      <c r="DX70" s="250">
        <v>0</v>
      </c>
      <c r="DY70" s="252">
        <f>SUM(Table1[[#This Row],[VAQ1]:[VAQ3]])</f>
        <v>0</v>
      </c>
      <c r="DZ70" s="250">
        <v>0</v>
      </c>
      <c r="EA70" s="250">
        <v>0</v>
      </c>
      <c r="EB70" s="250">
        <v>0</v>
      </c>
      <c r="EC70" s="252">
        <f>SUM(Table1[[#This Row],[OthGrantQ1]:[OthGrantQ3]])</f>
        <v>0</v>
      </c>
      <c r="ED70" s="263">
        <f>Table1[[#This Row],[SEOGTot]]+Table1[[#This Row],[PellTot]]+Table1[[#This Row],[AccessTot]]+Table1[[#This Row],[AchiTot]]+Table1[[#This Row],[UTTot]]+Table1[[#This Row],[WITTot]]+Table1[[#This Row],[SerTot]]+Table1[[#This Row],[TranTot]]+Table1[[#This Row],[MatTot]]+Table1[[#This Row],[OutTot]]+Table1[[#This Row],[VATot]]+Table1[[#This Row],[OthGrantTot]]</f>
        <v>0</v>
      </c>
      <c r="EE70" s="249"/>
      <c r="EF70" s="237"/>
      <c r="EG70" s="237"/>
      <c r="EH70" s="232">
        <f>SUM(Table1[[#This Row],[CashQ1]]:Table1[[#This Row],[CashQ3]])</f>
        <v>0</v>
      </c>
      <c r="EI70" s="271">
        <f>ROUND((Table1[[#This Row],[SubTot]]/3)/1.01059,0)</f>
        <v>1154</v>
      </c>
      <c r="EJ70" s="234">
        <f>ROUND((Table1[[#This Row],[SubTot]]/3)/1.01059,0)</f>
        <v>1154</v>
      </c>
      <c r="EK70" s="234">
        <f>ROUNDUP((Table1[[#This Row],[SubTot]]/3)/1.01059,0)</f>
        <v>1155</v>
      </c>
      <c r="EL70" s="235">
        <v>3500</v>
      </c>
      <c r="EM70" s="240">
        <f>Table1[[#This Row],[SubTot]]*0.01059</f>
        <v>37.065000000000005</v>
      </c>
      <c r="EN70" s="234">
        <f>ROUND((Table1[[#This Row],[UnsubTot]]/3)/1.01062,0)</f>
        <v>660</v>
      </c>
      <c r="EO70" s="234">
        <f>ROUND((Table1[[#This Row],[UnsubTot]]/3)/1.01062,0)</f>
        <v>660</v>
      </c>
      <c r="EP70" s="234">
        <f>ROUNDDOWN((Table1[[#This Row],[UnsubTot]]/3)/1.01062,0)</f>
        <v>659</v>
      </c>
      <c r="EQ70" s="235">
        <f>IF(Table1[D/I]="I",6000,2000)</f>
        <v>2000</v>
      </c>
      <c r="ER70" s="240">
        <f>Table1[[#This Row],[UnsubTot]]*0.01059</f>
        <v>21.18</v>
      </c>
      <c r="ES70" s="234">
        <f>ROUND((Table1[[#This Row],[PLUSTot]]/3)/1.04236,0)</f>
        <v>0</v>
      </c>
      <c r="ET70" s="234">
        <f>ROUND((Table1[[#This Row],[PLUSTot]]/3)/1.04236,0)</f>
        <v>0</v>
      </c>
      <c r="EU70" s="234">
        <f>ROUND((Table1[[#This Row],[PLUSTot]]/3)/1.04236,0)</f>
        <v>0</v>
      </c>
      <c r="EV70" s="235">
        <v>0</v>
      </c>
      <c r="EW70" s="239">
        <f>Table1[[#This Row],[PLUSTot]]*0.04248</f>
        <v>0</v>
      </c>
      <c r="EX70" s="237"/>
      <c r="EY70" s="237"/>
      <c r="EZ70" s="237"/>
      <c r="FA70" s="232">
        <f>SUM(Table1[[#This Row],[PrivQ1]:[PrivQ3]])</f>
        <v>0</v>
      </c>
      <c r="FB70" s="237"/>
      <c r="FC70" s="237"/>
      <c r="FD70" s="237"/>
      <c r="FE70" s="232">
        <f>SUM(Table1[[#This Row],[TOQ1]:[TOQ3]])</f>
        <v>0</v>
      </c>
      <c r="FF70" s="237"/>
      <c r="FG70" s="237"/>
      <c r="FH70" s="237"/>
      <c r="FI70" s="232">
        <f>SUM(Table1[[#This Row],[OFundQ1]:[OFundQ3]])</f>
        <v>0</v>
      </c>
      <c r="FJ70" s="239">
        <f>(Table1[[#This Row],[SubTot]]-Table1[[#This Row],[SubFee]])+(Table1[[#This Row],[UnsubTot]]-Table1[[#This Row],[UnsubFee]])+(Table1[[#This Row],[PLUSTot]]-Table1[[#This Row],[PLUSFee]])+Table1[[#This Row],[PrivTot]]+Table1[[#This Row],[TOTot]]+Table1[[#This Row],[OFundTot]]</f>
        <v>5441.7550000000001</v>
      </c>
      <c r="FK70" s="125">
        <f>Table1[[#This Row],[CostTot]]-Table1[[#This Row],[GiftTot]]</f>
        <v>39515</v>
      </c>
      <c r="FL70" s="130">
        <f>Table1[[#This Row],[NetNeed]]/(1-0.04248)</f>
        <v>35584.891177207784</v>
      </c>
      <c r="FM70" s="131">
        <f>Table1[[#This Row],[NetCost]]-Table1[[#This Row],[CashTot]]-(Table1[[#This Row],[SubTot]]-Table1[[#This Row],[SubFee]])-(Table1[[#This Row],[UnsubTot]]-Table1[[#This Row],[UnsubFee]])-(Table1[[#This Row],[PLUSTot]]-Table1[[#This Row],[PLUSFee]])-Table1[[#This Row],[PrivTot]]-Table1[[#This Row],[TOTot]]-Table1[[#This Row],[OFundTot]]</f>
        <v>34073.245000000003</v>
      </c>
      <c r="FN70" s="161"/>
      <c r="FO70" s="113"/>
      <c r="FP70" s="113"/>
    </row>
    <row r="71" spans="1:172" s="160" customFormat="1" ht="15" x14ac:dyDescent="0.25">
      <c r="A71" s="316">
        <v>193867</v>
      </c>
      <c r="B71" s="113" t="str">
        <f>VLOOKUP(Table1[[#This Row],[SyStudentId]],SSR!$A$2:$CC$4982,4,FALSE)</f>
        <v>Pearson</v>
      </c>
      <c r="C71" s="113" t="str">
        <f>VLOOKUP(Table1[[#This Row],[SyStudentId]],SSR!$A$2:$CC$4982,5,FALSE)</f>
        <v>Jonathan</v>
      </c>
      <c r="D71" s="113" t="str">
        <f>VLOOKUP(Table1[[#This Row],[SyStudentId]],SSR!$A$2:$CC$4982,6,FALSE)</f>
        <v>Pearson, Jonathan</v>
      </c>
      <c r="E71" s="113" t="str">
        <f>CONCATENATE(Table1[[#This Row],[FirstName]]," ",Table1[[#This Row],[LastName]])</f>
        <v>Jonathan Pearson</v>
      </c>
      <c r="F71" s="112">
        <v>1</v>
      </c>
      <c r="G71" s="114">
        <v>43783</v>
      </c>
      <c r="H71" s="114">
        <v>43783</v>
      </c>
      <c r="I71" s="114">
        <v>43783</v>
      </c>
      <c r="J71" s="115"/>
      <c r="K71" s="116"/>
      <c r="L71" s="112" t="str">
        <f>IFERROR(VLOOKUP(Table1[[#This Row],[SyStudentId]],ISIR!$A$2:$X$999,11,FALSE),"")</f>
        <v>D</v>
      </c>
      <c r="M71" s="113" t="str">
        <f>VLOOKUP(Table1[[#This Row],[SyStudentId]],SSR!$A$2:$CC$4982,7,FALSE)</f>
        <v>johnyjoejoe55@gmail.com</v>
      </c>
      <c r="N71" s="113" t="str">
        <f>VLOOKUP(Table1[[#This Row],[SyStudentId]],SSR!$A$2:$CC$4982,8,FALSE)</f>
        <v>720 S West Ave</v>
      </c>
      <c r="O71" s="113" t="str">
        <f>VLOOKUP(Table1[[#This Row],[SyStudentId]],SSR!$A$2:$CC$4982,9,FALSE)</f>
        <v>Jackson</v>
      </c>
      <c r="P71" s="303" t="str">
        <f>VLOOKUP(Table1[[#This Row],[SyStudentId]],SSR!$A$2:$CC$4982,10,FALSE)</f>
        <v>MI</v>
      </c>
      <c r="Q71" s="117" t="str">
        <f>VLOOKUP(Table1[[#This Row],[SyStudentId]],SSR!$A$2:$CC$4982,11,FALSE)</f>
        <v>49203-1600</v>
      </c>
      <c r="R71" s="118">
        <f>VLOOKUP(Table1[[#This Row],[SyStudentId]],SSR!$A$2:$CC$4982,15,FALSE)</f>
        <v>2.4700000000000002</v>
      </c>
      <c r="S71" s="119">
        <f>VLOOKUP(Table1[[#This Row],[SyStudentId]],SSR!$A$2:$CC$4982,22,FALSE)</f>
        <v>44109</v>
      </c>
      <c r="T71" s="113" t="str">
        <f>VLOOKUP(Table1[[#This Row],[SyStudentId]],SSR!$A$2:$CC$4982,24,FALSE)</f>
        <v>JT</v>
      </c>
      <c r="U71" s="113" t="str">
        <f>IF(VLOOKUP(Table1[[#This Row],[SyStudentId]],SSR!$A$2:$CC$4982,26,FALSE)=0,"Not Selected",VLOOKUP(Table1[[#This Row],[SyStudentId]],SSR!$A$2:$CC$4982,26,FALSE))</f>
        <v>Male</v>
      </c>
      <c r="V71" s="113" t="str">
        <f>VLOOKUP(Table1[[#This Row],[SyStudentId]],SSR!$A$2:$CC$4982,27,FALSE)</f>
        <v xml:space="preserve">HS2020  </v>
      </c>
      <c r="W71" s="113" t="str">
        <f>VLOOKUP(LEFT(Table1[[#This Row],[LastName]],1),Alpha!$A$1:$B$26,2,FALSE)</f>
        <v>Maureen Ranks</v>
      </c>
      <c r="X71" s="149" t="str">
        <f>VLOOKUP(Table1[[#This Row],[FAA]],Alpha!$B$1:$D$26,2,FALSE)</f>
        <v>mranks@neumont.edu</v>
      </c>
      <c r="Y71" s="113">
        <f>VLOOKUP(Table1[[#This Row],[FAA]],Alpha!$B$1:$D$26,3,FALSE)</f>
        <v>8883022894</v>
      </c>
      <c r="Z71" s="113" t="str">
        <f>VLOOKUP(Table1[[#This Row],[SyStudentId]],SSR!$A$2:$CC$4982,30,FALSE)</f>
        <v>16-Accepted</v>
      </c>
      <c r="AA71" s="113" t="str">
        <f>IF(VLOOKUP(Table1[[#This Row],[SyStudentId]],SSR!$A$2:$CC$4982,36,FALSE)="Bachelor of Science","BS Computer Science","Check Program")</f>
        <v>BS Computer Science</v>
      </c>
      <c r="AB71" s="113">
        <f>VLOOKUP(Table1[[#This Row],[SyStudentId]],SSR!$A$2:$CC$4982,37,FALSE)</f>
        <v>0</v>
      </c>
      <c r="AC71" s="113" t="str">
        <f>VLOOKUP(Table1[[#This Row],[SyStudentId]],SSR!$A$2:$CC$4982,42,FALSE)</f>
        <v xml:space="preserve">1240    </v>
      </c>
      <c r="AD71" s="113" t="str">
        <f>VLOOKUP(Table1[[#This Row],[SyStudentId]],SSR!$A$2:$CC$4982,46,FALSE)</f>
        <v>99</v>
      </c>
      <c r="AE71" s="113" t="str">
        <f>VLOOKUP(Table1[[#This Row],[SyStudentId]],SSR!$A$2:$CC$4982,65,FALSE)</f>
        <v>VIII</v>
      </c>
      <c r="AF71"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71" s="113" t="str">
        <f>VLOOKUP(Table1[[#This Row],[SyStudentId]],SSR!$A$2:$CC$4982,66,FALSE)</f>
        <v>July-October</v>
      </c>
      <c r="AH71" s="113" t="str">
        <f>IFERROR(VLOOKUP(Table1[[#This Row],[SyStudentId]],ISIR!$A$2:$X$999,7,FALSE),"")</f>
        <v>000331</v>
      </c>
      <c r="AI71" s="121">
        <f>IF(Table1[[#This Row],[EFCRaw]]="","",IF(Table1[[#This Row],[EFCRaw]]="No EFC","No EFC",_xlfn.NUMBERVALUE(Table1[[#This Row],[EFCRaw]])))</f>
        <v>331</v>
      </c>
      <c r="AJ71" s="119">
        <f>IFERROR(VLOOKUP(Table1[[#This Row],[SyStudentId]],ISIR!$A$2:$X$4999,19,FALSE),"")</f>
        <v>43774</v>
      </c>
      <c r="AK71" s="113" t="str">
        <f>IFERROR(VLOOKUP(Table1[[#This Row],[SyStudentId]],ISIR!$A$2:$X$4999,8,FALSE),"")</f>
        <v>Y</v>
      </c>
      <c r="AL71" s="132" t="str">
        <f>IF(Table1[[#This Row],[VerReq]]="N","n/a","")</f>
        <v/>
      </c>
      <c r="AM71" s="122"/>
      <c r="AN71" s="122"/>
      <c r="AO71" s="122"/>
      <c r="AP71" s="122">
        <v>43797</v>
      </c>
      <c r="AQ71" s="122"/>
      <c r="AR71" s="122"/>
      <c r="AS71" s="122"/>
      <c r="AT71" s="122"/>
      <c r="AU71" s="122"/>
      <c r="AV71" s="122"/>
      <c r="AW71" s="122"/>
      <c r="AX71" s="122"/>
      <c r="AY71" s="122"/>
      <c r="AZ71" s="122"/>
      <c r="BA71" s="122"/>
      <c r="BB71" s="122"/>
      <c r="BC71" s="133"/>
      <c r="BD71" s="140" t="str">
        <f>IF(Table1[[#This Row],[VerReq]]="N","x","")</f>
        <v/>
      </c>
      <c r="BE71" s="140" t="str">
        <f>IF(Table1[[#This Row],[VerReq]]="N","x","")</f>
        <v/>
      </c>
      <c r="BF71" s="140" t="str">
        <f>IF(Table1[[#This Row],[VerReq]]="N","x","")</f>
        <v/>
      </c>
      <c r="BG71" s="140" t="str">
        <f>IF(Table1[[#This Row],[VerReq]]="N","x","")</f>
        <v/>
      </c>
      <c r="BH71" s="140" t="str">
        <f>IF(Table1[[#This Row],[VerReq]]="N","x","")</f>
        <v/>
      </c>
      <c r="BI71" s="140" t="str">
        <f>IF(Table1[[#This Row],[VerReq]]="N","x","")</f>
        <v/>
      </c>
      <c r="BJ71" s="123">
        <f>1-((COUNTBLANK(Table1[[#This Row],[ALESent]:[TaxTran]]))/(COUNT(Table1[[#This Row],[ALESent]:[TaxTran]])+COUNTBLANK(Table1[[#This Row],[ALESent]:[TaxTran]])))</f>
        <v>4.3478260869565188E-2</v>
      </c>
      <c r="BK71" s="136">
        <f>IF(VLOOKUP(Table1[[#This Row],[SyStudentId]],SSR!$A$2:$CC$4982,22,FALSE)=44109,44109,"Check Program")</f>
        <v>44109</v>
      </c>
      <c r="BL71" s="124">
        <f>IF(Table1[[#This Row],[AYStart]]=44109,44356,"Check Program")</f>
        <v>44356</v>
      </c>
      <c r="BM71" s="219">
        <v>8505</v>
      </c>
      <c r="BN71" s="219">
        <v>8505</v>
      </c>
      <c r="BO71" s="219">
        <v>8505</v>
      </c>
      <c r="BP71" s="220">
        <f t="shared" si="3"/>
        <v>25515</v>
      </c>
      <c r="BQ71" s="221">
        <v>3300</v>
      </c>
      <c r="BR71" s="219">
        <v>400</v>
      </c>
      <c r="BS71" s="219">
        <v>400</v>
      </c>
      <c r="BT71" s="220">
        <f t="shared" si="4"/>
        <v>4100</v>
      </c>
      <c r="BU71" s="219">
        <v>2100</v>
      </c>
      <c r="BV71" s="219">
        <v>2100</v>
      </c>
      <c r="BW71" s="219">
        <v>2100</v>
      </c>
      <c r="BX71" s="220">
        <f t="shared" si="5"/>
        <v>6300</v>
      </c>
      <c r="BY71" s="275">
        <v>1200</v>
      </c>
      <c r="BZ71" s="275">
        <v>1200</v>
      </c>
      <c r="CA71" s="275">
        <v>1200</v>
      </c>
      <c r="CB71" s="220">
        <f>SUM(Table1[[#This Row],[LEQ1]:[LEQ3]])</f>
        <v>3600</v>
      </c>
      <c r="CC71" s="275">
        <v>0</v>
      </c>
      <c r="CD71" s="275">
        <v>0</v>
      </c>
      <c r="CE71" s="275">
        <v>0</v>
      </c>
      <c r="CF71" s="220">
        <f>SUM(Table1[[#This Row],[OthCostQ1]:[OthCostQ3]])</f>
        <v>0</v>
      </c>
      <c r="CG71" s="220">
        <f>(Table1[[#This Row],[T&amp;FTot]]+Table1[[#This Row],[B&amp;STot]]+Table1[[#This Row],[HousTot]]+Table1[[#This Row],[LETot]]+Table1[[#This Row],[OthCostTot]])</f>
        <v>39515</v>
      </c>
      <c r="CH71" s="250"/>
      <c r="CI71" s="250"/>
      <c r="CJ71" s="250"/>
      <c r="CK71" s="251">
        <f>SUM(Table1[[#This Row],[SEOGQ1]:[SEOGQ3]])</f>
        <v>0</v>
      </c>
      <c r="CL71" s="250">
        <f>IFERROR(ROUNDUP(Table1[[#This Row],[PellTot]]/3,0),0)</f>
        <v>1949</v>
      </c>
      <c r="CM71" s="250">
        <f>IFERROR(ROUND(Table1[[#This Row],[PellTot]]/3,0),0)</f>
        <v>1948</v>
      </c>
      <c r="CN71" s="250">
        <f>IFERROR(ROUNDDOWN(Table1[[#This Row],[PellTot]]/3,0),0)</f>
        <v>1948</v>
      </c>
      <c r="CO71" s="251">
        <f>IFERROR(LOOKUP(Table1[EFC],Pell_Table[#Data],Pell_Table[Pell Amt]),0)</f>
        <v>5845</v>
      </c>
      <c r="CP71" s="250">
        <f>Table1[[#This Row],[AccessTot]]/3</f>
        <v>500</v>
      </c>
      <c r="CQ71" s="250">
        <f>Table1[[#This Row],[AccessTot]]/3</f>
        <v>500</v>
      </c>
      <c r="CR71" s="250">
        <f>Table1[[#This Row],[AccessTot]]/3</f>
        <v>500</v>
      </c>
      <c r="CS71" s="251">
        <f>IF(Table1[[#This Row],[PellTot]]&gt;0,1500,0)</f>
        <v>1500</v>
      </c>
      <c r="CT71" s="250">
        <f>Table1[[#This Row],[AchiTot]]/3</f>
        <v>0</v>
      </c>
      <c r="CU71" s="250">
        <f>Table1[[#This Row],[AchiTot]]/3</f>
        <v>0</v>
      </c>
      <c r="CV71" s="250">
        <f>Table1[[#This Row],[AchiTot]]/3</f>
        <v>0</v>
      </c>
      <c r="CW71" s="252">
        <f>IF(Table1[[#This Row],[Rank]]="","",IF(Table1[[#This Row],[Rank]]=1,5100,IF(Table1[[#This Row],[Rank]]=2,4500,IF(Table1[[#This Row],[Rank]]=3,3900,IF(Table1[[#This Row],[Rank]]=4,3750,IF(Table1[[#This Row],[Rank]]=5,3000,IF(Table1[[#This Row],[Rank]]=6,2250,0)))))))</f>
        <v>0</v>
      </c>
      <c r="CX71" s="250">
        <f>Table1[[#This Row],[UTTot]]/3</f>
        <v>0</v>
      </c>
      <c r="CY71" s="250">
        <f>Table1[[#This Row],[UTTot]]/3</f>
        <v>0</v>
      </c>
      <c r="CZ71" s="250">
        <f>Table1[[#This Row],[UTTot]]/3</f>
        <v>0</v>
      </c>
      <c r="DA71" s="251">
        <f>IF(Table1[[#This Row],[State]]="UT",9000,0)</f>
        <v>0</v>
      </c>
      <c r="DB71" s="250">
        <f>Table1[[#This Row],[WITTot]]/3</f>
        <v>0</v>
      </c>
      <c r="DC71" s="250">
        <f>Table1[[#This Row],[WITTot]]/3</f>
        <v>0</v>
      </c>
      <c r="DD71" s="250">
        <f>Table1[[#This Row],[WITTot]]/3</f>
        <v>0</v>
      </c>
      <c r="DE71" s="251">
        <f>IF(Table1[[#This Row],[Gender]]="Female",3000,0)</f>
        <v>0</v>
      </c>
      <c r="DF71" s="250">
        <f>Table1[[#This Row],[SerTot]]/3</f>
        <v>0</v>
      </c>
      <c r="DG71" s="250">
        <f>Table1[[#This Row],[SerTot]]/3</f>
        <v>0</v>
      </c>
      <c r="DH71" s="250">
        <f>Table1[[#This Row],[SerTot]]/3</f>
        <v>0</v>
      </c>
      <c r="DI71" s="252"/>
      <c r="DJ71" s="250"/>
      <c r="DK71" s="250"/>
      <c r="DL71" s="250"/>
      <c r="DM71" s="252"/>
      <c r="DN71" s="250">
        <f>Table1[[#This Row],[MatTot]]/3</f>
        <v>0</v>
      </c>
      <c r="DO71" s="250">
        <f>Table1[[#This Row],[MatTot]]/3</f>
        <v>0</v>
      </c>
      <c r="DP71" s="250">
        <f>Table1[[#This Row],[MatTot]]/3</f>
        <v>0</v>
      </c>
      <c r="DQ71" s="252">
        <v>0</v>
      </c>
      <c r="DR71" s="250">
        <f>Table1[[#This Row],[OutTot]]/3</f>
        <v>0</v>
      </c>
      <c r="DS71" s="250">
        <f>Table1[[#This Row],[OutTot]]/3</f>
        <v>0</v>
      </c>
      <c r="DT71" s="250">
        <f>Table1[[#This Row],[OutTot]]/3</f>
        <v>0</v>
      </c>
      <c r="DU71" s="252">
        <v>0</v>
      </c>
      <c r="DV71" s="250">
        <v>0</v>
      </c>
      <c r="DW71" s="250">
        <v>0</v>
      </c>
      <c r="DX71" s="250">
        <v>0</v>
      </c>
      <c r="DY71" s="252">
        <f>SUM(Table1[[#This Row],[VAQ1]:[VAQ3]])</f>
        <v>0</v>
      </c>
      <c r="DZ71" s="250">
        <v>0</v>
      </c>
      <c r="EA71" s="250">
        <v>0</v>
      </c>
      <c r="EB71" s="250">
        <v>0</v>
      </c>
      <c r="EC71" s="252">
        <f>SUM(Table1[[#This Row],[OthGrantQ1]:[OthGrantQ3]])</f>
        <v>0</v>
      </c>
      <c r="ED71" s="263">
        <f>Table1[[#This Row],[SEOGTot]]+Table1[[#This Row],[PellTot]]+Table1[[#This Row],[AccessTot]]+Table1[[#This Row],[AchiTot]]+Table1[[#This Row],[UTTot]]+Table1[[#This Row],[WITTot]]+Table1[[#This Row],[SerTot]]+Table1[[#This Row],[TranTot]]+Table1[[#This Row],[MatTot]]+Table1[[#This Row],[OutTot]]+Table1[[#This Row],[VATot]]+Table1[[#This Row],[OthGrantTot]]</f>
        <v>7345</v>
      </c>
      <c r="EE71" s="249"/>
      <c r="EF71" s="237"/>
      <c r="EG71" s="237"/>
      <c r="EH71" s="232">
        <f>SUM(Table1[[#This Row],[CashQ1]]:Table1[[#This Row],[CashQ3]])</f>
        <v>0</v>
      </c>
      <c r="EI71" s="271">
        <f>ROUND((Table1[[#This Row],[SubTot]]/3)/1.01059,0)</f>
        <v>1154</v>
      </c>
      <c r="EJ71" s="234">
        <f>ROUND((Table1[[#This Row],[SubTot]]/3)/1.01059,0)</f>
        <v>1154</v>
      </c>
      <c r="EK71" s="234">
        <f>ROUNDUP((Table1[[#This Row],[SubTot]]/3)/1.01059,0)</f>
        <v>1155</v>
      </c>
      <c r="EL71" s="235">
        <v>3500</v>
      </c>
      <c r="EM71" s="240">
        <f>Table1[[#This Row],[SubTot]]*0.01059</f>
        <v>37.065000000000005</v>
      </c>
      <c r="EN71" s="234">
        <f>ROUND((Table1[[#This Row],[UnsubTot]]/3)/1.01062,0)</f>
        <v>660</v>
      </c>
      <c r="EO71" s="234">
        <f>ROUND((Table1[[#This Row],[UnsubTot]]/3)/1.01062,0)</f>
        <v>660</v>
      </c>
      <c r="EP71" s="234">
        <f>ROUNDDOWN((Table1[[#This Row],[UnsubTot]]/3)/1.01062,0)</f>
        <v>659</v>
      </c>
      <c r="EQ71" s="235">
        <f>IF(Table1[D/I]="I",6000,2000)</f>
        <v>2000</v>
      </c>
      <c r="ER71" s="240">
        <f>Table1[[#This Row],[UnsubTot]]*0.01059</f>
        <v>21.18</v>
      </c>
      <c r="ES71" s="234">
        <f>ROUND((Table1[[#This Row],[PLUSTot]]/3)/1.04236,0)</f>
        <v>0</v>
      </c>
      <c r="ET71" s="234">
        <f>ROUND((Table1[[#This Row],[PLUSTot]]/3)/1.04236,0)</f>
        <v>0</v>
      </c>
      <c r="EU71" s="234">
        <f>ROUND((Table1[[#This Row],[PLUSTot]]/3)/1.04236,0)</f>
        <v>0</v>
      </c>
      <c r="EV71" s="235">
        <v>0</v>
      </c>
      <c r="EW71" s="239">
        <f>Table1[[#This Row],[PLUSTot]]*0.04248</f>
        <v>0</v>
      </c>
      <c r="EX71" s="237"/>
      <c r="EY71" s="237"/>
      <c r="EZ71" s="237"/>
      <c r="FA71" s="232">
        <f>SUM(Table1[[#This Row],[PrivQ1]:[PrivQ3]])</f>
        <v>0</v>
      </c>
      <c r="FB71" s="237"/>
      <c r="FC71" s="237"/>
      <c r="FD71" s="237"/>
      <c r="FE71" s="232">
        <f>SUM(Table1[[#This Row],[TOQ1]:[TOQ3]])</f>
        <v>0</v>
      </c>
      <c r="FF71" s="237"/>
      <c r="FG71" s="237"/>
      <c r="FH71" s="237"/>
      <c r="FI71" s="232">
        <f>SUM(Table1[[#This Row],[OFundQ1]:[OFundQ3]])</f>
        <v>0</v>
      </c>
      <c r="FJ71" s="239">
        <f>(Table1[[#This Row],[SubTot]]-Table1[[#This Row],[SubFee]])+(Table1[[#This Row],[UnsubTot]]-Table1[[#This Row],[UnsubFee]])+(Table1[[#This Row],[PLUSTot]]-Table1[[#This Row],[PLUSFee]])+Table1[[#This Row],[PrivTot]]+Table1[[#This Row],[TOTot]]+Table1[[#This Row],[OFundTot]]</f>
        <v>5441.7550000000001</v>
      </c>
      <c r="FK71" s="125">
        <f>Table1[[#This Row],[CostTot]]-Table1[[#This Row],[GiftTot]]</f>
        <v>32170</v>
      </c>
      <c r="FL71" s="130">
        <f>Table1[[#This Row],[NetNeed]]/(1-0.04248)</f>
        <v>27914.03312724538</v>
      </c>
      <c r="FM71" s="131">
        <f>Table1[[#This Row],[NetCost]]-Table1[[#This Row],[CashTot]]-(Table1[[#This Row],[SubTot]]-Table1[[#This Row],[SubFee]])-(Table1[[#This Row],[UnsubTot]]-Table1[[#This Row],[UnsubFee]])-(Table1[[#This Row],[PLUSTot]]-Table1[[#This Row],[PLUSFee]])-Table1[[#This Row],[PrivTot]]-Table1[[#This Row],[TOTot]]-Table1[[#This Row],[OFundTot]]</f>
        <v>26728.244999999999</v>
      </c>
      <c r="FN71" s="161"/>
      <c r="FO71" s="113"/>
      <c r="FP71" s="113"/>
    </row>
    <row r="72" spans="1:172" s="160" customFormat="1" ht="15" x14ac:dyDescent="0.25">
      <c r="A72" s="311">
        <v>196488</v>
      </c>
      <c r="B72" s="113" t="str">
        <f>VLOOKUP(Table1[[#This Row],[SyStudentId]],SSR!$A$2:$CC$4982,4,FALSE)</f>
        <v>Pelaez</v>
      </c>
      <c r="C72" s="113" t="str">
        <f>VLOOKUP(Table1[[#This Row],[SyStudentId]],SSR!$A$2:$CC$4982,5,FALSE)</f>
        <v>Eric</v>
      </c>
      <c r="D72" s="113" t="str">
        <f>VLOOKUP(Table1[[#This Row],[SyStudentId]],SSR!$A$2:$CC$4982,6,FALSE)</f>
        <v>Pelaez, Eric</v>
      </c>
      <c r="E72" s="113" t="str">
        <f>CONCATENATE(Table1[[#This Row],[FirstName]]," ",Table1[[#This Row],[LastName]])</f>
        <v>Eric Pelaez</v>
      </c>
      <c r="F72" s="112">
        <v>1</v>
      </c>
      <c r="G72" s="114">
        <v>43789</v>
      </c>
      <c r="H72" s="114">
        <v>43796</v>
      </c>
      <c r="I72" s="114">
        <v>43796</v>
      </c>
      <c r="J72" s="115"/>
      <c r="K72" s="116"/>
      <c r="L72" s="112" t="str">
        <f>IFERROR(VLOOKUP(Table1[[#This Row],[SyStudentId]],ISIR!$A$2:$X$999,11,FALSE),"")</f>
        <v>D</v>
      </c>
      <c r="M72" s="113" t="str">
        <f>VLOOKUP(Table1[[#This Row],[SyStudentId]],SSR!$A$2:$CC$4982,7,FALSE)</f>
        <v>legodudeboom@gmail.com</v>
      </c>
      <c r="N72" s="113" t="str">
        <f>VLOOKUP(Table1[[#This Row],[SyStudentId]],SSR!$A$2:$CC$4982,8,FALSE)</f>
        <v>67220 San Gabriel Cir.</v>
      </c>
      <c r="O72" s="113" t="str">
        <f>VLOOKUP(Table1[[#This Row],[SyStudentId]],SSR!$A$2:$CC$4982,9,FALSE)</f>
        <v>Cathedral City</v>
      </c>
      <c r="P72" s="290" t="str">
        <f>VLOOKUP(Table1[[#This Row],[SyStudentId]],SSR!$A$2:$CC$4982,10,FALSE)</f>
        <v>CA</v>
      </c>
      <c r="Q72" s="117" t="str">
        <f>VLOOKUP(Table1[[#This Row],[SyStudentId]],SSR!$A$2:$CC$4982,11,FALSE)</f>
        <v xml:space="preserve">92234     </v>
      </c>
      <c r="R72" s="118">
        <f>VLOOKUP(Table1[[#This Row],[SyStudentId]],SSR!$A$2:$CC$4982,15,FALSE)</f>
        <v>2.38</v>
      </c>
      <c r="S72" s="119">
        <f>VLOOKUP(Table1[[#This Row],[SyStudentId]],SSR!$A$2:$CC$4982,22,FALSE)</f>
        <v>44109</v>
      </c>
      <c r="T72" s="113" t="str">
        <f>VLOOKUP(Table1[[#This Row],[SyStudentId]],SSR!$A$2:$CC$4982,24,FALSE)</f>
        <v>JT</v>
      </c>
      <c r="U72" s="113" t="str">
        <f>IF(VLOOKUP(Table1[[#This Row],[SyStudentId]],SSR!$A$2:$CC$4982,26,FALSE)=0,"Not Selected",VLOOKUP(Table1[[#This Row],[SyStudentId]],SSR!$A$2:$CC$4982,26,FALSE))</f>
        <v>Male</v>
      </c>
      <c r="V72" s="113" t="str">
        <f>VLOOKUP(Table1[[#This Row],[SyStudentId]],SSR!$A$2:$CC$4982,27,FALSE)</f>
        <v xml:space="preserve">HS2020  </v>
      </c>
      <c r="W72" s="113" t="str">
        <f>VLOOKUP(LEFT(Table1[[#This Row],[LastName]],1),Alpha!$A$1:$B$26,2,FALSE)</f>
        <v>Maureen Ranks</v>
      </c>
      <c r="X72" s="149" t="str">
        <f>VLOOKUP(Table1[[#This Row],[FAA]],Alpha!$B$1:$D$26,2,FALSE)</f>
        <v>mranks@neumont.edu</v>
      </c>
      <c r="Y72" s="113">
        <f>VLOOKUP(Table1[[#This Row],[FAA]],Alpha!$B$1:$D$26,3,FALSE)</f>
        <v>8883022894</v>
      </c>
      <c r="Z72" s="113" t="str">
        <f>VLOOKUP(Table1[[#This Row],[SyStudentId]],SSR!$A$2:$CC$4982,30,FALSE)</f>
        <v>18-Pending Enrollment</v>
      </c>
      <c r="AA72" s="113" t="str">
        <f>IF(VLOOKUP(Table1[[#This Row],[SyStudentId]],SSR!$A$2:$CC$4982,36,FALSE)="Bachelor of Science","BS Computer Science","Check Program")</f>
        <v>BS Computer Science</v>
      </c>
      <c r="AB72" s="113">
        <f>VLOOKUP(Table1[[#This Row],[SyStudentId]],SSR!$A$2:$CC$4982,37,FALSE)</f>
        <v>0</v>
      </c>
      <c r="AC72" s="113" t="str">
        <f>VLOOKUP(Table1[[#This Row],[SyStudentId]],SSR!$A$2:$CC$4982,42,FALSE)</f>
        <v xml:space="preserve">1040    </v>
      </c>
      <c r="AD72" s="113" t="str">
        <f>VLOOKUP(Table1[[#This Row],[SyStudentId]],SSR!$A$2:$CC$4982,46,FALSE)</f>
        <v>89</v>
      </c>
      <c r="AE72" s="113" t="str">
        <f>VLOOKUP(Table1[[#This Row],[SyStudentId]],SSR!$A$2:$CC$4982,65,FALSE)</f>
        <v>VIII</v>
      </c>
      <c r="AF72"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72" s="113" t="str">
        <f>VLOOKUP(Table1[[#This Row],[SyStudentId]],SSR!$A$2:$CC$4982,66,FALSE)</f>
        <v>November</v>
      </c>
      <c r="AH72" s="113" t="str">
        <f>IFERROR(VLOOKUP(Table1[[#This Row],[SyStudentId]],ISIR!$A$2:$X$999,7,FALSE),"")</f>
        <v>000000</v>
      </c>
      <c r="AI72" s="121">
        <f>IF(Table1[[#This Row],[EFCRaw]]="","",IF(Table1[[#This Row],[EFCRaw]]="No EFC","No EFC",_xlfn.NUMBERVALUE(Table1[[#This Row],[EFCRaw]])))</f>
        <v>0</v>
      </c>
      <c r="AJ72" s="119">
        <f>IFERROR(VLOOKUP(Table1[[#This Row],[SyStudentId]],ISIR!$A$2:$X$4999,19,FALSE),"")</f>
        <v>43774</v>
      </c>
      <c r="AK72" s="113" t="str">
        <f>IFERROR(VLOOKUP(Table1[[#This Row],[SyStudentId]],ISIR!$A$2:$X$4999,8,FALSE),"")</f>
        <v>N</v>
      </c>
      <c r="AL72" s="132" t="str">
        <f>IF(Table1[[#This Row],[VerReq]]="N","n/a","")</f>
        <v>n/a</v>
      </c>
      <c r="AM72" s="122">
        <v>43796</v>
      </c>
      <c r="AN72" s="122">
        <v>43796</v>
      </c>
      <c r="AO72" s="122">
        <v>43789</v>
      </c>
      <c r="AP72" s="122"/>
      <c r="AQ72" s="122"/>
      <c r="AR72" s="122"/>
      <c r="AS72" s="122"/>
      <c r="AT72" s="122"/>
      <c r="AU72" s="122"/>
      <c r="AV72" s="122"/>
      <c r="AW72" s="122"/>
      <c r="AX72" s="122"/>
      <c r="AY72" s="122"/>
      <c r="AZ72" s="122"/>
      <c r="BA72" s="122"/>
      <c r="BB72" s="122"/>
      <c r="BC72" s="133"/>
      <c r="BD72" s="140" t="str">
        <f>IF(Table1[[#This Row],[VerReq]]="N","x","")</f>
        <v>x</v>
      </c>
      <c r="BE72" s="140" t="str">
        <f>IF(Table1[[#This Row],[VerReq]]="N","x","")</f>
        <v>x</v>
      </c>
      <c r="BF72" s="140" t="str">
        <f>IF(Table1[[#This Row],[VerReq]]="N","x","")</f>
        <v>x</v>
      </c>
      <c r="BG72" s="140" t="str">
        <f>IF(Table1[[#This Row],[VerReq]]="N","x","")</f>
        <v>x</v>
      </c>
      <c r="BH72" s="140" t="str">
        <f>IF(Table1[[#This Row],[VerReq]]="N","x","")</f>
        <v>x</v>
      </c>
      <c r="BI72" s="140" t="str">
        <f>IF(Table1[[#This Row],[VerReq]]="N","x","")</f>
        <v>x</v>
      </c>
      <c r="BJ72" s="123">
        <f>1-((COUNTBLANK(Table1[[#This Row],[ALESent]:[TaxTran]]))/(COUNT(Table1[[#This Row],[ALESent]:[TaxTran]])+COUNTBLANK(Table1[[#This Row],[ALESent]:[TaxTran]])))</f>
        <v>0.17647058823529416</v>
      </c>
      <c r="BK72" s="136">
        <f>IF(VLOOKUP(Table1[[#This Row],[SyStudentId]],SSR!$A$2:$CC$4982,22,FALSE)=44109,44109,"Check Program")</f>
        <v>44109</v>
      </c>
      <c r="BL72" s="124">
        <f>IF(Table1[[#This Row],[AYStart]]=44109,44356,"Check Program")</f>
        <v>44356</v>
      </c>
      <c r="BM72" s="219">
        <v>8505</v>
      </c>
      <c r="BN72" s="219">
        <v>8505</v>
      </c>
      <c r="BO72" s="219">
        <v>8505</v>
      </c>
      <c r="BP72" s="220">
        <f t="shared" si="3"/>
        <v>25515</v>
      </c>
      <c r="BQ72" s="221">
        <v>3300</v>
      </c>
      <c r="BR72" s="219">
        <v>400</v>
      </c>
      <c r="BS72" s="219">
        <v>400</v>
      </c>
      <c r="BT72" s="220">
        <f t="shared" si="4"/>
        <v>4100</v>
      </c>
      <c r="BU72" s="219">
        <v>2100</v>
      </c>
      <c r="BV72" s="219">
        <v>2100</v>
      </c>
      <c r="BW72" s="219">
        <v>2100</v>
      </c>
      <c r="BX72" s="220">
        <f t="shared" si="5"/>
        <v>6300</v>
      </c>
      <c r="BY72" s="275">
        <v>1050</v>
      </c>
      <c r="BZ72" s="275">
        <v>1050</v>
      </c>
      <c r="CA72" s="275">
        <v>1050</v>
      </c>
      <c r="CB72" s="220">
        <f>SUM(Table1[[#This Row],[LEQ1]:[LEQ3]])</f>
        <v>3150</v>
      </c>
      <c r="CC72" s="275"/>
      <c r="CD72" s="275"/>
      <c r="CE72" s="275"/>
      <c r="CF72" s="220">
        <f>SUM(Table1[[#This Row],[OthCostQ1]:[OthCostQ3]])</f>
        <v>0</v>
      </c>
      <c r="CG72" s="220">
        <f>(Table1[[#This Row],[T&amp;FTot]]+Table1[[#This Row],[B&amp;STot]]+Table1[[#This Row],[HousTot]]+Table1[[#This Row],[LETot]]+Table1[[#This Row],[OthCostTot]])</f>
        <v>39065</v>
      </c>
      <c r="CH72" s="250"/>
      <c r="CI72" s="250"/>
      <c r="CJ72" s="250"/>
      <c r="CK72" s="251">
        <f>SUM(Table1[[#This Row],[SEOGQ1]:[SEOGQ3]])</f>
        <v>0</v>
      </c>
      <c r="CL72" s="250">
        <f>IFERROR(ROUNDUP(Table1[[#This Row],[PellTot]]/3,0),0)</f>
        <v>2065</v>
      </c>
      <c r="CM72" s="250">
        <f>IFERROR(ROUND(Table1[[#This Row],[PellTot]]/3,0),0)</f>
        <v>2065</v>
      </c>
      <c r="CN72" s="250">
        <f>IFERROR(ROUNDDOWN(Table1[[#This Row],[PellTot]]/3,0),0)</f>
        <v>2065</v>
      </c>
      <c r="CO72" s="251">
        <f>IFERROR(LOOKUP(Table1[EFC],Pell_Table[#Data],Pell_Table[Pell Amt]),0)</f>
        <v>6195</v>
      </c>
      <c r="CP72" s="250">
        <f>Table1[[#This Row],[AccessTot]]/3</f>
        <v>500</v>
      </c>
      <c r="CQ72" s="250">
        <f>Table1[[#This Row],[AccessTot]]/3</f>
        <v>500</v>
      </c>
      <c r="CR72" s="250">
        <f>Table1[[#This Row],[AccessTot]]/3</f>
        <v>500</v>
      </c>
      <c r="CS72" s="251">
        <f>IF(Table1[[#This Row],[PellTot]]&gt;0,1500,0)</f>
        <v>1500</v>
      </c>
      <c r="CT72" s="250">
        <f>Table1[[#This Row],[AchiTot]]/3</f>
        <v>0</v>
      </c>
      <c r="CU72" s="250">
        <f>Table1[[#This Row],[AchiTot]]/3</f>
        <v>0</v>
      </c>
      <c r="CV72" s="250">
        <f>Table1[[#This Row],[AchiTot]]/3</f>
        <v>0</v>
      </c>
      <c r="CW72" s="252">
        <f>IF(Table1[[#This Row],[Rank]]="","",IF(Table1[[#This Row],[Rank]]=1,5100,IF(Table1[[#This Row],[Rank]]=2,4500,IF(Table1[[#This Row],[Rank]]=3,3900,IF(Table1[[#This Row],[Rank]]=4,3750,IF(Table1[[#This Row],[Rank]]=5,3000,IF(Table1[[#This Row],[Rank]]=6,2250,0)))))))</f>
        <v>0</v>
      </c>
      <c r="CX72" s="250">
        <f>Table1[[#This Row],[UTTot]]/3</f>
        <v>0</v>
      </c>
      <c r="CY72" s="250">
        <f>Table1[[#This Row],[UTTot]]/3</f>
        <v>0</v>
      </c>
      <c r="CZ72" s="250">
        <f>Table1[[#This Row],[UTTot]]/3</f>
        <v>0</v>
      </c>
      <c r="DA72" s="251">
        <f>IF(Table1[[#This Row],[State]]="UT",9000,0)</f>
        <v>0</v>
      </c>
      <c r="DB72" s="250">
        <f>Table1[[#This Row],[WITTot]]/3</f>
        <v>0</v>
      </c>
      <c r="DC72" s="250">
        <f>Table1[[#This Row],[WITTot]]/3</f>
        <v>0</v>
      </c>
      <c r="DD72" s="250">
        <f>Table1[[#This Row],[WITTot]]/3</f>
        <v>0</v>
      </c>
      <c r="DE72" s="251">
        <f>IF(Table1[[#This Row],[Gender]]="Female",3000,0)</f>
        <v>0</v>
      </c>
      <c r="DF72" s="250">
        <f>Table1[[#This Row],[SerTot]]/3</f>
        <v>0</v>
      </c>
      <c r="DG72" s="250">
        <f>Table1[[#This Row],[SerTot]]/3</f>
        <v>0</v>
      </c>
      <c r="DH72" s="250">
        <f>Table1[[#This Row],[SerTot]]/3</f>
        <v>0</v>
      </c>
      <c r="DI72" s="252"/>
      <c r="DJ72" s="250"/>
      <c r="DK72" s="250"/>
      <c r="DL72" s="250"/>
      <c r="DM72" s="252"/>
      <c r="DN72" s="250">
        <f>Table1[[#This Row],[MatTot]]/3</f>
        <v>0</v>
      </c>
      <c r="DO72" s="250">
        <f>Table1[[#This Row],[MatTot]]/3</f>
        <v>0</v>
      </c>
      <c r="DP72" s="250">
        <f>Table1[[#This Row],[MatTot]]/3</f>
        <v>0</v>
      </c>
      <c r="DQ72" s="252"/>
      <c r="DR72" s="250">
        <f>Table1[[#This Row],[OutTot]]/3</f>
        <v>0</v>
      </c>
      <c r="DS72" s="250">
        <f>Table1[[#This Row],[OutTot]]/3</f>
        <v>0</v>
      </c>
      <c r="DT72" s="250">
        <f>Table1[[#This Row],[OutTot]]/3</f>
        <v>0</v>
      </c>
      <c r="DU72" s="252"/>
      <c r="DV72" s="250"/>
      <c r="DW72" s="250"/>
      <c r="DX72" s="250"/>
      <c r="DY72" s="252">
        <f>SUM(Table1[[#This Row],[VAQ1]:[VAQ3]])</f>
        <v>0</v>
      </c>
      <c r="DZ72" s="250"/>
      <c r="EA72" s="250"/>
      <c r="EB72" s="250"/>
      <c r="EC72" s="252">
        <f>SUM(Table1[[#This Row],[OthGrantQ1]:[OthGrantQ3]])</f>
        <v>0</v>
      </c>
      <c r="ED72" s="263">
        <f>Table1[[#This Row],[SEOGTot]]+Table1[[#This Row],[PellTot]]+Table1[[#This Row],[AccessTot]]+Table1[[#This Row],[AchiTot]]+Table1[[#This Row],[UTTot]]+Table1[[#This Row],[WITTot]]+Table1[[#This Row],[SerTot]]+Table1[[#This Row],[TranTot]]+Table1[[#This Row],[MatTot]]+Table1[[#This Row],[OutTot]]+Table1[[#This Row],[VATot]]+Table1[[#This Row],[OthGrantTot]]</f>
        <v>7695</v>
      </c>
      <c r="EE72" s="249"/>
      <c r="EF72" s="237"/>
      <c r="EG72" s="237"/>
      <c r="EH72" s="232">
        <f>SUM(Table1[[#This Row],[CashQ1]]:Table1[[#This Row],[CashQ3]])</f>
        <v>0</v>
      </c>
      <c r="EI72" s="271">
        <f>ROUND((Table1[[#This Row],[SubTot]]/3)/1.01059,0)</f>
        <v>1154</v>
      </c>
      <c r="EJ72" s="234">
        <f>ROUND((Table1[[#This Row],[SubTot]]/3)/1.01059,0)</f>
        <v>1154</v>
      </c>
      <c r="EK72" s="234">
        <f>ROUNDUP((Table1[[#This Row],[SubTot]]/3)/1.01059,0)</f>
        <v>1155</v>
      </c>
      <c r="EL72" s="235">
        <v>3500</v>
      </c>
      <c r="EM72" s="240">
        <f>Table1[[#This Row],[SubTot]]*0.01059</f>
        <v>37.065000000000005</v>
      </c>
      <c r="EN72" s="234">
        <f>ROUND((Table1[[#This Row],[UnsubTot]]/3)/1.01062,0)</f>
        <v>1979</v>
      </c>
      <c r="EO72" s="234">
        <f>ROUND((Table1[[#This Row],[UnsubTot]]/3)/1.01062,0)</f>
        <v>1979</v>
      </c>
      <c r="EP72" s="234">
        <f>ROUNDDOWN((Table1[[#This Row],[UnsubTot]]/3)/1.01062,0)</f>
        <v>1978</v>
      </c>
      <c r="EQ72" s="235">
        <v>6000</v>
      </c>
      <c r="ER72" s="240">
        <f>Table1[[#This Row],[UnsubTot]]*0.01062</f>
        <v>63.72</v>
      </c>
      <c r="ES72" s="234">
        <f>ROUND((Table1[[#This Row],[PLUSTot]]/3)/1.04248,0)</f>
        <v>0</v>
      </c>
      <c r="ET72" s="234">
        <f>ROUND((Table1[[#This Row],[PLUSTot]]/3)/1.04248,0)</f>
        <v>0</v>
      </c>
      <c r="EU72" s="234">
        <f>ROUND((Table1[[#This Row],[PLUSTot]]/3)/1.04248,0)</f>
        <v>0</v>
      </c>
      <c r="EV72" s="235">
        <v>0</v>
      </c>
      <c r="EW72" s="239">
        <f>Table1[[#This Row],[PLUSTot]]*0.04248</f>
        <v>0</v>
      </c>
      <c r="EX72" s="237"/>
      <c r="EY72" s="237"/>
      <c r="EZ72" s="237"/>
      <c r="FA72" s="232">
        <f>SUM(Table1[[#This Row],[PrivQ1]:[PrivQ3]])</f>
        <v>0</v>
      </c>
      <c r="FB72" s="237">
        <v>9257</v>
      </c>
      <c r="FC72" s="237">
        <v>6357</v>
      </c>
      <c r="FD72" s="237">
        <v>6357</v>
      </c>
      <c r="FE72" s="232">
        <f>SUM(Table1[[#This Row],[TOQ1]:[TOQ3]])</f>
        <v>21971</v>
      </c>
      <c r="FF72" s="237"/>
      <c r="FG72" s="237"/>
      <c r="FH72" s="237"/>
      <c r="FI72" s="232">
        <f>SUM(Table1[[#This Row],[OFundQ1]:[OFundQ3]])</f>
        <v>0</v>
      </c>
      <c r="FJ72" s="239">
        <f>(Table1[[#This Row],[SubTot]]-Table1[[#This Row],[SubFee]])+(Table1[[#This Row],[UnsubTot]]-Table1[[#This Row],[UnsubFee]])+(Table1[[#This Row],[PLUSTot]]-Table1[[#This Row],[PLUSFee]])+Table1[[#This Row],[PrivTot]]+Table1[[#This Row],[TOTot]]+Table1[[#This Row],[OFundTot]]</f>
        <v>31370.215</v>
      </c>
      <c r="FK72" s="125">
        <f>Table1[[#This Row],[CostTot]]-Table1[[#This Row],[GiftTot]]</f>
        <v>31370</v>
      </c>
      <c r="FL72" s="130">
        <f>Table1[[#This Row],[NetNeed]]/(1-0.04248)</f>
        <v>-0.22453839084316307</v>
      </c>
      <c r="FM72" s="131">
        <f>Table1[[#This Row],[NetCost]]-Table1[[#This Row],[CashTot]]-(Table1[[#This Row],[SubTot]]-Table1[[#This Row],[SubFee]])-(Table1[[#This Row],[UnsubTot]]-Table1[[#This Row],[UnsubFee]])-(Table1[[#This Row],[PLUSTot]]-Table1[[#This Row],[PLUSFee]])-Table1[[#This Row],[PrivTot]]-Table1[[#This Row],[TOTot]]-Table1[[#This Row],[OFundTot]]</f>
        <v>-0.21500000000014552</v>
      </c>
      <c r="FN72" s="161"/>
      <c r="FO72" s="113"/>
      <c r="FP72" s="113"/>
    </row>
    <row r="73" spans="1:172" s="160" customFormat="1" ht="15" x14ac:dyDescent="0.25">
      <c r="A73" s="311">
        <v>195008</v>
      </c>
      <c r="B73" s="113" t="str">
        <f>VLOOKUP(Table1[[#This Row],[SyStudentId]],SSR!$A$2:$CC$4982,4,FALSE)</f>
        <v>Pena</v>
      </c>
      <c r="C73" s="113" t="str">
        <f>VLOOKUP(Table1[[#This Row],[SyStudentId]],SSR!$A$2:$CC$4982,5,FALSE)</f>
        <v>Moses</v>
      </c>
      <c r="D73" s="113" t="str">
        <f>VLOOKUP(Table1[[#This Row],[SyStudentId]],SSR!$A$2:$CC$4982,6,FALSE)</f>
        <v>Pena, Moses</v>
      </c>
      <c r="E73" s="113" t="str">
        <f>CONCATENATE(Table1[[#This Row],[FirstName]]," ",Table1[[#This Row],[LastName]])</f>
        <v>Moses Pena</v>
      </c>
      <c r="F73" s="112"/>
      <c r="G73" s="114"/>
      <c r="H73" s="114"/>
      <c r="I73" s="114"/>
      <c r="J73" s="115"/>
      <c r="K73" s="116"/>
      <c r="L73" s="112" t="str">
        <f>IFERROR(VLOOKUP(Table1[[#This Row],[SyStudentId]],ISIR!$A$2:$X$999,11,FALSE),"")</f>
        <v/>
      </c>
      <c r="M73" s="113" t="str">
        <f>VLOOKUP(Table1[[#This Row],[SyStudentId]],SSR!$A$2:$CC$4982,7,FALSE)</f>
        <v>penamoses2@gmail.com</v>
      </c>
      <c r="N73" s="113" t="str">
        <f>VLOOKUP(Table1[[#This Row],[SyStudentId]],SSR!$A$2:$CC$4982,8,FALSE)</f>
        <v>511 Edgewood Ave</v>
      </c>
      <c r="O73" s="113" t="str">
        <f>VLOOKUP(Table1[[#This Row],[SyStudentId]],SSR!$A$2:$CC$4982,9,FALSE)</f>
        <v>Edinburg</v>
      </c>
      <c r="P73" s="113" t="str">
        <f>VLOOKUP(Table1[[#This Row],[SyStudentId]],SSR!$A$2:$CC$4982,10,FALSE)</f>
        <v>TX</v>
      </c>
      <c r="Q73" s="117" t="str">
        <f>VLOOKUP(Table1[[#This Row],[SyStudentId]],SSR!$A$2:$CC$4982,11,FALSE)</f>
        <v xml:space="preserve">78541     </v>
      </c>
      <c r="R73" s="118">
        <f>VLOOKUP(Table1[[#This Row],[SyStudentId]],SSR!$A$2:$CC$4982,15,FALSE)</f>
        <v>2.75</v>
      </c>
      <c r="S73" s="119">
        <f>VLOOKUP(Table1[[#This Row],[SyStudentId]],SSR!$A$2:$CC$4982,22,FALSE)</f>
        <v>44109</v>
      </c>
      <c r="T73" s="113" t="str">
        <f>VLOOKUP(Table1[[#This Row],[SyStudentId]],SSR!$A$2:$CC$4982,24,FALSE)</f>
        <v>JT</v>
      </c>
      <c r="U73" s="113" t="str">
        <f>IF(VLOOKUP(Table1[[#This Row],[SyStudentId]],SSR!$A$2:$CC$4982,26,FALSE)=0,"Not Selected",VLOOKUP(Table1[[#This Row],[SyStudentId]],SSR!$A$2:$CC$4982,26,FALSE))</f>
        <v>Male</v>
      </c>
      <c r="V73" s="113" t="str">
        <f>VLOOKUP(Table1[[#This Row],[SyStudentId]],SSR!$A$2:$CC$4982,27,FALSE)</f>
        <v xml:space="preserve">HS2020  </v>
      </c>
      <c r="W73" s="113" t="str">
        <f>VLOOKUP(LEFT(Table1[[#This Row],[LastName]],1),Alpha!$A$1:$B$26,2,FALSE)</f>
        <v>Maureen Ranks</v>
      </c>
      <c r="X73" s="149" t="str">
        <f>VLOOKUP(Table1[[#This Row],[FAA]],Alpha!$B$1:$D$26,2,FALSE)</f>
        <v>mranks@neumont.edu</v>
      </c>
      <c r="Y73" s="113">
        <f>VLOOKUP(Table1[[#This Row],[FAA]],Alpha!$B$1:$D$26,3,FALSE)</f>
        <v>8883022894</v>
      </c>
      <c r="Z73" s="113" t="str">
        <f>VLOOKUP(Table1[[#This Row],[SyStudentId]],SSR!$A$2:$CC$4982,30,FALSE)</f>
        <v>16-Accepted</v>
      </c>
      <c r="AA73" s="113" t="str">
        <f>IF(VLOOKUP(Table1[[#This Row],[SyStudentId]],SSR!$A$2:$CC$4982,36,FALSE)="Bachelor of Science","BS Computer Science","Check Program")</f>
        <v>BS Computer Science</v>
      </c>
      <c r="AB73" s="113" t="str">
        <f>VLOOKUP(Table1[[#This Row],[SyStudentId]],SSR!$A$2:$CC$4982,37,FALSE)</f>
        <v xml:space="preserve">19      </v>
      </c>
      <c r="AC73" s="113">
        <f>VLOOKUP(Table1[[#This Row],[SyStudentId]],SSR!$A$2:$CC$4982,42,FALSE)</f>
        <v>0</v>
      </c>
      <c r="AD73" s="113" t="str">
        <f>VLOOKUP(Table1[[#This Row],[SyStudentId]],SSR!$A$2:$CC$4982,46,FALSE)</f>
        <v>90</v>
      </c>
      <c r="AE73" s="113" t="str">
        <f>VLOOKUP(Table1[[#This Row],[SyStudentId]],SSR!$A$2:$CC$4982,65,FALSE)</f>
        <v>VII</v>
      </c>
      <c r="AF7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7</v>
      </c>
      <c r="AG73" s="113" t="str">
        <f>VLOOKUP(Table1[[#This Row],[SyStudentId]],SSR!$A$2:$CC$4982,66,FALSE)</f>
        <v>July-October</v>
      </c>
      <c r="AH73" s="113" t="str">
        <f>IFERROR(VLOOKUP(Table1[[#This Row],[SyStudentId]],ISIR!$A$2:$X$999,7,FALSE),"")</f>
        <v/>
      </c>
      <c r="AI73" s="121" t="str">
        <f>IF(Table1[[#This Row],[EFCRaw]]="","",IF(Table1[[#This Row],[EFCRaw]]="No EFC","No EFC",_xlfn.NUMBERVALUE(Table1[[#This Row],[EFCRaw]])))</f>
        <v/>
      </c>
      <c r="AJ73" s="119" t="str">
        <f>IFERROR(VLOOKUP(Table1[[#This Row],[SyStudentId]],ISIR!$A$2:$X$4999,19,FALSE),"")</f>
        <v/>
      </c>
      <c r="AK73" s="113" t="str">
        <f>IFERROR(VLOOKUP(Table1[[#This Row],[SyStudentId]],ISIR!$A$2:$X$4999,8,FALSE),"")</f>
        <v/>
      </c>
      <c r="AL73" s="132" t="str">
        <f>IF(Table1[[#This Row],[VerReq]]="N","n/a","")</f>
        <v/>
      </c>
      <c r="AM73" s="122"/>
      <c r="AN73" s="122"/>
      <c r="AO73" s="122"/>
      <c r="AP73" s="122"/>
      <c r="AQ73" s="122"/>
      <c r="AR73" s="122"/>
      <c r="AS73" s="122"/>
      <c r="AT73" s="122"/>
      <c r="AU73" s="122"/>
      <c r="AV73" s="122"/>
      <c r="AW73" s="122"/>
      <c r="AX73" s="122"/>
      <c r="AY73" s="122"/>
      <c r="AZ73" s="122"/>
      <c r="BA73" s="122"/>
      <c r="BB73" s="122"/>
      <c r="BC73" s="133"/>
      <c r="BD73" s="140" t="str">
        <f>IF(Table1[[#This Row],[VerReq]]="N","x","")</f>
        <v/>
      </c>
      <c r="BE73" s="140" t="str">
        <f>IF(Table1[[#This Row],[VerReq]]="N","x","")</f>
        <v/>
      </c>
      <c r="BF73" s="140" t="str">
        <f>IF(Table1[[#This Row],[VerReq]]="N","x","")</f>
        <v/>
      </c>
      <c r="BG73" s="140" t="str">
        <f>IF(Table1[[#This Row],[VerReq]]="N","x","")</f>
        <v/>
      </c>
      <c r="BH73" s="140" t="str">
        <f>IF(Table1[[#This Row],[VerReq]]="N","x","")</f>
        <v/>
      </c>
      <c r="BI73" s="140" t="str">
        <f>IF(Table1[[#This Row],[VerReq]]="N","x","")</f>
        <v/>
      </c>
      <c r="BJ73" s="123">
        <f>1-((COUNTBLANK(Table1[[#This Row],[ALESent]:[TaxTran]]))/(COUNT(Table1[[#This Row],[ALESent]:[TaxTran]])+COUNTBLANK(Table1[[#This Row],[ALESent]:[TaxTran]])))</f>
        <v>0</v>
      </c>
      <c r="BK73" s="136">
        <f>IF(VLOOKUP(Table1[[#This Row],[SyStudentId]],SSR!$A$2:$CC$4982,22,FALSE)=44109,44109,"Check Program")</f>
        <v>44109</v>
      </c>
      <c r="BL73" s="124">
        <f>IF(Table1[[#This Row],[AYStart]]=44109,44356,"Check Program")</f>
        <v>44356</v>
      </c>
      <c r="BM73" s="219">
        <v>8505</v>
      </c>
      <c r="BN73" s="219">
        <v>8505</v>
      </c>
      <c r="BO73" s="219">
        <v>8505</v>
      </c>
      <c r="BP73" s="220">
        <f t="shared" si="3"/>
        <v>25515</v>
      </c>
      <c r="BQ73" s="221">
        <v>3300</v>
      </c>
      <c r="BR73" s="219">
        <v>400</v>
      </c>
      <c r="BS73" s="219">
        <v>400</v>
      </c>
      <c r="BT73" s="220">
        <f t="shared" si="4"/>
        <v>4100</v>
      </c>
      <c r="BU73" s="219">
        <v>2100</v>
      </c>
      <c r="BV73" s="219">
        <v>2100</v>
      </c>
      <c r="BW73" s="219">
        <v>2100</v>
      </c>
      <c r="BX73" s="220">
        <f t="shared" si="5"/>
        <v>6300</v>
      </c>
      <c r="BY73" s="275">
        <v>1200</v>
      </c>
      <c r="BZ73" s="275">
        <v>1200</v>
      </c>
      <c r="CA73" s="275">
        <v>1200</v>
      </c>
      <c r="CB73" s="220">
        <f>SUM(Table1[[#This Row],[LEQ1]:[LEQ3]])</f>
        <v>3600</v>
      </c>
      <c r="CC73" s="275">
        <v>0</v>
      </c>
      <c r="CD73" s="275">
        <v>0</v>
      </c>
      <c r="CE73" s="275">
        <v>0</v>
      </c>
      <c r="CF73" s="220">
        <f>SUM(Table1[[#This Row],[OthCostQ1]:[OthCostQ3]])</f>
        <v>0</v>
      </c>
      <c r="CG73" s="220">
        <f>(Table1[[#This Row],[T&amp;FTot]]+Table1[[#This Row],[B&amp;STot]]+Table1[[#This Row],[HousTot]]+Table1[[#This Row],[LETot]]+Table1[[#This Row],[OthCostTot]])</f>
        <v>39515</v>
      </c>
      <c r="CH73" s="250"/>
      <c r="CI73" s="250"/>
      <c r="CJ73" s="250"/>
      <c r="CK73" s="251">
        <f>SUM(Table1[[#This Row],[SEOGQ1]:[SEOGQ3]])</f>
        <v>0</v>
      </c>
      <c r="CL73" s="250">
        <f>IFERROR(ROUNDUP(Table1[[#This Row],[PellTot]]/3,0),0)</f>
        <v>0</v>
      </c>
      <c r="CM73" s="250">
        <f>IFERROR(ROUND(Table1[[#This Row],[PellTot]]/3,0),0)</f>
        <v>0</v>
      </c>
      <c r="CN73" s="250">
        <f>IFERROR(ROUNDDOWN(Table1[[#This Row],[PellTot]]/3,0),0)</f>
        <v>0</v>
      </c>
      <c r="CO73" s="251">
        <f>IFERROR(LOOKUP(Table1[EFC],Pell_Table[#Data],Pell_Table[Pell Amt]),0)</f>
        <v>0</v>
      </c>
      <c r="CP73" s="250">
        <f>Table1[[#This Row],[AccessTot]]/3</f>
        <v>0</v>
      </c>
      <c r="CQ73" s="250">
        <f>Table1[[#This Row],[AccessTot]]/3</f>
        <v>0</v>
      </c>
      <c r="CR73" s="250">
        <f>Table1[[#This Row],[AccessTot]]/3</f>
        <v>0</v>
      </c>
      <c r="CS73" s="251">
        <f>IF(Table1[[#This Row],[PellTot]]&gt;0,1500,0)</f>
        <v>0</v>
      </c>
      <c r="CT73" s="250">
        <f>Table1[[#This Row],[AchiTot]]/3</f>
        <v>0</v>
      </c>
      <c r="CU73" s="250">
        <f>Table1[[#This Row],[AchiTot]]/3</f>
        <v>0</v>
      </c>
      <c r="CV73" s="250">
        <f>Table1[[#This Row],[AchiTot]]/3</f>
        <v>0</v>
      </c>
      <c r="CW73" s="252">
        <f>IF(Table1[[#This Row],[Rank]]="","",IF(Table1[[#This Row],[Rank]]=1,5100,IF(Table1[[#This Row],[Rank]]=2,4500,IF(Table1[[#This Row],[Rank]]=3,3900,IF(Table1[[#This Row],[Rank]]=4,3750,IF(Table1[[#This Row],[Rank]]=5,3000,IF(Table1[[#This Row],[Rank]]=6,2250,0)))))))</f>
        <v>0</v>
      </c>
      <c r="CX73" s="250">
        <f>Table1[[#This Row],[UTTot]]/3</f>
        <v>0</v>
      </c>
      <c r="CY73" s="250">
        <f>Table1[[#This Row],[UTTot]]/3</f>
        <v>0</v>
      </c>
      <c r="CZ73" s="250">
        <f>Table1[[#This Row],[UTTot]]/3</f>
        <v>0</v>
      </c>
      <c r="DA73" s="251">
        <f>IF(Table1[[#This Row],[State]]="UT",9000,0)</f>
        <v>0</v>
      </c>
      <c r="DB73" s="250">
        <f>Table1[[#This Row],[WITTot]]/3</f>
        <v>0</v>
      </c>
      <c r="DC73" s="250">
        <f>Table1[[#This Row],[WITTot]]/3</f>
        <v>0</v>
      </c>
      <c r="DD73" s="250">
        <f>Table1[[#This Row],[WITTot]]/3</f>
        <v>0</v>
      </c>
      <c r="DE73" s="251">
        <f>IF(Table1[[#This Row],[Gender]]="Female",3000,0)</f>
        <v>0</v>
      </c>
      <c r="DF73" s="250">
        <f>Table1[[#This Row],[SerTot]]/3</f>
        <v>0</v>
      </c>
      <c r="DG73" s="250">
        <f>Table1[[#This Row],[SerTot]]/3</f>
        <v>0</v>
      </c>
      <c r="DH73" s="250">
        <f>Table1[[#This Row],[SerTot]]/3</f>
        <v>0</v>
      </c>
      <c r="DI73" s="252"/>
      <c r="DJ73" s="250"/>
      <c r="DK73" s="250"/>
      <c r="DL73" s="250"/>
      <c r="DM73" s="252"/>
      <c r="DN73" s="250">
        <f>Table1[[#This Row],[MatTot]]/3</f>
        <v>0</v>
      </c>
      <c r="DO73" s="250">
        <f>Table1[[#This Row],[MatTot]]/3</f>
        <v>0</v>
      </c>
      <c r="DP73" s="250">
        <f>Table1[[#This Row],[MatTot]]/3</f>
        <v>0</v>
      </c>
      <c r="DQ73" s="252">
        <v>0</v>
      </c>
      <c r="DR73" s="250">
        <f>Table1[[#This Row],[OutTot]]/3</f>
        <v>0</v>
      </c>
      <c r="DS73" s="250">
        <f>Table1[[#This Row],[OutTot]]/3</f>
        <v>0</v>
      </c>
      <c r="DT73" s="250">
        <f>Table1[[#This Row],[OutTot]]/3</f>
        <v>0</v>
      </c>
      <c r="DU73" s="252">
        <v>0</v>
      </c>
      <c r="DV73" s="250">
        <v>0</v>
      </c>
      <c r="DW73" s="250">
        <v>0</v>
      </c>
      <c r="DX73" s="250">
        <v>0</v>
      </c>
      <c r="DY73" s="252">
        <f>SUM(Table1[[#This Row],[VAQ1]:[VAQ3]])</f>
        <v>0</v>
      </c>
      <c r="DZ73" s="250">
        <v>0</v>
      </c>
      <c r="EA73" s="250">
        <v>0</v>
      </c>
      <c r="EB73" s="250">
        <v>0</v>
      </c>
      <c r="EC73" s="252">
        <f>SUM(Table1[[#This Row],[OthGrantQ1]:[OthGrantQ3]])</f>
        <v>0</v>
      </c>
      <c r="ED73" s="263">
        <f>Table1[[#This Row],[SEOGTot]]+Table1[[#This Row],[PellTot]]+Table1[[#This Row],[AccessTot]]+Table1[[#This Row],[AchiTot]]+Table1[[#This Row],[UTTot]]+Table1[[#This Row],[WITTot]]+Table1[[#This Row],[SerTot]]+Table1[[#This Row],[TranTot]]+Table1[[#This Row],[MatTot]]+Table1[[#This Row],[OutTot]]+Table1[[#This Row],[VATot]]+Table1[[#This Row],[OthGrantTot]]</f>
        <v>0</v>
      </c>
      <c r="EE73" s="249"/>
      <c r="EF73" s="237"/>
      <c r="EG73" s="237"/>
      <c r="EH73" s="232">
        <f>SUM(Table1[[#This Row],[CashQ1]]:Table1[[#This Row],[CashQ3]])</f>
        <v>0</v>
      </c>
      <c r="EI73" s="271">
        <f>ROUND((Table1[[#This Row],[SubTot]]/3)/1.01059,0)</f>
        <v>1154</v>
      </c>
      <c r="EJ73" s="234">
        <f>ROUND((Table1[[#This Row],[SubTot]]/3)/1.01059,0)</f>
        <v>1154</v>
      </c>
      <c r="EK73" s="234">
        <f>ROUNDUP((Table1[[#This Row],[SubTot]]/3)/1.01059,0)</f>
        <v>1155</v>
      </c>
      <c r="EL73" s="235">
        <v>3500</v>
      </c>
      <c r="EM73" s="240">
        <f>Table1[[#This Row],[SubTot]]*0.01059</f>
        <v>37.065000000000005</v>
      </c>
      <c r="EN73" s="234">
        <f>ROUND((Table1[[#This Row],[UnsubTot]]/3)/1.01062,0)</f>
        <v>660</v>
      </c>
      <c r="EO73" s="234">
        <f>ROUND((Table1[[#This Row],[UnsubTot]]/3)/1.01062,0)</f>
        <v>660</v>
      </c>
      <c r="EP73" s="234">
        <f>ROUNDDOWN((Table1[[#This Row],[UnsubTot]]/3)/1.01062,0)</f>
        <v>659</v>
      </c>
      <c r="EQ73" s="235">
        <f>IF(Table1[D/I]="I",6000,2000)</f>
        <v>2000</v>
      </c>
      <c r="ER73" s="240">
        <f>Table1[[#This Row],[UnsubTot]]*0.01059</f>
        <v>21.18</v>
      </c>
      <c r="ES73" s="234">
        <f>ROUND((Table1[[#This Row],[PLUSTot]]/3)/1.04236,0)</f>
        <v>0</v>
      </c>
      <c r="ET73" s="234">
        <f>ROUND((Table1[[#This Row],[PLUSTot]]/3)/1.04236,0)</f>
        <v>0</v>
      </c>
      <c r="EU73" s="234">
        <f>ROUND((Table1[[#This Row],[PLUSTot]]/3)/1.04236,0)</f>
        <v>0</v>
      </c>
      <c r="EV73" s="235">
        <v>0</v>
      </c>
      <c r="EW73" s="239">
        <f>Table1[[#This Row],[PLUSTot]]*0.04248</f>
        <v>0</v>
      </c>
      <c r="EX73" s="237"/>
      <c r="EY73" s="237"/>
      <c r="EZ73" s="237"/>
      <c r="FA73" s="232">
        <f>SUM(Table1[[#This Row],[PrivQ1]:[PrivQ3]])</f>
        <v>0</v>
      </c>
      <c r="FB73" s="237"/>
      <c r="FC73" s="237"/>
      <c r="FD73" s="237"/>
      <c r="FE73" s="232">
        <f>SUM(Table1[[#This Row],[TOQ1]:[TOQ3]])</f>
        <v>0</v>
      </c>
      <c r="FF73" s="237"/>
      <c r="FG73" s="237"/>
      <c r="FH73" s="237"/>
      <c r="FI73" s="232">
        <f>SUM(Table1[[#This Row],[OFundQ1]:[OFundQ3]])</f>
        <v>0</v>
      </c>
      <c r="FJ73" s="239">
        <f>(Table1[[#This Row],[SubTot]]-Table1[[#This Row],[SubFee]])+(Table1[[#This Row],[UnsubTot]]-Table1[[#This Row],[UnsubFee]])+(Table1[[#This Row],[PLUSTot]]-Table1[[#This Row],[PLUSFee]])+Table1[[#This Row],[PrivTot]]+Table1[[#This Row],[TOTot]]+Table1[[#This Row],[OFundTot]]</f>
        <v>5441.7550000000001</v>
      </c>
      <c r="FK73" s="125">
        <f>Table1[[#This Row],[CostTot]]-Table1[[#This Row],[GiftTot]]</f>
        <v>39515</v>
      </c>
      <c r="FL73" s="130">
        <f>Table1[[#This Row],[NetNeed]]/(1-0.04248)</f>
        <v>35584.891177207784</v>
      </c>
      <c r="FM73" s="131">
        <f>Table1[[#This Row],[NetCost]]-Table1[[#This Row],[CashTot]]-(Table1[[#This Row],[SubTot]]-Table1[[#This Row],[SubFee]])-(Table1[[#This Row],[UnsubTot]]-Table1[[#This Row],[UnsubFee]])-(Table1[[#This Row],[PLUSTot]]-Table1[[#This Row],[PLUSFee]])-Table1[[#This Row],[PrivTot]]-Table1[[#This Row],[TOTot]]-Table1[[#This Row],[OFundTot]]</f>
        <v>34073.245000000003</v>
      </c>
      <c r="FN73" s="161"/>
      <c r="FO73" s="113"/>
      <c r="FP73" s="113"/>
    </row>
    <row r="74" spans="1:172" s="160" customFormat="1" ht="15" x14ac:dyDescent="0.25">
      <c r="A74" s="311">
        <v>199219</v>
      </c>
      <c r="B74" s="113" t="str">
        <f>VLOOKUP(Table1[[#This Row],[SyStudentId]],SSR!$A$2:$CC$4982,4,FALSE)</f>
        <v>Penner</v>
      </c>
      <c r="C74" s="113" t="str">
        <f>VLOOKUP(Table1[[#This Row],[SyStudentId]],SSR!$A$2:$CC$4982,5,FALSE)</f>
        <v>Charles</v>
      </c>
      <c r="D74" s="113" t="str">
        <f>VLOOKUP(Table1[[#This Row],[SyStudentId]],SSR!$A$2:$CC$4982,6,FALSE)</f>
        <v>Penner, Charles</v>
      </c>
      <c r="E74" s="113" t="str">
        <f>CONCATENATE(Table1[[#This Row],[FirstName]]," ",Table1[[#This Row],[LastName]])</f>
        <v>Charles Penner</v>
      </c>
      <c r="F74" s="112"/>
      <c r="G74" s="114"/>
      <c r="H74" s="114"/>
      <c r="I74" s="114"/>
      <c r="J74" s="115" t="s">
        <v>5311</v>
      </c>
      <c r="K74" s="116"/>
      <c r="L74" s="112" t="str">
        <f>IFERROR(VLOOKUP(Table1[[#This Row],[SyStudentId]],ISIR!$A$2:$X$999,11,FALSE),"")</f>
        <v/>
      </c>
      <c r="M74" s="113" t="str">
        <f>VLOOKUP(Table1[[#This Row],[SyStudentId]],SSR!$A$2:$CC$4982,7,FALSE)</f>
        <v>charliefpenner@gmail.com</v>
      </c>
      <c r="N74" s="113" t="str">
        <f>VLOOKUP(Table1[[#This Row],[SyStudentId]],SSR!$A$2:$CC$4982,8,FALSE)</f>
        <v>804 OCEAN DUNES CIRCLE</v>
      </c>
      <c r="O74" s="113" t="str">
        <f>VLOOKUP(Table1[[#This Row],[SyStudentId]],SSR!$A$2:$CC$4982,9,FALSE)</f>
        <v>JUPITER</v>
      </c>
      <c r="P74" s="303" t="str">
        <f>VLOOKUP(Table1[[#This Row],[SyStudentId]],SSR!$A$2:$CC$4982,10,FALSE)</f>
        <v>FL</v>
      </c>
      <c r="Q74" s="117" t="str">
        <f>VLOOKUP(Table1[[#This Row],[SyStudentId]],SSR!$A$2:$CC$4982,11,FALSE)</f>
        <v xml:space="preserve">33477     </v>
      </c>
      <c r="R74" s="118">
        <f>VLOOKUP(Table1[[#This Row],[SyStudentId]],SSR!$A$2:$CC$4982,15,FALSE)</f>
        <v>3.7044999999999999</v>
      </c>
      <c r="S74" s="119">
        <f>VLOOKUP(Table1[[#This Row],[SyStudentId]],SSR!$A$2:$CC$4982,22,FALSE)</f>
        <v>44109</v>
      </c>
      <c r="T74" s="113" t="str">
        <f>VLOOKUP(Table1[[#This Row],[SyStudentId]],SSR!$A$2:$CC$4982,24,FALSE)</f>
        <v>MN</v>
      </c>
      <c r="U74" s="113" t="str">
        <f>IF(VLOOKUP(Table1[[#This Row],[SyStudentId]],SSR!$A$2:$CC$4982,26,FALSE)=0,"Not Selected",VLOOKUP(Table1[[#This Row],[SyStudentId]],SSR!$A$2:$CC$4982,26,FALSE))</f>
        <v>Male</v>
      </c>
      <c r="V74" s="113" t="str">
        <f>VLOOKUP(Table1[[#This Row],[SyStudentId]],SSR!$A$2:$CC$4982,27,FALSE)</f>
        <v xml:space="preserve">HS2020  </v>
      </c>
      <c r="W74" s="113" t="str">
        <f>VLOOKUP(LEFT(Table1[[#This Row],[LastName]],1),Alpha!$A$1:$B$26,2,FALSE)</f>
        <v>Maureen Ranks</v>
      </c>
      <c r="X74" s="149" t="str">
        <f>VLOOKUP(Table1[[#This Row],[FAA]],Alpha!$B$1:$D$26,2,FALSE)</f>
        <v>mranks@neumont.edu</v>
      </c>
      <c r="Y74" s="113">
        <f>VLOOKUP(Table1[[#This Row],[FAA]],Alpha!$B$1:$D$26,3,FALSE)</f>
        <v>8883022894</v>
      </c>
      <c r="Z74" s="113" t="str">
        <f>VLOOKUP(Table1[[#This Row],[SyStudentId]],SSR!$A$2:$CC$4982,30,FALSE)</f>
        <v>16-Accepted</v>
      </c>
      <c r="AA74" s="113" t="str">
        <f>IF(VLOOKUP(Table1[[#This Row],[SyStudentId]],SSR!$A$2:$CC$4982,36,FALSE)="Bachelor of Science","BS Computer Science","Check Program")</f>
        <v>BS Computer Science</v>
      </c>
      <c r="AB74" s="113" t="str">
        <f>VLOOKUP(Table1[[#This Row],[SyStudentId]],SSR!$A$2:$CC$4982,37,FALSE)</f>
        <v xml:space="preserve">28      </v>
      </c>
      <c r="AC74" s="113" t="str">
        <f>VLOOKUP(Table1[[#This Row],[SyStudentId]],SSR!$A$2:$CC$4982,42,FALSE)</f>
        <v xml:space="preserve">1360    </v>
      </c>
      <c r="AD74" s="113" t="str">
        <f>VLOOKUP(Table1[[#This Row],[SyStudentId]],SSR!$A$2:$CC$4982,46,FALSE)</f>
        <v>128</v>
      </c>
      <c r="AE74" s="113" t="str">
        <f>VLOOKUP(Table1[[#This Row],[SyStudentId]],SSR!$A$2:$CC$4982,65,FALSE)</f>
        <v>I</v>
      </c>
      <c r="AF74"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74" s="113" t="str">
        <f>VLOOKUP(Table1[[#This Row],[SyStudentId]],SSR!$A$2:$CC$4982,66,FALSE)</f>
        <v>November</v>
      </c>
      <c r="AH74" s="113" t="str">
        <f>IFERROR(VLOOKUP(Table1[[#This Row],[SyStudentId]],ISIR!$A$2:$X$999,7,FALSE),"")</f>
        <v/>
      </c>
      <c r="AI74" s="121" t="str">
        <f>IF(Table1[[#This Row],[EFCRaw]]="","",IF(Table1[[#This Row],[EFCRaw]]="No EFC","No EFC",_xlfn.NUMBERVALUE(Table1[[#This Row],[EFCRaw]])))</f>
        <v/>
      </c>
      <c r="AJ74" s="119" t="str">
        <f>IFERROR(VLOOKUP(Table1[[#This Row],[SyStudentId]],ISIR!$A$2:$X$4999,19,FALSE),"")</f>
        <v/>
      </c>
      <c r="AK74" s="113" t="str">
        <f>IFERROR(VLOOKUP(Table1[[#This Row],[SyStudentId]],ISIR!$A$2:$X$4999,8,FALSE),"")</f>
        <v/>
      </c>
      <c r="AL74" s="132" t="str">
        <f>IF(Table1[[#This Row],[VerReq]]="N","n/a","")</f>
        <v/>
      </c>
      <c r="AM74" s="122"/>
      <c r="AN74" s="122"/>
      <c r="AO74" s="122"/>
      <c r="AP74" s="122"/>
      <c r="AQ74" s="122"/>
      <c r="AR74" s="122"/>
      <c r="AS74" s="122"/>
      <c r="AT74" s="122"/>
      <c r="AU74" s="122"/>
      <c r="AV74" s="122"/>
      <c r="AW74" s="122"/>
      <c r="AX74" s="122"/>
      <c r="AY74" s="122"/>
      <c r="AZ74" s="122"/>
      <c r="BA74" s="122"/>
      <c r="BB74" s="122"/>
      <c r="BC74" s="133"/>
      <c r="BD74" s="140" t="str">
        <f>IF(Table1[[#This Row],[VerReq]]="N","x","")</f>
        <v/>
      </c>
      <c r="BE74" s="140" t="str">
        <f>IF(Table1[[#This Row],[VerReq]]="N","x","")</f>
        <v/>
      </c>
      <c r="BF74" s="140" t="str">
        <f>IF(Table1[[#This Row],[VerReq]]="N","x","")</f>
        <v/>
      </c>
      <c r="BG74" s="140" t="str">
        <f>IF(Table1[[#This Row],[VerReq]]="N","x","")</f>
        <v/>
      </c>
      <c r="BH74" s="140" t="str">
        <f>IF(Table1[[#This Row],[VerReq]]="N","x","")</f>
        <v/>
      </c>
      <c r="BI74" s="140" t="str">
        <f>IF(Table1[[#This Row],[VerReq]]="N","x","")</f>
        <v/>
      </c>
      <c r="BJ74" s="123">
        <f>1-((COUNTBLANK(Table1[[#This Row],[ALESent]:[TaxTran]]))/(COUNT(Table1[[#This Row],[ALESent]:[TaxTran]])+COUNTBLANK(Table1[[#This Row],[ALESent]:[TaxTran]])))</f>
        <v>0</v>
      </c>
      <c r="BK74" s="136">
        <f>IF(VLOOKUP(Table1[[#This Row],[SyStudentId]],SSR!$A$2:$CC$4982,22,FALSE)=44109,44109,"Check Program")</f>
        <v>44109</v>
      </c>
      <c r="BL74" s="124">
        <f>IF(Table1[[#This Row],[AYStart]]=44109,44356,"Check Program")</f>
        <v>44356</v>
      </c>
      <c r="BM74" s="219">
        <v>8505</v>
      </c>
      <c r="BN74" s="219">
        <v>8505</v>
      </c>
      <c r="BO74" s="219">
        <v>8505</v>
      </c>
      <c r="BP74" s="220">
        <f t="shared" si="3"/>
        <v>25515</v>
      </c>
      <c r="BQ74" s="221">
        <v>3300</v>
      </c>
      <c r="BR74" s="219">
        <v>400</v>
      </c>
      <c r="BS74" s="219">
        <v>400</v>
      </c>
      <c r="BT74" s="220">
        <f t="shared" si="4"/>
        <v>4100</v>
      </c>
      <c r="BU74" s="219">
        <v>2100</v>
      </c>
      <c r="BV74" s="219">
        <v>2100</v>
      </c>
      <c r="BW74" s="219">
        <v>2100</v>
      </c>
      <c r="BX74" s="220">
        <f t="shared" si="5"/>
        <v>6300</v>
      </c>
      <c r="BY74" s="275">
        <v>1200</v>
      </c>
      <c r="BZ74" s="275">
        <v>1200</v>
      </c>
      <c r="CA74" s="275">
        <v>1200</v>
      </c>
      <c r="CB74" s="220">
        <f>SUM(Table1[[#This Row],[LEQ1]:[LEQ3]])</f>
        <v>3600</v>
      </c>
      <c r="CC74" s="275"/>
      <c r="CD74" s="275"/>
      <c r="CE74" s="275"/>
      <c r="CF74" s="220">
        <f>SUM(Table1[[#This Row],[OthCostQ1]:[OthCostQ3]])</f>
        <v>0</v>
      </c>
      <c r="CG74" s="220">
        <f>(Table1[[#This Row],[T&amp;FTot]]+Table1[[#This Row],[B&amp;STot]]+Table1[[#This Row],[HousTot]]+Table1[[#This Row],[LETot]]+Table1[[#This Row],[OthCostTot]])</f>
        <v>39515</v>
      </c>
      <c r="CH74" s="250"/>
      <c r="CI74" s="250"/>
      <c r="CJ74" s="250"/>
      <c r="CK74" s="251">
        <f>SUM(Table1[[#This Row],[SEOGQ1]:[SEOGQ3]])</f>
        <v>0</v>
      </c>
      <c r="CL74" s="250">
        <f>IFERROR(ROUNDUP(Table1[[#This Row],[PellTot]]/3,0),0)</f>
        <v>0</v>
      </c>
      <c r="CM74" s="250">
        <f>IFERROR(ROUND(Table1[[#This Row],[PellTot]]/3,0),0)</f>
        <v>0</v>
      </c>
      <c r="CN74" s="250">
        <f>IFERROR(ROUNDDOWN(Table1[[#This Row],[PellTot]]/3,0),0)</f>
        <v>0</v>
      </c>
      <c r="CO74" s="251">
        <f>IFERROR(LOOKUP(Table1[EFC],Pell_Table[#Data],Pell_Table[Pell Amt]),0)</f>
        <v>0</v>
      </c>
      <c r="CP74" s="250">
        <f>Table1[[#This Row],[AccessTot]]/3</f>
        <v>0</v>
      </c>
      <c r="CQ74" s="250">
        <f>Table1[[#This Row],[AccessTot]]/3</f>
        <v>0</v>
      </c>
      <c r="CR74" s="250">
        <f>Table1[[#This Row],[AccessTot]]/3</f>
        <v>0</v>
      </c>
      <c r="CS74" s="251">
        <f>IF(Table1[[#This Row],[PellTot]]&gt;0,1500,0)</f>
        <v>0</v>
      </c>
      <c r="CT74" s="250">
        <f>Table1[[#This Row],[AchiTot]]/3</f>
        <v>1700</v>
      </c>
      <c r="CU74" s="250">
        <f>Table1[[#This Row],[AchiTot]]/3</f>
        <v>1700</v>
      </c>
      <c r="CV74" s="250">
        <f>Table1[[#This Row],[AchiTot]]/3</f>
        <v>1700</v>
      </c>
      <c r="CW74" s="252">
        <f>IF(Table1[[#This Row],[Rank]]="","",IF(Table1[[#This Row],[Rank]]=1,5100,IF(Table1[[#This Row],[Rank]]=2,4500,IF(Table1[[#This Row],[Rank]]=3,3900,IF(Table1[[#This Row],[Rank]]=4,3750,IF(Table1[[#This Row],[Rank]]=5,3000,IF(Table1[[#This Row],[Rank]]=6,2250,0)))))))</f>
        <v>5100</v>
      </c>
      <c r="CX74" s="250">
        <f>Table1[[#This Row],[UTTot]]/3</f>
        <v>0</v>
      </c>
      <c r="CY74" s="250">
        <f>Table1[[#This Row],[UTTot]]/3</f>
        <v>0</v>
      </c>
      <c r="CZ74" s="250">
        <f>Table1[[#This Row],[UTTot]]/3</f>
        <v>0</v>
      </c>
      <c r="DA74" s="251">
        <f>IF(Table1[[#This Row],[State]]="UT",9000,0)</f>
        <v>0</v>
      </c>
      <c r="DB74" s="250">
        <f>Table1[[#This Row],[WITTot]]/3</f>
        <v>0</v>
      </c>
      <c r="DC74" s="250">
        <f>Table1[[#This Row],[WITTot]]/3</f>
        <v>0</v>
      </c>
      <c r="DD74" s="250">
        <f>Table1[[#This Row],[WITTot]]/3</f>
        <v>0</v>
      </c>
      <c r="DE74" s="251">
        <f>IF(Table1[[#This Row],[Gender]]="Female",3000,0)</f>
        <v>0</v>
      </c>
      <c r="DF74" s="250">
        <f>Table1[[#This Row],[SerTot]]/3</f>
        <v>0</v>
      </c>
      <c r="DG74" s="250">
        <f>Table1[[#This Row],[SerTot]]/3</f>
        <v>0</v>
      </c>
      <c r="DH74" s="250">
        <f>Table1[[#This Row],[SerTot]]/3</f>
        <v>0</v>
      </c>
      <c r="DI74" s="252"/>
      <c r="DJ74" s="250"/>
      <c r="DK74" s="250"/>
      <c r="DL74" s="250"/>
      <c r="DM74" s="252"/>
      <c r="DN74" s="250">
        <f>Table1[[#This Row],[MatTot]]/3</f>
        <v>0</v>
      </c>
      <c r="DO74" s="250">
        <f>Table1[[#This Row],[MatTot]]/3</f>
        <v>0</v>
      </c>
      <c r="DP74" s="250">
        <f>Table1[[#This Row],[MatTot]]/3</f>
        <v>0</v>
      </c>
      <c r="DQ74" s="252"/>
      <c r="DR74" s="250">
        <f>Table1[[#This Row],[OutTot]]/3</f>
        <v>0</v>
      </c>
      <c r="DS74" s="250">
        <f>Table1[[#This Row],[OutTot]]/3</f>
        <v>0</v>
      </c>
      <c r="DT74" s="250">
        <f>Table1[[#This Row],[OutTot]]/3</f>
        <v>0</v>
      </c>
      <c r="DU74" s="252"/>
      <c r="DV74" s="250"/>
      <c r="DW74" s="250"/>
      <c r="DX74" s="250"/>
      <c r="DY74" s="252">
        <f>SUM(Table1[[#This Row],[VAQ1]:[VAQ3]])</f>
        <v>0</v>
      </c>
      <c r="DZ74" s="250"/>
      <c r="EA74" s="250"/>
      <c r="EB74" s="250"/>
      <c r="EC74" s="252">
        <f>SUM(Table1[[#This Row],[OthGrantQ1]:[OthGrantQ3]])</f>
        <v>0</v>
      </c>
      <c r="ED74" s="263">
        <f>Table1[[#This Row],[SEOGTot]]+Table1[[#This Row],[PellTot]]+Table1[[#This Row],[AccessTot]]+Table1[[#This Row],[AchiTot]]+Table1[[#This Row],[UTTot]]+Table1[[#This Row],[WITTot]]+Table1[[#This Row],[SerTot]]+Table1[[#This Row],[TranTot]]+Table1[[#This Row],[MatTot]]+Table1[[#This Row],[OutTot]]+Table1[[#This Row],[VATot]]+Table1[[#This Row],[OthGrantTot]]</f>
        <v>5100</v>
      </c>
      <c r="EE74" s="249"/>
      <c r="EF74" s="237"/>
      <c r="EG74" s="237"/>
      <c r="EH74" s="232">
        <f>SUM(Table1[[#This Row],[CashQ1]]:Table1[[#This Row],[CashQ3]])</f>
        <v>0</v>
      </c>
      <c r="EI74" s="271">
        <f>ROUND((Table1[[#This Row],[SubTot]]/3)/1.01059,0)</f>
        <v>1154</v>
      </c>
      <c r="EJ74" s="234">
        <f>ROUND((Table1[[#This Row],[SubTot]]/3)/1.01059,0)</f>
        <v>1154</v>
      </c>
      <c r="EK74" s="234">
        <f>ROUNDUP((Table1[[#This Row],[SubTot]]/3)/1.01059,0)</f>
        <v>1155</v>
      </c>
      <c r="EL74" s="235">
        <v>3500</v>
      </c>
      <c r="EM74" s="240">
        <f>Table1[[#This Row],[SubTot]]*0.01059</f>
        <v>37.065000000000005</v>
      </c>
      <c r="EN74" s="234">
        <f>ROUND((Table1[[#This Row],[UnsubTot]]/3)/1.01062,0)</f>
        <v>660</v>
      </c>
      <c r="EO74" s="234">
        <f>ROUND((Table1[[#This Row],[UnsubTot]]/3)/1.01062,0)</f>
        <v>660</v>
      </c>
      <c r="EP74" s="234">
        <f>ROUNDDOWN((Table1[[#This Row],[UnsubTot]]/3)/1.01062,0)</f>
        <v>659</v>
      </c>
      <c r="EQ74" s="235">
        <f>IF(Table1[D/I]="I",6000,2000)</f>
        <v>2000</v>
      </c>
      <c r="ER74" s="240">
        <f>Table1[[#This Row],[UnsubTot]]*0.01062</f>
        <v>21.24</v>
      </c>
      <c r="ES74" s="234">
        <f>ROUND((Table1[[#This Row],[PLUSTot]]/3)/1.04248,0)</f>
        <v>0</v>
      </c>
      <c r="ET74" s="234">
        <f>ROUND((Table1[[#This Row],[PLUSTot]]/3)/1.04248,0)</f>
        <v>0</v>
      </c>
      <c r="EU74" s="234">
        <f>ROUND((Table1[[#This Row],[PLUSTot]]/3)/1.04248,0)</f>
        <v>0</v>
      </c>
      <c r="EV74" s="235"/>
      <c r="EW74" s="239">
        <f>Table1[[#This Row],[PLUSTot]]*0.04248</f>
        <v>0</v>
      </c>
      <c r="EX74" s="237"/>
      <c r="EY74" s="237"/>
      <c r="EZ74" s="237"/>
      <c r="FA74" s="232">
        <f>SUM(Table1[[#This Row],[PrivQ1]:[PrivQ3]])</f>
        <v>0</v>
      </c>
      <c r="FB74" s="237"/>
      <c r="FC74" s="237"/>
      <c r="FD74" s="237"/>
      <c r="FE74" s="232">
        <f>SUM(Table1[[#This Row],[TOQ1]:[TOQ3]])</f>
        <v>0</v>
      </c>
      <c r="FF74" s="237"/>
      <c r="FG74" s="237"/>
      <c r="FH74" s="237"/>
      <c r="FI74" s="232">
        <f>SUM(Table1[[#This Row],[OFundQ1]:[OFundQ3]])</f>
        <v>0</v>
      </c>
      <c r="FJ74" s="239">
        <f>(Table1[[#This Row],[SubTot]]-Table1[[#This Row],[SubFee]])+(Table1[[#This Row],[UnsubTot]]-Table1[[#This Row],[UnsubFee]])+(Table1[[#This Row],[PLUSTot]]-Table1[[#This Row],[PLUSFee]])+Table1[[#This Row],[PrivTot]]+Table1[[#This Row],[TOTot]]+Table1[[#This Row],[OFundTot]]</f>
        <v>5441.6949999999997</v>
      </c>
      <c r="FK74" s="125">
        <f>Table1[[#This Row],[CostTot]]-Table1[[#This Row],[GiftTot]]</f>
        <v>34415</v>
      </c>
      <c r="FL74" s="130">
        <f>Table1[[#This Row],[NetNeed]]/(1-0.04248)</f>
        <v>30258.694335366363</v>
      </c>
      <c r="FM74" s="131">
        <f>Table1[[#This Row],[NetCost]]-Table1[[#This Row],[CashTot]]-(Table1[[#This Row],[SubTot]]-Table1[[#This Row],[SubFee]])-(Table1[[#This Row],[UnsubTot]]-Table1[[#This Row],[UnsubFee]])-(Table1[[#This Row],[PLUSTot]]-Table1[[#This Row],[PLUSFee]])-Table1[[#This Row],[PrivTot]]-Table1[[#This Row],[TOTot]]-Table1[[#This Row],[OFundTot]]</f>
        <v>28973.305</v>
      </c>
      <c r="FN74" s="161"/>
      <c r="FO74" s="113"/>
      <c r="FP74" s="113"/>
    </row>
    <row r="75" spans="1:172" s="160" customFormat="1" ht="15" x14ac:dyDescent="0.25">
      <c r="A75" s="267">
        <v>169771</v>
      </c>
      <c r="B75" s="113" t="str">
        <f>VLOOKUP(Table1[[#This Row],[SyStudentId]],SSR!$A$2:$CC$4982,4,FALSE)</f>
        <v>Penrod</v>
      </c>
      <c r="C75" s="113" t="str">
        <f>VLOOKUP(Table1[[#This Row],[SyStudentId]],SSR!$A$2:$CC$4982,5,FALSE)</f>
        <v>William</v>
      </c>
      <c r="D75" s="113" t="str">
        <f>VLOOKUP(Table1[[#This Row],[SyStudentId]],SSR!$A$2:$CC$4982,6,FALSE)</f>
        <v>Penrod, William</v>
      </c>
      <c r="E75" s="113" t="str">
        <f>CONCATENATE(Table1[[#This Row],[FirstName]]," ",Table1[[#This Row],[LastName]])</f>
        <v>William Penrod</v>
      </c>
      <c r="F75" s="112"/>
      <c r="G75" s="114"/>
      <c r="H75" s="114"/>
      <c r="I75" s="114"/>
      <c r="J75" s="115" t="s">
        <v>6041</v>
      </c>
      <c r="K75" s="116"/>
      <c r="L75" s="112" t="str">
        <f>IFERROR(VLOOKUP(Table1[[#This Row],[SyStudentId]],ISIR!$A$2:$X$999,11,FALSE),"")</f>
        <v>X</v>
      </c>
      <c r="M75" s="113" t="str">
        <f>VLOOKUP(Table1[[#This Row],[SyStudentId]],SSR!$A$2:$CC$4982,7,FALSE)</f>
        <v>renegadecat47@gmail.com</v>
      </c>
      <c r="N75" s="113" t="str">
        <f>VLOOKUP(Table1[[#This Row],[SyStudentId]],SSR!$A$2:$CC$4982,8,FALSE)</f>
        <v>625 E 60 N</v>
      </c>
      <c r="O75" s="113" t="str">
        <f>VLOOKUP(Table1[[#This Row],[SyStudentId]],SSR!$A$2:$CC$4982,9,FALSE)</f>
        <v>OREM</v>
      </c>
      <c r="P75" s="113" t="str">
        <f>VLOOKUP(Table1[[#This Row],[SyStudentId]],SSR!$A$2:$CC$4982,10,FALSE)</f>
        <v>UT</v>
      </c>
      <c r="Q75" s="117" t="str">
        <f>VLOOKUP(Table1[[#This Row],[SyStudentId]],SSR!$A$2:$CC$4982,11,FALSE)</f>
        <v xml:space="preserve">84097     </v>
      </c>
      <c r="R75" s="118">
        <f>VLOOKUP(Table1[[#This Row],[SyStudentId]],SSR!$A$2:$CC$4982,15,FALSE)</f>
        <v>2.41</v>
      </c>
      <c r="S75" s="119">
        <f>VLOOKUP(Table1[[#This Row],[SyStudentId]],SSR!$A$2:$CC$4982,22,FALSE)</f>
        <v>44109</v>
      </c>
      <c r="T75" s="113" t="str">
        <f>VLOOKUP(Table1[[#This Row],[SyStudentId]],SSR!$A$2:$CC$4982,24,FALSE)</f>
        <v>MN</v>
      </c>
      <c r="U75" s="113" t="str">
        <f>IF(VLOOKUP(Table1[[#This Row],[SyStudentId]],SSR!$A$2:$CC$4982,26,FALSE)=0,"Not Selected",VLOOKUP(Table1[[#This Row],[SyStudentId]],SSR!$A$2:$CC$4982,26,FALSE))</f>
        <v>Male</v>
      </c>
      <c r="V75" s="113" t="str">
        <f>VLOOKUP(Table1[[#This Row],[SyStudentId]],SSR!$A$2:$CC$4982,27,FALSE)</f>
        <v xml:space="preserve">HS2020  </v>
      </c>
      <c r="W75" s="113" t="str">
        <f>VLOOKUP(LEFT(Table1[[#This Row],[LastName]],1),Alpha!$A$1:$B$26,2,FALSE)</f>
        <v>Maureen Ranks</v>
      </c>
      <c r="X75" s="149" t="str">
        <f>VLOOKUP(Table1[[#This Row],[FAA]],Alpha!$B$1:$D$26,2,FALSE)</f>
        <v>mranks@neumont.edu</v>
      </c>
      <c r="Y75" s="113">
        <f>VLOOKUP(Table1[[#This Row],[FAA]],Alpha!$B$1:$D$26,3,FALSE)</f>
        <v>8883022894</v>
      </c>
      <c r="Z75" s="113" t="str">
        <f>VLOOKUP(Table1[[#This Row],[SyStudentId]],SSR!$A$2:$CC$4982,30,FALSE)</f>
        <v>18-Pending Enrollment</v>
      </c>
      <c r="AA75" s="113" t="str">
        <f>IF(VLOOKUP(Table1[[#This Row],[SyStudentId]],SSR!$A$2:$CC$4982,36,FALSE)="Bachelor of Science","BS Computer Science","Check Program")</f>
        <v>BS Computer Science</v>
      </c>
      <c r="AB75" s="113" t="str">
        <f>VLOOKUP(Table1[[#This Row],[SyStudentId]],SSR!$A$2:$CC$4982,37,FALSE)</f>
        <v xml:space="preserve">24      </v>
      </c>
      <c r="AC75" s="113">
        <f>VLOOKUP(Table1[[#This Row],[SyStudentId]],SSR!$A$2:$CC$4982,42,FALSE)</f>
        <v>0</v>
      </c>
      <c r="AD75" s="113" t="str">
        <f>VLOOKUP(Table1[[#This Row],[SyStudentId]],SSR!$A$2:$CC$4982,46,FALSE)</f>
        <v>92</v>
      </c>
      <c r="AE75" s="113" t="str">
        <f>VLOOKUP(Table1[[#This Row],[SyStudentId]],SSR!$A$2:$CC$4982,65,FALSE)</f>
        <v>VIII</v>
      </c>
      <c r="AF75"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75" s="113" t="str">
        <f>VLOOKUP(Table1[[#This Row],[SyStudentId]],SSR!$A$2:$CC$4982,66,FALSE)</f>
        <v>November</v>
      </c>
      <c r="AH75" s="113">
        <f>IFERROR(VLOOKUP(Table1[[#This Row],[SyStudentId]],ISIR!$A$2:$X$999,7,FALSE),"")</f>
        <v>0</v>
      </c>
      <c r="AI75" s="121">
        <f>IF(Table1[[#This Row],[EFCRaw]]="","",IF(Table1[[#This Row],[EFCRaw]]="No EFC","No EFC",_xlfn.NUMBERVALUE(Table1[[#This Row],[EFCRaw]])))</f>
        <v>0</v>
      </c>
      <c r="AJ75" s="119">
        <f>IFERROR(VLOOKUP(Table1[[#This Row],[SyStudentId]],ISIR!$A$2:$X$4999,19,FALSE),"")</f>
        <v>43804</v>
      </c>
      <c r="AK75" s="113" t="str">
        <f>IFERROR(VLOOKUP(Table1[[#This Row],[SyStudentId]],ISIR!$A$2:$X$4999,8,FALSE),"")</f>
        <v>N</v>
      </c>
      <c r="AL75" s="132" t="str">
        <f>IF(Table1[[#This Row],[VerReq]]="N","n/a","")</f>
        <v>n/a</v>
      </c>
      <c r="AM75" s="122"/>
      <c r="AN75" s="122"/>
      <c r="AO75" s="122"/>
      <c r="AP75" s="122"/>
      <c r="AQ75" s="122"/>
      <c r="AR75" s="122"/>
      <c r="AS75" s="122"/>
      <c r="AT75" s="122"/>
      <c r="AU75" s="122"/>
      <c r="AV75" s="122"/>
      <c r="AW75" s="122"/>
      <c r="AX75" s="122"/>
      <c r="AY75" s="122"/>
      <c r="AZ75" s="122"/>
      <c r="BA75" s="122"/>
      <c r="BB75" s="122"/>
      <c r="BC75" s="133"/>
      <c r="BD75" s="140" t="str">
        <f>IF(Table1[[#This Row],[VerReq]]="N","x","")</f>
        <v>x</v>
      </c>
      <c r="BE75" s="140" t="str">
        <f>IF(Table1[[#This Row],[VerReq]]="N","x","")</f>
        <v>x</v>
      </c>
      <c r="BF75" s="140" t="str">
        <f>IF(Table1[[#This Row],[VerReq]]="N","x","")</f>
        <v>x</v>
      </c>
      <c r="BG75" s="140" t="str">
        <f>IF(Table1[[#This Row],[VerReq]]="N","x","")</f>
        <v>x</v>
      </c>
      <c r="BH75" s="140" t="str">
        <f>IF(Table1[[#This Row],[VerReq]]="N","x","")</f>
        <v>x</v>
      </c>
      <c r="BI75" s="140" t="str">
        <f>IF(Table1[[#This Row],[VerReq]]="N","x","")</f>
        <v>x</v>
      </c>
      <c r="BJ75" s="123">
        <f>1-((COUNTBLANK(Table1[[#This Row],[ALESent]:[TaxTran]]))/(COUNT(Table1[[#This Row],[ALESent]:[TaxTran]])+COUNTBLANK(Table1[[#This Row],[ALESent]:[TaxTran]])))</f>
        <v>0</v>
      </c>
      <c r="BK75" s="136">
        <f>IF(VLOOKUP(Table1[[#This Row],[SyStudentId]],SSR!$A$2:$CC$4982,22,FALSE)=44109,44109,"Check Program")</f>
        <v>44109</v>
      </c>
      <c r="BL75" s="124">
        <f>IF(Table1[[#This Row],[AYStart]]=44109,44356,"Check Program")</f>
        <v>44356</v>
      </c>
      <c r="BM75" s="219"/>
      <c r="BN75" s="219"/>
      <c r="BO75" s="219"/>
      <c r="BP75" s="220">
        <f t="shared" si="3"/>
        <v>0</v>
      </c>
      <c r="BQ75" s="221"/>
      <c r="BR75" s="219"/>
      <c r="BS75" s="219"/>
      <c r="BT75" s="220">
        <f t="shared" si="4"/>
        <v>0</v>
      </c>
      <c r="BU75" s="219"/>
      <c r="BV75" s="219"/>
      <c r="BW75" s="219"/>
      <c r="BX75" s="220">
        <f t="shared" si="5"/>
        <v>0</v>
      </c>
      <c r="BY75" s="275"/>
      <c r="BZ75" s="275"/>
      <c r="CA75" s="275"/>
      <c r="CB75" s="220">
        <f>SUM(Table1[[#This Row],[LEQ1]:[LEQ3]])</f>
        <v>0</v>
      </c>
      <c r="CC75" s="275"/>
      <c r="CD75" s="275"/>
      <c r="CE75" s="275"/>
      <c r="CF75" s="220">
        <f>SUM(Table1[[#This Row],[OthCostQ1]:[OthCostQ3]])</f>
        <v>0</v>
      </c>
      <c r="CG75" s="220">
        <f>(Table1[[#This Row],[T&amp;FTot]]+Table1[[#This Row],[B&amp;STot]]+Table1[[#This Row],[HousTot]]+Table1[[#This Row],[LETot]]+Table1[[#This Row],[OthCostTot]])</f>
        <v>0</v>
      </c>
      <c r="CH75" s="250"/>
      <c r="CI75" s="250"/>
      <c r="CJ75" s="250"/>
      <c r="CK75" s="251">
        <f>SUM(Table1[[#This Row],[SEOGQ1]:[SEOGQ3]])</f>
        <v>0</v>
      </c>
      <c r="CL75" s="250">
        <f>IFERROR(ROUNDUP(Table1[[#This Row],[PellTot]]/3,0),0)</f>
        <v>2065</v>
      </c>
      <c r="CM75" s="250">
        <f>IFERROR(ROUND(Table1[[#This Row],[PellTot]]/3,0),0)</f>
        <v>2065</v>
      </c>
      <c r="CN75" s="250">
        <f>IFERROR(ROUNDDOWN(Table1[[#This Row],[PellTot]]/3,0),0)</f>
        <v>2065</v>
      </c>
      <c r="CO75" s="251">
        <f>IFERROR(LOOKUP(Table1[EFC],Pell_Table[#Data],Pell_Table[Pell Amt]),0)</f>
        <v>6195</v>
      </c>
      <c r="CP75" s="250">
        <f>Table1[[#This Row],[AccessTot]]/3</f>
        <v>500</v>
      </c>
      <c r="CQ75" s="250">
        <f>Table1[[#This Row],[AccessTot]]/3</f>
        <v>500</v>
      </c>
      <c r="CR75" s="250">
        <f>Table1[[#This Row],[AccessTot]]/3</f>
        <v>500</v>
      </c>
      <c r="CS75" s="251">
        <f>IF(Table1[[#This Row],[PellTot]]&gt;0,1500,0)</f>
        <v>1500</v>
      </c>
      <c r="CT75" s="250">
        <f>Table1[[#This Row],[AchiTot]]/3</f>
        <v>0</v>
      </c>
      <c r="CU75" s="250">
        <f>Table1[[#This Row],[AchiTot]]/3</f>
        <v>0</v>
      </c>
      <c r="CV75" s="250">
        <f>Table1[[#This Row],[AchiTot]]/3</f>
        <v>0</v>
      </c>
      <c r="CW75" s="252">
        <f>IF(Table1[[#This Row],[Rank]]="","",IF(Table1[[#This Row],[Rank]]=1,5100,IF(Table1[[#This Row],[Rank]]=2,4500,IF(Table1[[#This Row],[Rank]]=3,3900,IF(Table1[[#This Row],[Rank]]=4,3750,IF(Table1[[#This Row],[Rank]]=5,3000,IF(Table1[[#This Row],[Rank]]=6,2250,0)))))))</f>
        <v>0</v>
      </c>
      <c r="CX75" s="250">
        <f>Table1[[#This Row],[UTTot]]/3</f>
        <v>3000</v>
      </c>
      <c r="CY75" s="250">
        <f>Table1[[#This Row],[UTTot]]/3</f>
        <v>3000</v>
      </c>
      <c r="CZ75" s="250">
        <f>Table1[[#This Row],[UTTot]]/3</f>
        <v>3000</v>
      </c>
      <c r="DA75" s="251">
        <f>IF(Table1[[#This Row],[State]]="UT",9000,0)</f>
        <v>9000</v>
      </c>
      <c r="DB75" s="250">
        <f>Table1[[#This Row],[WITTot]]/3</f>
        <v>0</v>
      </c>
      <c r="DC75" s="250">
        <f>Table1[[#This Row],[WITTot]]/3</f>
        <v>0</v>
      </c>
      <c r="DD75" s="250">
        <f>Table1[[#This Row],[WITTot]]/3</f>
        <v>0</v>
      </c>
      <c r="DE75" s="251">
        <f>IF(Table1[[#This Row],[Gender]]="Female",3000,0)</f>
        <v>0</v>
      </c>
      <c r="DF75" s="250">
        <f>Table1[[#This Row],[SerTot]]/3</f>
        <v>0</v>
      </c>
      <c r="DG75" s="250">
        <f>Table1[[#This Row],[SerTot]]/3</f>
        <v>0</v>
      </c>
      <c r="DH75" s="250">
        <f>Table1[[#This Row],[SerTot]]/3</f>
        <v>0</v>
      </c>
      <c r="DI75" s="252"/>
      <c r="DJ75" s="250"/>
      <c r="DK75" s="250"/>
      <c r="DL75" s="250"/>
      <c r="DM75" s="252"/>
      <c r="DN75" s="250">
        <f>Table1[[#This Row],[MatTot]]/3</f>
        <v>0</v>
      </c>
      <c r="DO75" s="250">
        <f>Table1[[#This Row],[MatTot]]/3</f>
        <v>0</v>
      </c>
      <c r="DP75" s="250">
        <f>Table1[[#This Row],[MatTot]]/3</f>
        <v>0</v>
      </c>
      <c r="DQ75" s="252"/>
      <c r="DR75" s="250">
        <f>Table1[[#This Row],[OutTot]]/3</f>
        <v>0</v>
      </c>
      <c r="DS75" s="250">
        <f>Table1[[#This Row],[OutTot]]/3</f>
        <v>0</v>
      </c>
      <c r="DT75" s="250">
        <f>Table1[[#This Row],[OutTot]]/3</f>
        <v>0</v>
      </c>
      <c r="DU75" s="252"/>
      <c r="DV75" s="250"/>
      <c r="DW75" s="250"/>
      <c r="DX75" s="250"/>
      <c r="DY75" s="252">
        <f>SUM(Table1[[#This Row],[VAQ1]:[VAQ3]])</f>
        <v>0</v>
      </c>
      <c r="DZ75" s="250"/>
      <c r="EA75" s="250"/>
      <c r="EB75" s="250"/>
      <c r="EC75" s="252">
        <f>SUM(Table1[[#This Row],[OthGrantQ1]:[OthGrantQ3]])</f>
        <v>0</v>
      </c>
      <c r="ED75" s="263">
        <f>Table1[[#This Row],[SEOGTot]]+Table1[[#This Row],[PellTot]]+Table1[[#This Row],[AccessTot]]+Table1[[#This Row],[AchiTot]]+Table1[[#This Row],[UTTot]]+Table1[[#This Row],[WITTot]]+Table1[[#This Row],[SerTot]]+Table1[[#This Row],[TranTot]]+Table1[[#This Row],[MatTot]]+Table1[[#This Row],[OutTot]]+Table1[[#This Row],[VATot]]+Table1[[#This Row],[OthGrantTot]]</f>
        <v>16695</v>
      </c>
      <c r="EE75" s="249"/>
      <c r="EF75" s="237"/>
      <c r="EG75" s="237"/>
      <c r="EH75" s="232">
        <f>SUM(Table1[[#This Row],[CashQ1]]:Table1[[#This Row],[CashQ3]])</f>
        <v>0</v>
      </c>
      <c r="EI75" s="271">
        <f>ROUND((Table1[[#This Row],[SubTot]]/3)/1.01059,0)</f>
        <v>1154</v>
      </c>
      <c r="EJ75" s="234">
        <f>ROUND((Table1[[#This Row],[SubTot]]/3)/1.01059,0)</f>
        <v>1154</v>
      </c>
      <c r="EK75" s="234">
        <f>ROUNDUP((Table1[[#This Row],[SubTot]]/3)/1.01059,0)</f>
        <v>1155</v>
      </c>
      <c r="EL75" s="235">
        <v>3500</v>
      </c>
      <c r="EM75" s="240">
        <f>Table1[[#This Row],[SubTot]]*0.01059</f>
        <v>37.065000000000005</v>
      </c>
      <c r="EN75" s="234">
        <f>ROUND((Table1[[#This Row],[UnsubTot]]/3)/1.01062,0)</f>
        <v>660</v>
      </c>
      <c r="EO75" s="234">
        <f>ROUND((Table1[[#This Row],[UnsubTot]]/3)/1.01062,0)</f>
        <v>660</v>
      </c>
      <c r="EP75" s="234">
        <f>ROUNDDOWN((Table1[[#This Row],[UnsubTot]]/3)/1.01062,0)</f>
        <v>659</v>
      </c>
      <c r="EQ75" s="235">
        <f>IF(Table1[D/I]="I",6000,2000)</f>
        <v>2000</v>
      </c>
      <c r="ER75" s="240">
        <f>Table1[[#This Row],[UnsubTot]]*0.01062</f>
        <v>21.24</v>
      </c>
      <c r="ES75" s="234">
        <f>ROUND((Table1[[#This Row],[PLUSTot]]/3)/1.04248,0)</f>
        <v>0</v>
      </c>
      <c r="ET75" s="234">
        <f>ROUND((Table1[[#This Row],[PLUSTot]]/3)/1.04248,0)</f>
        <v>0</v>
      </c>
      <c r="EU75" s="234">
        <f>ROUND((Table1[[#This Row],[PLUSTot]]/3)/1.04248,0)</f>
        <v>0</v>
      </c>
      <c r="EV75" s="235"/>
      <c r="EW75" s="239">
        <f>Table1[[#This Row],[PLUSTot]]*0.04248</f>
        <v>0</v>
      </c>
      <c r="EX75" s="237"/>
      <c r="EY75" s="237"/>
      <c r="EZ75" s="237"/>
      <c r="FA75" s="232">
        <f>SUM(Table1[[#This Row],[PrivQ1]:[PrivQ3]])</f>
        <v>0</v>
      </c>
      <c r="FB75" s="237"/>
      <c r="FC75" s="237"/>
      <c r="FD75" s="237"/>
      <c r="FE75" s="232">
        <f>SUM(Table1[[#This Row],[TOQ1]:[TOQ3]])</f>
        <v>0</v>
      </c>
      <c r="FF75" s="237"/>
      <c r="FG75" s="237"/>
      <c r="FH75" s="237"/>
      <c r="FI75" s="232">
        <f>SUM(Table1[[#This Row],[OFundQ1]:[OFundQ3]])</f>
        <v>0</v>
      </c>
      <c r="FJ75" s="239">
        <f>(Table1[[#This Row],[SubTot]]-Table1[[#This Row],[SubFee]])+(Table1[[#This Row],[UnsubTot]]-Table1[[#This Row],[UnsubFee]])+(Table1[[#This Row],[PLUSTot]]-Table1[[#This Row],[PLUSFee]])+Table1[[#This Row],[PrivTot]]+Table1[[#This Row],[TOTot]]+Table1[[#This Row],[OFundTot]]</f>
        <v>5441.6949999999997</v>
      </c>
      <c r="FK75" s="125">
        <f>Table1[[#This Row],[CostTot]]-Table1[[#This Row],[GiftTot]]</f>
        <v>-16695</v>
      </c>
      <c r="FL75" s="130">
        <f>Table1[[#This Row],[NetNeed]]/(1-0.04248)</f>
        <v>-23118.780808755953</v>
      </c>
      <c r="FM75" s="131">
        <f>Table1[[#This Row],[NetCost]]-Table1[[#This Row],[CashTot]]-(Table1[[#This Row],[SubTot]]-Table1[[#This Row],[SubFee]])-(Table1[[#This Row],[UnsubTot]]-Table1[[#This Row],[UnsubFee]])-(Table1[[#This Row],[PLUSTot]]-Table1[[#This Row],[PLUSFee]])-Table1[[#This Row],[PrivTot]]-Table1[[#This Row],[TOTot]]-Table1[[#This Row],[OFundTot]]</f>
        <v>-22136.695</v>
      </c>
      <c r="FN75" s="161"/>
      <c r="FO75" s="113"/>
      <c r="FP75" s="113"/>
    </row>
    <row r="76" spans="1:172" s="160" customFormat="1" ht="15" x14ac:dyDescent="0.25">
      <c r="A76" s="267">
        <v>198061</v>
      </c>
      <c r="B76" s="113" t="str">
        <f>VLOOKUP(Table1[[#This Row],[SyStudentId]],SSR!$A$2:$CC$4982,4,FALSE)</f>
        <v>Perez</v>
      </c>
      <c r="C76" s="113" t="str">
        <f>VLOOKUP(Table1[[#This Row],[SyStudentId]],SSR!$A$2:$CC$4982,5,FALSE)</f>
        <v>Gabriel</v>
      </c>
      <c r="D76" s="113" t="str">
        <f>VLOOKUP(Table1[[#This Row],[SyStudentId]],SSR!$A$2:$CC$4982,6,FALSE)</f>
        <v>Perez, Gabriel</v>
      </c>
      <c r="E76" s="113" t="str">
        <f>CONCATENATE(Table1[[#This Row],[FirstName]]," ",Table1[[#This Row],[LastName]])</f>
        <v>Gabriel Perez</v>
      </c>
      <c r="F76" s="112"/>
      <c r="G76" s="114"/>
      <c r="H76" s="114"/>
      <c r="I76" s="114"/>
      <c r="J76" s="115" t="s">
        <v>5593</v>
      </c>
      <c r="K76" s="116"/>
      <c r="L76" s="112" t="str">
        <f>IFERROR(VLOOKUP(Table1[[#This Row],[SyStudentId]],ISIR!$A$2:$X$999,11,FALSE),"")</f>
        <v>D</v>
      </c>
      <c r="M76" s="113" t="str">
        <f>VLOOKUP(Table1[[#This Row],[SyStudentId]],SSR!$A$2:$CC$4982,7,FALSE)</f>
        <v>Gabe.perez1002@gmail.com</v>
      </c>
      <c r="N76" s="113" t="str">
        <f>VLOOKUP(Table1[[#This Row],[SyStudentId]],SSR!$A$2:$CC$4982,8,FALSE)</f>
        <v>917 2ND ST P.O.BOX 312</v>
      </c>
      <c r="O76" s="113" t="str">
        <f>VLOOKUP(Table1[[#This Row],[SyStudentId]],SSR!$A$2:$CC$4982,9,FALSE)</f>
        <v>PULLMAN</v>
      </c>
      <c r="P76" s="303" t="str">
        <f>VLOOKUP(Table1[[#This Row],[SyStudentId]],SSR!$A$2:$CC$4982,10,FALSE)</f>
        <v>MI</v>
      </c>
      <c r="Q76" s="117" t="str">
        <f>VLOOKUP(Table1[[#This Row],[SyStudentId]],SSR!$A$2:$CC$4982,11,FALSE)</f>
        <v xml:space="preserve">49450     </v>
      </c>
      <c r="R76" s="118">
        <f>VLOOKUP(Table1[[#This Row],[SyStudentId]],SSR!$A$2:$CC$4982,15,FALSE)</f>
        <v>3.37</v>
      </c>
      <c r="S76" s="119">
        <f>VLOOKUP(Table1[[#This Row],[SyStudentId]],SSR!$A$2:$CC$4982,22,FALSE)</f>
        <v>44109</v>
      </c>
      <c r="T76" s="113" t="str">
        <f>VLOOKUP(Table1[[#This Row],[SyStudentId]],SSR!$A$2:$CC$4982,24,FALSE)</f>
        <v>JT</v>
      </c>
      <c r="U76" s="113" t="str">
        <f>IF(VLOOKUP(Table1[[#This Row],[SyStudentId]],SSR!$A$2:$CC$4982,26,FALSE)=0,"Not Selected",VLOOKUP(Table1[[#This Row],[SyStudentId]],SSR!$A$2:$CC$4982,26,FALSE))</f>
        <v>Male</v>
      </c>
      <c r="V76" s="113" t="str">
        <f>VLOOKUP(Table1[[#This Row],[SyStudentId]],SSR!$A$2:$CC$4982,27,FALSE)</f>
        <v xml:space="preserve">HS2020  </v>
      </c>
      <c r="W76" s="113" t="str">
        <f>VLOOKUP(LEFT(Table1[[#This Row],[LastName]],1),Alpha!$A$1:$B$26,2,FALSE)</f>
        <v>Maureen Ranks</v>
      </c>
      <c r="X76" s="149" t="str">
        <f>VLOOKUP(Table1[[#This Row],[FAA]],Alpha!$B$1:$D$26,2,FALSE)</f>
        <v>mranks@neumont.edu</v>
      </c>
      <c r="Y76" s="113">
        <f>VLOOKUP(Table1[[#This Row],[FAA]],Alpha!$B$1:$D$26,3,FALSE)</f>
        <v>8883022894</v>
      </c>
      <c r="Z76" s="113" t="str">
        <f>VLOOKUP(Table1[[#This Row],[SyStudentId]],SSR!$A$2:$CC$4982,30,FALSE)</f>
        <v>16-Accepted</v>
      </c>
      <c r="AA76" s="113" t="str">
        <f>IF(VLOOKUP(Table1[[#This Row],[SyStudentId]],SSR!$A$2:$CC$4982,36,FALSE)="Bachelor of Science","BS Computer Science","Check Program")</f>
        <v>BS Computer Science</v>
      </c>
      <c r="AB76" s="113">
        <f>VLOOKUP(Table1[[#This Row],[SyStudentId]],SSR!$A$2:$CC$4982,37,FALSE)</f>
        <v>0</v>
      </c>
      <c r="AC76" s="113" t="str">
        <f>VLOOKUP(Table1[[#This Row],[SyStudentId]],SSR!$A$2:$CC$4982,42,FALSE)</f>
        <v xml:space="preserve">1030    </v>
      </c>
      <c r="AD76" s="113" t="str">
        <f>VLOOKUP(Table1[[#This Row],[SyStudentId]],SSR!$A$2:$CC$4982,46,FALSE)</f>
        <v>107</v>
      </c>
      <c r="AE76" s="113" t="str">
        <f>VLOOKUP(Table1[[#This Row],[SyStudentId]],SSR!$A$2:$CC$4982,65,FALSE)</f>
        <v>III</v>
      </c>
      <c r="AF76"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76" s="113" t="str">
        <f>VLOOKUP(Table1[[#This Row],[SyStudentId]],SSR!$A$2:$CC$4982,66,FALSE)</f>
        <v>November</v>
      </c>
      <c r="AH76" s="113" t="str">
        <f>IFERROR(VLOOKUP(Table1[[#This Row],[SyStudentId]],ISIR!$A$2:$X$999,7,FALSE),"")</f>
        <v>000165</v>
      </c>
      <c r="AI76" s="121">
        <f>IF(Table1[[#This Row],[EFCRaw]]="","",IF(Table1[[#This Row],[EFCRaw]]="No EFC","No EFC",_xlfn.NUMBERVALUE(Table1[[#This Row],[EFCRaw]])))</f>
        <v>165</v>
      </c>
      <c r="AJ76" s="119">
        <f>IFERROR(VLOOKUP(Table1[[#This Row],[SyStudentId]],ISIR!$A$2:$X$4999,19,FALSE),"")</f>
        <v>43776</v>
      </c>
      <c r="AK76" s="113" t="str">
        <f>IFERROR(VLOOKUP(Table1[[#This Row],[SyStudentId]],ISIR!$A$2:$X$4999,8,FALSE),"")</f>
        <v>N</v>
      </c>
      <c r="AL76" s="132" t="str">
        <f>IF(Table1[[#This Row],[VerReq]]="N","n/a","")</f>
        <v>n/a</v>
      </c>
      <c r="AM76" s="122"/>
      <c r="AN76" s="122"/>
      <c r="AO76" s="122"/>
      <c r="AP76" s="122"/>
      <c r="AQ76" s="122"/>
      <c r="AR76" s="122"/>
      <c r="AS76" s="122"/>
      <c r="AT76" s="122"/>
      <c r="AU76" s="122"/>
      <c r="AV76" s="122"/>
      <c r="AW76" s="122"/>
      <c r="AX76" s="122"/>
      <c r="AY76" s="122"/>
      <c r="AZ76" s="122"/>
      <c r="BA76" s="122"/>
      <c r="BB76" s="122"/>
      <c r="BC76" s="133"/>
      <c r="BD76" s="140" t="str">
        <f>IF(Table1[[#This Row],[VerReq]]="N","x","")</f>
        <v>x</v>
      </c>
      <c r="BE76" s="140" t="str">
        <f>IF(Table1[[#This Row],[VerReq]]="N","x","")</f>
        <v>x</v>
      </c>
      <c r="BF76" s="140" t="str">
        <f>IF(Table1[[#This Row],[VerReq]]="N","x","")</f>
        <v>x</v>
      </c>
      <c r="BG76" s="140" t="str">
        <f>IF(Table1[[#This Row],[VerReq]]="N","x","")</f>
        <v>x</v>
      </c>
      <c r="BH76" s="140" t="str">
        <f>IF(Table1[[#This Row],[VerReq]]="N","x","")</f>
        <v>x</v>
      </c>
      <c r="BI76" s="140" t="str">
        <f>IF(Table1[[#This Row],[VerReq]]="N","x","")</f>
        <v>x</v>
      </c>
      <c r="BJ76" s="123">
        <f>1-((COUNTBLANK(Table1[[#This Row],[ALESent]:[TaxTran]]))/(COUNT(Table1[[#This Row],[ALESent]:[TaxTran]])+COUNTBLANK(Table1[[#This Row],[ALESent]:[TaxTran]])))</f>
        <v>0</v>
      </c>
      <c r="BK76" s="136">
        <f>IF(VLOOKUP(Table1[[#This Row],[SyStudentId]],SSR!$A$2:$CC$4982,22,FALSE)=44109,44109,"Check Program")</f>
        <v>44109</v>
      </c>
      <c r="BL76" s="124">
        <f>IF(Table1[[#This Row],[AYStart]]=44109,44356,"Check Program")</f>
        <v>44356</v>
      </c>
      <c r="BM76" s="219">
        <v>8505</v>
      </c>
      <c r="BN76" s="219">
        <v>8505</v>
      </c>
      <c r="BO76" s="219">
        <v>8505</v>
      </c>
      <c r="BP76" s="220">
        <f t="shared" si="3"/>
        <v>25515</v>
      </c>
      <c r="BQ76" s="221">
        <v>3300</v>
      </c>
      <c r="BR76" s="219">
        <v>400</v>
      </c>
      <c r="BS76" s="219">
        <v>400</v>
      </c>
      <c r="BT76" s="220">
        <f t="shared" si="4"/>
        <v>4100</v>
      </c>
      <c r="BU76" s="219">
        <v>2100</v>
      </c>
      <c r="BV76" s="219">
        <v>2100</v>
      </c>
      <c r="BW76" s="219">
        <v>2100</v>
      </c>
      <c r="BX76" s="220">
        <f t="shared" si="5"/>
        <v>6300</v>
      </c>
      <c r="BY76" s="275">
        <v>1200</v>
      </c>
      <c r="BZ76" s="275">
        <v>1200</v>
      </c>
      <c r="CA76" s="275">
        <v>1200</v>
      </c>
      <c r="CB76" s="220">
        <f>SUM(Table1[[#This Row],[LEQ1]:[LEQ3]])</f>
        <v>3600</v>
      </c>
      <c r="CC76" s="275"/>
      <c r="CD76" s="275"/>
      <c r="CE76" s="275"/>
      <c r="CF76" s="220">
        <f>SUM(Table1[[#This Row],[OthCostQ1]:[OthCostQ3]])</f>
        <v>0</v>
      </c>
      <c r="CG76" s="220">
        <f>(Table1[[#This Row],[T&amp;FTot]]+Table1[[#This Row],[B&amp;STot]]+Table1[[#This Row],[HousTot]]+Table1[[#This Row],[LETot]]+Table1[[#This Row],[OthCostTot]])</f>
        <v>39515</v>
      </c>
      <c r="CH76" s="250"/>
      <c r="CI76" s="250"/>
      <c r="CJ76" s="250"/>
      <c r="CK76" s="251">
        <f>SUM(Table1[[#This Row],[SEOGQ1]:[SEOGQ3]])</f>
        <v>0</v>
      </c>
      <c r="CL76" s="250">
        <f>IFERROR(ROUNDUP(Table1[[#This Row],[PellTot]]/3,0),0)</f>
        <v>2015</v>
      </c>
      <c r="CM76" s="250">
        <f>IFERROR(ROUND(Table1[[#This Row],[PellTot]]/3,0),0)</f>
        <v>2015</v>
      </c>
      <c r="CN76" s="250">
        <f>IFERROR(ROUNDDOWN(Table1[[#This Row],[PellTot]]/3,0),0)</f>
        <v>2015</v>
      </c>
      <c r="CO76" s="251">
        <f>IFERROR(LOOKUP(Table1[EFC],Pell_Table[#Data],Pell_Table[Pell Amt]),0)</f>
        <v>6045</v>
      </c>
      <c r="CP76" s="250">
        <f>Table1[[#This Row],[AccessTot]]/3</f>
        <v>500</v>
      </c>
      <c r="CQ76" s="250">
        <f>Table1[[#This Row],[AccessTot]]/3</f>
        <v>500</v>
      </c>
      <c r="CR76" s="250">
        <f>Table1[[#This Row],[AccessTot]]/3</f>
        <v>500</v>
      </c>
      <c r="CS76" s="251">
        <f>IF(Table1[[#This Row],[PellTot]]&gt;0,1500,0)</f>
        <v>1500</v>
      </c>
      <c r="CT76" s="250">
        <f>Table1[[#This Row],[AchiTot]]/3</f>
        <v>1300</v>
      </c>
      <c r="CU76" s="250">
        <f>Table1[[#This Row],[AchiTot]]/3</f>
        <v>1300</v>
      </c>
      <c r="CV76" s="250">
        <f>Table1[[#This Row],[AchiTot]]/3</f>
        <v>1300</v>
      </c>
      <c r="CW76" s="252">
        <f>IF(Table1[[#This Row],[Rank]]="","",IF(Table1[[#This Row],[Rank]]=1,5100,IF(Table1[[#This Row],[Rank]]=2,4500,IF(Table1[[#This Row],[Rank]]=3,3900,IF(Table1[[#This Row],[Rank]]=4,3750,IF(Table1[[#This Row],[Rank]]=5,3000,IF(Table1[[#This Row],[Rank]]=6,2250,0)))))))</f>
        <v>3900</v>
      </c>
      <c r="CX76" s="250">
        <f>Table1[[#This Row],[UTTot]]/3</f>
        <v>0</v>
      </c>
      <c r="CY76" s="250">
        <f>Table1[[#This Row],[UTTot]]/3</f>
        <v>0</v>
      </c>
      <c r="CZ76" s="250">
        <f>Table1[[#This Row],[UTTot]]/3</f>
        <v>0</v>
      </c>
      <c r="DA76" s="251">
        <f>IF(Table1[[#This Row],[State]]="UT",9000,0)</f>
        <v>0</v>
      </c>
      <c r="DB76" s="250">
        <f>Table1[[#This Row],[WITTot]]/3</f>
        <v>0</v>
      </c>
      <c r="DC76" s="250">
        <f>Table1[[#This Row],[WITTot]]/3</f>
        <v>0</v>
      </c>
      <c r="DD76" s="250">
        <f>Table1[[#This Row],[WITTot]]/3</f>
        <v>0</v>
      </c>
      <c r="DE76" s="251">
        <f>IF(Table1[[#This Row],[Gender]]="Female",3000,0)</f>
        <v>0</v>
      </c>
      <c r="DF76" s="250">
        <f>Table1[[#This Row],[SerTot]]/3</f>
        <v>0</v>
      </c>
      <c r="DG76" s="250">
        <f>Table1[[#This Row],[SerTot]]/3</f>
        <v>0</v>
      </c>
      <c r="DH76" s="250">
        <f>Table1[[#This Row],[SerTot]]/3</f>
        <v>0</v>
      </c>
      <c r="DI76" s="252"/>
      <c r="DJ76" s="250"/>
      <c r="DK76" s="250"/>
      <c r="DL76" s="250"/>
      <c r="DM76" s="252"/>
      <c r="DN76" s="250">
        <f>Table1[[#This Row],[MatTot]]/3</f>
        <v>0</v>
      </c>
      <c r="DO76" s="250">
        <f>Table1[[#This Row],[MatTot]]/3</f>
        <v>0</v>
      </c>
      <c r="DP76" s="250">
        <f>Table1[[#This Row],[MatTot]]/3</f>
        <v>0</v>
      </c>
      <c r="DQ76" s="252"/>
      <c r="DR76" s="250">
        <f>Table1[[#This Row],[OutTot]]/3</f>
        <v>0</v>
      </c>
      <c r="DS76" s="250">
        <f>Table1[[#This Row],[OutTot]]/3</f>
        <v>0</v>
      </c>
      <c r="DT76" s="250">
        <f>Table1[[#This Row],[OutTot]]/3</f>
        <v>0</v>
      </c>
      <c r="DU76" s="252"/>
      <c r="DV76" s="250"/>
      <c r="DW76" s="250"/>
      <c r="DX76" s="250"/>
      <c r="DY76" s="252">
        <f>SUM(Table1[[#This Row],[VAQ1]:[VAQ3]])</f>
        <v>0</v>
      </c>
      <c r="DZ76" s="250"/>
      <c r="EA76" s="250"/>
      <c r="EB76" s="250"/>
      <c r="EC76" s="252">
        <f>SUM(Table1[[#This Row],[OthGrantQ1]:[OthGrantQ3]])</f>
        <v>0</v>
      </c>
      <c r="ED76" s="263">
        <f>Table1[[#This Row],[SEOGTot]]+Table1[[#This Row],[PellTot]]+Table1[[#This Row],[AccessTot]]+Table1[[#This Row],[AchiTot]]+Table1[[#This Row],[UTTot]]+Table1[[#This Row],[WITTot]]+Table1[[#This Row],[SerTot]]+Table1[[#This Row],[TranTot]]+Table1[[#This Row],[MatTot]]+Table1[[#This Row],[OutTot]]+Table1[[#This Row],[VATot]]+Table1[[#This Row],[OthGrantTot]]</f>
        <v>11445</v>
      </c>
      <c r="EE76" s="249"/>
      <c r="EF76" s="237"/>
      <c r="EG76" s="237"/>
      <c r="EH76" s="232">
        <f>SUM(Table1[[#This Row],[CashQ1]]:Table1[[#This Row],[CashQ3]])</f>
        <v>0</v>
      </c>
      <c r="EI76" s="271">
        <f>ROUND((Table1[[#This Row],[SubTot]]/3)/1.01059,0)</f>
        <v>1154</v>
      </c>
      <c r="EJ76" s="234">
        <f>ROUND((Table1[[#This Row],[SubTot]]/3)/1.01059,0)</f>
        <v>1154</v>
      </c>
      <c r="EK76" s="234">
        <f>ROUNDUP((Table1[[#This Row],[SubTot]]/3)/1.01059,0)</f>
        <v>1155</v>
      </c>
      <c r="EL76" s="235">
        <v>3500</v>
      </c>
      <c r="EM76" s="240">
        <f>Table1[[#This Row],[SubTot]]*0.01059</f>
        <v>37.065000000000005</v>
      </c>
      <c r="EN76" s="234">
        <f>ROUND((Table1[[#This Row],[UnsubTot]]/3)/1.01062,0)</f>
        <v>660</v>
      </c>
      <c r="EO76" s="234">
        <f>ROUND((Table1[[#This Row],[UnsubTot]]/3)/1.01062,0)</f>
        <v>660</v>
      </c>
      <c r="EP76" s="234">
        <f>ROUNDDOWN((Table1[[#This Row],[UnsubTot]]/3)/1.01062,0)</f>
        <v>659</v>
      </c>
      <c r="EQ76" s="235">
        <f>IF(Table1[D/I]="I",6000,2000)</f>
        <v>2000</v>
      </c>
      <c r="ER76" s="240">
        <f>Table1[[#This Row],[UnsubTot]]*0.01062</f>
        <v>21.24</v>
      </c>
      <c r="ES76" s="234">
        <f>ROUND((Table1[[#This Row],[PLUSTot]]/3)/1.04248,0)</f>
        <v>0</v>
      </c>
      <c r="ET76" s="234">
        <f>ROUND((Table1[[#This Row],[PLUSTot]]/3)/1.04248,0)</f>
        <v>0</v>
      </c>
      <c r="EU76" s="234">
        <f>ROUND((Table1[[#This Row],[PLUSTot]]/3)/1.04248,0)</f>
        <v>0</v>
      </c>
      <c r="EV76" s="235"/>
      <c r="EW76" s="239">
        <f>Table1[[#This Row],[PLUSTot]]*0.04248</f>
        <v>0</v>
      </c>
      <c r="EX76" s="237"/>
      <c r="EY76" s="237"/>
      <c r="EZ76" s="237"/>
      <c r="FA76" s="232">
        <f>SUM(Table1[[#This Row],[PrivQ1]:[PrivQ3]])</f>
        <v>0</v>
      </c>
      <c r="FB76" s="237"/>
      <c r="FC76" s="237"/>
      <c r="FD76" s="237"/>
      <c r="FE76" s="232">
        <f>SUM(Table1[[#This Row],[TOQ1]:[TOQ3]])</f>
        <v>0</v>
      </c>
      <c r="FF76" s="237"/>
      <c r="FG76" s="237"/>
      <c r="FH76" s="237"/>
      <c r="FI76" s="232">
        <f>SUM(Table1[[#This Row],[OFundQ1]:[OFundQ3]])</f>
        <v>0</v>
      </c>
      <c r="FJ76" s="239">
        <f>(Table1[[#This Row],[SubTot]]-Table1[[#This Row],[SubFee]])+(Table1[[#This Row],[UnsubTot]]-Table1[[#This Row],[UnsubFee]])+(Table1[[#This Row],[PLUSTot]]-Table1[[#This Row],[PLUSFee]])+Table1[[#This Row],[PrivTot]]+Table1[[#This Row],[TOTot]]+Table1[[#This Row],[OFundTot]]</f>
        <v>5441.6949999999997</v>
      </c>
      <c r="FK76" s="125">
        <f>Table1[[#This Row],[CostTot]]-Table1[[#This Row],[GiftTot]]</f>
        <v>28070</v>
      </c>
      <c r="FL76" s="130">
        <f>Table1[[#This Row],[NetNeed]]/(1-0.04248)</f>
        <v>23632.200893976104</v>
      </c>
      <c r="FM76" s="131">
        <f>Table1[[#This Row],[NetCost]]-Table1[[#This Row],[CashTot]]-(Table1[[#This Row],[SubTot]]-Table1[[#This Row],[SubFee]])-(Table1[[#This Row],[UnsubTot]]-Table1[[#This Row],[UnsubFee]])-(Table1[[#This Row],[PLUSTot]]-Table1[[#This Row],[PLUSFee]])-Table1[[#This Row],[PrivTot]]-Table1[[#This Row],[TOTot]]-Table1[[#This Row],[OFundTot]]</f>
        <v>22628.305</v>
      </c>
      <c r="FN76" s="161"/>
      <c r="FO76" s="113"/>
      <c r="FP76" s="113"/>
    </row>
    <row r="77" spans="1:172" s="160" customFormat="1" ht="15" x14ac:dyDescent="0.25">
      <c r="A77" s="267">
        <v>199477</v>
      </c>
      <c r="B77" s="113" t="str">
        <f>VLOOKUP(Table1[[#This Row],[SyStudentId]],SSR!$A$2:$CC$4982,4,FALSE)</f>
        <v>Perez</v>
      </c>
      <c r="C77" s="113" t="str">
        <f>VLOOKUP(Table1[[#This Row],[SyStudentId]],SSR!$A$2:$CC$4982,5,FALSE)</f>
        <v>Guadalupe</v>
      </c>
      <c r="D77" s="113" t="str">
        <f>VLOOKUP(Table1[[#This Row],[SyStudentId]],SSR!$A$2:$CC$4982,6,FALSE)</f>
        <v>Perez, Guadalupe</v>
      </c>
      <c r="E77" s="113" t="str">
        <f>CONCATENATE(Table1[[#This Row],[FirstName]]," ",Table1[[#This Row],[LastName]])</f>
        <v>Guadalupe Perez</v>
      </c>
      <c r="F77" s="112"/>
      <c r="G77" s="114"/>
      <c r="H77" s="114"/>
      <c r="I77" s="114"/>
      <c r="J77" s="115" t="s">
        <v>5593</v>
      </c>
      <c r="K77" s="116"/>
      <c r="L77" s="112" t="str">
        <f>IFERROR(VLOOKUP(Table1[[#This Row],[SyStudentId]],ISIR!$A$2:$X$999,11,FALSE),"")</f>
        <v/>
      </c>
      <c r="M77" s="113" t="str">
        <f>VLOOKUP(Table1[[#This Row],[SyStudentId]],SSR!$A$2:$CC$4982,7,FALSE)</f>
        <v>perezguadalupe590@gmail.com</v>
      </c>
      <c r="N77" s="113" t="str">
        <f>VLOOKUP(Table1[[#This Row],[SyStudentId]],SSR!$A$2:$CC$4982,8,FALSE)</f>
        <v>547 N GRANT ST</v>
      </c>
      <c r="O77" s="113" t="str">
        <f>VLOOKUP(Table1[[#This Row],[SyStudentId]],SSR!$A$2:$CC$4982,9,FALSE)</f>
        <v>SALT LAKE CITY</v>
      </c>
      <c r="P77" s="113" t="str">
        <f>VLOOKUP(Table1[[#This Row],[SyStudentId]],SSR!$A$2:$CC$4982,10,FALSE)</f>
        <v>UT</v>
      </c>
      <c r="Q77" s="117" t="str">
        <f>VLOOKUP(Table1[[#This Row],[SyStudentId]],SSR!$A$2:$CC$4982,11,FALSE)</f>
        <v xml:space="preserve">84116     </v>
      </c>
      <c r="R77" s="118">
        <f>VLOOKUP(Table1[[#This Row],[SyStudentId]],SSR!$A$2:$CC$4982,15,FALSE)</f>
        <v>2.8546999999999998</v>
      </c>
      <c r="S77" s="119">
        <f>VLOOKUP(Table1[[#This Row],[SyStudentId]],SSR!$A$2:$CC$4982,22,FALSE)</f>
        <v>44109</v>
      </c>
      <c r="T77" s="113" t="str">
        <f>VLOOKUP(Table1[[#This Row],[SyStudentId]],SSR!$A$2:$CC$4982,24,FALSE)</f>
        <v>MN</v>
      </c>
      <c r="U77" s="113" t="str">
        <f>IF(VLOOKUP(Table1[[#This Row],[SyStudentId]],SSR!$A$2:$CC$4982,26,FALSE)=0,"Not Selected",VLOOKUP(Table1[[#This Row],[SyStudentId]],SSR!$A$2:$CC$4982,26,FALSE))</f>
        <v>Female</v>
      </c>
      <c r="V77" s="113" t="str">
        <f>VLOOKUP(Table1[[#This Row],[SyStudentId]],SSR!$A$2:$CC$4982,27,FALSE)</f>
        <v xml:space="preserve">HS2018  </v>
      </c>
      <c r="W77" s="113" t="str">
        <f>VLOOKUP(LEFT(Table1[[#This Row],[LastName]],1),Alpha!$A$1:$B$26,2,FALSE)</f>
        <v>Maureen Ranks</v>
      </c>
      <c r="X77" s="149" t="str">
        <f>VLOOKUP(Table1[[#This Row],[FAA]],Alpha!$B$1:$D$26,2,FALSE)</f>
        <v>mranks@neumont.edu</v>
      </c>
      <c r="Y77" s="113">
        <f>VLOOKUP(Table1[[#This Row],[FAA]],Alpha!$B$1:$D$26,3,FALSE)</f>
        <v>8883022894</v>
      </c>
      <c r="Z77" s="113" t="str">
        <f>VLOOKUP(Table1[[#This Row],[SyStudentId]],SSR!$A$2:$CC$4982,30,FALSE)</f>
        <v>16-Accepted</v>
      </c>
      <c r="AA77" s="113" t="str">
        <f>IF(VLOOKUP(Table1[[#This Row],[SyStudentId]],SSR!$A$2:$CC$4982,36,FALSE)="Bachelor of Science","BS Computer Science","Check Program")</f>
        <v>BS Computer Science</v>
      </c>
      <c r="AB77" s="113">
        <f>VLOOKUP(Table1[[#This Row],[SyStudentId]],SSR!$A$2:$CC$4982,37,FALSE)</f>
        <v>0</v>
      </c>
      <c r="AC77" s="113">
        <f>VLOOKUP(Table1[[#This Row],[SyStudentId]],SSR!$A$2:$CC$4982,42,FALSE)</f>
        <v>0</v>
      </c>
      <c r="AD77" s="113" t="str">
        <f>VLOOKUP(Table1[[#This Row],[SyStudentId]],SSR!$A$2:$CC$4982,46,FALSE)</f>
        <v>0</v>
      </c>
      <c r="AE77" s="113" t="str">
        <f>VLOOKUP(Table1[[#This Row],[SyStudentId]],SSR!$A$2:$CC$4982,65,FALSE)</f>
        <v>X</v>
      </c>
      <c r="AF77"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10</v>
      </c>
      <c r="AG77" s="113" t="str">
        <f>VLOOKUP(Table1[[#This Row],[SyStudentId]],SSR!$A$2:$CC$4982,66,FALSE)</f>
        <v>November</v>
      </c>
      <c r="AH77" s="113" t="str">
        <f>IFERROR(VLOOKUP(Table1[[#This Row],[SyStudentId]],ISIR!$A$2:$X$999,7,FALSE),"")</f>
        <v/>
      </c>
      <c r="AI77" s="121" t="str">
        <f>IF(Table1[[#This Row],[EFCRaw]]="","",IF(Table1[[#This Row],[EFCRaw]]="No EFC","No EFC",_xlfn.NUMBERVALUE(Table1[[#This Row],[EFCRaw]])))</f>
        <v/>
      </c>
      <c r="AJ77" s="119" t="str">
        <f>IFERROR(VLOOKUP(Table1[[#This Row],[SyStudentId]],ISIR!$A$2:$X$4999,19,FALSE),"")</f>
        <v/>
      </c>
      <c r="AK77" s="113" t="str">
        <f>IFERROR(VLOOKUP(Table1[[#This Row],[SyStudentId]],ISIR!$A$2:$X$4999,8,FALSE),"")</f>
        <v/>
      </c>
      <c r="AL77" s="132" t="str">
        <f>IF(Table1[[#This Row],[VerReq]]="N","n/a","")</f>
        <v/>
      </c>
      <c r="AM77" s="122"/>
      <c r="AN77" s="122"/>
      <c r="AO77" s="122"/>
      <c r="AP77" s="122"/>
      <c r="AQ77" s="122"/>
      <c r="AR77" s="122"/>
      <c r="AS77" s="122"/>
      <c r="AT77" s="122"/>
      <c r="AU77" s="122"/>
      <c r="AV77" s="122"/>
      <c r="AW77" s="122"/>
      <c r="AX77" s="122"/>
      <c r="AY77" s="122"/>
      <c r="AZ77" s="122"/>
      <c r="BA77" s="122"/>
      <c r="BB77" s="122"/>
      <c r="BC77" s="133"/>
      <c r="BD77" s="140" t="str">
        <f>IF(Table1[[#This Row],[VerReq]]="N","x","")</f>
        <v/>
      </c>
      <c r="BE77" s="140" t="str">
        <f>IF(Table1[[#This Row],[VerReq]]="N","x","")</f>
        <v/>
      </c>
      <c r="BF77" s="140" t="str">
        <f>IF(Table1[[#This Row],[VerReq]]="N","x","")</f>
        <v/>
      </c>
      <c r="BG77" s="140" t="str">
        <f>IF(Table1[[#This Row],[VerReq]]="N","x","")</f>
        <v/>
      </c>
      <c r="BH77" s="140" t="str">
        <f>IF(Table1[[#This Row],[VerReq]]="N","x","")</f>
        <v/>
      </c>
      <c r="BI77" s="140" t="str">
        <f>IF(Table1[[#This Row],[VerReq]]="N","x","")</f>
        <v/>
      </c>
      <c r="BJ77" s="123">
        <f>1-((COUNTBLANK(Table1[[#This Row],[ALESent]:[TaxTran]]))/(COUNT(Table1[[#This Row],[ALESent]:[TaxTran]])+COUNTBLANK(Table1[[#This Row],[ALESent]:[TaxTran]])))</f>
        <v>0</v>
      </c>
      <c r="BK77" s="136">
        <f>IF(VLOOKUP(Table1[[#This Row],[SyStudentId]],SSR!$A$2:$CC$4982,22,FALSE)=44109,44109,"Check Program")</f>
        <v>44109</v>
      </c>
      <c r="BL77" s="124">
        <f>IF(Table1[[#This Row],[AYStart]]=44109,44356,"Check Program")</f>
        <v>44356</v>
      </c>
      <c r="BM77" s="219">
        <v>8505</v>
      </c>
      <c r="BN77" s="219">
        <v>8505</v>
      </c>
      <c r="BO77" s="219">
        <v>8505</v>
      </c>
      <c r="BP77" s="220">
        <f t="shared" si="3"/>
        <v>25515</v>
      </c>
      <c r="BQ77" s="221">
        <v>3300</v>
      </c>
      <c r="BR77" s="219">
        <v>400</v>
      </c>
      <c r="BS77" s="219">
        <v>400</v>
      </c>
      <c r="BT77" s="220">
        <f t="shared" si="4"/>
        <v>4100</v>
      </c>
      <c r="BU77" s="219">
        <v>2100</v>
      </c>
      <c r="BV77" s="219">
        <v>2100</v>
      </c>
      <c r="BW77" s="219">
        <v>2100</v>
      </c>
      <c r="BX77" s="220">
        <f t="shared" si="5"/>
        <v>6300</v>
      </c>
      <c r="BY77" s="275">
        <v>1200</v>
      </c>
      <c r="BZ77" s="275">
        <v>1200</v>
      </c>
      <c r="CA77" s="275">
        <v>1200</v>
      </c>
      <c r="CB77" s="220">
        <f>SUM(Table1[[#This Row],[LEQ1]:[LEQ3]])</f>
        <v>3600</v>
      </c>
      <c r="CC77" s="275"/>
      <c r="CD77" s="275"/>
      <c r="CE77" s="275"/>
      <c r="CF77" s="220">
        <f>SUM(Table1[[#This Row],[OthCostQ1]:[OthCostQ3]])</f>
        <v>0</v>
      </c>
      <c r="CG77" s="220">
        <f>(Table1[[#This Row],[T&amp;FTot]]+Table1[[#This Row],[B&amp;STot]]+Table1[[#This Row],[HousTot]]+Table1[[#This Row],[LETot]]+Table1[[#This Row],[OthCostTot]])</f>
        <v>39515</v>
      </c>
      <c r="CH77" s="250"/>
      <c r="CI77" s="250"/>
      <c r="CJ77" s="250"/>
      <c r="CK77" s="251">
        <f>SUM(Table1[[#This Row],[SEOGQ1]:[SEOGQ3]])</f>
        <v>0</v>
      </c>
      <c r="CL77" s="250">
        <f>IFERROR(ROUNDUP(Table1[[#This Row],[PellTot]]/3,0),0)</f>
        <v>0</v>
      </c>
      <c r="CM77" s="250">
        <f>IFERROR(ROUND(Table1[[#This Row],[PellTot]]/3,0),0)</f>
        <v>0</v>
      </c>
      <c r="CN77" s="250">
        <f>IFERROR(ROUNDDOWN(Table1[[#This Row],[PellTot]]/3,0),0)</f>
        <v>0</v>
      </c>
      <c r="CO77" s="251">
        <f>IFERROR(LOOKUP(Table1[EFC],Pell_Table[#Data],Pell_Table[Pell Amt]),0)</f>
        <v>0</v>
      </c>
      <c r="CP77" s="250">
        <f>Table1[[#This Row],[AccessTot]]/3</f>
        <v>0</v>
      </c>
      <c r="CQ77" s="250">
        <f>Table1[[#This Row],[AccessTot]]/3</f>
        <v>0</v>
      </c>
      <c r="CR77" s="250">
        <f>Table1[[#This Row],[AccessTot]]/3</f>
        <v>0</v>
      </c>
      <c r="CS77" s="251">
        <f>IF(Table1[[#This Row],[PellTot]]&gt;0,1500,0)</f>
        <v>0</v>
      </c>
      <c r="CT77" s="250">
        <f>Table1[[#This Row],[AchiTot]]/3</f>
        <v>0</v>
      </c>
      <c r="CU77" s="250">
        <f>Table1[[#This Row],[AchiTot]]/3</f>
        <v>0</v>
      </c>
      <c r="CV77" s="250">
        <f>Table1[[#This Row],[AchiTot]]/3</f>
        <v>0</v>
      </c>
      <c r="CW77" s="252">
        <f>IF(Table1[[#This Row],[Rank]]="","",IF(Table1[[#This Row],[Rank]]=1,5100,IF(Table1[[#This Row],[Rank]]=2,4500,IF(Table1[[#This Row],[Rank]]=3,3900,IF(Table1[[#This Row],[Rank]]=4,3750,IF(Table1[[#This Row],[Rank]]=5,3000,IF(Table1[[#This Row],[Rank]]=6,2250,0)))))))</f>
        <v>0</v>
      </c>
      <c r="CX77" s="250">
        <f>Table1[[#This Row],[UTTot]]/3</f>
        <v>3000</v>
      </c>
      <c r="CY77" s="250">
        <f>Table1[[#This Row],[UTTot]]/3</f>
        <v>3000</v>
      </c>
      <c r="CZ77" s="250">
        <f>Table1[[#This Row],[UTTot]]/3</f>
        <v>3000</v>
      </c>
      <c r="DA77" s="251">
        <f>IF(Table1[[#This Row],[State]]="UT",9000,0)</f>
        <v>9000</v>
      </c>
      <c r="DB77" s="250">
        <f>Table1[[#This Row],[WITTot]]/3</f>
        <v>1000</v>
      </c>
      <c r="DC77" s="250">
        <f>Table1[[#This Row],[WITTot]]/3</f>
        <v>1000</v>
      </c>
      <c r="DD77" s="250">
        <f>Table1[[#This Row],[WITTot]]/3</f>
        <v>1000</v>
      </c>
      <c r="DE77" s="251">
        <f>IF(Table1[[#This Row],[Gender]]="Female",3000,0)</f>
        <v>3000</v>
      </c>
      <c r="DF77" s="250">
        <f>Table1[[#This Row],[SerTot]]/3</f>
        <v>0</v>
      </c>
      <c r="DG77" s="250">
        <f>Table1[[#This Row],[SerTot]]/3</f>
        <v>0</v>
      </c>
      <c r="DH77" s="250">
        <f>Table1[[#This Row],[SerTot]]/3</f>
        <v>0</v>
      </c>
      <c r="DI77" s="252"/>
      <c r="DJ77" s="250"/>
      <c r="DK77" s="250"/>
      <c r="DL77" s="250"/>
      <c r="DM77" s="252"/>
      <c r="DN77" s="250">
        <f>Table1[[#This Row],[MatTot]]/3</f>
        <v>0</v>
      </c>
      <c r="DO77" s="250">
        <f>Table1[[#This Row],[MatTot]]/3</f>
        <v>0</v>
      </c>
      <c r="DP77" s="250">
        <f>Table1[[#This Row],[MatTot]]/3</f>
        <v>0</v>
      </c>
      <c r="DQ77" s="252"/>
      <c r="DR77" s="250">
        <f>Table1[[#This Row],[OutTot]]/3</f>
        <v>0</v>
      </c>
      <c r="DS77" s="250">
        <f>Table1[[#This Row],[OutTot]]/3</f>
        <v>0</v>
      </c>
      <c r="DT77" s="250">
        <f>Table1[[#This Row],[OutTot]]/3</f>
        <v>0</v>
      </c>
      <c r="DU77" s="252"/>
      <c r="DV77" s="250"/>
      <c r="DW77" s="250"/>
      <c r="DX77" s="250"/>
      <c r="DY77" s="252">
        <f>SUM(Table1[[#This Row],[VAQ1]:[VAQ3]])</f>
        <v>0</v>
      </c>
      <c r="DZ77" s="250"/>
      <c r="EA77" s="250"/>
      <c r="EB77" s="250"/>
      <c r="EC77" s="252">
        <f>SUM(Table1[[#This Row],[OthGrantQ1]:[OthGrantQ3]])</f>
        <v>0</v>
      </c>
      <c r="ED77" s="263">
        <f>Table1[[#This Row],[SEOGTot]]+Table1[[#This Row],[PellTot]]+Table1[[#This Row],[AccessTot]]+Table1[[#This Row],[AchiTot]]+Table1[[#This Row],[UTTot]]+Table1[[#This Row],[WITTot]]+Table1[[#This Row],[SerTot]]+Table1[[#This Row],[TranTot]]+Table1[[#This Row],[MatTot]]+Table1[[#This Row],[OutTot]]+Table1[[#This Row],[VATot]]+Table1[[#This Row],[OthGrantTot]]</f>
        <v>12000</v>
      </c>
      <c r="EE77" s="249"/>
      <c r="EF77" s="237"/>
      <c r="EG77" s="237"/>
      <c r="EH77" s="232">
        <f>SUM(Table1[[#This Row],[CashQ1]]:Table1[[#This Row],[CashQ3]])</f>
        <v>0</v>
      </c>
      <c r="EI77" s="271">
        <f>ROUND((Table1[[#This Row],[SubTot]]/3)/1.01059,0)</f>
        <v>1154</v>
      </c>
      <c r="EJ77" s="234">
        <f>ROUND((Table1[[#This Row],[SubTot]]/3)/1.01059,0)</f>
        <v>1154</v>
      </c>
      <c r="EK77" s="234">
        <f>ROUNDUP((Table1[[#This Row],[SubTot]]/3)/1.01059,0)</f>
        <v>1155</v>
      </c>
      <c r="EL77" s="235">
        <v>3500</v>
      </c>
      <c r="EM77" s="240">
        <f>Table1[[#This Row],[SubTot]]*0.01059</f>
        <v>37.065000000000005</v>
      </c>
      <c r="EN77" s="234">
        <f>ROUND((Table1[[#This Row],[UnsubTot]]/3)/1.01062,0)</f>
        <v>660</v>
      </c>
      <c r="EO77" s="234">
        <f>ROUND((Table1[[#This Row],[UnsubTot]]/3)/1.01062,0)</f>
        <v>660</v>
      </c>
      <c r="EP77" s="234">
        <f>ROUNDDOWN((Table1[[#This Row],[UnsubTot]]/3)/1.01062,0)</f>
        <v>659</v>
      </c>
      <c r="EQ77" s="235">
        <f>IF(Table1[D/I]="I",6000,2000)</f>
        <v>2000</v>
      </c>
      <c r="ER77" s="240">
        <f>Table1[[#This Row],[UnsubTot]]*0.01062</f>
        <v>21.24</v>
      </c>
      <c r="ES77" s="234">
        <f>ROUND((Table1[[#This Row],[PLUSTot]]/3)/1.04248,0)</f>
        <v>0</v>
      </c>
      <c r="ET77" s="234">
        <f>ROUND((Table1[[#This Row],[PLUSTot]]/3)/1.04248,0)</f>
        <v>0</v>
      </c>
      <c r="EU77" s="234">
        <f>ROUND((Table1[[#This Row],[PLUSTot]]/3)/1.04248,0)</f>
        <v>0</v>
      </c>
      <c r="EV77" s="235"/>
      <c r="EW77" s="239">
        <f>Table1[[#This Row],[PLUSTot]]*0.04248</f>
        <v>0</v>
      </c>
      <c r="EX77" s="237"/>
      <c r="EY77" s="237"/>
      <c r="EZ77" s="237"/>
      <c r="FA77" s="232">
        <f>SUM(Table1[[#This Row],[PrivQ1]:[PrivQ3]])</f>
        <v>0</v>
      </c>
      <c r="FB77" s="237"/>
      <c r="FC77" s="237"/>
      <c r="FD77" s="237"/>
      <c r="FE77" s="232">
        <f>SUM(Table1[[#This Row],[TOQ1]:[TOQ3]])</f>
        <v>0</v>
      </c>
      <c r="FF77" s="237"/>
      <c r="FG77" s="237"/>
      <c r="FH77" s="237"/>
      <c r="FI77" s="232">
        <f>SUM(Table1[[#This Row],[OFundQ1]:[OFundQ3]])</f>
        <v>0</v>
      </c>
      <c r="FJ77" s="239">
        <f>(Table1[[#This Row],[SubTot]]-Table1[[#This Row],[SubFee]])+(Table1[[#This Row],[UnsubTot]]-Table1[[#This Row],[UnsubFee]])+(Table1[[#This Row],[PLUSTot]]-Table1[[#This Row],[PLUSFee]])+Table1[[#This Row],[PrivTot]]+Table1[[#This Row],[TOTot]]+Table1[[#This Row],[OFundTot]]</f>
        <v>5441.6949999999997</v>
      </c>
      <c r="FK77" s="125">
        <f>Table1[[#This Row],[CostTot]]-Table1[[#This Row],[GiftTot]]</f>
        <v>27515</v>
      </c>
      <c r="FL77" s="130">
        <f>Table1[[#This Row],[NetNeed]]/(1-0.04248)</f>
        <v>23052.578536218563</v>
      </c>
      <c r="FM77" s="131">
        <f>Table1[[#This Row],[NetCost]]-Table1[[#This Row],[CashTot]]-(Table1[[#This Row],[SubTot]]-Table1[[#This Row],[SubFee]])-(Table1[[#This Row],[UnsubTot]]-Table1[[#This Row],[UnsubFee]])-(Table1[[#This Row],[PLUSTot]]-Table1[[#This Row],[PLUSFee]])-Table1[[#This Row],[PrivTot]]-Table1[[#This Row],[TOTot]]-Table1[[#This Row],[OFundTot]]</f>
        <v>22073.305</v>
      </c>
      <c r="FN77" s="161"/>
      <c r="FO77" s="113"/>
      <c r="FP77" s="113"/>
    </row>
    <row r="78" spans="1:172" s="160" customFormat="1" ht="15" x14ac:dyDescent="0.25">
      <c r="A78" s="267">
        <v>195928</v>
      </c>
      <c r="B78" s="113" t="str">
        <f>VLOOKUP(Table1[[#This Row],[SyStudentId]],SSR!$A$2:$CC$4982,4,FALSE)</f>
        <v>Perez</v>
      </c>
      <c r="C78" s="113" t="str">
        <f>VLOOKUP(Table1[[#This Row],[SyStudentId]],SSR!$A$2:$CC$4982,5,FALSE)</f>
        <v>Jerson</v>
      </c>
      <c r="D78" s="113" t="str">
        <f>VLOOKUP(Table1[[#This Row],[SyStudentId]],SSR!$A$2:$CC$4982,6,FALSE)</f>
        <v>Perez, Jerson</v>
      </c>
      <c r="E78" s="113" t="str">
        <f>CONCATENATE(Table1[[#This Row],[FirstName]]," ",Table1[[#This Row],[LastName]])</f>
        <v>Jerson Perez</v>
      </c>
      <c r="F78" s="112"/>
      <c r="G78" s="114"/>
      <c r="H78" s="114"/>
      <c r="I78" s="114"/>
      <c r="J78" s="115"/>
      <c r="K78" s="116"/>
      <c r="L78" s="112" t="str">
        <f>IFERROR(VLOOKUP(Table1[[#This Row],[SyStudentId]],ISIR!$A$2:$X$999,11,FALSE),"")</f>
        <v/>
      </c>
      <c r="M78" s="113" t="str">
        <f>VLOOKUP(Table1[[#This Row],[SyStudentId]],SSR!$A$2:$CC$4982,7,FALSE)</f>
        <v>Perez-jerson@hotmail.com</v>
      </c>
      <c r="N78" s="113" t="str">
        <f>VLOOKUP(Table1[[#This Row],[SyStudentId]],SSR!$A$2:$CC$4982,8,FALSE)</f>
        <v>6814 Makee Ave.</v>
      </c>
      <c r="O78" s="113" t="str">
        <f>VLOOKUP(Table1[[#This Row],[SyStudentId]],SSR!$A$2:$CC$4982,9,FALSE)</f>
        <v>Los Angeles</v>
      </c>
      <c r="P78" s="290" t="str">
        <f>VLOOKUP(Table1[[#This Row],[SyStudentId]],SSR!$A$2:$CC$4982,10,FALSE)</f>
        <v>CA</v>
      </c>
      <c r="Q78" s="117" t="str">
        <f>VLOOKUP(Table1[[#This Row],[SyStudentId]],SSR!$A$2:$CC$4982,11,FALSE)</f>
        <v xml:space="preserve">90001     </v>
      </c>
      <c r="R78" s="118">
        <f>VLOOKUP(Table1[[#This Row],[SyStudentId]],SSR!$A$2:$CC$4982,15,FALSE)</f>
        <v>3.7919999999999998</v>
      </c>
      <c r="S78" s="119">
        <f>VLOOKUP(Table1[[#This Row],[SyStudentId]],SSR!$A$2:$CC$4982,22,FALSE)</f>
        <v>44109</v>
      </c>
      <c r="T78" s="113" t="str">
        <f>VLOOKUP(Table1[[#This Row],[SyStudentId]],SSR!$A$2:$CC$4982,24,FALSE)</f>
        <v>MN</v>
      </c>
      <c r="U78" s="113" t="str">
        <f>IF(VLOOKUP(Table1[[#This Row],[SyStudentId]],SSR!$A$2:$CC$4982,26,FALSE)=0,"Not Selected",VLOOKUP(Table1[[#This Row],[SyStudentId]],SSR!$A$2:$CC$4982,26,FALSE))</f>
        <v>Male</v>
      </c>
      <c r="V78" s="113" t="str">
        <f>VLOOKUP(Table1[[#This Row],[SyStudentId]],SSR!$A$2:$CC$4982,27,FALSE)</f>
        <v xml:space="preserve">HS2020  </v>
      </c>
      <c r="W78" s="113" t="str">
        <f>VLOOKUP(LEFT(Table1[[#This Row],[LastName]],1),Alpha!$A$1:$B$26,2,FALSE)</f>
        <v>Maureen Ranks</v>
      </c>
      <c r="X78" s="149" t="str">
        <f>VLOOKUP(Table1[[#This Row],[FAA]],Alpha!$B$1:$D$26,2,FALSE)</f>
        <v>mranks@neumont.edu</v>
      </c>
      <c r="Y78" s="113">
        <f>VLOOKUP(Table1[[#This Row],[FAA]],Alpha!$B$1:$D$26,3,FALSE)</f>
        <v>8883022894</v>
      </c>
      <c r="Z78" s="113" t="str">
        <f>VLOOKUP(Table1[[#This Row],[SyStudentId]],SSR!$A$2:$CC$4982,30,FALSE)</f>
        <v>16-Accepted</v>
      </c>
      <c r="AA78" s="113" t="str">
        <f>IF(VLOOKUP(Table1[[#This Row],[SyStudentId]],SSR!$A$2:$CC$4982,36,FALSE)="Bachelor of Science","BS Computer Science","Check Program")</f>
        <v>BS Computer Science</v>
      </c>
      <c r="AB78" s="113">
        <f>VLOOKUP(Table1[[#This Row],[SyStudentId]],SSR!$A$2:$CC$4982,37,FALSE)</f>
        <v>0</v>
      </c>
      <c r="AC78" s="113" t="str">
        <f>VLOOKUP(Table1[[#This Row],[SyStudentId]],SSR!$A$2:$CC$4982,42,FALSE)</f>
        <v xml:space="preserve">960     </v>
      </c>
      <c r="AD78" s="113" t="str">
        <f>VLOOKUP(Table1[[#This Row],[SyStudentId]],SSR!$A$2:$CC$4982,46,FALSE)</f>
        <v>110</v>
      </c>
      <c r="AE78" s="113" t="str">
        <f>VLOOKUP(Table1[[#This Row],[SyStudentId]],SSR!$A$2:$CC$4982,65,FALSE)</f>
        <v>III</v>
      </c>
      <c r="AF78"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78" s="113" t="str">
        <f>VLOOKUP(Table1[[#This Row],[SyStudentId]],SSR!$A$2:$CC$4982,66,FALSE)</f>
        <v>July-October</v>
      </c>
      <c r="AH78" s="113" t="str">
        <f>IFERROR(VLOOKUP(Table1[[#This Row],[SyStudentId]],ISIR!$A$2:$X$999,7,FALSE),"")</f>
        <v/>
      </c>
      <c r="AI78" s="121" t="str">
        <f>IF(Table1[[#This Row],[EFCRaw]]="","",IF(Table1[[#This Row],[EFCRaw]]="No EFC","No EFC",_xlfn.NUMBERVALUE(Table1[[#This Row],[EFCRaw]])))</f>
        <v/>
      </c>
      <c r="AJ78" s="119" t="str">
        <f>IFERROR(VLOOKUP(Table1[[#This Row],[SyStudentId]],ISIR!$A$2:$X$4999,19,FALSE),"")</f>
        <v/>
      </c>
      <c r="AK78" s="113" t="str">
        <f>IFERROR(VLOOKUP(Table1[[#This Row],[SyStudentId]],ISIR!$A$2:$X$4999,8,FALSE),"")</f>
        <v/>
      </c>
      <c r="AL78" s="132" t="str">
        <f>IF(Table1[[#This Row],[VerReq]]="N","n/a","")</f>
        <v/>
      </c>
      <c r="AM78" s="122"/>
      <c r="AN78" s="122"/>
      <c r="AO78" s="122"/>
      <c r="AP78" s="122"/>
      <c r="AQ78" s="122"/>
      <c r="AR78" s="122"/>
      <c r="AS78" s="122"/>
      <c r="AT78" s="122"/>
      <c r="AU78" s="122"/>
      <c r="AV78" s="122"/>
      <c r="AW78" s="122"/>
      <c r="AX78" s="122"/>
      <c r="AY78" s="122"/>
      <c r="AZ78" s="122"/>
      <c r="BA78" s="122"/>
      <c r="BB78" s="122"/>
      <c r="BC78" s="133"/>
      <c r="BD78" s="140" t="str">
        <f>IF(Table1[[#This Row],[VerReq]]="N","x","")</f>
        <v/>
      </c>
      <c r="BE78" s="140" t="str">
        <f>IF(Table1[[#This Row],[VerReq]]="N","x","")</f>
        <v/>
      </c>
      <c r="BF78" s="140" t="str">
        <f>IF(Table1[[#This Row],[VerReq]]="N","x","")</f>
        <v/>
      </c>
      <c r="BG78" s="140" t="str">
        <f>IF(Table1[[#This Row],[VerReq]]="N","x","")</f>
        <v/>
      </c>
      <c r="BH78" s="140" t="str">
        <f>IF(Table1[[#This Row],[VerReq]]="N","x","")</f>
        <v/>
      </c>
      <c r="BI78" s="140" t="str">
        <f>IF(Table1[[#This Row],[VerReq]]="N","x","")</f>
        <v/>
      </c>
      <c r="BJ78" s="123">
        <f>1-((COUNTBLANK(Table1[[#This Row],[ALESent]:[TaxTran]]))/(COUNT(Table1[[#This Row],[ALESent]:[TaxTran]])+COUNTBLANK(Table1[[#This Row],[ALESent]:[TaxTran]])))</f>
        <v>0</v>
      </c>
      <c r="BK78" s="136">
        <f>IF(VLOOKUP(Table1[[#This Row],[SyStudentId]],SSR!$A$2:$CC$4982,22,FALSE)=44109,44109,"Check Program")</f>
        <v>44109</v>
      </c>
      <c r="BL78" s="124">
        <f>IF(Table1[[#This Row],[AYStart]]=44109,44356,"Check Program")</f>
        <v>44356</v>
      </c>
      <c r="BM78" s="219">
        <v>8505</v>
      </c>
      <c r="BN78" s="219">
        <v>8505</v>
      </c>
      <c r="BO78" s="219">
        <v>8505</v>
      </c>
      <c r="BP78" s="220">
        <f t="shared" si="3"/>
        <v>25515</v>
      </c>
      <c r="BQ78" s="221">
        <v>3300</v>
      </c>
      <c r="BR78" s="219">
        <v>400</v>
      </c>
      <c r="BS78" s="219">
        <v>400</v>
      </c>
      <c r="BT78" s="220">
        <f t="shared" si="4"/>
        <v>4100</v>
      </c>
      <c r="BU78" s="219">
        <v>2100</v>
      </c>
      <c r="BV78" s="219">
        <v>2100</v>
      </c>
      <c r="BW78" s="219">
        <v>2100</v>
      </c>
      <c r="BX78" s="220">
        <f t="shared" si="5"/>
        <v>6300</v>
      </c>
      <c r="BY78" s="275">
        <v>1200</v>
      </c>
      <c r="BZ78" s="275">
        <v>1200</v>
      </c>
      <c r="CA78" s="275">
        <v>1200</v>
      </c>
      <c r="CB78" s="220">
        <f>SUM(Table1[[#This Row],[LEQ1]:[LEQ3]])</f>
        <v>3600</v>
      </c>
      <c r="CC78" s="275">
        <v>0</v>
      </c>
      <c r="CD78" s="275">
        <v>0</v>
      </c>
      <c r="CE78" s="275">
        <v>0</v>
      </c>
      <c r="CF78" s="220">
        <f>SUM(Table1[[#This Row],[OthCostQ1]:[OthCostQ3]])</f>
        <v>0</v>
      </c>
      <c r="CG78" s="220">
        <f>(Table1[[#This Row],[T&amp;FTot]]+Table1[[#This Row],[B&amp;STot]]+Table1[[#This Row],[HousTot]]+Table1[[#This Row],[LETot]]+Table1[[#This Row],[OthCostTot]])</f>
        <v>39515</v>
      </c>
      <c r="CH78" s="250"/>
      <c r="CI78" s="250"/>
      <c r="CJ78" s="250"/>
      <c r="CK78" s="251">
        <f>SUM(Table1[[#This Row],[SEOGQ1]:[SEOGQ3]])</f>
        <v>0</v>
      </c>
      <c r="CL78" s="250">
        <f>IFERROR(ROUNDUP(Table1[[#This Row],[PellTot]]/3,0),0)</f>
        <v>0</v>
      </c>
      <c r="CM78" s="250">
        <f>IFERROR(ROUND(Table1[[#This Row],[PellTot]]/3,0),0)</f>
        <v>0</v>
      </c>
      <c r="CN78" s="250">
        <f>IFERROR(ROUNDDOWN(Table1[[#This Row],[PellTot]]/3,0),0)</f>
        <v>0</v>
      </c>
      <c r="CO78" s="251">
        <f>IFERROR(LOOKUP(Table1[EFC],Pell_Table[#Data],Pell_Table[Pell Amt]),0)</f>
        <v>0</v>
      </c>
      <c r="CP78" s="250">
        <f>Table1[[#This Row],[AccessTot]]/3</f>
        <v>0</v>
      </c>
      <c r="CQ78" s="250">
        <f>Table1[[#This Row],[AccessTot]]/3</f>
        <v>0</v>
      </c>
      <c r="CR78" s="250">
        <f>Table1[[#This Row],[AccessTot]]/3</f>
        <v>0</v>
      </c>
      <c r="CS78" s="251">
        <f>IF(Table1[[#This Row],[PellTot]]&gt;0,1500,0)</f>
        <v>0</v>
      </c>
      <c r="CT78" s="250">
        <f>Table1[[#This Row],[AchiTot]]/3</f>
        <v>1300</v>
      </c>
      <c r="CU78" s="250">
        <f>Table1[[#This Row],[AchiTot]]/3</f>
        <v>1300</v>
      </c>
      <c r="CV78" s="250">
        <f>Table1[[#This Row],[AchiTot]]/3</f>
        <v>1300</v>
      </c>
      <c r="CW78" s="252">
        <f>IF(Table1[[#This Row],[Rank]]="","",IF(Table1[[#This Row],[Rank]]=1,5100,IF(Table1[[#This Row],[Rank]]=2,4500,IF(Table1[[#This Row],[Rank]]=3,3900,IF(Table1[[#This Row],[Rank]]=4,3750,IF(Table1[[#This Row],[Rank]]=5,3000,IF(Table1[[#This Row],[Rank]]=6,2250,0)))))))</f>
        <v>3900</v>
      </c>
      <c r="CX78" s="250">
        <f>Table1[[#This Row],[UTTot]]/3</f>
        <v>0</v>
      </c>
      <c r="CY78" s="250">
        <f>Table1[[#This Row],[UTTot]]/3</f>
        <v>0</v>
      </c>
      <c r="CZ78" s="250">
        <f>Table1[[#This Row],[UTTot]]/3</f>
        <v>0</v>
      </c>
      <c r="DA78" s="251">
        <f>IF(Table1[[#This Row],[State]]="UT",9000,0)</f>
        <v>0</v>
      </c>
      <c r="DB78" s="250">
        <f>Table1[[#This Row],[WITTot]]/3</f>
        <v>0</v>
      </c>
      <c r="DC78" s="250">
        <f>Table1[[#This Row],[WITTot]]/3</f>
        <v>0</v>
      </c>
      <c r="DD78" s="250">
        <f>Table1[[#This Row],[WITTot]]/3</f>
        <v>0</v>
      </c>
      <c r="DE78" s="251">
        <f>IF(Table1[[#This Row],[Gender]]="Female",3000,0)</f>
        <v>0</v>
      </c>
      <c r="DF78" s="250">
        <f>Table1[[#This Row],[SerTot]]/3</f>
        <v>0</v>
      </c>
      <c r="DG78" s="250">
        <f>Table1[[#This Row],[SerTot]]/3</f>
        <v>0</v>
      </c>
      <c r="DH78" s="250">
        <f>Table1[[#This Row],[SerTot]]/3</f>
        <v>0</v>
      </c>
      <c r="DI78" s="252"/>
      <c r="DJ78" s="250"/>
      <c r="DK78" s="250"/>
      <c r="DL78" s="250"/>
      <c r="DM78" s="252"/>
      <c r="DN78" s="250">
        <f>Table1[[#This Row],[MatTot]]/3</f>
        <v>0</v>
      </c>
      <c r="DO78" s="250">
        <f>Table1[[#This Row],[MatTot]]/3</f>
        <v>0</v>
      </c>
      <c r="DP78" s="250">
        <f>Table1[[#This Row],[MatTot]]/3</f>
        <v>0</v>
      </c>
      <c r="DQ78" s="252">
        <v>0</v>
      </c>
      <c r="DR78" s="250">
        <f>Table1[[#This Row],[OutTot]]/3</f>
        <v>0</v>
      </c>
      <c r="DS78" s="250">
        <f>Table1[[#This Row],[OutTot]]/3</f>
        <v>0</v>
      </c>
      <c r="DT78" s="250">
        <f>Table1[[#This Row],[OutTot]]/3</f>
        <v>0</v>
      </c>
      <c r="DU78" s="252">
        <v>0</v>
      </c>
      <c r="DV78" s="250">
        <v>0</v>
      </c>
      <c r="DW78" s="250">
        <v>0</v>
      </c>
      <c r="DX78" s="250">
        <v>0</v>
      </c>
      <c r="DY78" s="252">
        <f>SUM(Table1[[#This Row],[VAQ1]:[VAQ3]])</f>
        <v>0</v>
      </c>
      <c r="DZ78" s="250">
        <v>0</v>
      </c>
      <c r="EA78" s="250">
        <v>0</v>
      </c>
      <c r="EB78" s="250">
        <v>0</v>
      </c>
      <c r="EC78" s="252">
        <f>SUM(Table1[[#This Row],[OthGrantQ1]:[OthGrantQ3]])</f>
        <v>0</v>
      </c>
      <c r="ED78" s="263">
        <f>Table1[[#This Row],[SEOGTot]]+Table1[[#This Row],[PellTot]]+Table1[[#This Row],[AccessTot]]+Table1[[#This Row],[AchiTot]]+Table1[[#This Row],[UTTot]]+Table1[[#This Row],[WITTot]]+Table1[[#This Row],[SerTot]]+Table1[[#This Row],[TranTot]]+Table1[[#This Row],[MatTot]]+Table1[[#This Row],[OutTot]]+Table1[[#This Row],[VATot]]+Table1[[#This Row],[OthGrantTot]]</f>
        <v>3900</v>
      </c>
      <c r="EE78" s="249"/>
      <c r="EF78" s="237"/>
      <c r="EG78" s="237"/>
      <c r="EH78" s="232">
        <f>SUM(Table1[[#This Row],[CashQ1]]:Table1[[#This Row],[CashQ3]])</f>
        <v>0</v>
      </c>
      <c r="EI78" s="271">
        <f>ROUND((Table1[[#This Row],[SubTot]]/3)/1.01059,0)</f>
        <v>1154</v>
      </c>
      <c r="EJ78" s="234">
        <f>ROUND((Table1[[#This Row],[SubTot]]/3)/1.01059,0)</f>
        <v>1154</v>
      </c>
      <c r="EK78" s="234">
        <f>ROUNDUP((Table1[[#This Row],[SubTot]]/3)/1.01059,0)</f>
        <v>1155</v>
      </c>
      <c r="EL78" s="235">
        <v>3500</v>
      </c>
      <c r="EM78" s="240">
        <f>Table1[[#This Row],[SubTot]]*0.01059</f>
        <v>37.065000000000005</v>
      </c>
      <c r="EN78" s="234">
        <f>ROUND((Table1[[#This Row],[UnsubTot]]/3)/1.01062,0)</f>
        <v>660</v>
      </c>
      <c r="EO78" s="234">
        <f>ROUND((Table1[[#This Row],[UnsubTot]]/3)/1.01062,0)</f>
        <v>660</v>
      </c>
      <c r="EP78" s="234">
        <f>ROUNDDOWN((Table1[[#This Row],[UnsubTot]]/3)/1.01062,0)</f>
        <v>659</v>
      </c>
      <c r="EQ78" s="235">
        <f>IF(Table1[D/I]="I",6000,2000)</f>
        <v>2000</v>
      </c>
      <c r="ER78" s="240">
        <f>Table1[[#This Row],[UnsubTot]]*0.01059</f>
        <v>21.18</v>
      </c>
      <c r="ES78" s="234">
        <f>ROUND((Table1[[#This Row],[PLUSTot]]/3)/1.04236,0)</f>
        <v>0</v>
      </c>
      <c r="ET78" s="234">
        <f>ROUND((Table1[[#This Row],[PLUSTot]]/3)/1.04236,0)</f>
        <v>0</v>
      </c>
      <c r="EU78" s="234">
        <f>ROUND((Table1[[#This Row],[PLUSTot]]/3)/1.04236,0)</f>
        <v>0</v>
      </c>
      <c r="EV78" s="235">
        <v>0</v>
      </c>
      <c r="EW78" s="239">
        <f>Table1[[#This Row],[PLUSTot]]*0.04248</f>
        <v>0</v>
      </c>
      <c r="EX78" s="237"/>
      <c r="EY78" s="237"/>
      <c r="EZ78" s="237"/>
      <c r="FA78" s="232">
        <f>SUM(Table1[[#This Row],[PrivQ1]:[PrivQ3]])</f>
        <v>0</v>
      </c>
      <c r="FB78" s="237"/>
      <c r="FC78" s="237"/>
      <c r="FD78" s="237"/>
      <c r="FE78" s="232">
        <f>SUM(Table1[[#This Row],[TOQ1]:[TOQ3]])</f>
        <v>0</v>
      </c>
      <c r="FF78" s="237"/>
      <c r="FG78" s="237"/>
      <c r="FH78" s="237"/>
      <c r="FI78" s="232">
        <f>SUM(Table1[[#This Row],[OFundQ1]:[OFundQ3]])</f>
        <v>0</v>
      </c>
      <c r="FJ78" s="239">
        <f>(Table1[[#This Row],[SubTot]]-Table1[[#This Row],[SubFee]])+(Table1[[#This Row],[UnsubTot]]-Table1[[#This Row],[UnsubFee]])+(Table1[[#This Row],[PLUSTot]]-Table1[[#This Row],[PLUSFee]])+Table1[[#This Row],[PrivTot]]+Table1[[#This Row],[TOTot]]+Table1[[#This Row],[OFundTot]]</f>
        <v>5441.7550000000001</v>
      </c>
      <c r="FK78" s="125">
        <f>Table1[[#This Row],[CostTot]]-Table1[[#This Row],[GiftTot]]</f>
        <v>35615</v>
      </c>
      <c r="FL78" s="130">
        <f>Table1[[#This Row],[NetNeed]]/(1-0.04248)</f>
        <v>31511.869203776419</v>
      </c>
      <c r="FM78" s="131">
        <f>Table1[[#This Row],[NetCost]]-Table1[[#This Row],[CashTot]]-(Table1[[#This Row],[SubTot]]-Table1[[#This Row],[SubFee]])-(Table1[[#This Row],[UnsubTot]]-Table1[[#This Row],[UnsubFee]])-(Table1[[#This Row],[PLUSTot]]-Table1[[#This Row],[PLUSFee]])-Table1[[#This Row],[PrivTot]]-Table1[[#This Row],[TOTot]]-Table1[[#This Row],[OFundTot]]</f>
        <v>30173.244999999999</v>
      </c>
      <c r="FN78" s="161"/>
      <c r="FO78" s="113"/>
      <c r="FP78" s="113"/>
    </row>
    <row r="79" spans="1:172" s="160" customFormat="1" ht="15" x14ac:dyDescent="0.25">
      <c r="A79" s="267">
        <v>197842</v>
      </c>
      <c r="B79" s="113" t="str">
        <f>VLOOKUP(Table1[[#This Row],[SyStudentId]],SSR!$A$2:$CC$4982,4,FALSE)</f>
        <v>Perez</v>
      </c>
      <c r="C79" s="113" t="str">
        <f>VLOOKUP(Table1[[#This Row],[SyStudentId]],SSR!$A$2:$CC$4982,5,FALSE)</f>
        <v>Julian</v>
      </c>
      <c r="D79" s="113" t="str">
        <f>VLOOKUP(Table1[[#This Row],[SyStudentId]],SSR!$A$2:$CC$4982,6,FALSE)</f>
        <v>Perez, Julian</v>
      </c>
      <c r="E79" s="113" t="str">
        <f>CONCATENATE(Table1[[#This Row],[FirstName]]," ",Table1[[#This Row],[LastName]])</f>
        <v>Julian Perez</v>
      </c>
      <c r="F79" s="112"/>
      <c r="G79" s="114"/>
      <c r="H79" s="114"/>
      <c r="I79" s="114"/>
      <c r="J79" s="115"/>
      <c r="K79" s="116"/>
      <c r="L79" s="112" t="str">
        <f>IFERROR(VLOOKUP(Table1[[#This Row],[SyStudentId]],ISIR!$A$2:$X$999,11,FALSE),"")</f>
        <v>D</v>
      </c>
      <c r="M79" s="113" t="str">
        <f>VLOOKUP(Table1[[#This Row],[SyStudentId]],SSR!$A$2:$CC$4982,7,FALSE)</f>
        <v>jperez818@outlook.com</v>
      </c>
      <c r="N79" s="113" t="str">
        <f>VLOOKUP(Table1[[#This Row],[SyStudentId]],SSR!$A$2:$CC$4982,8,FALSE)</f>
        <v>6323 Avenida De Las Vistas Unit 4</v>
      </c>
      <c r="O79" s="113" t="str">
        <f>VLOOKUP(Table1[[#This Row],[SyStudentId]],SSR!$A$2:$CC$4982,9,FALSE)</f>
        <v>San Diego</v>
      </c>
      <c r="P79" s="290" t="str">
        <f>VLOOKUP(Table1[[#This Row],[SyStudentId]],SSR!$A$2:$CC$4982,10,FALSE)</f>
        <v>CA</v>
      </c>
      <c r="Q79" s="117" t="str">
        <f>VLOOKUP(Table1[[#This Row],[SyStudentId]],SSR!$A$2:$CC$4982,11,FALSE)</f>
        <v>92154-6613</v>
      </c>
      <c r="R79" s="118">
        <f>VLOOKUP(Table1[[#This Row],[SyStudentId]],SSR!$A$2:$CC$4982,15,FALSE)</f>
        <v>2.8</v>
      </c>
      <c r="S79" s="119">
        <f>VLOOKUP(Table1[[#This Row],[SyStudentId]],SSR!$A$2:$CC$4982,22,FALSE)</f>
        <v>44109</v>
      </c>
      <c r="T79" s="113" t="str">
        <f>VLOOKUP(Table1[[#This Row],[SyStudentId]],SSR!$A$2:$CC$4982,24,FALSE)</f>
        <v>JT</v>
      </c>
      <c r="U79" s="113" t="str">
        <f>IF(VLOOKUP(Table1[[#This Row],[SyStudentId]],SSR!$A$2:$CC$4982,26,FALSE)=0,"Not Selected",VLOOKUP(Table1[[#This Row],[SyStudentId]],SSR!$A$2:$CC$4982,26,FALSE))</f>
        <v>Male</v>
      </c>
      <c r="V79" s="113" t="str">
        <f>VLOOKUP(Table1[[#This Row],[SyStudentId]],SSR!$A$2:$CC$4982,27,FALSE)</f>
        <v xml:space="preserve">HS2020  </v>
      </c>
      <c r="W79" s="113" t="str">
        <f>VLOOKUP(LEFT(Table1[[#This Row],[LastName]],1),Alpha!$A$1:$B$26,2,FALSE)</f>
        <v>Maureen Ranks</v>
      </c>
      <c r="X79" s="149" t="str">
        <f>VLOOKUP(Table1[[#This Row],[FAA]],Alpha!$B$1:$D$26,2,FALSE)</f>
        <v>mranks@neumont.edu</v>
      </c>
      <c r="Y79" s="113">
        <f>VLOOKUP(Table1[[#This Row],[FAA]],Alpha!$B$1:$D$26,3,FALSE)</f>
        <v>8883022894</v>
      </c>
      <c r="Z79" s="132" t="str">
        <f>VLOOKUP(Table1[[#This Row],[SyStudentId]],SSR!$A$2:$CC$4982,30,FALSE)</f>
        <v>16-Accepted</v>
      </c>
      <c r="AA79" s="113" t="str">
        <f>IF(VLOOKUP(Table1[[#This Row],[SyStudentId]],SSR!$A$2:$CC$4982,36,FALSE)="Bachelor of Science","BS Computer Science","Check Program")</f>
        <v>BS Computer Science</v>
      </c>
      <c r="AB79" s="113">
        <f>VLOOKUP(Table1[[#This Row],[SyStudentId]],SSR!$A$2:$CC$4982,37,FALSE)</f>
        <v>0</v>
      </c>
      <c r="AC79" s="113" t="str">
        <f>VLOOKUP(Table1[[#This Row],[SyStudentId]],SSR!$A$2:$CC$4982,42,FALSE)</f>
        <v xml:space="preserve">1030    </v>
      </c>
      <c r="AD79" s="113" t="str">
        <f>VLOOKUP(Table1[[#This Row],[SyStudentId]],SSR!$A$2:$CC$4982,46,FALSE)</f>
        <v>96</v>
      </c>
      <c r="AE79" s="113" t="str">
        <f>VLOOKUP(Table1[[#This Row],[SyStudentId]],SSR!$A$2:$CC$4982,65,FALSE)</f>
        <v>III</v>
      </c>
      <c r="AF79" s="132">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79" s="113" t="str">
        <f>VLOOKUP(Table1[[#This Row],[SyStudentId]],SSR!$A$2:$CC$4982,66,FALSE)</f>
        <v>July-October</v>
      </c>
      <c r="AH79" s="113" t="str">
        <f>IFERROR(VLOOKUP(Table1[[#This Row],[SyStudentId]],ISIR!$A$2:$X$999,7,FALSE),"")</f>
        <v>000000</v>
      </c>
      <c r="AI79" s="121">
        <f>IF(Table1[[#This Row],[EFCRaw]]="","",IF(Table1[[#This Row],[EFCRaw]]="No EFC","No EFC",_xlfn.NUMBERVALUE(Table1[[#This Row],[EFCRaw]])))</f>
        <v>0</v>
      </c>
      <c r="AJ79" s="119">
        <f>IFERROR(VLOOKUP(Table1[[#This Row],[SyStudentId]],ISIR!$A$2:$X$4999,19,FALSE),"")</f>
        <v>43804</v>
      </c>
      <c r="AK79" s="113" t="str">
        <f>IFERROR(VLOOKUP(Table1[[#This Row],[SyStudentId]],ISIR!$A$2:$X$4999,8,FALSE),"")</f>
        <v>N</v>
      </c>
      <c r="AL79" s="132" t="str">
        <f>IF(Table1[[#This Row],[VerReq]]="N","n/a","")</f>
        <v>n/a</v>
      </c>
      <c r="AM79" s="122"/>
      <c r="AN79" s="122"/>
      <c r="AO79" s="122"/>
      <c r="AP79" s="122"/>
      <c r="AQ79" s="122"/>
      <c r="AR79" s="122"/>
      <c r="AS79" s="122"/>
      <c r="AT79" s="122"/>
      <c r="AU79" s="122"/>
      <c r="AV79" s="122"/>
      <c r="AW79" s="122"/>
      <c r="AX79" s="122"/>
      <c r="AY79" s="122"/>
      <c r="AZ79" s="122"/>
      <c r="BA79" s="122"/>
      <c r="BB79" s="122"/>
      <c r="BC79" s="148"/>
      <c r="BD79" s="140" t="str">
        <f>IF(Table1[[#This Row],[VerReq]]="N","x","")</f>
        <v>x</v>
      </c>
      <c r="BE79" s="140" t="str">
        <f>IF(Table1[[#This Row],[VerReq]]="N","x","")</f>
        <v>x</v>
      </c>
      <c r="BF79" s="140" t="str">
        <f>IF(Table1[[#This Row],[VerReq]]="N","x","")</f>
        <v>x</v>
      </c>
      <c r="BG79" s="140" t="str">
        <f>IF(Table1[[#This Row],[VerReq]]="N","x","")</f>
        <v>x</v>
      </c>
      <c r="BH79" s="140" t="str">
        <f>IF(Table1[[#This Row],[VerReq]]="N","x","")</f>
        <v>x</v>
      </c>
      <c r="BI79" s="140" t="str">
        <f>IF(Table1[[#This Row],[VerReq]]="N","x","")</f>
        <v>x</v>
      </c>
      <c r="BJ79" s="320">
        <f>1-((COUNTBLANK(Table1[[#This Row],[ALESent]:[TaxTran]]))/(COUNT(Table1[[#This Row],[ALESent]:[TaxTran]])+COUNTBLANK(Table1[[#This Row],[ALESent]:[TaxTran]])))</f>
        <v>0</v>
      </c>
      <c r="BK79" s="150">
        <f>IF(VLOOKUP(Table1[[#This Row],[SyStudentId]],SSR!$A$2:$CC$4982,22,FALSE)=44109,44109,"Check Program")</f>
        <v>44109</v>
      </c>
      <c r="BL79" s="150">
        <f>IF(Table1[[#This Row],[AYStart]]=44109,44356,"Check Program")</f>
        <v>44356</v>
      </c>
      <c r="BM79" s="219">
        <v>8505</v>
      </c>
      <c r="BN79" s="219">
        <v>8505</v>
      </c>
      <c r="BO79" s="219">
        <v>8505</v>
      </c>
      <c r="BP79" s="220">
        <f t="shared" si="3"/>
        <v>25515</v>
      </c>
      <c r="BQ79" s="221">
        <v>3300</v>
      </c>
      <c r="BR79" s="219">
        <v>400</v>
      </c>
      <c r="BS79" s="219">
        <v>400</v>
      </c>
      <c r="BT79" s="321">
        <f t="shared" si="4"/>
        <v>4100</v>
      </c>
      <c r="BU79" s="219">
        <v>2100</v>
      </c>
      <c r="BV79" s="219">
        <v>2100</v>
      </c>
      <c r="BW79" s="219">
        <v>2100</v>
      </c>
      <c r="BX79" s="220">
        <f t="shared" si="5"/>
        <v>6300</v>
      </c>
      <c r="BY79" s="275">
        <v>1200</v>
      </c>
      <c r="BZ79" s="275">
        <v>1200</v>
      </c>
      <c r="CA79" s="275">
        <v>1200</v>
      </c>
      <c r="CB79" s="220">
        <f>SUM(Table1[[#This Row],[LEQ1]:[LEQ3]])</f>
        <v>3600</v>
      </c>
      <c r="CC79" s="275">
        <v>0</v>
      </c>
      <c r="CD79" s="275">
        <v>0</v>
      </c>
      <c r="CE79" s="275">
        <v>0</v>
      </c>
      <c r="CF79" s="220">
        <f>SUM(Table1[[#This Row],[OthCostQ1]:[OthCostQ3]])</f>
        <v>0</v>
      </c>
      <c r="CG79" s="321">
        <f>(Table1[[#This Row],[T&amp;FTot]]+Table1[[#This Row],[B&amp;STot]]+Table1[[#This Row],[HousTot]]+Table1[[#This Row],[LETot]]+Table1[[#This Row],[OthCostTot]])</f>
        <v>39515</v>
      </c>
      <c r="CH79" s="250"/>
      <c r="CI79" s="250"/>
      <c r="CJ79" s="250"/>
      <c r="CK79" s="322">
        <f>SUM(Table1[[#This Row],[SEOGQ1]:[SEOGQ3]])</f>
        <v>0</v>
      </c>
      <c r="CL79" s="250">
        <f>IFERROR(ROUNDUP(Table1[[#This Row],[PellTot]]/3,0),0)</f>
        <v>2065</v>
      </c>
      <c r="CM79" s="250">
        <f>IFERROR(ROUND(Table1[[#This Row],[PellTot]]/3,0),0)</f>
        <v>2065</v>
      </c>
      <c r="CN79" s="250">
        <f>IFERROR(ROUNDDOWN(Table1[[#This Row],[PellTot]]/3,0),0)</f>
        <v>2065</v>
      </c>
      <c r="CO79" s="322">
        <f>IFERROR(LOOKUP(Table1[EFC],Pell_Table[#Data],Pell_Table[Pell Amt]),0)</f>
        <v>6195</v>
      </c>
      <c r="CP79" s="250">
        <f>Table1[[#This Row],[AccessTot]]/3</f>
        <v>500</v>
      </c>
      <c r="CQ79" s="250">
        <f>Table1[[#This Row],[AccessTot]]/3</f>
        <v>500</v>
      </c>
      <c r="CR79" s="250">
        <f>Table1[[#This Row],[AccessTot]]/3</f>
        <v>500</v>
      </c>
      <c r="CS79" s="322">
        <f>IF(Table1[[#This Row],[PellTot]]&gt;0,1500,0)</f>
        <v>1500</v>
      </c>
      <c r="CT79" s="250">
        <f>Table1[[#This Row],[AchiTot]]/3</f>
        <v>1300</v>
      </c>
      <c r="CU79" s="250">
        <f>Table1[[#This Row],[AchiTot]]/3</f>
        <v>1300</v>
      </c>
      <c r="CV79" s="250">
        <f>Table1[[#This Row],[AchiTot]]/3</f>
        <v>1300</v>
      </c>
      <c r="CW79" s="277">
        <f>IF(Table1[[#This Row],[Rank]]="","",IF(Table1[[#This Row],[Rank]]=1,5100,IF(Table1[[#This Row],[Rank]]=2,4500,IF(Table1[[#This Row],[Rank]]=3,3900,IF(Table1[[#This Row],[Rank]]=4,3750,IF(Table1[[#This Row],[Rank]]=5,3000,IF(Table1[[#This Row],[Rank]]=6,2250,0)))))))</f>
        <v>3900</v>
      </c>
      <c r="CX79" s="250">
        <f>Table1[[#This Row],[UTTot]]/3</f>
        <v>0</v>
      </c>
      <c r="CY79" s="250">
        <f>Table1[[#This Row],[UTTot]]/3</f>
        <v>0</v>
      </c>
      <c r="CZ79" s="250">
        <f>Table1[[#This Row],[UTTot]]/3</f>
        <v>0</v>
      </c>
      <c r="DA79" s="322">
        <f>IF(Table1[[#This Row],[State]]="UT",9000,0)</f>
        <v>0</v>
      </c>
      <c r="DB79" s="250">
        <f>Table1[[#This Row],[WITTot]]/3</f>
        <v>0</v>
      </c>
      <c r="DC79" s="250">
        <f>Table1[[#This Row],[WITTot]]/3</f>
        <v>0</v>
      </c>
      <c r="DD79" s="250">
        <f>Table1[[#This Row],[WITTot]]/3</f>
        <v>0</v>
      </c>
      <c r="DE79" s="322">
        <f>IF(Table1[[#This Row],[Gender]]="Female",3000,0)</f>
        <v>0</v>
      </c>
      <c r="DF79" s="250">
        <f>Table1[[#This Row],[SerTot]]/3</f>
        <v>0</v>
      </c>
      <c r="DG79" s="250">
        <f>Table1[[#This Row],[SerTot]]/3</f>
        <v>0</v>
      </c>
      <c r="DH79" s="250">
        <f>Table1[[#This Row],[SerTot]]/3</f>
        <v>0</v>
      </c>
      <c r="DI79" s="277"/>
      <c r="DJ79" s="250"/>
      <c r="DK79" s="250"/>
      <c r="DL79" s="250"/>
      <c r="DM79" s="277"/>
      <c r="DN79" s="250">
        <f>Table1[[#This Row],[MatTot]]/3</f>
        <v>0</v>
      </c>
      <c r="DO79" s="250">
        <f>Table1[[#This Row],[MatTot]]/3</f>
        <v>0</v>
      </c>
      <c r="DP79" s="250">
        <f>Table1[[#This Row],[MatTot]]/3</f>
        <v>0</v>
      </c>
      <c r="DQ79" s="277">
        <v>0</v>
      </c>
      <c r="DR79" s="250">
        <f>Table1[[#This Row],[OutTot]]/3</f>
        <v>0</v>
      </c>
      <c r="DS79" s="250">
        <f>Table1[[#This Row],[OutTot]]/3</f>
        <v>0</v>
      </c>
      <c r="DT79" s="250">
        <f>Table1[[#This Row],[OutTot]]/3</f>
        <v>0</v>
      </c>
      <c r="DU79" s="252">
        <v>0</v>
      </c>
      <c r="DV79" s="250">
        <v>0</v>
      </c>
      <c r="DW79" s="250">
        <v>0</v>
      </c>
      <c r="DX79" s="250">
        <v>0</v>
      </c>
      <c r="DY79" s="277">
        <f>SUM(Table1[[#This Row],[VAQ1]:[VAQ3]])</f>
        <v>0</v>
      </c>
      <c r="DZ79" s="250">
        <v>0</v>
      </c>
      <c r="EA79" s="250">
        <v>0</v>
      </c>
      <c r="EB79" s="250">
        <v>0</v>
      </c>
      <c r="EC79" s="252">
        <f>SUM(Table1[[#This Row],[OthGrantQ1]:[OthGrantQ3]])</f>
        <v>0</v>
      </c>
      <c r="ED79" s="263">
        <f>Table1[[#This Row],[SEOGTot]]+Table1[[#This Row],[PellTot]]+Table1[[#This Row],[AccessTot]]+Table1[[#This Row],[AchiTot]]+Table1[[#This Row],[UTTot]]+Table1[[#This Row],[WITTot]]+Table1[[#This Row],[SerTot]]+Table1[[#This Row],[TranTot]]+Table1[[#This Row],[MatTot]]+Table1[[#This Row],[OutTot]]+Table1[[#This Row],[VATot]]+Table1[[#This Row],[OthGrantTot]]</f>
        <v>11595</v>
      </c>
      <c r="EE79" s="249"/>
      <c r="EF79" s="237"/>
      <c r="EG79" s="237"/>
      <c r="EH79" s="232">
        <f>SUM(Table1[[#This Row],[CashQ1]]:Table1[[#This Row],[CashQ3]])</f>
        <v>0</v>
      </c>
      <c r="EI79" s="271">
        <f>ROUND((Table1[[#This Row],[SubTot]]/3)/1.01059,0)</f>
        <v>1154</v>
      </c>
      <c r="EJ79" s="234">
        <f>ROUND((Table1[[#This Row],[SubTot]]/3)/1.01059,0)</f>
        <v>1154</v>
      </c>
      <c r="EK79" s="234">
        <f>ROUNDUP((Table1[[#This Row],[SubTot]]/3)/1.01059,0)</f>
        <v>1155</v>
      </c>
      <c r="EL79" s="235">
        <v>3500</v>
      </c>
      <c r="EM79" s="323">
        <f>Table1[[#This Row],[SubTot]]*0.01059</f>
        <v>37.065000000000005</v>
      </c>
      <c r="EN79" s="234">
        <f>ROUND((Table1[[#This Row],[UnsubTot]]/3)/1.01062,0)</f>
        <v>660</v>
      </c>
      <c r="EO79" s="234">
        <f>ROUND((Table1[[#This Row],[UnsubTot]]/3)/1.01062,0)</f>
        <v>660</v>
      </c>
      <c r="EP79" s="234">
        <f>ROUNDDOWN((Table1[[#This Row],[UnsubTot]]/3)/1.01062,0)</f>
        <v>659</v>
      </c>
      <c r="EQ79" s="235">
        <f>IF(Table1[D/I]="I",6000,2000)</f>
        <v>2000</v>
      </c>
      <c r="ER79" s="240">
        <f>Table1[[#This Row],[UnsubTot]]*0.01059</f>
        <v>21.18</v>
      </c>
      <c r="ES79" s="234">
        <f>ROUND((Table1[[#This Row],[PLUSTot]]/3)/1.04236,0)</f>
        <v>0</v>
      </c>
      <c r="ET79" s="234">
        <f>ROUND((Table1[[#This Row],[PLUSTot]]/3)/1.04236,0)</f>
        <v>0</v>
      </c>
      <c r="EU79" s="234">
        <f>ROUND((Table1[[#This Row],[PLUSTot]]/3)/1.04236,0)</f>
        <v>0</v>
      </c>
      <c r="EV79" s="235">
        <v>0</v>
      </c>
      <c r="EW79" s="324">
        <f>Table1[[#This Row],[PLUSTot]]*0.04248</f>
        <v>0</v>
      </c>
      <c r="EX79" s="237"/>
      <c r="EY79" s="237"/>
      <c r="EZ79" s="237"/>
      <c r="FA79" s="325">
        <f>SUM(Table1[[#This Row],[PrivQ1]:[PrivQ3]])</f>
        <v>0</v>
      </c>
      <c r="FB79" s="237"/>
      <c r="FC79" s="237"/>
      <c r="FD79" s="237"/>
      <c r="FE79" s="325">
        <f>SUM(Table1[[#This Row],[TOQ1]:[TOQ3]])</f>
        <v>0</v>
      </c>
      <c r="FF79" s="237"/>
      <c r="FG79" s="237"/>
      <c r="FH79" s="237"/>
      <c r="FI79" s="325">
        <f>SUM(Table1[[#This Row],[OFundQ1]:[OFundQ3]])</f>
        <v>0</v>
      </c>
      <c r="FJ79" s="324">
        <f>(Table1[[#This Row],[SubTot]]-Table1[[#This Row],[SubFee]])+(Table1[[#This Row],[UnsubTot]]-Table1[[#This Row],[UnsubFee]])+(Table1[[#This Row],[PLUSTot]]-Table1[[#This Row],[PLUSFee]])+Table1[[#This Row],[PrivTot]]+Table1[[#This Row],[TOTot]]+Table1[[#This Row],[OFundTot]]</f>
        <v>5441.7550000000001</v>
      </c>
      <c r="FK79" s="156">
        <f>Table1[[#This Row],[CostTot]]-Table1[[#This Row],[GiftTot]]</f>
        <v>27920</v>
      </c>
      <c r="FL79" s="139">
        <f>Table1[[#This Row],[NetNeed]]/(1-0.04248)</f>
        <v>23475.483540813766</v>
      </c>
      <c r="FM79" s="131">
        <f>Table1[[#This Row],[NetCost]]-Table1[[#This Row],[CashTot]]-(Table1[[#This Row],[SubTot]]-Table1[[#This Row],[SubFee]])-(Table1[[#This Row],[UnsubTot]]-Table1[[#This Row],[UnsubFee]])-(Table1[[#This Row],[PLUSTot]]-Table1[[#This Row],[PLUSFee]])-Table1[[#This Row],[PrivTot]]-Table1[[#This Row],[TOTot]]-Table1[[#This Row],[OFundTot]]</f>
        <v>22478.244999999999</v>
      </c>
      <c r="FN79" s="161"/>
      <c r="FO79" s="113"/>
      <c r="FP79" s="113"/>
    </row>
    <row r="80" spans="1:172" s="160" customFormat="1" ht="14.25" customHeight="1" x14ac:dyDescent="0.25">
      <c r="A80" s="267">
        <v>196158</v>
      </c>
      <c r="B80" s="113" t="str">
        <f>VLOOKUP(Table1[[#This Row],[SyStudentId]],SSR!$A$2:$CC$4982,4,FALSE)</f>
        <v>Phillips</v>
      </c>
      <c r="C80" s="113" t="str">
        <f>VLOOKUP(Table1[[#This Row],[SyStudentId]],SSR!$A$2:$CC$4982,5,FALSE)</f>
        <v>Daniel</v>
      </c>
      <c r="D80" s="113" t="str">
        <f>VLOOKUP(Table1[[#This Row],[SyStudentId]],SSR!$A$2:$CC$4982,6,FALSE)</f>
        <v>Phillips, Daniel</v>
      </c>
      <c r="E80" s="113" t="str">
        <f>CONCATENATE(Table1[[#This Row],[FirstName]]," ",Table1[[#This Row],[LastName]])</f>
        <v>Daniel Phillips</v>
      </c>
      <c r="F80" s="112"/>
      <c r="G80" s="114"/>
      <c r="H80" s="114"/>
      <c r="I80" s="114"/>
      <c r="J80" s="115" t="s">
        <v>6121</v>
      </c>
      <c r="K80" s="116"/>
      <c r="L80" s="112" t="str">
        <f>IFERROR(VLOOKUP(Table1[[#This Row],[SyStudentId]],ISIR!$A$2:$X$999,11,FALSE),"")</f>
        <v/>
      </c>
      <c r="M80" s="113" t="str">
        <f>VLOOKUP(Table1[[#This Row],[SyStudentId]],SSR!$A$2:$CC$4982,7,FALSE)</f>
        <v>daniel.phillips@stoneschools.org</v>
      </c>
      <c r="N80" s="113" t="str">
        <f>VLOOKUP(Table1[[#This Row],[SyStudentId]],SSR!$A$2:$CC$4982,8,FALSE)</f>
        <v>17 W. K. Breland</v>
      </c>
      <c r="O80" s="113" t="str">
        <f>VLOOKUP(Table1[[#This Row],[SyStudentId]],SSR!$A$2:$CC$4982,9,FALSE)</f>
        <v>Wiggins</v>
      </c>
      <c r="P80" s="113" t="str">
        <f>VLOOKUP(Table1[[#This Row],[SyStudentId]],SSR!$A$2:$CC$4982,10,FALSE)</f>
        <v>MS</v>
      </c>
      <c r="Q80" s="117" t="str">
        <f>VLOOKUP(Table1[[#This Row],[SyStudentId]],SSR!$A$2:$CC$4982,11,FALSE)</f>
        <v xml:space="preserve">39577     </v>
      </c>
      <c r="R80" s="118">
        <f>VLOOKUP(Table1[[#This Row],[SyStudentId]],SSR!$A$2:$CC$4982,15,FALSE)</f>
        <v>2.71</v>
      </c>
      <c r="S80" s="119">
        <f>VLOOKUP(Table1[[#This Row],[SyStudentId]],SSR!$A$2:$CC$4982,22,FALSE)</f>
        <v>44109</v>
      </c>
      <c r="T80" s="312" t="str">
        <f>VLOOKUP(Table1[[#This Row],[SyStudentId]],SSR!$A$2:$CC$4982,24,FALSE)</f>
        <v>JT</v>
      </c>
      <c r="U80" s="113" t="str">
        <f>IF(VLOOKUP(Table1[[#This Row],[SyStudentId]],SSR!$A$2:$CC$4982,26,FALSE)=0,"Not Selected",VLOOKUP(Table1[[#This Row],[SyStudentId]],SSR!$A$2:$CC$4982,26,FALSE))</f>
        <v>Male</v>
      </c>
      <c r="V80" s="113" t="str">
        <f>VLOOKUP(Table1[[#This Row],[SyStudentId]],SSR!$A$2:$CC$4982,27,FALSE)</f>
        <v xml:space="preserve">HS2020  </v>
      </c>
      <c r="W80" s="113" t="str">
        <f>VLOOKUP(LEFT(Table1[[#This Row],[LastName]],1),Alpha!$A$1:$B$26,2,FALSE)</f>
        <v>Maureen Ranks</v>
      </c>
      <c r="X80" s="149" t="str">
        <f>VLOOKUP(Table1[[#This Row],[FAA]],Alpha!$B$1:$D$26,2,FALSE)</f>
        <v>mranks@neumont.edu</v>
      </c>
      <c r="Y80" s="113">
        <f>VLOOKUP(Table1[[#This Row],[FAA]],Alpha!$B$1:$D$26,3,FALSE)</f>
        <v>8883022894</v>
      </c>
      <c r="Z80" s="113" t="str">
        <f>VLOOKUP(Table1[[#This Row],[SyStudentId]],SSR!$A$2:$CC$4982,30,FALSE)</f>
        <v>16-Accepted</v>
      </c>
      <c r="AA80" s="113" t="str">
        <f>IF(VLOOKUP(Table1[[#This Row],[SyStudentId]],SSR!$A$2:$CC$4982,36,FALSE)="Bachelor of Science","BS Computer Science","Check Program")</f>
        <v>BS Computer Science</v>
      </c>
      <c r="AB80" s="113" t="str">
        <f>VLOOKUP(Table1[[#This Row],[SyStudentId]],SSR!$A$2:$CC$4982,37,FALSE)</f>
        <v xml:space="preserve">15      </v>
      </c>
      <c r="AC80" s="113">
        <f>VLOOKUP(Table1[[#This Row],[SyStudentId]],SSR!$A$2:$CC$4982,42,FALSE)</f>
        <v>0</v>
      </c>
      <c r="AD80" s="113" t="str">
        <f>VLOOKUP(Table1[[#This Row],[SyStudentId]],SSR!$A$2:$CC$4982,46,FALSE)</f>
        <v>81</v>
      </c>
      <c r="AE80" s="113" t="str">
        <f>VLOOKUP(Table1[[#This Row],[SyStudentId]],SSR!$A$2:$CC$4982,65,FALSE)</f>
        <v>IX</v>
      </c>
      <c r="AF80"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80" s="113" t="str">
        <f>VLOOKUP(Table1[[#This Row],[SyStudentId]],SSR!$A$2:$CC$4982,66,FALSE)</f>
        <v>November</v>
      </c>
      <c r="AH80" s="113" t="str">
        <f>IFERROR(VLOOKUP(Table1[[#This Row],[SyStudentId]],ISIR!$A$2:$X$999,7,FALSE),"")</f>
        <v/>
      </c>
      <c r="AI80" s="121" t="str">
        <f>IF(Table1[[#This Row],[EFCRaw]]="","",IF(Table1[[#This Row],[EFCRaw]]="No EFC","No EFC",_xlfn.NUMBERVALUE(Table1[[#This Row],[EFCRaw]])))</f>
        <v/>
      </c>
      <c r="AJ80" s="119" t="str">
        <f>IFERROR(VLOOKUP(Table1[[#This Row],[SyStudentId]],ISIR!$A$2:$X$4999,19,FALSE),"")</f>
        <v/>
      </c>
      <c r="AK80" s="113" t="str">
        <f>IFERROR(VLOOKUP(Table1[[#This Row],[SyStudentId]],ISIR!$A$2:$X$4999,8,FALSE),"")</f>
        <v/>
      </c>
      <c r="AL80" s="132" t="str">
        <f>IF(Table1[[#This Row],[VerReq]]="N","n/a","")</f>
        <v/>
      </c>
      <c r="AM80" s="122"/>
      <c r="AN80" s="122"/>
      <c r="AO80" s="122"/>
      <c r="AP80" s="122"/>
      <c r="AQ80" s="122"/>
      <c r="AR80" s="122"/>
      <c r="AS80" s="122"/>
      <c r="AT80" s="122"/>
      <c r="AU80" s="122"/>
      <c r="AV80" s="122"/>
      <c r="AW80" s="122"/>
      <c r="AX80" s="122"/>
      <c r="AY80" s="122"/>
      <c r="AZ80" s="122"/>
      <c r="BA80" s="122"/>
      <c r="BB80" s="122"/>
      <c r="BC80" s="133"/>
      <c r="BD80" s="140" t="str">
        <f>IF(Table1[[#This Row],[VerReq]]="N","x","")</f>
        <v/>
      </c>
      <c r="BE80" s="140" t="str">
        <f>IF(Table1[[#This Row],[VerReq]]="N","x","")</f>
        <v/>
      </c>
      <c r="BF80" s="140" t="str">
        <f>IF(Table1[[#This Row],[VerReq]]="N","x","")</f>
        <v/>
      </c>
      <c r="BG80" s="140" t="str">
        <f>IF(Table1[[#This Row],[VerReq]]="N","x","")</f>
        <v/>
      </c>
      <c r="BH80" s="140" t="str">
        <f>IF(Table1[[#This Row],[VerReq]]="N","x","")</f>
        <v/>
      </c>
      <c r="BI80" s="140" t="str">
        <f>IF(Table1[[#This Row],[VerReq]]="N","x","")</f>
        <v/>
      </c>
      <c r="BJ80" s="123">
        <f>1-((COUNTBLANK(Table1[[#This Row],[ALESent]:[TaxTran]]))/(COUNT(Table1[[#This Row],[ALESent]:[TaxTran]])+COUNTBLANK(Table1[[#This Row],[ALESent]:[TaxTran]])))</f>
        <v>0</v>
      </c>
      <c r="BK80" s="136">
        <f>IF(VLOOKUP(Table1[[#This Row],[SyStudentId]],SSR!$A$2:$CC$4982,22,FALSE)=44109,44109,"Check Program")</f>
        <v>44109</v>
      </c>
      <c r="BL80" s="124">
        <f>IF(Table1[[#This Row],[AYStart]]=44109,44356,"Check Program")</f>
        <v>44356</v>
      </c>
      <c r="BM80" s="219">
        <v>8505</v>
      </c>
      <c r="BN80" s="219">
        <v>8505</v>
      </c>
      <c r="BO80" s="219">
        <v>8505</v>
      </c>
      <c r="BP80" s="220">
        <f t="shared" si="3"/>
        <v>25515</v>
      </c>
      <c r="BQ80" s="221">
        <v>3300</v>
      </c>
      <c r="BR80" s="219">
        <v>400</v>
      </c>
      <c r="BS80" s="219">
        <v>400</v>
      </c>
      <c r="BT80" s="220">
        <f t="shared" si="4"/>
        <v>4100</v>
      </c>
      <c r="BU80" s="219">
        <v>2100</v>
      </c>
      <c r="BV80" s="219">
        <v>2100</v>
      </c>
      <c r="BW80" s="219">
        <v>2100</v>
      </c>
      <c r="BX80" s="220">
        <f t="shared" si="5"/>
        <v>6300</v>
      </c>
      <c r="BY80" s="275">
        <v>1200</v>
      </c>
      <c r="BZ80" s="275">
        <v>1200</v>
      </c>
      <c r="CA80" s="275">
        <v>1200</v>
      </c>
      <c r="CB80" s="220">
        <f>SUM(Table1[[#This Row],[LEQ1]:[LEQ3]])</f>
        <v>3600</v>
      </c>
      <c r="CC80" s="275"/>
      <c r="CD80" s="275"/>
      <c r="CE80" s="275"/>
      <c r="CF80" s="220">
        <f>SUM(Table1[[#This Row],[OthCostQ1]:[OthCostQ3]])</f>
        <v>0</v>
      </c>
      <c r="CG80" s="220">
        <f>(Table1[[#This Row],[T&amp;FTot]]+Table1[[#This Row],[B&amp;STot]]+Table1[[#This Row],[HousTot]]+Table1[[#This Row],[LETot]]+Table1[[#This Row],[OthCostTot]])</f>
        <v>39515</v>
      </c>
      <c r="CH80" s="250"/>
      <c r="CI80" s="250"/>
      <c r="CJ80" s="250"/>
      <c r="CK80" s="251">
        <f>SUM(Table1[[#This Row],[SEOGQ1]:[SEOGQ3]])</f>
        <v>0</v>
      </c>
      <c r="CL80" s="250">
        <f>IFERROR(ROUNDUP(Table1[[#This Row],[PellTot]]/3,0),0)</f>
        <v>0</v>
      </c>
      <c r="CM80" s="250">
        <f>IFERROR(ROUND(Table1[[#This Row],[PellTot]]/3,0),0)</f>
        <v>0</v>
      </c>
      <c r="CN80" s="250">
        <f>IFERROR(ROUNDDOWN(Table1[[#This Row],[PellTot]]/3,0),0)</f>
        <v>0</v>
      </c>
      <c r="CO80" s="251">
        <f>IFERROR(LOOKUP(Table1[EFC],Pell_Table[#Data],Pell_Table[Pell Amt]),0)</f>
        <v>0</v>
      </c>
      <c r="CP80" s="250">
        <f>Table1[[#This Row],[AccessTot]]/3</f>
        <v>0</v>
      </c>
      <c r="CQ80" s="250">
        <f>Table1[[#This Row],[AccessTot]]/3</f>
        <v>0</v>
      </c>
      <c r="CR80" s="250">
        <f>Table1[[#This Row],[AccessTot]]/3</f>
        <v>0</v>
      </c>
      <c r="CS80" s="251">
        <f>IF(Table1[[#This Row],[PellTot]]&gt;0,1500,0)</f>
        <v>0</v>
      </c>
      <c r="CT80" s="250">
        <f>Table1[[#This Row],[AchiTot]]/3</f>
        <v>0</v>
      </c>
      <c r="CU80" s="250">
        <f>Table1[[#This Row],[AchiTot]]/3</f>
        <v>0</v>
      </c>
      <c r="CV80" s="250">
        <f>Table1[[#This Row],[AchiTot]]/3</f>
        <v>0</v>
      </c>
      <c r="CW80" s="252">
        <f>IF(Table1[[#This Row],[Rank]]="","",IF(Table1[[#This Row],[Rank]]=1,5100,IF(Table1[[#This Row],[Rank]]=2,4500,IF(Table1[[#This Row],[Rank]]=3,3900,IF(Table1[[#This Row],[Rank]]=4,3750,IF(Table1[[#This Row],[Rank]]=5,3000,IF(Table1[[#This Row],[Rank]]=6,2250,0)))))))</f>
        <v>0</v>
      </c>
      <c r="CX80" s="250">
        <f>Table1[[#This Row],[UTTot]]/3</f>
        <v>0</v>
      </c>
      <c r="CY80" s="250">
        <f>Table1[[#This Row],[UTTot]]/3</f>
        <v>0</v>
      </c>
      <c r="CZ80" s="250">
        <f>Table1[[#This Row],[UTTot]]/3</f>
        <v>0</v>
      </c>
      <c r="DA80" s="251">
        <f>IF(Table1[[#This Row],[State]]="UT",9000,0)</f>
        <v>0</v>
      </c>
      <c r="DB80" s="250">
        <f>Table1[[#This Row],[WITTot]]/3</f>
        <v>0</v>
      </c>
      <c r="DC80" s="250">
        <f>Table1[[#This Row],[WITTot]]/3</f>
        <v>0</v>
      </c>
      <c r="DD80" s="250">
        <f>Table1[[#This Row],[WITTot]]/3</f>
        <v>0</v>
      </c>
      <c r="DE80" s="251">
        <f>IF(Table1[[#This Row],[Gender]]="Female",3000,0)</f>
        <v>0</v>
      </c>
      <c r="DF80" s="250">
        <f>Table1[[#This Row],[SerTot]]/3</f>
        <v>0</v>
      </c>
      <c r="DG80" s="250">
        <f>Table1[[#This Row],[SerTot]]/3</f>
        <v>0</v>
      </c>
      <c r="DH80" s="250">
        <f>Table1[[#This Row],[SerTot]]/3</f>
        <v>0</v>
      </c>
      <c r="DI80" s="252"/>
      <c r="DJ80" s="250"/>
      <c r="DK80" s="250"/>
      <c r="DL80" s="250"/>
      <c r="DM80" s="252"/>
      <c r="DN80" s="250">
        <f>Table1[[#This Row],[MatTot]]/3</f>
        <v>0</v>
      </c>
      <c r="DO80" s="250">
        <f>Table1[[#This Row],[MatTot]]/3</f>
        <v>0</v>
      </c>
      <c r="DP80" s="250">
        <f>Table1[[#This Row],[MatTot]]/3</f>
        <v>0</v>
      </c>
      <c r="DQ80" s="277"/>
      <c r="DR80" s="250">
        <f>Table1[[#This Row],[OutTot]]/3</f>
        <v>0</v>
      </c>
      <c r="DS80" s="250">
        <f>Table1[[#This Row],[OutTot]]/3</f>
        <v>0</v>
      </c>
      <c r="DT80" s="250">
        <f>Table1[[#This Row],[OutTot]]/3</f>
        <v>0</v>
      </c>
      <c r="DU80" s="252"/>
      <c r="DV80" s="250"/>
      <c r="DW80" s="250"/>
      <c r="DX80" s="250"/>
      <c r="DY80" s="277">
        <f>SUM(Table1[[#This Row],[VAQ1]:[VAQ3]])</f>
        <v>0</v>
      </c>
      <c r="DZ80" s="250"/>
      <c r="EA80" s="250"/>
      <c r="EB80" s="250"/>
      <c r="EC80" s="252">
        <f>SUM(Table1[[#This Row],[OthGrantQ1]:[OthGrantQ3]])</f>
        <v>0</v>
      </c>
      <c r="ED80" s="263">
        <f>Table1[[#This Row],[SEOGTot]]+Table1[[#This Row],[PellTot]]+Table1[[#This Row],[AccessTot]]+Table1[[#This Row],[AchiTot]]+Table1[[#This Row],[UTTot]]+Table1[[#This Row],[WITTot]]+Table1[[#This Row],[SerTot]]+Table1[[#This Row],[TranTot]]+Table1[[#This Row],[MatTot]]+Table1[[#This Row],[OutTot]]+Table1[[#This Row],[VATot]]+Table1[[#This Row],[OthGrantTot]]</f>
        <v>0</v>
      </c>
      <c r="EE80" s="249"/>
      <c r="EF80" s="237"/>
      <c r="EG80" s="237"/>
      <c r="EH80" s="232">
        <f>SUM(Table1[[#This Row],[CashQ1]]:Table1[[#This Row],[CashQ3]])</f>
        <v>0</v>
      </c>
      <c r="EI80" s="271">
        <f>ROUND((Table1[[#This Row],[SubTot]]/3)/1.01059,0)</f>
        <v>1154</v>
      </c>
      <c r="EJ80" s="234">
        <f>ROUND((Table1[[#This Row],[SubTot]]/3)/1.01059,0)</f>
        <v>1154</v>
      </c>
      <c r="EK80" s="234">
        <f>ROUNDUP((Table1[[#This Row],[SubTot]]/3)/1.01059,0)</f>
        <v>1155</v>
      </c>
      <c r="EL80" s="235">
        <v>3500</v>
      </c>
      <c r="EM80" s="240">
        <f>Table1[[#This Row],[SubTot]]*0.01059</f>
        <v>37.065000000000005</v>
      </c>
      <c r="EN80" s="234">
        <f>ROUND((Table1[[#This Row],[UnsubTot]]/3)/1.01062,0)</f>
        <v>660</v>
      </c>
      <c r="EO80" s="234">
        <f>ROUND((Table1[[#This Row],[UnsubTot]]/3)/1.01062,0)</f>
        <v>660</v>
      </c>
      <c r="EP80" s="234">
        <f>ROUNDDOWN((Table1[[#This Row],[UnsubTot]]/3)/1.01062,0)</f>
        <v>659</v>
      </c>
      <c r="EQ80" s="235">
        <f>IF(Table1[D/I]="I",6000,2000)</f>
        <v>2000</v>
      </c>
      <c r="ER80" s="240">
        <f>Table1[[#This Row],[UnsubTot]]*0.01062</f>
        <v>21.24</v>
      </c>
      <c r="ES80" s="234">
        <f>ROUND((Table1[[#This Row],[PLUSTot]]/3)/1.04248,0)</f>
        <v>0</v>
      </c>
      <c r="ET80" s="234">
        <f>ROUND((Table1[[#This Row],[PLUSTot]]/3)/1.04248,0)</f>
        <v>0</v>
      </c>
      <c r="EU80" s="234">
        <f>ROUND((Table1[[#This Row],[PLUSTot]]/3)/1.04248,0)</f>
        <v>0</v>
      </c>
      <c r="EV80" s="235"/>
      <c r="EW80" s="239">
        <f>Table1[[#This Row],[PLUSTot]]*0.04248</f>
        <v>0</v>
      </c>
      <c r="EX80" s="237"/>
      <c r="EY80" s="237"/>
      <c r="EZ80" s="237"/>
      <c r="FA80" s="232">
        <f>SUM(Table1[[#This Row],[PrivQ1]:[PrivQ3]])</f>
        <v>0</v>
      </c>
      <c r="FB80" s="237"/>
      <c r="FC80" s="237"/>
      <c r="FD80" s="237"/>
      <c r="FE80" s="232">
        <f>SUM(Table1[[#This Row],[TOQ1]:[TOQ3]])</f>
        <v>0</v>
      </c>
      <c r="FF80" s="237"/>
      <c r="FG80" s="237"/>
      <c r="FH80" s="237"/>
      <c r="FI80" s="232">
        <f>SUM(Table1[[#This Row],[OFundQ1]:[OFundQ3]])</f>
        <v>0</v>
      </c>
      <c r="FJ80" s="239">
        <f>(Table1[[#This Row],[SubTot]]-Table1[[#This Row],[SubFee]])+(Table1[[#This Row],[UnsubTot]]-Table1[[#This Row],[UnsubFee]])+(Table1[[#This Row],[PLUSTot]]-Table1[[#This Row],[PLUSFee]])+Table1[[#This Row],[PrivTot]]+Table1[[#This Row],[TOTot]]+Table1[[#This Row],[OFundTot]]</f>
        <v>5441.6949999999997</v>
      </c>
      <c r="FK80" s="125">
        <f>Table1[[#This Row],[CostTot]]-Table1[[#This Row],[GiftTot]]</f>
        <v>39515</v>
      </c>
      <c r="FL80" s="130">
        <f>Table1[[#This Row],[NetNeed]]/(1-0.04248)</f>
        <v>35584.953839084301</v>
      </c>
      <c r="FM80" s="131">
        <f>Table1[[#This Row],[NetCost]]-Table1[[#This Row],[CashTot]]-(Table1[[#This Row],[SubTot]]-Table1[[#This Row],[SubFee]])-(Table1[[#This Row],[UnsubTot]]-Table1[[#This Row],[UnsubFee]])-(Table1[[#This Row],[PLUSTot]]-Table1[[#This Row],[PLUSFee]])-Table1[[#This Row],[PrivTot]]-Table1[[#This Row],[TOTot]]-Table1[[#This Row],[OFundTot]]</f>
        <v>34073.305</v>
      </c>
      <c r="FN80" s="161"/>
      <c r="FO80" s="113"/>
      <c r="FP80" s="113"/>
    </row>
    <row r="81" spans="1:172" s="160" customFormat="1" ht="15" x14ac:dyDescent="0.25">
      <c r="A81" s="267">
        <v>196658</v>
      </c>
      <c r="B81" s="113" t="str">
        <f>VLOOKUP(Table1[[#This Row],[SyStudentId]],SSR!$A$2:$CC$4982,4,FALSE)</f>
        <v>Ponce</v>
      </c>
      <c r="C81" s="113" t="str">
        <f>VLOOKUP(Table1[[#This Row],[SyStudentId]],SSR!$A$2:$CC$4982,5,FALSE)</f>
        <v>Ramon</v>
      </c>
      <c r="D81" s="113" t="str">
        <f>VLOOKUP(Table1[[#This Row],[SyStudentId]],SSR!$A$2:$CC$4982,6,FALSE)</f>
        <v>Ponce, Ramon</v>
      </c>
      <c r="E81" s="113" t="str">
        <f>CONCATENATE(Table1[[#This Row],[FirstName]]," ",Table1[[#This Row],[LastName]])</f>
        <v>Ramon Ponce</v>
      </c>
      <c r="F81" s="112"/>
      <c r="G81" s="114"/>
      <c r="H81" s="114"/>
      <c r="I81" s="114"/>
      <c r="J81" s="115"/>
      <c r="K81" s="116"/>
      <c r="L81" s="112" t="str">
        <f>IFERROR(VLOOKUP(Table1[[#This Row],[SyStudentId]],ISIR!$A$2:$X$999,11,FALSE),"")</f>
        <v/>
      </c>
      <c r="M81" s="113" t="str">
        <f>VLOOKUP(Table1[[#This Row],[SyStudentId]],SSR!$A$2:$CC$4982,7,FALSE)</f>
        <v>redponce06@hotmail.com</v>
      </c>
      <c r="N81" s="113" t="str">
        <f>VLOOKUP(Table1[[#This Row],[SyStudentId]],SSR!$A$2:$CC$4982,8,FALSE)</f>
        <v>179 Rollins St</v>
      </c>
      <c r="O81" s="113" t="str">
        <f>VLOOKUP(Table1[[#This Row],[SyStudentId]],SSR!$A$2:$CC$4982,9,FALSE)</f>
        <v>Elizabethtown</v>
      </c>
      <c r="P81" s="303" t="str">
        <f>VLOOKUP(Table1[[#This Row],[SyStudentId]],SSR!$A$2:$CC$4982,10,FALSE)</f>
        <v>NC</v>
      </c>
      <c r="Q81" s="117" t="str">
        <f>VLOOKUP(Table1[[#This Row],[SyStudentId]],SSR!$A$2:$CC$4982,11,FALSE)</f>
        <v>28337-5043</v>
      </c>
      <c r="R81" s="118">
        <f>VLOOKUP(Table1[[#This Row],[SyStudentId]],SSR!$A$2:$CC$4982,15,FALSE)</f>
        <v>3.875</v>
      </c>
      <c r="S81" s="119">
        <f>VLOOKUP(Table1[[#This Row],[SyStudentId]],SSR!$A$2:$CC$4982,22,FALSE)</f>
        <v>44109</v>
      </c>
      <c r="T81" s="113" t="str">
        <f>VLOOKUP(Table1[[#This Row],[SyStudentId]],SSR!$A$2:$CC$4982,24,FALSE)</f>
        <v>JT</v>
      </c>
      <c r="U81" s="113" t="str">
        <f>IF(VLOOKUP(Table1[[#This Row],[SyStudentId]],SSR!$A$2:$CC$4982,26,FALSE)=0,"Not Selected",VLOOKUP(Table1[[#This Row],[SyStudentId]],SSR!$A$2:$CC$4982,26,FALSE))</f>
        <v>Male</v>
      </c>
      <c r="V81" s="113" t="str">
        <f>VLOOKUP(Table1[[#This Row],[SyStudentId]],SSR!$A$2:$CC$4982,27,FALSE)</f>
        <v xml:space="preserve">HS2020  </v>
      </c>
      <c r="W81" s="113" t="str">
        <f>VLOOKUP(LEFT(Table1[[#This Row],[LastName]],1),Alpha!$A$1:$B$26,2,FALSE)</f>
        <v>Maureen Ranks</v>
      </c>
      <c r="X81" s="149" t="str">
        <f>VLOOKUP(Table1[[#This Row],[FAA]],Alpha!$B$1:$D$26,2,FALSE)</f>
        <v>mranks@neumont.edu</v>
      </c>
      <c r="Y81" s="113">
        <f>VLOOKUP(Table1[[#This Row],[FAA]],Alpha!$B$1:$D$26,3,FALSE)</f>
        <v>8883022894</v>
      </c>
      <c r="Z81" s="113" t="str">
        <f>VLOOKUP(Table1[[#This Row],[SyStudentId]],SSR!$A$2:$CC$4982,30,FALSE)</f>
        <v>16-Accepted</v>
      </c>
      <c r="AA81" s="113" t="str">
        <f>IF(VLOOKUP(Table1[[#This Row],[SyStudentId]],SSR!$A$2:$CC$4982,36,FALSE)="Bachelor of Science","BS Computer Science","Check Program")</f>
        <v>BS Computer Science</v>
      </c>
      <c r="AB81" s="113">
        <f>VLOOKUP(Table1[[#This Row],[SyStudentId]],SSR!$A$2:$CC$4982,37,FALSE)</f>
        <v>0</v>
      </c>
      <c r="AC81" s="113">
        <f>VLOOKUP(Table1[[#This Row],[SyStudentId]],SSR!$A$2:$CC$4982,42,FALSE)</f>
        <v>0</v>
      </c>
      <c r="AD81" s="113" t="str">
        <f>VLOOKUP(Table1[[#This Row],[SyStudentId]],SSR!$A$2:$CC$4982,46,FALSE)</f>
        <v>0</v>
      </c>
      <c r="AE81" s="113" t="str">
        <f>VLOOKUP(Table1[[#This Row],[SyStudentId]],SSR!$A$2:$CC$4982,65,FALSE)</f>
        <v>VI</v>
      </c>
      <c r="AF81"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6</v>
      </c>
      <c r="AG81" s="113" t="str">
        <f>VLOOKUP(Table1[[#This Row],[SyStudentId]],SSR!$A$2:$CC$4982,66,FALSE)</f>
        <v>July-October</v>
      </c>
      <c r="AH81" s="113" t="str">
        <f>IFERROR(VLOOKUP(Table1[[#This Row],[SyStudentId]],ISIR!$A$2:$X$999,7,FALSE),"")</f>
        <v/>
      </c>
      <c r="AI81" s="121" t="str">
        <f>IF(Table1[[#This Row],[EFCRaw]]="","",IF(Table1[[#This Row],[EFCRaw]]="No EFC","No EFC",_xlfn.NUMBERVALUE(Table1[[#This Row],[EFCRaw]])))</f>
        <v/>
      </c>
      <c r="AJ81" s="119" t="str">
        <f>IFERROR(VLOOKUP(Table1[[#This Row],[SyStudentId]],ISIR!$A$2:$X$4999,19,FALSE),"")</f>
        <v/>
      </c>
      <c r="AK81" s="113" t="str">
        <f>IFERROR(VLOOKUP(Table1[[#This Row],[SyStudentId]],ISIR!$A$2:$X$4999,8,FALSE),"")</f>
        <v/>
      </c>
      <c r="AL81" s="132" t="str">
        <f>IF(Table1[[#This Row],[VerReq]]="N","n/a","")</f>
        <v/>
      </c>
      <c r="AM81" s="122"/>
      <c r="AN81" s="122"/>
      <c r="AO81" s="122"/>
      <c r="AP81" s="122"/>
      <c r="AQ81" s="122"/>
      <c r="AR81" s="122"/>
      <c r="AS81" s="122"/>
      <c r="AT81" s="122"/>
      <c r="AU81" s="122"/>
      <c r="AV81" s="122"/>
      <c r="AW81" s="122"/>
      <c r="AX81" s="122"/>
      <c r="AY81" s="122"/>
      <c r="AZ81" s="122"/>
      <c r="BA81" s="122"/>
      <c r="BB81" s="122"/>
      <c r="BC81" s="133"/>
      <c r="BD81" s="140" t="str">
        <f>IF(Table1[[#This Row],[VerReq]]="N","x","")</f>
        <v/>
      </c>
      <c r="BE81" s="140" t="str">
        <f>IF(Table1[[#This Row],[VerReq]]="N","x","")</f>
        <v/>
      </c>
      <c r="BF81" s="140" t="str">
        <f>IF(Table1[[#This Row],[VerReq]]="N","x","")</f>
        <v/>
      </c>
      <c r="BG81" s="140" t="str">
        <f>IF(Table1[[#This Row],[VerReq]]="N","x","")</f>
        <v/>
      </c>
      <c r="BH81" s="140" t="str">
        <f>IF(Table1[[#This Row],[VerReq]]="N","x","")</f>
        <v/>
      </c>
      <c r="BI81" s="140" t="str">
        <f>IF(Table1[[#This Row],[VerReq]]="N","x","")</f>
        <v/>
      </c>
      <c r="BJ81" s="123">
        <f>1-((COUNTBLANK(Table1[[#This Row],[ALESent]:[TaxTran]]))/(COUNT(Table1[[#This Row],[ALESent]:[TaxTran]])+COUNTBLANK(Table1[[#This Row],[ALESent]:[TaxTran]])))</f>
        <v>0</v>
      </c>
      <c r="BK81" s="136">
        <f>IF(VLOOKUP(Table1[[#This Row],[SyStudentId]],SSR!$A$2:$CC$4982,22,FALSE)=44109,44109,"Check Program")</f>
        <v>44109</v>
      </c>
      <c r="BL81" s="124">
        <f>IF(Table1[[#This Row],[AYStart]]=44109,44356,"Check Program")</f>
        <v>44356</v>
      </c>
      <c r="BM81" s="219">
        <v>8505</v>
      </c>
      <c r="BN81" s="219">
        <v>8505</v>
      </c>
      <c r="BO81" s="219">
        <v>8505</v>
      </c>
      <c r="BP81" s="220">
        <f t="shared" si="3"/>
        <v>25515</v>
      </c>
      <c r="BQ81" s="221">
        <v>3300</v>
      </c>
      <c r="BR81" s="219">
        <v>400</v>
      </c>
      <c r="BS81" s="219">
        <v>400</v>
      </c>
      <c r="BT81" s="220">
        <f t="shared" si="4"/>
        <v>4100</v>
      </c>
      <c r="BU81" s="219">
        <v>2100</v>
      </c>
      <c r="BV81" s="219">
        <v>2100</v>
      </c>
      <c r="BW81" s="219">
        <v>2100</v>
      </c>
      <c r="BX81" s="220">
        <f t="shared" si="5"/>
        <v>6300</v>
      </c>
      <c r="BY81" s="275">
        <v>1200</v>
      </c>
      <c r="BZ81" s="275">
        <v>1200</v>
      </c>
      <c r="CA81" s="275">
        <v>1200</v>
      </c>
      <c r="CB81" s="220">
        <f>SUM(Table1[[#This Row],[LEQ1]:[LEQ3]])</f>
        <v>3600</v>
      </c>
      <c r="CC81" s="275">
        <v>0</v>
      </c>
      <c r="CD81" s="275">
        <v>0</v>
      </c>
      <c r="CE81" s="275">
        <v>0</v>
      </c>
      <c r="CF81" s="220">
        <f>SUM(Table1[[#This Row],[OthCostQ1]:[OthCostQ3]])</f>
        <v>0</v>
      </c>
      <c r="CG81" s="220">
        <f>(Table1[[#This Row],[T&amp;FTot]]+Table1[[#This Row],[B&amp;STot]]+Table1[[#This Row],[HousTot]]+Table1[[#This Row],[LETot]]+Table1[[#This Row],[OthCostTot]])</f>
        <v>39515</v>
      </c>
      <c r="CH81" s="250"/>
      <c r="CI81" s="250"/>
      <c r="CJ81" s="250"/>
      <c r="CK81" s="251">
        <f>SUM(Table1[[#This Row],[SEOGQ1]:[SEOGQ3]])</f>
        <v>0</v>
      </c>
      <c r="CL81" s="250">
        <f>IFERROR(ROUNDUP(Table1[[#This Row],[PellTot]]/3,0),0)</f>
        <v>0</v>
      </c>
      <c r="CM81" s="250">
        <f>IFERROR(ROUND(Table1[[#This Row],[PellTot]]/3,0),0)</f>
        <v>0</v>
      </c>
      <c r="CN81" s="250">
        <f>IFERROR(ROUNDDOWN(Table1[[#This Row],[PellTot]]/3,0),0)</f>
        <v>0</v>
      </c>
      <c r="CO81" s="251">
        <f>IFERROR(LOOKUP(Table1[EFC],Pell_Table[#Data],Pell_Table[Pell Amt]),0)</f>
        <v>0</v>
      </c>
      <c r="CP81" s="250">
        <f>Table1[[#This Row],[AccessTot]]/3</f>
        <v>0</v>
      </c>
      <c r="CQ81" s="250">
        <f>Table1[[#This Row],[AccessTot]]/3</f>
        <v>0</v>
      </c>
      <c r="CR81" s="250">
        <f>Table1[[#This Row],[AccessTot]]/3</f>
        <v>0</v>
      </c>
      <c r="CS81" s="251">
        <f>IF(Table1[[#This Row],[PellTot]]&gt;0,1500,0)</f>
        <v>0</v>
      </c>
      <c r="CT81" s="250">
        <f>Table1[[#This Row],[AchiTot]]/3</f>
        <v>750</v>
      </c>
      <c r="CU81" s="250">
        <f>Table1[[#This Row],[AchiTot]]/3</f>
        <v>750</v>
      </c>
      <c r="CV81" s="250">
        <f>Table1[[#This Row],[AchiTot]]/3</f>
        <v>750</v>
      </c>
      <c r="CW81" s="252">
        <f>IF(Table1[[#This Row],[Rank]]="","",IF(Table1[[#This Row],[Rank]]=1,5100,IF(Table1[[#This Row],[Rank]]=2,4500,IF(Table1[[#This Row],[Rank]]=3,3900,IF(Table1[[#This Row],[Rank]]=4,3750,IF(Table1[[#This Row],[Rank]]=5,3000,IF(Table1[[#This Row],[Rank]]=6,2250,0)))))))</f>
        <v>2250</v>
      </c>
      <c r="CX81" s="250">
        <f>Table1[[#This Row],[UTTot]]/3</f>
        <v>0</v>
      </c>
      <c r="CY81" s="250">
        <f>Table1[[#This Row],[UTTot]]/3</f>
        <v>0</v>
      </c>
      <c r="CZ81" s="250">
        <f>Table1[[#This Row],[UTTot]]/3</f>
        <v>0</v>
      </c>
      <c r="DA81" s="251">
        <f>IF(Table1[[#This Row],[State]]="UT",9000,0)</f>
        <v>0</v>
      </c>
      <c r="DB81" s="250">
        <f>Table1[[#This Row],[WITTot]]/3</f>
        <v>0</v>
      </c>
      <c r="DC81" s="250">
        <f>Table1[[#This Row],[WITTot]]/3</f>
        <v>0</v>
      </c>
      <c r="DD81" s="250">
        <f>Table1[[#This Row],[WITTot]]/3</f>
        <v>0</v>
      </c>
      <c r="DE81" s="251">
        <f>IF(Table1[[#This Row],[Gender]]="Female",3000,0)</f>
        <v>0</v>
      </c>
      <c r="DF81" s="250">
        <f>Table1[[#This Row],[SerTot]]/3</f>
        <v>0</v>
      </c>
      <c r="DG81" s="250">
        <f>Table1[[#This Row],[SerTot]]/3</f>
        <v>0</v>
      </c>
      <c r="DH81" s="250">
        <f>Table1[[#This Row],[SerTot]]/3</f>
        <v>0</v>
      </c>
      <c r="DI81" s="252"/>
      <c r="DJ81" s="250"/>
      <c r="DK81" s="250"/>
      <c r="DL81" s="250"/>
      <c r="DM81" s="252"/>
      <c r="DN81" s="250">
        <f>Table1[[#This Row],[MatTot]]/3</f>
        <v>0</v>
      </c>
      <c r="DO81" s="250">
        <f>Table1[[#This Row],[MatTot]]/3</f>
        <v>0</v>
      </c>
      <c r="DP81" s="250">
        <f>Table1[[#This Row],[MatTot]]/3</f>
        <v>0</v>
      </c>
      <c r="DQ81" s="277">
        <v>0</v>
      </c>
      <c r="DR81" s="250">
        <f>Table1[[#This Row],[OutTot]]/3</f>
        <v>0</v>
      </c>
      <c r="DS81" s="250">
        <f>Table1[[#This Row],[OutTot]]/3</f>
        <v>0</v>
      </c>
      <c r="DT81" s="250">
        <f>Table1[[#This Row],[OutTot]]/3</f>
        <v>0</v>
      </c>
      <c r="DU81" s="252">
        <v>0</v>
      </c>
      <c r="DV81" s="250">
        <v>0</v>
      </c>
      <c r="DW81" s="250">
        <v>0</v>
      </c>
      <c r="DX81" s="250">
        <v>0</v>
      </c>
      <c r="DY81" s="277">
        <f>SUM(Table1[[#This Row],[VAQ1]:[VAQ3]])</f>
        <v>0</v>
      </c>
      <c r="DZ81" s="250">
        <v>0</v>
      </c>
      <c r="EA81" s="250">
        <v>0</v>
      </c>
      <c r="EB81" s="250">
        <v>0</v>
      </c>
      <c r="EC81" s="252">
        <f>SUM(Table1[[#This Row],[OthGrantQ1]:[OthGrantQ3]])</f>
        <v>0</v>
      </c>
      <c r="ED81" s="263">
        <f>Table1[[#This Row],[SEOGTot]]+Table1[[#This Row],[PellTot]]+Table1[[#This Row],[AccessTot]]+Table1[[#This Row],[AchiTot]]+Table1[[#This Row],[UTTot]]+Table1[[#This Row],[WITTot]]+Table1[[#This Row],[SerTot]]+Table1[[#This Row],[TranTot]]+Table1[[#This Row],[MatTot]]+Table1[[#This Row],[OutTot]]+Table1[[#This Row],[VATot]]+Table1[[#This Row],[OthGrantTot]]</f>
        <v>2250</v>
      </c>
      <c r="EE81" s="249"/>
      <c r="EF81" s="237"/>
      <c r="EG81" s="237"/>
      <c r="EH81" s="232">
        <f>SUM(Table1[[#This Row],[CashQ1]]:Table1[[#This Row],[CashQ3]])</f>
        <v>0</v>
      </c>
      <c r="EI81" s="271">
        <f>ROUND((Table1[[#This Row],[SubTot]]/3)/1.01059,0)</f>
        <v>1154</v>
      </c>
      <c r="EJ81" s="234">
        <f>ROUND((Table1[[#This Row],[SubTot]]/3)/1.01059,0)</f>
        <v>1154</v>
      </c>
      <c r="EK81" s="234">
        <f>ROUNDUP((Table1[[#This Row],[SubTot]]/3)/1.01059,0)</f>
        <v>1155</v>
      </c>
      <c r="EL81" s="235">
        <v>3500</v>
      </c>
      <c r="EM81" s="240">
        <f>Table1[[#This Row],[SubTot]]*0.01059</f>
        <v>37.065000000000005</v>
      </c>
      <c r="EN81" s="234">
        <f>ROUND((Table1[[#This Row],[UnsubTot]]/3)/1.01062,0)</f>
        <v>660</v>
      </c>
      <c r="EO81" s="234">
        <f>ROUND((Table1[[#This Row],[UnsubTot]]/3)/1.01062,0)</f>
        <v>660</v>
      </c>
      <c r="EP81" s="234">
        <f>ROUNDDOWN((Table1[[#This Row],[UnsubTot]]/3)/1.01062,0)</f>
        <v>659</v>
      </c>
      <c r="EQ81" s="235">
        <f>IF(Table1[D/I]="I",6000,2000)</f>
        <v>2000</v>
      </c>
      <c r="ER81" s="240">
        <f>Table1[[#This Row],[UnsubTot]]*0.01059</f>
        <v>21.18</v>
      </c>
      <c r="ES81" s="234">
        <f>ROUND((Table1[[#This Row],[PLUSTot]]/3)/1.04236,0)</f>
        <v>0</v>
      </c>
      <c r="ET81" s="234">
        <f>ROUND((Table1[[#This Row],[PLUSTot]]/3)/1.04236,0)</f>
        <v>0</v>
      </c>
      <c r="EU81" s="234">
        <f>ROUND((Table1[[#This Row],[PLUSTot]]/3)/1.04236,0)</f>
        <v>0</v>
      </c>
      <c r="EV81" s="235">
        <v>0</v>
      </c>
      <c r="EW81" s="239">
        <f>Table1[[#This Row],[PLUSTot]]*0.04248</f>
        <v>0</v>
      </c>
      <c r="EX81" s="237"/>
      <c r="EY81" s="237"/>
      <c r="EZ81" s="237"/>
      <c r="FA81" s="232">
        <f>SUM(Table1[[#This Row],[PrivQ1]:[PrivQ3]])</f>
        <v>0</v>
      </c>
      <c r="FB81" s="237"/>
      <c r="FC81" s="237"/>
      <c r="FD81" s="237"/>
      <c r="FE81" s="232">
        <f>SUM(Table1[[#This Row],[TOQ1]:[TOQ3]])</f>
        <v>0</v>
      </c>
      <c r="FF81" s="237"/>
      <c r="FG81" s="237"/>
      <c r="FH81" s="237"/>
      <c r="FI81" s="232">
        <f>SUM(Table1[[#This Row],[OFundQ1]:[OFundQ3]])</f>
        <v>0</v>
      </c>
      <c r="FJ81" s="239">
        <f>(Table1[[#This Row],[SubTot]]-Table1[[#This Row],[SubFee]])+(Table1[[#This Row],[UnsubTot]]-Table1[[#This Row],[UnsubFee]])+(Table1[[#This Row],[PLUSTot]]-Table1[[#This Row],[PLUSFee]])+Table1[[#This Row],[PrivTot]]+Table1[[#This Row],[TOTot]]+Table1[[#This Row],[OFundTot]]</f>
        <v>5441.7550000000001</v>
      </c>
      <c r="FK81" s="125">
        <f>Table1[[#This Row],[CostTot]]-Table1[[#This Row],[GiftTot]]</f>
        <v>37265</v>
      </c>
      <c r="FL81" s="130">
        <f>Table1[[#This Row],[NetNeed]]/(1-0.04248)</f>
        <v>33235.070807920463</v>
      </c>
      <c r="FM81" s="131">
        <f>Table1[[#This Row],[NetCost]]-Table1[[#This Row],[CashTot]]-(Table1[[#This Row],[SubTot]]-Table1[[#This Row],[SubFee]])-(Table1[[#This Row],[UnsubTot]]-Table1[[#This Row],[UnsubFee]])-(Table1[[#This Row],[PLUSTot]]-Table1[[#This Row],[PLUSFee]])-Table1[[#This Row],[PrivTot]]-Table1[[#This Row],[TOTot]]-Table1[[#This Row],[OFundTot]]</f>
        <v>31823.245000000003</v>
      </c>
      <c r="FN81" s="156"/>
      <c r="FO81" s="113"/>
      <c r="FP81" s="113"/>
    </row>
    <row r="82" spans="1:172" s="160" customFormat="1" ht="15" x14ac:dyDescent="0.25">
      <c r="A82" s="316">
        <v>195988</v>
      </c>
      <c r="B82" s="113" t="str">
        <f>VLOOKUP(Table1[[#This Row],[SyStudentId]],SSR!$A$2:$CC$4982,4,FALSE)</f>
        <v>Popowski</v>
      </c>
      <c r="C82" s="113" t="str">
        <f>VLOOKUP(Table1[[#This Row],[SyStudentId]],SSR!$A$2:$CC$4982,5,FALSE)</f>
        <v>Natalie</v>
      </c>
      <c r="D82" s="113" t="str">
        <f>VLOOKUP(Table1[[#This Row],[SyStudentId]],SSR!$A$2:$CC$4982,6,FALSE)</f>
        <v>Popowski, Natalie</v>
      </c>
      <c r="E82" s="113" t="str">
        <f>CONCATENATE(Table1[[#This Row],[FirstName]]," ",Table1[[#This Row],[LastName]])</f>
        <v>Natalie Popowski</v>
      </c>
      <c r="F82" s="112">
        <v>1</v>
      </c>
      <c r="G82" s="114"/>
      <c r="H82" s="114"/>
      <c r="I82" s="114">
        <v>43780</v>
      </c>
      <c r="J82" s="115"/>
      <c r="K82" s="116"/>
      <c r="L82" s="112" t="str">
        <f>IFERROR(VLOOKUP(Table1[[#This Row],[SyStudentId]],ISIR!$A$2:$X$999,11,FALSE),"")</f>
        <v>D</v>
      </c>
      <c r="M82" s="113" t="str">
        <f>VLOOKUP(Table1[[#This Row],[SyStudentId]],SSR!$A$2:$CC$4982,7,FALSE)</f>
        <v>natalievpopowski@gmail.com</v>
      </c>
      <c r="N82" s="113" t="str">
        <f>VLOOKUP(Table1[[#This Row],[SyStudentId]],SSR!$A$2:$CC$4982,8,FALSE)</f>
        <v>1725 Clark Ave</v>
      </c>
      <c r="O82" s="113" t="str">
        <f>VLOOKUP(Table1[[#This Row],[SyStudentId]],SSR!$A$2:$CC$4982,9,FALSE)</f>
        <v>Cottage Grove</v>
      </c>
      <c r="P82" s="290" t="str">
        <f>VLOOKUP(Table1[[#This Row],[SyStudentId]],SSR!$A$2:$CC$4982,10,FALSE)</f>
        <v>OR</v>
      </c>
      <c r="Q82" s="117" t="str">
        <f>VLOOKUP(Table1[[#This Row],[SyStudentId]],SSR!$A$2:$CC$4982,11,FALSE)</f>
        <v xml:space="preserve">97424     </v>
      </c>
      <c r="R82" s="118">
        <f>VLOOKUP(Table1[[#This Row],[SyStudentId]],SSR!$A$2:$CC$4982,15,FALSE)</f>
        <v>3.67</v>
      </c>
      <c r="S82" s="119">
        <f>VLOOKUP(Table1[[#This Row],[SyStudentId]],SSR!$A$2:$CC$4982,22,FALSE)</f>
        <v>44109</v>
      </c>
      <c r="T82" s="113" t="str">
        <f>VLOOKUP(Table1[[#This Row],[SyStudentId]],SSR!$A$2:$CC$4982,24,FALSE)</f>
        <v>MN</v>
      </c>
      <c r="U82" s="113" t="str">
        <f>IF(VLOOKUP(Table1[[#This Row],[SyStudentId]],SSR!$A$2:$CC$4982,26,FALSE)=0,"Not Selected",VLOOKUP(Table1[[#This Row],[SyStudentId]],SSR!$A$2:$CC$4982,26,FALSE))</f>
        <v>Female</v>
      </c>
      <c r="V82" s="113" t="str">
        <f>VLOOKUP(Table1[[#This Row],[SyStudentId]],SSR!$A$2:$CC$4982,27,FALSE)</f>
        <v xml:space="preserve">HS2020  </v>
      </c>
      <c r="W82" s="113" t="str">
        <f>VLOOKUP(LEFT(Table1[[#This Row],[LastName]],1),Alpha!$A$1:$B$26,2,FALSE)</f>
        <v>Maureen Ranks</v>
      </c>
      <c r="X82" s="149" t="str">
        <f>VLOOKUP(Table1[[#This Row],[FAA]],Alpha!$B$1:$D$26,2,FALSE)</f>
        <v>mranks@neumont.edu</v>
      </c>
      <c r="Y82" s="113">
        <f>VLOOKUP(Table1[[#This Row],[FAA]],Alpha!$B$1:$D$26,3,FALSE)</f>
        <v>8883022894</v>
      </c>
      <c r="Z82" s="113" t="str">
        <f>VLOOKUP(Table1[[#This Row],[SyStudentId]],SSR!$A$2:$CC$4982,30,FALSE)</f>
        <v>16-Accepted</v>
      </c>
      <c r="AA82" s="113" t="str">
        <f>IF(VLOOKUP(Table1[[#This Row],[SyStudentId]],SSR!$A$2:$CC$4982,36,FALSE)="Bachelor of Science","BS Computer Science","Check Program")</f>
        <v>BS Computer Science</v>
      </c>
      <c r="AB82" s="113">
        <f>VLOOKUP(Table1[[#This Row],[SyStudentId]],SSR!$A$2:$CC$4982,37,FALSE)</f>
        <v>0</v>
      </c>
      <c r="AC82" s="113">
        <f>VLOOKUP(Table1[[#This Row],[SyStudentId]],SSR!$A$2:$CC$4982,42,FALSE)</f>
        <v>0</v>
      </c>
      <c r="AD82" s="113" t="str">
        <f>VLOOKUP(Table1[[#This Row],[SyStudentId]],SSR!$A$2:$CC$4982,46,FALSE)</f>
        <v>0</v>
      </c>
      <c r="AE82" s="113" t="str">
        <f>VLOOKUP(Table1[[#This Row],[SyStudentId]],SSR!$A$2:$CC$4982,65,FALSE)</f>
        <v>V</v>
      </c>
      <c r="AF82"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5</v>
      </c>
      <c r="AG82" s="113" t="str">
        <f>VLOOKUP(Table1[[#This Row],[SyStudentId]],SSR!$A$2:$CC$4982,66,FALSE)</f>
        <v>July-October</v>
      </c>
      <c r="AH82" s="113" t="str">
        <f>IFERROR(VLOOKUP(Table1[[#This Row],[SyStudentId]],ISIR!$A$2:$X$999,7,FALSE),"")</f>
        <v>000000</v>
      </c>
      <c r="AI82" s="121">
        <f>IF(Table1[[#This Row],[EFCRaw]]="","",IF(Table1[[#This Row],[EFCRaw]]="No EFC","No EFC",_xlfn.NUMBERVALUE(Table1[[#This Row],[EFCRaw]])))</f>
        <v>0</v>
      </c>
      <c r="AJ82" s="119">
        <f>IFERROR(VLOOKUP(Table1[[#This Row],[SyStudentId]],ISIR!$A$2:$X$4999,19,FALSE),"")</f>
        <v>43783</v>
      </c>
      <c r="AK82" s="113" t="str">
        <f>IFERROR(VLOOKUP(Table1[[#This Row],[SyStudentId]],ISIR!$A$2:$X$4999,8,FALSE),"")</f>
        <v>N</v>
      </c>
      <c r="AL82" s="132" t="str">
        <f>IF(Table1[[#This Row],[VerReq]]="N","n/a","")</f>
        <v>n/a</v>
      </c>
      <c r="AM82" s="122"/>
      <c r="AN82" s="122"/>
      <c r="AO82" s="122">
        <v>43777</v>
      </c>
      <c r="AP82" s="122"/>
      <c r="AQ82" s="122"/>
      <c r="AR82" s="122"/>
      <c r="AS82" s="122"/>
      <c r="AT82" s="122"/>
      <c r="AU82" s="122"/>
      <c r="AV82" s="122"/>
      <c r="AW82" s="122"/>
      <c r="AX82" s="122"/>
      <c r="AY82" s="122"/>
      <c r="AZ82" s="122"/>
      <c r="BA82" s="122"/>
      <c r="BB82" s="122"/>
      <c r="BC82" s="133"/>
      <c r="BD82" s="140" t="str">
        <f>IF(Table1[[#This Row],[VerReq]]="N","x","")</f>
        <v>x</v>
      </c>
      <c r="BE82" s="140" t="str">
        <f>IF(Table1[[#This Row],[VerReq]]="N","x","")</f>
        <v>x</v>
      </c>
      <c r="BF82" s="140" t="str">
        <f>IF(Table1[[#This Row],[VerReq]]="N","x","")</f>
        <v>x</v>
      </c>
      <c r="BG82" s="140" t="str">
        <f>IF(Table1[[#This Row],[VerReq]]="N","x","")</f>
        <v>x</v>
      </c>
      <c r="BH82" s="140" t="str">
        <f>IF(Table1[[#This Row],[VerReq]]="N","x","")</f>
        <v>x</v>
      </c>
      <c r="BI82" s="140" t="str">
        <f>IF(Table1[[#This Row],[VerReq]]="N","x","")</f>
        <v>x</v>
      </c>
      <c r="BJ82" s="123">
        <f>1-((COUNTBLANK(Table1[[#This Row],[ALESent]:[TaxTran]]))/(COUNT(Table1[[#This Row],[ALESent]:[TaxTran]])+COUNTBLANK(Table1[[#This Row],[ALESent]:[TaxTran]])))</f>
        <v>5.8823529411764719E-2</v>
      </c>
      <c r="BK82" s="136">
        <f>IF(VLOOKUP(Table1[[#This Row],[SyStudentId]],SSR!$A$2:$CC$4982,22,FALSE)=44109,44109,"Check Program")</f>
        <v>44109</v>
      </c>
      <c r="BL82" s="124">
        <f>IF(Table1[[#This Row],[AYStart]]=44109,44356,"Check Program")</f>
        <v>44356</v>
      </c>
      <c r="BM82" s="219">
        <v>8505</v>
      </c>
      <c r="BN82" s="219">
        <v>8505</v>
      </c>
      <c r="BO82" s="219">
        <v>8505</v>
      </c>
      <c r="BP82" s="220">
        <f t="shared" si="3"/>
        <v>25515</v>
      </c>
      <c r="BQ82" s="221">
        <v>3300</v>
      </c>
      <c r="BR82" s="219">
        <v>400</v>
      </c>
      <c r="BS82" s="219">
        <v>400</v>
      </c>
      <c r="BT82" s="220">
        <f t="shared" si="4"/>
        <v>4100</v>
      </c>
      <c r="BU82" s="219">
        <v>2100</v>
      </c>
      <c r="BV82" s="219">
        <v>2100</v>
      </c>
      <c r="BW82" s="219">
        <v>2100</v>
      </c>
      <c r="BX82" s="220">
        <f t="shared" si="5"/>
        <v>6300</v>
      </c>
      <c r="BY82" s="275">
        <v>1200</v>
      </c>
      <c r="BZ82" s="275">
        <v>1200</v>
      </c>
      <c r="CA82" s="275">
        <v>1200</v>
      </c>
      <c r="CB82" s="220">
        <f>SUM(Table1[[#This Row],[LEQ1]:[LEQ3]])</f>
        <v>3600</v>
      </c>
      <c r="CC82" s="275">
        <v>0</v>
      </c>
      <c r="CD82" s="275">
        <v>0</v>
      </c>
      <c r="CE82" s="275">
        <v>0</v>
      </c>
      <c r="CF82" s="220">
        <f>SUM(Table1[[#This Row],[OthCostQ1]:[OthCostQ3]])</f>
        <v>0</v>
      </c>
      <c r="CG82" s="220">
        <f>(Table1[[#This Row],[T&amp;FTot]]+Table1[[#This Row],[B&amp;STot]]+Table1[[#This Row],[HousTot]]+Table1[[#This Row],[LETot]]+Table1[[#This Row],[OthCostTot]])</f>
        <v>39515</v>
      </c>
      <c r="CH82" s="250"/>
      <c r="CI82" s="250"/>
      <c r="CJ82" s="250"/>
      <c r="CK82" s="251">
        <f>SUM(Table1[[#This Row],[SEOGQ1]:[SEOGQ3]])</f>
        <v>0</v>
      </c>
      <c r="CL82" s="250">
        <f>IFERROR(ROUNDUP(Table1[[#This Row],[PellTot]]/3,0),0)</f>
        <v>2065</v>
      </c>
      <c r="CM82" s="250">
        <f>IFERROR(ROUND(Table1[[#This Row],[PellTot]]/3,0),0)</f>
        <v>2065</v>
      </c>
      <c r="CN82" s="250">
        <f>IFERROR(ROUNDDOWN(Table1[[#This Row],[PellTot]]/3,0),0)</f>
        <v>2065</v>
      </c>
      <c r="CO82" s="251">
        <f>IFERROR(LOOKUP(Table1[EFC],Pell_Table[#Data],Pell_Table[Pell Amt]),0)</f>
        <v>6195</v>
      </c>
      <c r="CP82" s="250">
        <f>Table1[[#This Row],[AccessTot]]/3</f>
        <v>500</v>
      </c>
      <c r="CQ82" s="250">
        <f>Table1[[#This Row],[AccessTot]]/3</f>
        <v>500</v>
      </c>
      <c r="CR82" s="250">
        <f>Table1[[#This Row],[AccessTot]]/3</f>
        <v>500</v>
      </c>
      <c r="CS82" s="251">
        <f>IF(Table1[[#This Row],[PellTot]]&gt;0,1500,0)</f>
        <v>1500</v>
      </c>
      <c r="CT82" s="250">
        <f>Table1[[#This Row],[AchiTot]]/3</f>
        <v>1000</v>
      </c>
      <c r="CU82" s="250">
        <f>Table1[[#This Row],[AchiTot]]/3</f>
        <v>1000</v>
      </c>
      <c r="CV82" s="250">
        <f>Table1[[#This Row],[AchiTot]]/3</f>
        <v>1000</v>
      </c>
      <c r="CW82" s="252">
        <f>IF(Table1[[#This Row],[Rank]]="","",IF(Table1[[#This Row],[Rank]]=1,5100,IF(Table1[[#This Row],[Rank]]=2,4500,IF(Table1[[#This Row],[Rank]]=3,3900,IF(Table1[[#This Row],[Rank]]=4,3750,IF(Table1[[#This Row],[Rank]]=5,3000,IF(Table1[[#This Row],[Rank]]=6,2250,0)))))))</f>
        <v>3000</v>
      </c>
      <c r="CX82" s="250">
        <f>Table1[[#This Row],[UTTot]]/3</f>
        <v>0</v>
      </c>
      <c r="CY82" s="250">
        <f>Table1[[#This Row],[UTTot]]/3</f>
        <v>0</v>
      </c>
      <c r="CZ82" s="250">
        <f>Table1[[#This Row],[UTTot]]/3</f>
        <v>0</v>
      </c>
      <c r="DA82" s="251">
        <f>IF(Table1[[#This Row],[State]]="UT",9000,0)</f>
        <v>0</v>
      </c>
      <c r="DB82" s="250">
        <f>Table1[[#This Row],[WITTot]]/3</f>
        <v>1000</v>
      </c>
      <c r="DC82" s="250">
        <f>Table1[[#This Row],[WITTot]]/3</f>
        <v>1000</v>
      </c>
      <c r="DD82" s="250">
        <f>Table1[[#This Row],[WITTot]]/3</f>
        <v>1000</v>
      </c>
      <c r="DE82" s="251">
        <f>IF(Table1[[#This Row],[Gender]]="Female",3000,0)</f>
        <v>3000</v>
      </c>
      <c r="DF82" s="250">
        <f>Table1[[#This Row],[SerTot]]/3</f>
        <v>0</v>
      </c>
      <c r="DG82" s="250">
        <f>Table1[[#This Row],[SerTot]]/3</f>
        <v>0</v>
      </c>
      <c r="DH82" s="250">
        <f>Table1[[#This Row],[SerTot]]/3</f>
        <v>0</v>
      </c>
      <c r="DI82" s="252"/>
      <c r="DJ82" s="250"/>
      <c r="DK82" s="250"/>
      <c r="DL82" s="250"/>
      <c r="DM82" s="252"/>
      <c r="DN82" s="250">
        <f>Table1[[#This Row],[MatTot]]/3</f>
        <v>0</v>
      </c>
      <c r="DO82" s="250">
        <f>Table1[[#This Row],[MatTot]]/3</f>
        <v>0</v>
      </c>
      <c r="DP82" s="250">
        <f>Table1[[#This Row],[MatTot]]/3</f>
        <v>0</v>
      </c>
      <c r="DQ82" s="277">
        <v>0</v>
      </c>
      <c r="DR82" s="250">
        <f>Table1[[#This Row],[OutTot]]/3</f>
        <v>0</v>
      </c>
      <c r="DS82" s="250">
        <f>Table1[[#This Row],[OutTot]]/3</f>
        <v>0</v>
      </c>
      <c r="DT82" s="250">
        <f>Table1[[#This Row],[OutTot]]/3</f>
        <v>0</v>
      </c>
      <c r="DU82" s="252">
        <v>0</v>
      </c>
      <c r="DV82" s="250">
        <v>0</v>
      </c>
      <c r="DW82" s="250">
        <v>0</v>
      </c>
      <c r="DX82" s="250">
        <v>0</v>
      </c>
      <c r="DY82" s="277">
        <f>SUM(Table1[[#This Row],[VAQ1]:[VAQ3]])</f>
        <v>0</v>
      </c>
      <c r="DZ82" s="250">
        <v>0</v>
      </c>
      <c r="EA82" s="250">
        <v>0</v>
      </c>
      <c r="EB82" s="250">
        <v>0</v>
      </c>
      <c r="EC82" s="252">
        <f>SUM(Table1[[#This Row],[OthGrantQ1]:[OthGrantQ3]])</f>
        <v>0</v>
      </c>
      <c r="ED82" s="263">
        <f>Table1[[#This Row],[SEOGTot]]+Table1[[#This Row],[PellTot]]+Table1[[#This Row],[AccessTot]]+Table1[[#This Row],[AchiTot]]+Table1[[#This Row],[UTTot]]+Table1[[#This Row],[WITTot]]+Table1[[#This Row],[SerTot]]+Table1[[#This Row],[TranTot]]+Table1[[#This Row],[MatTot]]+Table1[[#This Row],[OutTot]]+Table1[[#This Row],[VATot]]+Table1[[#This Row],[OthGrantTot]]</f>
        <v>13695</v>
      </c>
      <c r="EE82" s="249"/>
      <c r="EF82" s="237"/>
      <c r="EG82" s="237"/>
      <c r="EH82" s="232">
        <f>SUM(Table1[[#This Row],[CashQ1]]:Table1[[#This Row],[CashQ3]])</f>
        <v>0</v>
      </c>
      <c r="EI82" s="271">
        <f>ROUND((Table1[[#This Row],[SubTot]]/3)/1.01059,0)</f>
        <v>1154</v>
      </c>
      <c r="EJ82" s="234">
        <f>ROUND((Table1[[#This Row],[SubTot]]/3)/1.01059,0)</f>
        <v>1154</v>
      </c>
      <c r="EK82" s="234">
        <f>ROUNDUP((Table1[[#This Row],[SubTot]]/3)/1.01059,0)</f>
        <v>1155</v>
      </c>
      <c r="EL82" s="235">
        <v>3500</v>
      </c>
      <c r="EM82" s="240">
        <f>Table1[[#This Row],[SubTot]]*0.01059</f>
        <v>37.065000000000005</v>
      </c>
      <c r="EN82" s="234">
        <f>ROUND((Table1[[#This Row],[UnsubTot]]/3)/1.01062,0)</f>
        <v>660</v>
      </c>
      <c r="EO82" s="234">
        <f>ROUND((Table1[[#This Row],[UnsubTot]]/3)/1.01062,0)</f>
        <v>660</v>
      </c>
      <c r="EP82" s="234">
        <f>ROUNDDOWN((Table1[[#This Row],[UnsubTot]]/3)/1.01062,0)</f>
        <v>659</v>
      </c>
      <c r="EQ82" s="235">
        <f>IF(Table1[D/I]="I",6000,2000)</f>
        <v>2000</v>
      </c>
      <c r="ER82" s="240">
        <f>Table1[[#This Row],[UnsubTot]]*0.01059</f>
        <v>21.18</v>
      </c>
      <c r="ES82" s="234">
        <f>ROUND((Table1[[#This Row],[PLUSTot]]/3)/1.04236,0)</f>
        <v>0</v>
      </c>
      <c r="ET82" s="234">
        <f>ROUND((Table1[[#This Row],[PLUSTot]]/3)/1.04236,0)</f>
        <v>0</v>
      </c>
      <c r="EU82" s="234">
        <f>ROUND((Table1[[#This Row],[PLUSTot]]/3)/1.04236,0)</f>
        <v>0</v>
      </c>
      <c r="EV82" s="235">
        <v>0</v>
      </c>
      <c r="EW82" s="239">
        <f>Table1[[#This Row],[PLUSTot]]*0.04248</f>
        <v>0</v>
      </c>
      <c r="EX82" s="237"/>
      <c r="EY82" s="237"/>
      <c r="EZ82" s="237"/>
      <c r="FA82" s="232">
        <f>SUM(Table1[[#This Row],[PrivQ1]:[PrivQ3]])</f>
        <v>0</v>
      </c>
      <c r="FB82" s="237"/>
      <c r="FC82" s="237"/>
      <c r="FD82" s="237"/>
      <c r="FE82" s="232">
        <f>SUM(Table1[[#This Row],[TOQ1]:[TOQ3]])</f>
        <v>0</v>
      </c>
      <c r="FF82" s="237"/>
      <c r="FG82" s="237"/>
      <c r="FH82" s="237"/>
      <c r="FI82" s="232">
        <f>SUM(Table1[[#This Row],[OFundQ1]:[OFundQ3]])</f>
        <v>0</v>
      </c>
      <c r="FJ82" s="239">
        <f>(Table1[[#This Row],[SubTot]]-Table1[[#This Row],[SubFee]])+(Table1[[#This Row],[UnsubTot]]-Table1[[#This Row],[UnsubFee]])+(Table1[[#This Row],[PLUSTot]]-Table1[[#This Row],[PLUSFee]])+Table1[[#This Row],[PrivTot]]+Table1[[#This Row],[TOTot]]+Table1[[#This Row],[OFundTot]]</f>
        <v>5441.7550000000001</v>
      </c>
      <c r="FK82" s="125">
        <f>Table1[[#This Row],[CostTot]]-Table1[[#This Row],[GiftTot]]</f>
        <v>25820</v>
      </c>
      <c r="FL82" s="130">
        <f>Table1[[#This Row],[NetNeed]]/(1-0.04248)</f>
        <v>21282.317862812262</v>
      </c>
      <c r="FM82" s="131">
        <f>Table1[[#This Row],[NetCost]]-Table1[[#This Row],[CashTot]]-(Table1[[#This Row],[SubTot]]-Table1[[#This Row],[SubFee]])-(Table1[[#This Row],[UnsubTot]]-Table1[[#This Row],[UnsubFee]])-(Table1[[#This Row],[PLUSTot]]-Table1[[#This Row],[PLUSFee]])-Table1[[#This Row],[PrivTot]]-Table1[[#This Row],[TOTot]]-Table1[[#This Row],[OFundTot]]</f>
        <v>20378.244999999999</v>
      </c>
      <c r="FN82" s="161"/>
      <c r="FO82" s="113"/>
      <c r="FP82" s="113"/>
    </row>
    <row r="83" spans="1:172" s="160" customFormat="1" ht="15" x14ac:dyDescent="0.25">
      <c r="A83" s="316">
        <v>196949</v>
      </c>
      <c r="B83" s="113" t="str">
        <f>VLOOKUP(Table1[[#This Row],[SyStudentId]],SSR!$A$2:$CC$4982,4,FALSE)</f>
        <v>Potter</v>
      </c>
      <c r="C83" s="113" t="str">
        <f>VLOOKUP(Table1[[#This Row],[SyStudentId]],SSR!$A$2:$CC$4982,5,FALSE)</f>
        <v>Nayeli</v>
      </c>
      <c r="D83" s="113" t="str">
        <f>VLOOKUP(Table1[[#This Row],[SyStudentId]],SSR!$A$2:$CC$4982,6,FALSE)</f>
        <v>Potter, Nayeli</v>
      </c>
      <c r="E83" s="113" t="str">
        <f>CONCATENATE(Table1[[#This Row],[FirstName]]," ",Table1[[#This Row],[LastName]])</f>
        <v>Nayeli Potter</v>
      </c>
      <c r="F83" s="112"/>
      <c r="G83" s="114"/>
      <c r="H83" s="114"/>
      <c r="I83" s="114"/>
      <c r="J83" s="115"/>
      <c r="K83" s="116"/>
      <c r="L83" s="112" t="str">
        <f>IFERROR(VLOOKUP(Table1[[#This Row],[SyStudentId]],ISIR!$A$2:$X$999,11,FALSE),"")</f>
        <v/>
      </c>
      <c r="M83" s="113" t="str">
        <f>VLOOKUP(Table1[[#This Row],[SyStudentId]],SSR!$A$2:$CC$4982,7,FALSE)</f>
        <v>nayelipotter2002@gmail.com</v>
      </c>
      <c r="N83" s="113" t="str">
        <f>VLOOKUP(Table1[[#This Row],[SyStudentId]],SSR!$A$2:$CC$4982,8,FALSE)</f>
        <v>14 Easton St. Apt 3</v>
      </c>
      <c r="O83" s="113" t="str">
        <f>VLOOKUP(Table1[[#This Row],[SyStudentId]],SSR!$A$2:$CC$4982,9,FALSE)</f>
        <v>Lawrence</v>
      </c>
      <c r="P83" s="113" t="str">
        <f>VLOOKUP(Table1[[#This Row],[SyStudentId]],SSR!$A$2:$CC$4982,10,FALSE)</f>
        <v>MA</v>
      </c>
      <c r="Q83" s="117" t="str">
        <f>VLOOKUP(Table1[[#This Row],[SyStudentId]],SSR!$A$2:$CC$4982,11,FALSE)</f>
        <v xml:space="preserve">01843     </v>
      </c>
      <c r="R83" s="118">
        <f>VLOOKUP(Table1[[#This Row],[SyStudentId]],SSR!$A$2:$CC$4982,15,FALSE)</f>
        <v>2.8</v>
      </c>
      <c r="S83" s="119">
        <f>VLOOKUP(Table1[[#This Row],[SyStudentId]],SSR!$A$2:$CC$4982,22,FALSE)</f>
        <v>44109</v>
      </c>
      <c r="T83" s="113" t="str">
        <f>VLOOKUP(Table1[[#This Row],[SyStudentId]],SSR!$A$2:$CC$4982,24,FALSE)</f>
        <v>GM</v>
      </c>
      <c r="U83" s="113" t="str">
        <f>IF(VLOOKUP(Table1[[#This Row],[SyStudentId]],SSR!$A$2:$CC$4982,26,FALSE)=0,"Not Selected",VLOOKUP(Table1[[#This Row],[SyStudentId]],SSR!$A$2:$CC$4982,26,FALSE))</f>
        <v>Female</v>
      </c>
      <c r="V83" s="113" t="str">
        <f>VLOOKUP(Table1[[#This Row],[SyStudentId]],SSR!$A$2:$CC$4982,27,FALSE)</f>
        <v xml:space="preserve">HS2020  </v>
      </c>
      <c r="W83" s="113" t="str">
        <f>VLOOKUP(LEFT(Table1[[#This Row],[LastName]],1),Alpha!$A$1:$B$26,2,FALSE)</f>
        <v>Maureen Ranks</v>
      </c>
      <c r="X83" s="149" t="str">
        <f>VLOOKUP(Table1[[#This Row],[FAA]],Alpha!$B$1:$D$26,2,FALSE)</f>
        <v>mranks@neumont.edu</v>
      </c>
      <c r="Y83" s="113">
        <f>VLOOKUP(Table1[[#This Row],[FAA]],Alpha!$B$1:$D$26,3,FALSE)</f>
        <v>8883022894</v>
      </c>
      <c r="Z83" s="113" t="str">
        <f>VLOOKUP(Table1[[#This Row],[SyStudentId]],SSR!$A$2:$CC$4982,30,FALSE)</f>
        <v>16-Accepted</v>
      </c>
      <c r="AA83" s="113" t="str">
        <f>IF(VLOOKUP(Table1[[#This Row],[SyStudentId]],SSR!$A$2:$CC$4982,36,FALSE)="Bachelor of Science","BS Computer Science","Check Program")</f>
        <v>BS Computer Science</v>
      </c>
      <c r="AB83" s="113">
        <f>VLOOKUP(Table1[[#This Row],[SyStudentId]],SSR!$A$2:$CC$4982,37,FALSE)</f>
        <v>0</v>
      </c>
      <c r="AC83" s="113">
        <f>VLOOKUP(Table1[[#This Row],[SyStudentId]],SSR!$A$2:$CC$4982,42,FALSE)</f>
        <v>0</v>
      </c>
      <c r="AD83" s="113" t="str">
        <f>VLOOKUP(Table1[[#This Row],[SyStudentId]],SSR!$A$2:$CC$4982,46,FALSE)</f>
        <v>0</v>
      </c>
      <c r="AE83" s="113" t="str">
        <f>VLOOKUP(Table1[[#This Row],[SyStudentId]],SSR!$A$2:$CC$4982,65,FALSE)</f>
        <v>IX</v>
      </c>
      <c r="AF8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83" s="113" t="str">
        <f>VLOOKUP(Table1[[#This Row],[SyStudentId]],SSR!$A$2:$CC$4982,66,FALSE)</f>
        <v>July-October</v>
      </c>
      <c r="AH83" s="113" t="str">
        <f>IFERROR(VLOOKUP(Table1[[#This Row],[SyStudentId]],ISIR!$A$2:$X$999,7,FALSE),"")</f>
        <v/>
      </c>
      <c r="AI83" s="121" t="str">
        <f>IF(Table1[[#This Row],[EFCRaw]]="","",IF(Table1[[#This Row],[EFCRaw]]="No EFC","No EFC",_xlfn.NUMBERVALUE(Table1[[#This Row],[EFCRaw]])))</f>
        <v/>
      </c>
      <c r="AJ83" s="119" t="str">
        <f>IFERROR(VLOOKUP(Table1[[#This Row],[SyStudentId]],ISIR!$A$2:$X$4999,19,FALSE),"")</f>
        <v/>
      </c>
      <c r="AK83" s="113" t="str">
        <f>IFERROR(VLOOKUP(Table1[[#This Row],[SyStudentId]],ISIR!$A$2:$X$4999,8,FALSE),"")</f>
        <v/>
      </c>
      <c r="AL83" s="132" t="str">
        <f>IF(Table1[[#This Row],[VerReq]]="N","n/a","")</f>
        <v/>
      </c>
      <c r="AM83" s="122"/>
      <c r="AN83" s="122"/>
      <c r="AO83" s="122"/>
      <c r="AP83" s="122"/>
      <c r="AQ83" s="122"/>
      <c r="AR83" s="122"/>
      <c r="AS83" s="122"/>
      <c r="AT83" s="122"/>
      <c r="AU83" s="122"/>
      <c r="AV83" s="122"/>
      <c r="AW83" s="122"/>
      <c r="AX83" s="122"/>
      <c r="AY83" s="122"/>
      <c r="AZ83" s="122"/>
      <c r="BA83" s="122"/>
      <c r="BB83" s="122"/>
      <c r="BC83" s="133"/>
      <c r="BD83" s="140" t="str">
        <f>IF(Table1[[#This Row],[VerReq]]="N","x","")</f>
        <v/>
      </c>
      <c r="BE83" s="140" t="str">
        <f>IF(Table1[[#This Row],[VerReq]]="N","x","")</f>
        <v/>
      </c>
      <c r="BF83" s="140" t="str">
        <f>IF(Table1[[#This Row],[VerReq]]="N","x","")</f>
        <v/>
      </c>
      <c r="BG83" s="140" t="str">
        <f>IF(Table1[[#This Row],[VerReq]]="N","x","")</f>
        <v/>
      </c>
      <c r="BH83" s="140" t="str">
        <f>IF(Table1[[#This Row],[VerReq]]="N","x","")</f>
        <v/>
      </c>
      <c r="BI83" s="140" t="str">
        <f>IF(Table1[[#This Row],[VerReq]]="N","x","")</f>
        <v/>
      </c>
      <c r="BJ83" s="123">
        <f>1-((COUNTBLANK(Table1[[#This Row],[ALESent]:[TaxTran]]))/(COUNT(Table1[[#This Row],[ALESent]:[TaxTran]])+COUNTBLANK(Table1[[#This Row],[ALESent]:[TaxTran]])))</f>
        <v>0</v>
      </c>
      <c r="BK83" s="136">
        <f>IF(VLOOKUP(Table1[[#This Row],[SyStudentId]],SSR!$A$2:$CC$4982,22,FALSE)=44109,44109,"Check Program")</f>
        <v>44109</v>
      </c>
      <c r="BL83" s="124">
        <f>IF(Table1[[#This Row],[AYStart]]=44109,44356,"Check Program")</f>
        <v>44356</v>
      </c>
      <c r="BM83" s="219">
        <v>8505</v>
      </c>
      <c r="BN83" s="219">
        <v>8505</v>
      </c>
      <c r="BO83" s="219">
        <v>8505</v>
      </c>
      <c r="BP83" s="220">
        <f t="shared" si="3"/>
        <v>25515</v>
      </c>
      <c r="BQ83" s="221">
        <v>3300</v>
      </c>
      <c r="BR83" s="219">
        <v>400</v>
      </c>
      <c r="BS83" s="219">
        <v>400</v>
      </c>
      <c r="BT83" s="220">
        <f t="shared" si="4"/>
        <v>4100</v>
      </c>
      <c r="BU83" s="219">
        <v>2100</v>
      </c>
      <c r="BV83" s="219">
        <v>2100</v>
      </c>
      <c r="BW83" s="219">
        <v>2100</v>
      </c>
      <c r="BX83" s="220">
        <f t="shared" si="5"/>
        <v>6300</v>
      </c>
      <c r="BY83" s="275">
        <v>1200</v>
      </c>
      <c r="BZ83" s="275">
        <v>1200</v>
      </c>
      <c r="CA83" s="275">
        <v>1200</v>
      </c>
      <c r="CB83" s="220">
        <f>SUM(Table1[[#This Row],[LEQ1]:[LEQ3]])</f>
        <v>3600</v>
      </c>
      <c r="CC83" s="275">
        <v>0</v>
      </c>
      <c r="CD83" s="275">
        <v>0</v>
      </c>
      <c r="CE83" s="275">
        <v>0</v>
      </c>
      <c r="CF83" s="220">
        <f>SUM(Table1[[#This Row],[OthCostQ1]:[OthCostQ3]])</f>
        <v>0</v>
      </c>
      <c r="CG83" s="220">
        <f>(Table1[[#This Row],[T&amp;FTot]]+Table1[[#This Row],[B&amp;STot]]+Table1[[#This Row],[HousTot]]+Table1[[#This Row],[LETot]]+Table1[[#This Row],[OthCostTot]])</f>
        <v>39515</v>
      </c>
      <c r="CH83" s="250"/>
      <c r="CI83" s="250"/>
      <c r="CJ83" s="250"/>
      <c r="CK83" s="251">
        <f>SUM(Table1[[#This Row],[SEOGQ1]:[SEOGQ3]])</f>
        <v>0</v>
      </c>
      <c r="CL83" s="250">
        <f>IFERROR(ROUNDUP(Table1[[#This Row],[PellTot]]/3,0),0)</f>
        <v>0</v>
      </c>
      <c r="CM83" s="250">
        <f>IFERROR(ROUND(Table1[[#This Row],[PellTot]]/3,0),0)</f>
        <v>0</v>
      </c>
      <c r="CN83" s="250">
        <f>IFERROR(ROUNDDOWN(Table1[[#This Row],[PellTot]]/3,0),0)</f>
        <v>0</v>
      </c>
      <c r="CO83" s="251">
        <f>IFERROR(LOOKUP(Table1[EFC],Pell_Table[#Data],Pell_Table[Pell Amt]),0)</f>
        <v>0</v>
      </c>
      <c r="CP83" s="250">
        <f>Table1[[#This Row],[AccessTot]]/3</f>
        <v>0</v>
      </c>
      <c r="CQ83" s="250">
        <f>Table1[[#This Row],[AccessTot]]/3</f>
        <v>0</v>
      </c>
      <c r="CR83" s="250">
        <f>Table1[[#This Row],[AccessTot]]/3</f>
        <v>0</v>
      </c>
      <c r="CS83" s="251">
        <f>IF(Table1[[#This Row],[PellTot]]&gt;0,1500,0)</f>
        <v>0</v>
      </c>
      <c r="CT83" s="250">
        <f>Table1[[#This Row],[AchiTot]]/3</f>
        <v>0</v>
      </c>
      <c r="CU83" s="250">
        <f>Table1[[#This Row],[AchiTot]]/3</f>
        <v>0</v>
      </c>
      <c r="CV83" s="250">
        <f>Table1[[#This Row],[AchiTot]]/3</f>
        <v>0</v>
      </c>
      <c r="CW83" s="252">
        <f>IF(Table1[[#This Row],[Rank]]="","",IF(Table1[[#This Row],[Rank]]=1,5100,IF(Table1[[#This Row],[Rank]]=2,4500,IF(Table1[[#This Row],[Rank]]=3,3900,IF(Table1[[#This Row],[Rank]]=4,3750,IF(Table1[[#This Row],[Rank]]=5,3000,IF(Table1[[#This Row],[Rank]]=6,2250,0)))))))</f>
        <v>0</v>
      </c>
      <c r="CX83" s="250">
        <f>Table1[[#This Row],[UTTot]]/3</f>
        <v>0</v>
      </c>
      <c r="CY83" s="250">
        <f>Table1[[#This Row],[UTTot]]/3</f>
        <v>0</v>
      </c>
      <c r="CZ83" s="250">
        <f>Table1[[#This Row],[UTTot]]/3</f>
        <v>0</v>
      </c>
      <c r="DA83" s="251">
        <f>IF(Table1[[#This Row],[State]]="UT",9000,0)</f>
        <v>0</v>
      </c>
      <c r="DB83" s="250">
        <f>Table1[[#This Row],[WITTot]]/3</f>
        <v>1000</v>
      </c>
      <c r="DC83" s="250">
        <f>Table1[[#This Row],[WITTot]]/3</f>
        <v>1000</v>
      </c>
      <c r="DD83" s="250">
        <f>Table1[[#This Row],[WITTot]]/3</f>
        <v>1000</v>
      </c>
      <c r="DE83" s="251">
        <f>IF(Table1[[#This Row],[Gender]]="Female",3000,0)</f>
        <v>3000</v>
      </c>
      <c r="DF83" s="250">
        <f>Table1[[#This Row],[SerTot]]/3</f>
        <v>0</v>
      </c>
      <c r="DG83" s="250">
        <f>Table1[[#This Row],[SerTot]]/3</f>
        <v>0</v>
      </c>
      <c r="DH83" s="250">
        <f>Table1[[#This Row],[SerTot]]/3</f>
        <v>0</v>
      </c>
      <c r="DI83" s="252"/>
      <c r="DJ83" s="250"/>
      <c r="DK83" s="250"/>
      <c r="DL83" s="250"/>
      <c r="DM83" s="252"/>
      <c r="DN83" s="250">
        <f>Table1[[#This Row],[MatTot]]/3</f>
        <v>0</v>
      </c>
      <c r="DO83" s="250">
        <f>Table1[[#This Row],[MatTot]]/3</f>
        <v>0</v>
      </c>
      <c r="DP83" s="250">
        <f>Table1[[#This Row],[MatTot]]/3</f>
        <v>0</v>
      </c>
      <c r="DQ83" s="277">
        <v>0</v>
      </c>
      <c r="DR83" s="250">
        <f>Table1[[#This Row],[OutTot]]/3</f>
        <v>0</v>
      </c>
      <c r="DS83" s="250">
        <f>Table1[[#This Row],[OutTot]]/3</f>
        <v>0</v>
      </c>
      <c r="DT83" s="250">
        <f>Table1[[#This Row],[OutTot]]/3</f>
        <v>0</v>
      </c>
      <c r="DU83" s="252">
        <v>0</v>
      </c>
      <c r="DV83" s="250">
        <v>0</v>
      </c>
      <c r="DW83" s="250">
        <v>0</v>
      </c>
      <c r="DX83" s="250">
        <v>0</v>
      </c>
      <c r="DY83" s="277">
        <f>SUM(Table1[[#This Row],[VAQ1]:[VAQ3]])</f>
        <v>0</v>
      </c>
      <c r="DZ83" s="250">
        <v>0</v>
      </c>
      <c r="EA83" s="250">
        <v>0</v>
      </c>
      <c r="EB83" s="250">
        <v>0</v>
      </c>
      <c r="EC83" s="252">
        <f>SUM(Table1[[#This Row],[OthGrantQ1]:[OthGrantQ3]])</f>
        <v>0</v>
      </c>
      <c r="ED83" s="263">
        <f>Table1[[#This Row],[SEOGTot]]+Table1[[#This Row],[PellTot]]+Table1[[#This Row],[AccessTot]]+Table1[[#This Row],[AchiTot]]+Table1[[#This Row],[UTTot]]+Table1[[#This Row],[WITTot]]+Table1[[#This Row],[SerTot]]+Table1[[#This Row],[TranTot]]+Table1[[#This Row],[MatTot]]+Table1[[#This Row],[OutTot]]+Table1[[#This Row],[VATot]]+Table1[[#This Row],[OthGrantTot]]</f>
        <v>3000</v>
      </c>
      <c r="EE83" s="249"/>
      <c r="EF83" s="237"/>
      <c r="EG83" s="237"/>
      <c r="EH83" s="232">
        <f>SUM(Table1[[#This Row],[CashQ1]]:Table1[[#This Row],[CashQ3]])</f>
        <v>0</v>
      </c>
      <c r="EI83" s="271">
        <f>ROUND((Table1[[#This Row],[SubTot]]/3)/1.01059,0)</f>
        <v>1154</v>
      </c>
      <c r="EJ83" s="234">
        <f>ROUND((Table1[[#This Row],[SubTot]]/3)/1.01059,0)</f>
        <v>1154</v>
      </c>
      <c r="EK83" s="234">
        <f>ROUNDUP((Table1[[#This Row],[SubTot]]/3)/1.01059,0)</f>
        <v>1155</v>
      </c>
      <c r="EL83" s="235">
        <v>3500</v>
      </c>
      <c r="EM83" s="240">
        <f>Table1[[#This Row],[SubTot]]*0.01059</f>
        <v>37.065000000000005</v>
      </c>
      <c r="EN83" s="234">
        <f>ROUND((Table1[[#This Row],[UnsubTot]]/3)/1.01062,0)</f>
        <v>660</v>
      </c>
      <c r="EO83" s="234">
        <f>ROUND((Table1[[#This Row],[UnsubTot]]/3)/1.01062,0)</f>
        <v>660</v>
      </c>
      <c r="EP83" s="234">
        <f>ROUNDDOWN((Table1[[#This Row],[UnsubTot]]/3)/1.01062,0)</f>
        <v>659</v>
      </c>
      <c r="EQ83" s="235">
        <f>IF(Table1[D/I]="I",6000,2000)</f>
        <v>2000</v>
      </c>
      <c r="ER83" s="240">
        <f>Table1[[#This Row],[UnsubTot]]*0.01059</f>
        <v>21.18</v>
      </c>
      <c r="ES83" s="234">
        <f>ROUND((Table1[[#This Row],[PLUSTot]]/3)/1.04236,0)</f>
        <v>0</v>
      </c>
      <c r="ET83" s="234">
        <f>ROUND((Table1[[#This Row],[PLUSTot]]/3)/1.04236,0)</f>
        <v>0</v>
      </c>
      <c r="EU83" s="234">
        <f>ROUND((Table1[[#This Row],[PLUSTot]]/3)/1.04236,0)</f>
        <v>0</v>
      </c>
      <c r="EV83" s="235">
        <v>0</v>
      </c>
      <c r="EW83" s="239">
        <f>Table1[[#This Row],[PLUSTot]]*0.04248</f>
        <v>0</v>
      </c>
      <c r="EX83" s="237"/>
      <c r="EY83" s="237"/>
      <c r="EZ83" s="237"/>
      <c r="FA83" s="232">
        <f>SUM(Table1[[#This Row],[PrivQ1]:[PrivQ3]])</f>
        <v>0</v>
      </c>
      <c r="FB83" s="237"/>
      <c r="FC83" s="237"/>
      <c r="FD83" s="237"/>
      <c r="FE83" s="232">
        <f>SUM(Table1[[#This Row],[TOQ1]:[TOQ3]])</f>
        <v>0</v>
      </c>
      <c r="FF83" s="237"/>
      <c r="FG83" s="237"/>
      <c r="FH83" s="237"/>
      <c r="FI83" s="232">
        <f>SUM(Table1[[#This Row],[OFundQ1]:[OFundQ3]])</f>
        <v>0</v>
      </c>
      <c r="FJ83" s="239">
        <f>(Table1[[#This Row],[SubTot]]-Table1[[#This Row],[SubFee]])+(Table1[[#This Row],[UnsubTot]]-Table1[[#This Row],[UnsubFee]])+(Table1[[#This Row],[PLUSTot]]-Table1[[#This Row],[PLUSFee]])+Table1[[#This Row],[PrivTot]]+Table1[[#This Row],[TOTot]]+Table1[[#This Row],[OFundTot]]</f>
        <v>5441.7550000000001</v>
      </c>
      <c r="FK83" s="125">
        <f>Table1[[#This Row],[CostTot]]-Table1[[#This Row],[GiftTot]]</f>
        <v>36515</v>
      </c>
      <c r="FL83" s="130">
        <f>Table1[[#This Row],[NetNeed]]/(1-0.04248)</f>
        <v>32451.797351491354</v>
      </c>
      <c r="FM83" s="131">
        <f>Table1[[#This Row],[NetCost]]-Table1[[#This Row],[CashTot]]-(Table1[[#This Row],[SubTot]]-Table1[[#This Row],[SubFee]])-(Table1[[#This Row],[UnsubTot]]-Table1[[#This Row],[UnsubFee]])-(Table1[[#This Row],[PLUSTot]]-Table1[[#This Row],[PLUSFee]])-Table1[[#This Row],[PrivTot]]-Table1[[#This Row],[TOTot]]-Table1[[#This Row],[OFundTot]]</f>
        <v>31073.245000000003</v>
      </c>
      <c r="FN83" s="161"/>
      <c r="FO83" s="113"/>
      <c r="FP83" s="113"/>
    </row>
    <row r="84" spans="1:172" s="160" customFormat="1" ht="15" x14ac:dyDescent="0.25">
      <c r="A84" s="316">
        <v>193556</v>
      </c>
      <c r="B84" s="113" t="str">
        <f>VLOOKUP(Table1[[#This Row],[SyStudentId]],SSR!$A$2:$CC$4982,4,FALSE)</f>
        <v>Pratt</v>
      </c>
      <c r="C84" s="113" t="str">
        <f>VLOOKUP(Table1[[#This Row],[SyStudentId]],SSR!$A$2:$CC$4982,5,FALSE)</f>
        <v>Jaire</v>
      </c>
      <c r="D84" s="113" t="str">
        <f>VLOOKUP(Table1[[#This Row],[SyStudentId]],SSR!$A$2:$CC$4982,6,FALSE)</f>
        <v>Pratt, Jaire</v>
      </c>
      <c r="E84" s="113" t="str">
        <f>CONCATENATE(Table1[[#This Row],[FirstName]]," ",Table1[[#This Row],[LastName]])</f>
        <v>Jaire Pratt</v>
      </c>
      <c r="F84" s="112"/>
      <c r="G84" s="114"/>
      <c r="H84" s="114"/>
      <c r="I84" s="114"/>
      <c r="J84" s="115"/>
      <c r="K84" s="116"/>
      <c r="L84" s="112" t="str">
        <f>IFERROR(VLOOKUP(Table1[[#This Row],[SyStudentId]],ISIR!$A$2:$X$999,11,FALSE),"")</f>
        <v/>
      </c>
      <c r="M84" s="113" t="str">
        <f>VLOOKUP(Table1[[#This Row],[SyStudentId]],SSR!$A$2:$CC$4982,7,FALSE)</f>
        <v>jfpratt47@gmail.com</v>
      </c>
      <c r="N84" s="113" t="str">
        <f>VLOOKUP(Table1[[#This Row],[SyStudentId]],SSR!$A$2:$CC$4982,8,FALSE)</f>
        <v>2052 Pitman Ave</v>
      </c>
      <c r="O84" s="113" t="str">
        <f>VLOOKUP(Table1[[#This Row],[SyStudentId]],SSR!$A$2:$CC$4982,9,FALSE)</f>
        <v>Bronx</v>
      </c>
      <c r="P84" s="303" t="str">
        <f>VLOOKUP(Table1[[#This Row],[SyStudentId]],SSR!$A$2:$CC$4982,10,FALSE)</f>
        <v>NY</v>
      </c>
      <c r="Q84" s="117" t="str">
        <f>VLOOKUP(Table1[[#This Row],[SyStudentId]],SSR!$A$2:$CC$4982,11,FALSE)</f>
        <v xml:space="preserve">10466     </v>
      </c>
      <c r="R84" s="118">
        <f>VLOOKUP(Table1[[#This Row],[SyStudentId]],SSR!$A$2:$CC$4982,15,FALSE)</f>
        <v>1.9</v>
      </c>
      <c r="S84" s="119">
        <f>VLOOKUP(Table1[[#This Row],[SyStudentId]],SSR!$A$2:$CC$4982,22,FALSE)</f>
        <v>44109</v>
      </c>
      <c r="T84" s="113" t="str">
        <f>VLOOKUP(Table1[[#This Row],[SyStudentId]],SSR!$A$2:$CC$4982,24,FALSE)</f>
        <v>GM</v>
      </c>
      <c r="U84" s="113" t="str">
        <f>IF(VLOOKUP(Table1[[#This Row],[SyStudentId]],SSR!$A$2:$CC$4982,26,FALSE)=0,"Not Selected",VLOOKUP(Table1[[#This Row],[SyStudentId]],SSR!$A$2:$CC$4982,26,FALSE))</f>
        <v>Male</v>
      </c>
      <c r="V84" s="113" t="str">
        <f>VLOOKUP(Table1[[#This Row],[SyStudentId]],SSR!$A$2:$CC$4982,27,FALSE)</f>
        <v xml:space="preserve">HS2020  </v>
      </c>
      <c r="W84" s="113" t="str">
        <f>VLOOKUP(LEFT(Table1[[#This Row],[LastName]],1),Alpha!$A$1:$B$26,2,FALSE)</f>
        <v>Maureen Ranks</v>
      </c>
      <c r="X84" s="149" t="str">
        <f>VLOOKUP(Table1[[#This Row],[FAA]],Alpha!$B$1:$D$26,2,FALSE)</f>
        <v>mranks@neumont.edu</v>
      </c>
      <c r="Y84" s="113">
        <f>VLOOKUP(Table1[[#This Row],[FAA]],Alpha!$B$1:$D$26,3,FALSE)</f>
        <v>8883022894</v>
      </c>
      <c r="Z84" s="113" t="str">
        <f>VLOOKUP(Table1[[#This Row],[SyStudentId]],SSR!$A$2:$CC$4982,30,FALSE)</f>
        <v>16-Accepted</v>
      </c>
      <c r="AA84" s="113" t="str">
        <f>IF(VLOOKUP(Table1[[#This Row],[SyStudentId]],SSR!$A$2:$CC$4982,36,FALSE)="Bachelor of Science","BS Computer Science","Check Program")</f>
        <v>BS Computer Science</v>
      </c>
      <c r="AB84" s="113">
        <f>VLOOKUP(Table1[[#This Row],[SyStudentId]],SSR!$A$2:$CC$4982,37,FALSE)</f>
        <v>0</v>
      </c>
      <c r="AC84" s="113" t="str">
        <f>VLOOKUP(Table1[[#This Row],[SyStudentId]],SSR!$A$2:$CC$4982,42,FALSE)</f>
        <v xml:space="preserve">1010    </v>
      </c>
      <c r="AD84" s="113" t="str">
        <f>VLOOKUP(Table1[[#This Row],[SyStudentId]],SSR!$A$2:$CC$4982,46,FALSE)</f>
        <v>78</v>
      </c>
      <c r="AE84" s="113" t="str">
        <f>VLOOKUP(Table1[[#This Row],[SyStudentId]],SSR!$A$2:$CC$4982,65,FALSE)</f>
        <v>X</v>
      </c>
      <c r="AF84"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10</v>
      </c>
      <c r="AG84" s="113" t="str">
        <f>VLOOKUP(Table1[[#This Row],[SyStudentId]],SSR!$A$2:$CC$4982,66,FALSE)</f>
        <v>July-October</v>
      </c>
      <c r="AH84" s="113" t="str">
        <f>IFERROR(VLOOKUP(Table1[[#This Row],[SyStudentId]],ISIR!$A$2:$X$999,7,FALSE),"")</f>
        <v/>
      </c>
      <c r="AI84" s="121" t="str">
        <f>IF(Table1[[#This Row],[EFCRaw]]="","",IF(Table1[[#This Row],[EFCRaw]]="No EFC","No EFC",_xlfn.NUMBERVALUE(Table1[[#This Row],[EFCRaw]])))</f>
        <v/>
      </c>
      <c r="AJ84" s="119" t="str">
        <f>IFERROR(VLOOKUP(Table1[[#This Row],[SyStudentId]],ISIR!$A$2:$X$4999,19,FALSE),"")</f>
        <v/>
      </c>
      <c r="AK84" s="113" t="str">
        <f>IFERROR(VLOOKUP(Table1[[#This Row],[SyStudentId]],ISIR!$A$2:$X$4999,8,FALSE),"")</f>
        <v/>
      </c>
      <c r="AL84" s="132" t="str">
        <f>IF(Table1[[#This Row],[VerReq]]="N","n/a","")</f>
        <v/>
      </c>
      <c r="AM84" s="122"/>
      <c r="AN84" s="122"/>
      <c r="AO84" s="122"/>
      <c r="AP84" s="122"/>
      <c r="AQ84" s="122"/>
      <c r="AR84" s="122"/>
      <c r="AS84" s="122"/>
      <c r="AT84" s="122"/>
      <c r="AU84" s="122"/>
      <c r="AV84" s="122"/>
      <c r="AW84" s="122"/>
      <c r="AX84" s="122"/>
      <c r="AY84" s="122"/>
      <c r="AZ84" s="122"/>
      <c r="BA84" s="122"/>
      <c r="BB84" s="122"/>
      <c r="BC84" s="133"/>
      <c r="BD84" s="140" t="str">
        <f>IF(Table1[[#This Row],[VerReq]]="N","x","")</f>
        <v/>
      </c>
      <c r="BE84" s="140" t="str">
        <f>IF(Table1[[#This Row],[VerReq]]="N","x","")</f>
        <v/>
      </c>
      <c r="BF84" s="140" t="str">
        <f>IF(Table1[[#This Row],[VerReq]]="N","x","")</f>
        <v/>
      </c>
      <c r="BG84" s="140" t="str">
        <f>IF(Table1[[#This Row],[VerReq]]="N","x","")</f>
        <v/>
      </c>
      <c r="BH84" s="140" t="str">
        <f>IF(Table1[[#This Row],[VerReq]]="N","x","")</f>
        <v/>
      </c>
      <c r="BI84" s="140" t="str">
        <f>IF(Table1[[#This Row],[VerReq]]="N","x","")</f>
        <v/>
      </c>
      <c r="BJ84" s="123">
        <f>1-((COUNTBLANK(Table1[[#This Row],[ALESent]:[TaxTran]]))/(COUNT(Table1[[#This Row],[ALESent]:[TaxTran]])+COUNTBLANK(Table1[[#This Row],[ALESent]:[TaxTran]])))</f>
        <v>0</v>
      </c>
      <c r="BK84" s="136">
        <f>IF(VLOOKUP(Table1[[#This Row],[SyStudentId]],SSR!$A$2:$CC$4982,22,FALSE)=44109,44109,"Check Program")</f>
        <v>44109</v>
      </c>
      <c r="BL84" s="124">
        <f>IF(Table1[[#This Row],[AYStart]]=44109,44356,"Check Program")</f>
        <v>44356</v>
      </c>
      <c r="BM84" s="219">
        <v>8505</v>
      </c>
      <c r="BN84" s="219">
        <v>8505</v>
      </c>
      <c r="BO84" s="219">
        <v>8505</v>
      </c>
      <c r="BP84" s="220">
        <f t="shared" si="3"/>
        <v>25515</v>
      </c>
      <c r="BQ84" s="221">
        <v>3300</v>
      </c>
      <c r="BR84" s="219">
        <v>400</v>
      </c>
      <c r="BS84" s="219">
        <v>400</v>
      </c>
      <c r="BT84" s="220">
        <f t="shared" si="4"/>
        <v>4100</v>
      </c>
      <c r="BU84" s="219">
        <v>2100</v>
      </c>
      <c r="BV84" s="219">
        <v>2100</v>
      </c>
      <c r="BW84" s="219">
        <v>2100</v>
      </c>
      <c r="BX84" s="220">
        <f t="shared" si="5"/>
        <v>6300</v>
      </c>
      <c r="BY84" s="275">
        <v>1200</v>
      </c>
      <c r="BZ84" s="275">
        <v>1200</v>
      </c>
      <c r="CA84" s="275">
        <v>1200</v>
      </c>
      <c r="CB84" s="220">
        <f>SUM(Table1[[#This Row],[LEQ1]:[LEQ3]])</f>
        <v>3600</v>
      </c>
      <c r="CC84" s="275">
        <v>0</v>
      </c>
      <c r="CD84" s="275">
        <v>0</v>
      </c>
      <c r="CE84" s="275">
        <v>0</v>
      </c>
      <c r="CF84" s="220">
        <f>SUM(Table1[[#This Row],[OthCostQ1]:[OthCostQ3]])</f>
        <v>0</v>
      </c>
      <c r="CG84" s="220">
        <f>(Table1[[#This Row],[T&amp;FTot]]+Table1[[#This Row],[B&amp;STot]]+Table1[[#This Row],[HousTot]]+Table1[[#This Row],[LETot]]+Table1[[#This Row],[OthCostTot]])</f>
        <v>39515</v>
      </c>
      <c r="CH84" s="250"/>
      <c r="CI84" s="250"/>
      <c r="CJ84" s="250"/>
      <c r="CK84" s="251">
        <f>SUM(Table1[[#This Row],[SEOGQ1]:[SEOGQ3]])</f>
        <v>0</v>
      </c>
      <c r="CL84" s="250">
        <f>IFERROR(ROUNDUP(Table1[[#This Row],[PellTot]]/3,0),0)</f>
        <v>0</v>
      </c>
      <c r="CM84" s="250">
        <f>IFERROR(ROUND(Table1[[#This Row],[PellTot]]/3,0),0)</f>
        <v>0</v>
      </c>
      <c r="CN84" s="250">
        <f>IFERROR(ROUNDDOWN(Table1[[#This Row],[PellTot]]/3,0),0)</f>
        <v>0</v>
      </c>
      <c r="CO84" s="251">
        <f>IFERROR(LOOKUP(Table1[EFC],Pell_Table[#Data],Pell_Table[Pell Amt]),0)</f>
        <v>0</v>
      </c>
      <c r="CP84" s="250">
        <f>Table1[[#This Row],[AccessTot]]/3</f>
        <v>0</v>
      </c>
      <c r="CQ84" s="250">
        <f>Table1[[#This Row],[AccessTot]]/3</f>
        <v>0</v>
      </c>
      <c r="CR84" s="250">
        <f>Table1[[#This Row],[AccessTot]]/3</f>
        <v>0</v>
      </c>
      <c r="CS84" s="251">
        <f>IF(Table1[[#This Row],[PellTot]]&gt;0,1500,0)</f>
        <v>0</v>
      </c>
      <c r="CT84" s="250">
        <f>Table1[[#This Row],[AchiTot]]/3</f>
        <v>0</v>
      </c>
      <c r="CU84" s="250">
        <f>Table1[[#This Row],[AchiTot]]/3</f>
        <v>0</v>
      </c>
      <c r="CV84" s="250">
        <f>Table1[[#This Row],[AchiTot]]/3</f>
        <v>0</v>
      </c>
      <c r="CW84" s="252">
        <f>IF(Table1[[#This Row],[Rank]]="","",IF(Table1[[#This Row],[Rank]]=1,5100,IF(Table1[[#This Row],[Rank]]=2,4500,IF(Table1[[#This Row],[Rank]]=3,3900,IF(Table1[[#This Row],[Rank]]=4,3750,IF(Table1[[#This Row],[Rank]]=5,3000,IF(Table1[[#This Row],[Rank]]=6,2250,0)))))))</f>
        <v>0</v>
      </c>
      <c r="CX84" s="250">
        <f>Table1[[#This Row],[UTTot]]/3</f>
        <v>0</v>
      </c>
      <c r="CY84" s="250">
        <f>Table1[[#This Row],[UTTot]]/3</f>
        <v>0</v>
      </c>
      <c r="CZ84" s="250">
        <f>Table1[[#This Row],[UTTot]]/3</f>
        <v>0</v>
      </c>
      <c r="DA84" s="251">
        <f>IF(Table1[[#This Row],[State]]="UT",9000,0)</f>
        <v>0</v>
      </c>
      <c r="DB84" s="250">
        <f>Table1[[#This Row],[WITTot]]/3</f>
        <v>0</v>
      </c>
      <c r="DC84" s="250">
        <f>Table1[[#This Row],[WITTot]]/3</f>
        <v>0</v>
      </c>
      <c r="DD84" s="250">
        <f>Table1[[#This Row],[WITTot]]/3</f>
        <v>0</v>
      </c>
      <c r="DE84" s="251">
        <f>IF(Table1[[#This Row],[Gender]]="Female",3000,0)</f>
        <v>0</v>
      </c>
      <c r="DF84" s="250">
        <f>Table1[[#This Row],[SerTot]]/3</f>
        <v>0</v>
      </c>
      <c r="DG84" s="250">
        <f>Table1[[#This Row],[SerTot]]/3</f>
        <v>0</v>
      </c>
      <c r="DH84" s="250">
        <f>Table1[[#This Row],[SerTot]]/3</f>
        <v>0</v>
      </c>
      <c r="DI84" s="252"/>
      <c r="DJ84" s="250"/>
      <c r="DK84" s="250"/>
      <c r="DL84" s="250"/>
      <c r="DM84" s="252"/>
      <c r="DN84" s="250">
        <f>Table1[[#This Row],[MatTot]]/3</f>
        <v>0</v>
      </c>
      <c r="DO84" s="250">
        <f>Table1[[#This Row],[MatTot]]/3</f>
        <v>0</v>
      </c>
      <c r="DP84" s="250">
        <f>Table1[[#This Row],[MatTot]]/3</f>
        <v>0</v>
      </c>
      <c r="DQ84" s="277">
        <v>0</v>
      </c>
      <c r="DR84" s="250">
        <f>Table1[[#This Row],[OutTot]]/3</f>
        <v>0</v>
      </c>
      <c r="DS84" s="250">
        <f>Table1[[#This Row],[OutTot]]/3</f>
        <v>0</v>
      </c>
      <c r="DT84" s="250">
        <f>Table1[[#This Row],[OutTot]]/3</f>
        <v>0</v>
      </c>
      <c r="DU84" s="252">
        <v>0</v>
      </c>
      <c r="DV84" s="250">
        <v>0</v>
      </c>
      <c r="DW84" s="250">
        <v>0</v>
      </c>
      <c r="DX84" s="250">
        <v>0</v>
      </c>
      <c r="DY84" s="277">
        <f>SUM(Table1[[#This Row],[VAQ1]:[VAQ3]])</f>
        <v>0</v>
      </c>
      <c r="DZ84" s="250">
        <v>0</v>
      </c>
      <c r="EA84" s="250">
        <v>0</v>
      </c>
      <c r="EB84" s="250">
        <v>0</v>
      </c>
      <c r="EC84" s="252">
        <f>SUM(Table1[[#This Row],[OthGrantQ1]:[OthGrantQ3]])</f>
        <v>0</v>
      </c>
      <c r="ED84" s="263">
        <f>Table1[[#This Row],[SEOGTot]]+Table1[[#This Row],[PellTot]]+Table1[[#This Row],[AccessTot]]+Table1[[#This Row],[AchiTot]]+Table1[[#This Row],[UTTot]]+Table1[[#This Row],[WITTot]]+Table1[[#This Row],[SerTot]]+Table1[[#This Row],[TranTot]]+Table1[[#This Row],[MatTot]]+Table1[[#This Row],[OutTot]]+Table1[[#This Row],[VATot]]+Table1[[#This Row],[OthGrantTot]]</f>
        <v>0</v>
      </c>
      <c r="EE84" s="249"/>
      <c r="EF84" s="237"/>
      <c r="EG84" s="237"/>
      <c r="EH84" s="232">
        <f>SUM(Table1[[#This Row],[CashQ1]]:Table1[[#This Row],[CashQ3]])</f>
        <v>0</v>
      </c>
      <c r="EI84" s="271">
        <f>ROUND((Table1[[#This Row],[SubTot]]/3)/1.01059,0)</f>
        <v>1154</v>
      </c>
      <c r="EJ84" s="234">
        <f>ROUND((Table1[[#This Row],[SubTot]]/3)/1.01059,0)</f>
        <v>1154</v>
      </c>
      <c r="EK84" s="234">
        <f>ROUNDUP((Table1[[#This Row],[SubTot]]/3)/1.01059,0)</f>
        <v>1155</v>
      </c>
      <c r="EL84" s="235">
        <v>3500</v>
      </c>
      <c r="EM84" s="240">
        <f>Table1[[#This Row],[SubTot]]*0.01059</f>
        <v>37.065000000000005</v>
      </c>
      <c r="EN84" s="234">
        <f>ROUND((Table1[[#This Row],[UnsubTot]]/3)/1.01062,0)</f>
        <v>660</v>
      </c>
      <c r="EO84" s="234">
        <f>ROUND((Table1[[#This Row],[UnsubTot]]/3)/1.01062,0)</f>
        <v>660</v>
      </c>
      <c r="EP84" s="234">
        <f>ROUNDDOWN((Table1[[#This Row],[UnsubTot]]/3)/1.01062,0)</f>
        <v>659</v>
      </c>
      <c r="EQ84" s="235">
        <f>IF(Table1[D/I]="I",6000,2000)</f>
        <v>2000</v>
      </c>
      <c r="ER84" s="240">
        <f>Table1[[#This Row],[UnsubTot]]*0.01059</f>
        <v>21.18</v>
      </c>
      <c r="ES84" s="234">
        <f>ROUND((Table1[[#This Row],[PLUSTot]]/3)/1.04236,0)</f>
        <v>0</v>
      </c>
      <c r="ET84" s="234">
        <f>ROUND((Table1[[#This Row],[PLUSTot]]/3)/1.04236,0)</f>
        <v>0</v>
      </c>
      <c r="EU84" s="234">
        <f>ROUND((Table1[[#This Row],[PLUSTot]]/3)/1.04236,0)</f>
        <v>0</v>
      </c>
      <c r="EV84" s="235">
        <v>0</v>
      </c>
      <c r="EW84" s="239">
        <f>Table1[[#This Row],[PLUSTot]]*0.04248</f>
        <v>0</v>
      </c>
      <c r="EX84" s="237"/>
      <c r="EY84" s="237"/>
      <c r="EZ84" s="237"/>
      <c r="FA84" s="232">
        <f>SUM(Table1[[#This Row],[PrivQ1]:[PrivQ3]])</f>
        <v>0</v>
      </c>
      <c r="FB84" s="237"/>
      <c r="FC84" s="237"/>
      <c r="FD84" s="237"/>
      <c r="FE84" s="232">
        <f>SUM(Table1[[#This Row],[TOQ1]:[TOQ3]])</f>
        <v>0</v>
      </c>
      <c r="FF84" s="237"/>
      <c r="FG84" s="237"/>
      <c r="FH84" s="237"/>
      <c r="FI84" s="232">
        <f>SUM(Table1[[#This Row],[OFundQ1]:[OFundQ3]])</f>
        <v>0</v>
      </c>
      <c r="FJ84" s="239">
        <f>(Table1[[#This Row],[SubTot]]-Table1[[#This Row],[SubFee]])+(Table1[[#This Row],[UnsubTot]]-Table1[[#This Row],[UnsubFee]])+(Table1[[#This Row],[PLUSTot]]-Table1[[#This Row],[PLUSFee]])+Table1[[#This Row],[PrivTot]]+Table1[[#This Row],[TOTot]]+Table1[[#This Row],[OFundTot]]</f>
        <v>5441.7550000000001</v>
      </c>
      <c r="FK84" s="125">
        <f>Table1[[#This Row],[CostTot]]-Table1[[#This Row],[GiftTot]]</f>
        <v>39515</v>
      </c>
      <c r="FL84" s="130">
        <f>Table1[[#This Row],[NetNeed]]/(1-0.04248)</f>
        <v>35584.891177207784</v>
      </c>
      <c r="FM84" s="131">
        <f>Table1[[#This Row],[NetCost]]-Table1[[#This Row],[CashTot]]-(Table1[[#This Row],[SubTot]]-Table1[[#This Row],[SubFee]])-(Table1[[#This Row],[UnsubTot]]-Table1[[#This Row],[UnsubFee]])-(Table1[[#This Row],[PLUSTot]]-Table1[[#This Row],[PLUSFee]])-Table1[[#This Row],[PrivTot]]-Table1[[#This Row],[TOTot]]-Table1[[#This Row],[OFundTot]]</f>
        <v>34073.245000000003</v>
      </c>
      <c r="FN84" s="161"/>
      <c r="FO84" s="113"/>
      <c r="FP84" s="113"/>
    </row>
    <row r="85" spans="1:172" s="160" customFormat="1" ht="15" x14ac:dyDescent="0.25">
      <c r="A85" s="316">
        <v>193827</v>
      </c>
      <c r="B85" s="113" t="str">
        <f>VLOOKUP(Table1[[#This Row],[SyStudentId]],SSR!$A$2:$CC$4982,4,FALSE)</f>
        <v>Prevo</v>
      </c>
      <c r="C85" s="113" t="str">
        <f>VLOOKUP(Table1[[#This Row],[SyStudentId]],SSR!$A$2:$CC$4982,5,FALSE)</f>
        <v>Sam</v>
      </c>
      <c r="D85" s="113" t="str">
        <f>VLOOKUP(Table1[[#This Row],[SyStudentId]],SSR!$A$2:$CC$4982,6,FALSE)</f>
        <v>Prevo, Sam</v>
      </c>
      <c r="E85" s="113" t="str">
        <f>CONCATENATE(Table1[[#This Row],[FirstName]]," ",Table1[[#This Row],[LastName]])</f>
        <v>Sam Prevo</v>
      </c>
      <c r="F85" s="112"/>
      <c r="G85" s="114"/>
      <c r="H85" s="114"/>
      <c r="I85" s="114"/>
      <c r="J85" s="115"/>
      <c r="K85" s="116"/>
      <c r="L85" s="112" t="str">
        <f>IFERROR(VLOOKUP(Table1[[#This Row],[SyStudentId]],ISIR!$A$2:$X$999,11,FALSE),"")</f>
        <v/>
      </c>
      <c r="M85" s="113" t="str">
        <f>VLOOKUP(Table1[[#This Row],[SyStudentId]],SSR!$A$2:$CC$4982,7,FALSE)</f>
        <v>sampv006@gmail.com</v>
      </c>
      <c r="N85" s="113" t="str">
        <f>VLOOKUP(Table1[[#This Row],[SyStudentId]],SSR!$A$2:$CC$4982,8,FALSE)</f>
        <v>3414 Greg Drive</v>
      </c>
      <c r="O85" s="113" t="str">
        <f>VLOOKUP(Table1[[#This Row],[SyStudentId]],SSR!$A$2:$CC$4982,9,FALSE)</f>
        <v>Prescott Valley</v>
      </c>
      <c r="P85" s="295" t="str">
        <f>VLOOKUP(Table1[[#This Row],[SyStudentId]],SSR!$A$2:$CC$4982,10,FALSE)</f>
        <v>AZ</v>
      </c>
      <c r="Q85" s="117" t="str">
        <f>VLOOKUP(Table1[[#This Row],[SyStudentId]],SSR!$A$2:$CC$4982,11,FALSE)</f>
        <v xml:space="preserve">86314     </v>
      </c>
      <c r="R85" s="118">
        <f>VLOOKUP(Table1[[#This Row],[SyStudentId]],SSR!$A$2:$CC$4982,15,FALSE)</f>
        <v>2.605</v>
      </c>
      <c r="S85" s="119">
        <f>VLOOKUP(Table1[[#This Row],[SyStudentId]],SSR!$A$2:$CC$4982,22,FALSE)</f>
        <v>44109</v>
      </c>
      <c r="T85" s="113" t="str">
        <f>VLOOKUP(Table1[[#This Row],[SyStudentId]],SSR!$A$2:$CC$4982,24,FALSE)</f>
        <v>MN</v>
      </c>
      <c r="U85" s="113" t="str">
        <f>IF(VLOOKUP(Table1[[#This Row],[SyStudentId]],SSR!$A$2:$CC$4982,26,FALSE)=0,"Not Selected",VLOOKUP(Table1[[#This Row],[SyStudentId]],SSR!$A$2:$CC$4982,26,FALSE))</f>
        <v>Male</v>
      </c>
      <c r="V85" s="113" t="str">
        <f>VLOOKUP(Table1[[#This Row],[SyStudentId]],SSR!$A$2:$CC$4982,27,FALSE)</f>
        <v xml:space="preserve">HS2020  </v>
      </c>
      <c r="W85" s="113" t="str">
        <f>VLOOKUP(LEFT(Table1[[#This Row],[LastName]],1),Alpha!$A$1:$B$26,2,FALSE)</f>
        <v>Maureen Ranks</v>
      </c>
      <c r="X85" s="149" t="str">
        <f>VLOOKUP(Table1[[#This Row],[FAA]],Alpha!$B$1:$D$26,2,FALSE)</f>
        <v>mranks@neumont.edu</v>
      </c>
      <c r="Y85" s="113">
        <f>VLOOKUP(Table1[[#This Row],[FAA]],Alpha!$B$1:$D$26,3,FALSE)</f>
        <v>8883022894</v>
      </c>
      <c r="Z85" s="113" t="str">
        <f>VLOOKUP(Table1[[#This Row],[SyStudentId]],SSR!$A$2:$CC$4982,30,FALSE)</f>
        <v>16-Accepted</v>
      </c>
      <c r="AA85" s="113" t="str">
        <f>IF(VLOOKUP(Table1[[#This Row],[SyStudentId]],SSR!$A$2:$CC$4982,36,FALSE)="Bachelor of Science","BS Computer Science","Check Program")</f>
        <v>BS Computer Science</v>
      </c>
      <c r="AB85" s="113" t="str">
        <f>VLOOKUP(Table1[[#This Row],[SyStudentId]],SSR!$A$2:$CC$4982,37,FALSE)</f>
        <v xml:space="preserve">16      </v>
      </c>
      <c r="AC85" s="113">
        <f>VLOOKUP(Table1[[#This Row],[SyStudentId]],SSR!$A$2:$CC$4982,42,FALSE)</f>
        <v>0</v>
      </c>
      <c r="AD85" s="113" t="str">
        <f>VLOOKUP(Table1[[#This Row],[SyStudentId]],SSR!$A$2:$CC$4982,46,FALSE)</f>
        <v>80</v>
      </c>
      <c r="AE85" s="113" t="str">
        <f>VLOOKUP(Table1[[#This Row],[SyStudentId]],SSR!$A$2:$CC$4982,65,FALSE)</f>
        <v>IX</v>
      </c>
      <c r="AF85"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85" s="113" t="str">
        <f>VLOOKUP(Table1[[#This Row],[SyStudentId]],SSR!$A$2:$CC$4982,66,FALSE)</f>
        <v>July-October</v>
      </c>
      <c r="AH85" s="113" t="str">
        <f>IFERROR(VLOOKUP(Table1[[#This Row],[SyStudentId]],ISIR!$A$2:$X$999,7,FALSE),"")</f>
        <v/>
      </c>
      <c r="AI85" s="121" t="str">
        <f>IF(Table1[[#This Row],[EFCRaw]]="","",IF(Table1[[#This Row],[EFCRaw]]="No EFC","No EFC",_xlfn.NUMBERVALUE(Table1[[#This Row],[EFCRaw]])))</f>
        <v/>
      </c>
      <c r="AJ85" s="119" t="str">
        <f>IFERROR(VLOOKUP(Table1[[#This Row],[SyStudentId]],ISIR!$A$2:$X$4999,19,FALSE),"")</f>
        <v/>
      </c>
      <c r="AK85" s="113" t="str">
        <f>IFERROR(VLOOKUP(Table1[[#This Row],[SyStudentId]],ISIR!$A$2:$X$4999,8,FALSE),"")</f>
        <v/>
      </c>
      <c r="AL85" s="132" t="str">
        <f>IF(Table1[[#This Row],[VerReq]]="N","n/a","")</f>
        <v/>
      </c>
      <c r="AM85" s="122"/>
      <c r="AN85" s="122"/>
      <c r="AO85" s="122"/>
      <c r="AP85" s="122"/>
      <c r="AQ85" s="122"/>
      <c r="AR85" s="122"/>
      <c r="AS85" s="122"/>
      <c r="AT85" s="122"/>
      <c r="AU85" s="122"/>
      <c r="AV85" s="122"/>
      <c r="AW85" s="122"/>
      <c r="AX85" s="122"/>
      <c r="AY85" s="122"/>
      <c r="AZ85" s="122"/>
      <c r="BA85" s="122"/>
      <c r="BB85" s="122"/>
      <c r="BC85" s="133"/>
      <c r="BD85" s="140" t="str">
        <f>IF(Table1[[#This Row],[VerReq]]="N","x","")</f>
        <v/>
      </c>
      <c r="BE85" s="140" t="str">
        <f>IF(Table1[[#This Row],[VerReq]]="N","x","")</f>
        <v/>
      </c>
      <c r="BF85" s="140" t="str">
        <f>IF(Table1[[#This Row],[VerReq]]="N","x","")</f>
        <v/>
      </c>
      <c r="BG85" s="140" t="str">
        <f>IF(Table1[[#This Row],[VerReq]]="N","x","")</f>
        <v/>
      </c>
      <c r="BH85" s="140" t="str">
        <f>IF(Table1[[#This Row],[VerReq]]="N","x","")</f>
        <v/>
      </c>
      <c r="BI85" s="140" t="str">
        <f>IF(Table1[[#This Row],[VerReq]]="N","x","")</f>
        <v/>
      </c>
      <c r="BJ85" s="123">
        <f>1-((COUNTBLANK(Table1[[#This Row],[ALESent]:[TaxTran]]))/(COUNT(Table1[[#This Row],[ALESent]:[TaxTran]])+COUNTBLANK(Table1[[#This Row],[ALESent]:[TaxTran]])))</f>
        <v>0</v>
      </c>
      <c r="BK85" s="136">
        <f>IF(VLOOKUP(Table1[[#This Row],[SyStudentId]],SSR!$A$2:$CC$4982,22,FALSE)=44109,44109,"Check Program")</f>
        <v>44109</v>
      </c>
      <c r="BL85" s="124">
        <f>IF(Table1[[#This Row],[AYStart]]=44109,44356,"Check Program")</f>
        <v>44356</v>
      </c>
      <c r="BM85" s="219">
        <v>8505</v>
      </c>
      <c r="BN85" s="219">
        <v>8505</v>
      </c>
      <c r="BO85" s="219">
        <v>8505</v>
      </c>
      <c r="BP85" s="220">
        <f t="shared" si="3"/>
        <v>25515</v>
      </c>
      <c r="BQ85" s="221">
        <v>3300</v>
      </c>
      <c r="BR85" s="219">
        <v>400</v>
      </c>
      <c r="BS85" s="219">
        <v>400</v>
      </c>
      <c r="BT85" s="220">
        <f t="shared" si="4"/>
        <v>4100</v>
      </c>
      <c r="BU85" s="219">
        <v>2100</v>
      </c>
      <c r="BV85" s="219">
        <v>2100</v>
      </c>
      <c r="BW85" s="219">
        <v>2100</v>
      </c>
      <c r="BX85" s="220">
        <f t="shared" si="5"/>
        <v>6300</v>
      </c>
      <c r="BY85" s="275">
        <v>1200</v>
      </c>
      <c r="BZ85" s="275">
        <v>1200</v>
      </c>
      <c r="CA85" s="275">
        <v>1200</v>
      </c>
      <c r="CB85" s="220">
        <f>SUM(Table1[[#This Row],[LEQ1]:[LEQ3]])</f>
        <v>3600</v>
      </c>
      <c r="CC85" s="275">
        <v>0</v>
      </c>
      <c r="CD85" s="275">
        <v>0</v>
      </c>
      <c r="CE85" s="275">
        <v>0</v>
      </c>
      <c r="CF85" s="220">
        <f>SUM(Table1[[#This Row],[OthCostQ1]:[OthCostQ3]])</f>
        <v>0</v>
      </c>
      <c r="CG85" s="220">
        <f>(Table1[[#This Row],[T&amp;FTot]]+Table1[[#This Row],[B&amp;STot]]+Table1[[#This Row],[HousTot]]+Table1[[#This Row],[LETot]]+Table1[[#This Row],[OthCostTot]])</f>
        <v>39515</v>
      </c>
      <c r="CH85" s="250"/>
      <c r="CI85" s="250"/>
      <c r="CJ85" s="250"/>
      <c r="CK85" s="251">
        <f>SUM(Table1[[#This Row],[SEOGQ1]:[SEOGQ3]])</f>
        <v>0</v>
      </c>
      <c r="CL85" s="250">
        <f>IFERROR(ROUNDUP(Table1[[#This Row],[PellTot]]/3,0),0)</f>
        <v>0</v>
      </c>
      <c r="CM85" s="250">
        <f>IFERROR(ROUND(Table1[[#This Row],[PellTot]]/3,0),0)</f>
        <v>0</v>
      </c>
      <c r="CN85" s="250">
        <f>IFERROR(ROUNDDOWN(Table1[[#This Row],[PellTot]]/3,0),0)</f>
        <v>0</v>
      </c>
      <c r="CO85" s="251">
        <f>IFERROR(LOOKUP(Table1[EFC],Pell_Table[#Data],Pell_Table[Pell Amt]),0)</f>
        <v>0</v>
      </c>
      <c r="CP85" s="250">
        <f>Table1[[#This Row],[AccessTot]]/3</f>
        <v>0</v>
      </c>
      <c r="CQ85" s="250">
        <f>Table1[[#This Row],[AccessTot]]/3</f>
        <v>0</v>
      </c>
      <c r="CR85" s="250">
        <f>Table1[[#This Row],[AccessTot]]/3</f>
        <v>0</v>
      </c>
      <c r="CS85" s="251">
        <f>IF(Table1[[#This Row],[PellTot]]&gt;0,1500,0)</f>
        <v>0</v>
      </c>
      <c r="CT85" s="250">
        <f>Table1[[#This Row],[AchiTot]]/3</f>
        <v>0</v>
      </c>
      <c r="CU85" s="250">
        <f>Table1[[#This Row],[AchiTot]]/3</f>
        <v>0</v>
      </c>
      <c r="CV85" s="250">
        <f>Table1[[#This Row],[AchiTot]]/3</f>
        <v>0</v>
      </c>
      <c r="CW85" s="252">
        <f>IF(Table1[[#This Row],[Rank]]="","",IF(Table1[[#This Row],[Rank]]=1,5100,IF(Table1[[#This Row],[Rank]]=2,4500,IF(Table1[[#This Row],[Rank]]=3,3900,IF(Table1[[#This Row],[Rank]]=4,3750,IF(Table1[[#This Row],[Rank]]=5,3000,IF(Table1[[#This Row],[Rank]]=6,2250,0)))))))</f>
        <v>0</v>
      </c>
      <c r="CX85" s="250">
        <f>Table1[[#This Row],[UTTot]]/3</f>
        <v>0</v>
      </c>
      <c r="CY85" s="250">
        <f>Table1[[#This Row],[UTTot]]/3</f>
        <v>0</v>
      </c>
      <c r="CZ85" s="250">
        <f>Table1[[#This Row],[UTTot]]/3</f>
        <v>0</v>
      </c>
      <c r="DA85" s="251">
        <f>IF(Table1[[#This Row],[State]]="UT",9000,0)</f>
        <v>0</v>
      </c>
      <c r="DB85" s="250">
        <f>Table1[[#This Row],[WITTot]]/3</f>
        <v>0</v>
      </c>
      <c r="DC85" s="250">
        <f>Table1[[#This Row],[WITTot]]/3</f>
        <v>0</v>
      </c>
      <c r="DD85" s="250">
        <f>Table1[[#This Row],[WITTot]]/3</f>
        <v>0</v>
      </c>
      <c r="DE85" s="251">
        <f>IF(Table1[[#This Row],[Gender]]="Female",3000,0)</f>
        <v>0</v>
      </c>
      <c r="DF85" s="250">
        <f>Table1[[#This Row],[SerTot]]/3</f>
        <v>0</v>
      </c>
      <c r="DG85" s="250">
        <f>Table1[[#This Row],[SerTot]]/3</f>
        <v>0</v>
      </c>
      <c r="DH85" s="250">
        <f>Table1[[#This Row],[SerTot]]/3</f>
        <v>0</v>
      </c>
      <c r="DI85" s="252"/>
      <c r="DJ85" s="250"/>
      <c r="DK85" s="250"/>
      <c r="DL85" s="250"/>
      <c r="DM85" s="252"/>
      <c r="DN85" s="250">
        <f>Table1[[#This Row],[MatTot]]/3</f>
        <v>0</v>
      </c>
      <c r="DO85" s="250">
        <f>Table1[[#This Row],[MatTot]]/3</f>
        <v>0</v>
      </c>
      <c r="DP85" s="250">
        <f>Table1[[#This Row],[MatTot]]/3</f>
        <v>0</v>
      </c>
      <c r="DQ85" s="277">
        <v>0</v>
      </c>
      <c r="DR85" s="250">
        <f>Table1[[#This Row],[OutTot]]/3</f>
        <v>0</v>
      </c>
      <c r="DS85" s="250">
        <f>Table1[[#This Row],[OutTot]]/3</f>
        <v>0</v>
      </c>
      <c r="DT85" s="250">
        <f>Table1[[#This Row],[OutTot]]/3</f>
        <v>0</v>
      </c>
      <c r="DU85" s="252">
        <v>0</v>
      </c>
      <c r="DV85" s="250">
        <v>0</v>
      </c>
      <c r="DW85" s="250">
        <v>0</v>
      </c>
      <c r="DX85" s="250">
        <v>0</v>
      </c>
      <c r="DY85" s="277">
        <f>SUM(Table1[[#This Row],[VAQ1]:[VAQ3]])</f>
        <v>0</v>
      </c>
      <c r="DZ85" s="250">
        <v>0</v>
      </c>
      <c r="EA85" s="250">
        <v>0</v>
      </c>
      <c r="EB85" s="250">
        <v>0</v>
      </c>
      <c r="EC85" s="252">
        <f>SUM(Table1[[#This Row],[OthGrantQ1]:[OthGrantQ3]])</f>
        <v>0</v>
      </c>
      <c r="ED85" s="263">
        <f>Table1[[#This Row],[SEOGTot]]+Table1[[#This Row],[PellTot]]+Table1[[#This Row],[AccessTot]]+Table1[[#This Row],[AchiTot]]+Table1[[#This Row],[UTTot]]+Table1[[#This Row],[WITTot]]+Table1[[#This Row],[SerTot]]+Table1[[#This Row],[TranTot]]+Table1[[#This Row],[MatTot]]+Table1[[#This Row],[OutTot]]+Table1[[#This Row],[VATot]]+Table1[[#This Row],[OthGrantTot]]</f>
        <v>0</v>
      </c>
      <c r="EE85" s="249"/>
      <c r="EF85" s="237"/>
      <c r="EG85" s="237"/>
      <c r="EH85" s="232">
        <f>SUM(Table1[[#This Row],[CashQ1]]:Table1[[#This Row],[CashQ3]])</f>
        <v>0</v>
      </c>
      <c r="EI85" s="271">
        <f>ROUND((Table1[[#This Row],[SubTot]]/3)/1.01059,0)</f>
        <v>1154</v>
      </c>
      <c r="EJ85" s="234">
        <f>ROUND((Table1[[#This Row],[SubTot]]/3)/1.01059,0)</f>
        <v>1154</v>
      </c>
      <c r="EK85" s="234">
        <f>ROUNDUP((Table1[[#This Row],[SubTot]]/3)/1.01059,0)</f>
        <v>1155</v>
      </c>
      <c r="EL85" s="235">
        <v>3500</v>
      </c>
      <c r="EM85" s="233">
        <f>Table1[[#This Row],[SubTot]]*0.01059</f>
        <v>37.065000000000005</v>
      </c>
      <c r="EN85" s="234">
        <f>ROUND((Table1[[#This Row],[UnsubTot]]/3)/1.01062,0)</f>
        <v>660</v>
      </c>
      <c r="EO85" s="234">
        <f>ROUND((Table1[[#This Row],[UnsubTot]]/3)/1.01062,0)</f>
        <v>660</v>
      </c>
      <c r="EP85" s="234">
        <f>ROUNDDOWN((Table1[[#This Row],[UnsubTot]]/3)/1.01062,0)</f>
        <v>659</v>
      </c>
      <c r="EQ85" s="235">
        <f>IF(Table1[D/I]="I",6000,2000)</f>
        <v>2000</v>
      </c>
      <c r="ER85" s="240">
        <f>Table1[[#This Row],[UnsubTot]]*0.01059</f>
        <v>21.18</v>
      </c>
      <c r="ES85" s="234">
        <f>ROUND((Table1[[#This Row],[PLUSTot]]/3)/1.04236,0)</f>
        <v>0</v>
      </c>
      <c r="ET85" s="234">
        <f>ROUND((Table1[[#This Row],[PLUSTot]]/3)/1.04236,0)</f>
        <v>0</v>
      </c>
      <c r="EU85" s="234">
        <f>ROUND((Table1[[#This Row],[PLUSTot]]/3)/1.04236,0)</f>
        <v>0</v>
      </c>
      <c r="EV85" s="235">
        <v>0</v>
      </c>
      <c r="EW85" s="239">
        <f>Table1[[#This Row],[PLUSTot]]*0.04248</f>
        <v>0</v>
      </c>
      <c r="EX85" s="237"/>
      <c r="EY85" s="237"/>
      <c r="EZ85" s="237"/>
      <c r="FA85" s="232">
        <f>SUM(Table1[[#This Row],[PrivQ1]:[PrivQ3]])</f>
        <v>0</v>
      </c>
      <c r="FB85" s="237"/>
      <c r="FC85" s="237"/>
      <c r="FD85" s="237"/>
      <c r="FE85" s="232">
        <f>SUM(Table1[[#This Row],[TOQ1]:[TOQ3]])</f>
        <v>0</v>
      </c>
      <c r="FF85" s="237"/>
      <c r="FG85" s="237"/>
      <c r="FH85" s="237"/>
      <c r="FI85" s="232">
        <f>SUM(Table1[[#This Row],[OFundQ1]:[OFundQ3]])</f>
        <v>0</v>
      </c>
      <c r="FJ85" s="239">
        <f>(Table1[[#This Row],[SubTot]]-Table1[[#This Row],[SubFee]])+(Table1[[#This Row],[UnsubTot]]-Table1[[#This Row],[UnsubFee]])+(Table1[[#This Row],[PLUSTot]]-Table1[[#This Row],[PLUSFee]])+Table1[[#This Row],[PrivTot]]+Table1[[#This Row],[TOTot]]+Table1[[#This Row],[OFundTot]]</f>
        <v>5441.7550000000001</v>
      </c>
      <c r="FK85" s="125">
        <f>Table1[[#This Row],[CostTot]]-Table1[[#This Row],[GiftTot]]</f>
        <v>39515</v>
      </c>
      <c r="FL85" s="130">
        <f>Table1[[#This Row],[NetNeed]]/(1-0.04248)</f>
        <v>35584.891177207784</v>
      </c>
      <c r="FM85" s="131">
        <f>Table1[[#This Row],[NetCost]]-Table1[[#This Row],[CashTot]]-(Table1[[#This Row],[SubTot]]-Table1[[#This Row],[SubFee]])-(Table1[[#This Row],[UnsubTot]]-Table1[[#This Row],[UnsubFee]])-(Table1[[#This Row],[PLUSTot]]-Table1[[#This Row],[PLUSFee]])-Table1[[#This Row],[PrivTot]]-Table1[[#This Row],[TOTot]]-Table1[[#This Row],[OFundTot]]</f>
        <v>34073.245000000003</v>
      </c>
      <c r="FN85" s="156"/>
      <c r="FO85" s="113"/>
      <c r="FP85" s="113"/>
    </row>
    <row r="86" spans="1:172" s="160" customFormat="1" ht="15" x14ac:dyDescent="0.25">
      <c r="A86" s="316">
        <v>196652</v>
      </c>
      <c r="B86" s="113" t="str">
        <f>VLOOKUP(Table1[[#This Row],[SyStudentId]],SSR!$A$2:$CC$4982,4,FALSE)</f>
        <v>Psaltakis</v>
      </c>
      <c r="C86" s="113" t="str">
        <f>VLOOKUP(Table1[[#This Row],[SyStudentId]],SSR!$A$2:$CC$4982,5,FALSE)</f>
        <v>Anastasios</v>
      </c>
      <c r="D86" s="113" t="str">
        <f>VLOOKUP(Table1[[#This Row],[SyStudentId]],SSR!$A$2:$CC$4982,6,FALSE)</f>
        <v>Psaltakis, Anastasios</v>
      </c>
      <c r="E86" s="113" t="str">
        <f>CONCATENATE(Table1[[#This Row],[FirstName]]," ",Table1[[#This Row],[LastName]])</f>
        <v>Anastasios Psaltakis</v>
      </c>
      <c r="F86" s="112">
        <v>1</v>
      </c>
      <c r="G86" s="114"/>
      <c r="H86" s="114"/>
      <c r="I86" s="114">
        <v>43783</v>
      </c>
      <c r="J86" s="115"/>
      <c r="K86" s="116"/>
      <c r="L86" s="112" t="str">
        <f>IFERROR(VLOOKUP(Table1[[#This Row],[SyStudentId]],ISIR!$A$2:$X$999,11,FALSE),"")</f>
        <v>D</v>
      </c>
      <c r="M86" s="113" t="str">
        <f>VLOOKUP(Table1[[#This Row],[SyStudentId]],SSR!$A$2:$CC$4982,7,FALSE)</f>
        <v>tassopsaltakis@me.com</v>
      </c>
      <c r="N86" s="113" t="str">
        <f>VLOOKUP(Table1[[#This Row],[SyStudentId]],SSR!$A$2:$CC$4982,8,FALSE)</f>
        <v>13403 Farm View St.</v>
      </c>
      <c r="O86" s="113" t="str">
        <f>VLOOKUP(Table1[[#This Row],[SyStudentId]],SSR!$A$2:$CC$4982,9,FALSE)</f>
        <v>Homer Glen</v>
      </c>
      <c r="P86" s="292" t="str">
        <f>VLOOKUP(Table1[[#This Row],[SyStudentId]],SSR!$A$2:$CC$4982,10,FALSE)</f>
        <v>IL</v>
      </c>
      <c r="Q86" s="117" t="str">
        <f>VLOOKUP(Table1[[#This Row],[SyStudentId]],SSR!$A$2:$CC$4982,11,FALSE)</f>
        <v xml:space="preserve">60491     </v>
      </c>
      <c r="R86" s="118">
        <f>VLOOKUP(Table1[[#This Row],[SyStudentId]],SSR!$A$2:$CC$4982,15,FALSE)</f>
        <v>3</v>
      </c>
      <c r="S86" s="119">
        <f>VLOOKUP(Table1[[#This Row],[SyStudentId]],SSR!$A$2:$CC$4982,22,FALSE)</f>
        <v>44109</v>
      </c>
      <c r="T86" s="113" t="str">
        <f>VLOOKUP(Table1[[#This Row],[SyStudentId]],SSR!$A$2:$CC$4982,24,FALSE)</f>
        <v>GM</v>
      </c>
      <c r="U86" s="113" t="str">
        <f>IF(VLOOKUP(Table1[[#This Row],[SyStudentId]],SSR!$A$2:$CC$4982,26,FALSE)=0,"Not Selected",VLOOKUP(Table1[[#This Row],[SyStudentId]],SSR!$A$2:$CC$4982,26,FALSE))</f>
        <v>Male</v>
      </c>
      <c r="V86" s="113" t="str">
        <f>VLOOKUP(Table1[[#This Row],[SyStudentId]],SSR!$A$2:$CC$4982,27,FALSE)</f>
        <v xml:space="preserve">HS2020  </v>
      </c>
      <c r="W86" s="113" t="str">
        <f>VLOOKUP(LEFT(Table1[[#This Row],[LastName]],1),Alpha!$A$1:$B$26,2,FALSE)</f>
        <v>Maureen Ranks</v>
      </c>
      <c r="X86" s="149" t="str">
        <f>VLOOKUP(Table1[[#This Row],[FAA]],Alpha!$B$1:$D$26,2,FALSE)</f>
        <v>mranks@neumont.edu</v>
      </c>
      <c r="Y86" s="113">
        <f>VLOOKUP(Table1[[#This Row],[FAA]],Alpha!$B$1:$D$26,3,FALSE)</f>
        <v>8883022894</v>
      </c>
      <c r="Z86" s="113" t="str">
        <f>VLOOKUP(Table1[[#This Row],[SyStudentId]],SSR!$A$2:$CC$4982,30,FALSE)</f>
        <v>16-Accepted</v>
      </c>
      <c r="AA86" s="113" t="str">
        <f>IF(VLOOKUP(Table1[[#This Row],[SyStudentId]],SSR!$A$2:$CC$4982,36,FALSE)="Bachelor of Science","BS Computer Science","Check Program")</f>
        <v>BS Computer Science</v>
      </c>
      <c r="AB86" s="113" t="str">
        <f>VLOOKUP(Table1[[#This Row],[SyStudentId]],SSR!$A$2:$CC$4982,37,FALSE)</f>
        <v xml:space="preserve">22      </v>
      </c>
      <c r="AC86" s="113">
        <f>VLOOKUP(Table1[[#This Row],[SyStudentId]],SSR!$A$2:$CC$4982,42,FALSE)</f>
        <v>0</v>
      </c>
      <c r="AD86" s="113" t="str">
        <f>VLOOKUP(Table1[[#This Row],[SyStudentId]],SSR!$A$2:$CC$4982,46,FALSE)</f>
        <v>99</v>
      </c>
      <c r="AE86" s="113" t="str">
        <f>VLOOKUP(Table1[[#This Row],[SyStudentId]],SSR!$A$2:$CC$4982,65,FALSE)</f>
        <v>III</v>
      </c>
      <c r="AF86"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86" s="113" t="str">
        <f>VLOOKUP(Table1[[#This Row],[SyStudentId]],SSR!$A$2:$CC$4982,66,FALSE)</f>
        <v>July-October</v>
      </c>
      <c r="AH86" s="113" t="str">
        <f>IFERROR(VLOOKUP(Table1[[#This Row],[SyStudentId]],ISIR!$A$2:$X$999,7,FALSE),"")</f>
        <v>016796</v>
      </c>
      <c r="AI86" s="121">
        <f>IF(Table1[[#This Row],[EFCRaw]]="","",IF(Table1[[#This Row],[EFCRaw]]="No EFC","No EFC",_xlfn.NUMBERVALUE(Table1[[#This Row],[EFCRaw]])))</f>
        <v>16796</v>
      </c>
      <c r="AJ86" s="119">
        <f>IFERROR(VLOOKUP(Table1[[#This Row],[SyStudentId]],ISIR!$A$2:$X$4999,19,FALSE),"")</f>
        <v>43774</v>
      </c>
      <c r="AK86" s="113" t="str">
        <f>IFERROR(VLOOKUP(Table1[[#This Row],[SyStudentId]],ISIR!$A$2:$X$4999,8,FALSE),"")</f>
        <v>N</v>
      </c>
      <c r="AL86" s="132" t="str">
        <f>IF(Table1[[#This Row],[VerReq]]="N","n/a","")</f>
        <v>n/a</v>
      </c>
      <c r="AM86" s="122"/>
      <c r="AN86" s="122"/>
      <c r="AO86" s="122"/>
      <c r="AP86" s="122"/>
      <c r="AQ86" s="122"/>
      <c r="AR86" s="122"/>
      <c r="AS86" s="122"/>
      <c r="AT86" s="122"/>
      <c r="AU86" s="122"/>
      <c r="AV86" s="122"/>
      <c r="AW86" s="122"/>
      <c r="AX86" s="122"/>
      <c r="AY86" s="122"/>
      <c r="AZ86" s="122"/>
      <c r="BA86" s="122"/>
      <c r="BB86" s="122"/>
      <c r="BC86" s="148"/>
      <c r="BD86" s="140" t="str">
        <f>IF(Table1[[#This Row],[VerReq]]="N","x","")</f>
        <v>x</v>
      </c>
      <c r="BE86" s="140" t="str">
        <f>IF(Table1[[#This Row],[VerReq]]="N","x","")</f>
        <v>x</v>
      </c>
      <c r="BF86" s="140" t="str">
        <f>IF(Table1[[#This Row],[VerReq]]="N","x","")</f>
        <v>x</v>
      </c>
      <c r="BG86" s="140" t="str">
        <f>IF(Table1[[#This Row],[VerReq]]="N","x","")</f>
        <v>x</v>
      </c>
      <c r="BH86" s="140" t="str">
        <f>IF(Table1[[#This Row],[VerReq]]="N","x","")</f>
        <v>x</v>
      </c>
      <c r="BI86" s="140" t="str">
        <f>IF(Table1[[#This Row],[VerReq]]="N","x","")</f>
        <v>x</v>
      </c>
      <c r="BJ86" s="123">
        <f>1-((COUNTBLANK(Table1[[#This Row],[ALESent]:[TaxTran]]))/(COUNT(Table1[[#This Row],[ALESent]:[TaxTran]])+COUNTBLANK(Table1[[#This Row],[ALESent]:[TaxTran]])))</f>
        <v>0</v>
      </c>
      <c r="BK86" s="150">
        <f>IF(VLOOKUP(Table1[[#This Row],[SyStudentId]],SSR!$A$2:$CC$4982,22,FALSE)=44109,44109,"Check Program")</f>
        <v>44109</v>
      </c>
      <c r="BL86" s="124">
        <f>IF(Table1[[#This Row],[AYStart]]=44109,44356,"Check Program")</f>
        <v>44356</v>
      </c>
      <c r="BM86" s="219">
        <v>8505</v>
      </c>
      <c r="BN86" s="219">
        <v>8505</v>
      </c>
      <c r="BO86" s="219">
        <v>8505</v>
      </c>
      <c r="BP86" s="220">
        <f t="shared" si="3"/>
        <v>25515</v>
      </c>
      <c r="BQ86" s="221">
        <v>3300</v>
      </c>
      <c r="BR86" s="219">
        <v>400</v>
      </c>
      <c r="BS86" s="219">
        <v>400</v>
      </c>
      <c r="BT86" s="220">
        <f t="shared" si="4"/>
        <v>4100</v>
      </c>
      <c r="BU86" s="219">
        <v>2100</v>
      </c>
      <c r="BV86" s="219">
        <v>2100</v>
      </c>
      <c r="BW86" s="219">
        <v>2100</v>
      </c>
      <c r="BX86" s="222">
        <f t="shared" si="5"/>
        <v>6300</v>
      </c>
      <c r="BY86" s="275">
        <v>1200</v>
      </c>
      <c r="BZ86" s="275">
        <v>1200</v>
      </c>
      <c r="CA86" s="275">
        <v>1200</v>
      </c>
      <c r="CB86" s="222">
        <f>SUM(Table1[[#This Row],[LEQ1]:[LEQ3]])</f>
        <v>3600</v>
      </c>
      <c r="CC86" s="223">
        <v>0</v>
      </c>
      <c r="CD86" s="223">
        <v>0</v>
      </c>
      <c r="CE86" s="223">
        <v>0</v>
      </c>
      <c r="CF86" s="222">
        <f>SUM(Table1[[#This Row],[OthCostQ1]:[OthCostQ3]])</f>
        <v>0</v>
      </c>
      <c r="CG86" s="220">
        <f>(Table1[[#This Row],[T&amp;FTot]]+Table1[[#This Row],[B&amp;STot]]+Table1[[#This Row],[HousTot]]+Table1[[#This Row],[LETot]]+Table1[[#This Row],[OthCostTot]])</f>
        <v>39515</v>
      </c>
      <c r="CH86" s="250"/>
      <c r="CI86" s="250"/>
      <c r="CJ86" s="250"/>
      <c r="CK86" s="251">
        <f>SUM(Table1[[#This Row],[SEOGQ1]:[SEOGQ3]])</f>
        <v>0</v>
      </c>
      <c r="CL86" s="250">
        <f>IFERROR(ROUNDUP(Table1[[#This Row],[PellTot]]/3,0),0)</f>
        <v>0</v>
      </c>
      <c r="CM86" s="250">
        <f>IFERROR(ROUND(Table1[[#This Row],[PellTot]]/3,0),0)</f>
        <v>0</v>
      </c>
      <c r="CN86" s="250">
        <f>IFERROR(ROUNDDOWN(Table1[[#This Row],[PellTot]]/3,0),0)</f>
        <v>0</v>
      </c>
      <c r="CO86" s="251">
        <f>IFERROR(LOOKUP(Table1[EFC],Pell_Table[#Data],Pell_Table[Pell Amt]),0)</f>
        <v>0</v>
      </c>
      <c r="CP86" s="250">
        <f>Table1[[#This Row],[AccessTot]]/3</f>
        <v>0</v>
      </c>
      <c r="CQ86" s="250">
        <f>Table1[[#This Row],[AccessTot]]/3</f>
        <v>0</v>
      </c>
      <c r="CR86" s="250">
        <f>Table1[[#This Row],[AccessTot]]/3</f>
        <v>0</v>
      </c>
      <c r="CS86" s="251">
        <f>IF(Table1[[#This Row],[PellTot]]&gt;0,1500,0)</f>
        <v>0</v>
      </c>
      <c r="CT86" s="250">
        <f>Table1[[#This Row],[AchiTot]]/3</f>
        <v>1300</v>
      </c>
      <c r="CU86" s="250">
        <f>Table1[[#This Row],[AchiTot]]/3</f>
        <v>1300</v>
      </c>
      <c r="CV86" s="250">
        <f>Table1[[#This Row],[AchiTot]]/3</f>
        <v>1300</v>
      </c>
      <c r="CW86" s="252">
        <f>IF(Table1[[#This Row],[Rank]]="","",IF(Table1[[#This Row],[Rank]]=1,5100,IF(Table1[[#This Row],[Rank]]=2,4500,IF(Table1[[#This Row],[Rank]]=3,3900,IF(Table1[[#This Row],[Rank]]=4,3750,IF(Table1[[#This Row],[Rank]]=5,3000,IF(Table1[[#This Row],[Rank]]=6,2250,0)))))))</f>
        <v>3900</v>
      </c>
      <c r="CX86" s="250">
        <f>Table1[[#This Row],[UTTot]]/3</f>
        <v>0</v>
      </c>
      <c r="CY86" s="250">
        <f>Table1[[#This Row],[UTTot]]/3</f>
        <v>0</v>
      </c>
      <c r="CZ86" s="250">
        <f>Table1[[#This Row],[UTTot]]/3</f>
        <v>0</v>
      </c>
      <c r="DA86" s="251">
        <f>IF(Table1[[#This Row],[State]]="UT",9000,0)</f>
        <v>0</v>
      </c>
      <c r="DB86" s="250">
        <f>Table1[[#This Row],[WITTot]]/3</f>
        <v>0</v>
      </c>
      <c r="DC86" s="250">
        <f>Table1[[#This Row],[WITTot]]/3</f>
        <v>0</v>
      </c>
      <c r="DD86" s="250">
        <f>Table1[[#This Row],[WITTot]]/3</f>
        <v>0</v>
      </c>
      <c r="DE86" s="251">
        <f>IF(Table1[[#This Row],[Gender]]="Female",3000,0)</f>
        <v>0</v>
      </c>
      <c r="DF86" s="250">
        <f>Table1[[#This Row],[SerTot]]/3</f>
        <v>0</v>
      </c>
      <c r="DG86" s="250">
        <f>Table1[[#This Row],[SerTot]]/3</f>
        <v>0</v>
      </c>
      <c r="DH86" s="250">
        <f>Table1[[#This Row],[SerTot]]/3</f>
        <v>0</v>
      </c>
      <c r="DI86" s="252"/>
      <c r="DJ86" s="250"/>
      <c r="DK86" s="250"/>
      <c r="DL86" s="250"/>
      <c r="DM86" s="252"/>
      <c r="DN86" s="253">
        <f>Table1[[#This Row],[MatTot]]/3</f>
        <v>0</v>
      </c>
      <c r="DO86" s="253">
        <f>Table1[[#This Row],[MatTot]]/3</f>
        <v>0</v>
      </c>
      <c r="DP86" s="253">
        <f>Table1[[#This Row],[MatTot]]/3</f>
        <v>0</v>
      </c>
      <c r="DQ86" s="262">
        <v>0</v>
      </c>
      <c r="DR86" s="253">
        <f>Table1[[#This Row],[OutTot]]/3</f>
        <v>0</v>
      </c>
      <c r="DS86" s="253">
        <f>Table1[[#This Row],[OutTot]]/3</f>
        <v>0</v>
      </c>
      <c r="DT86" s="253">
        <f>Table1[[#This Row],[OutTot]]/3</f>
        <v>0</v>
      </c>
      <c r="DU86" s="255">
        <v>0</v>
      </c>
      <c r="DV86" s="253">
        <v>0</v>
      </c>
      <c r="DW86" s="253">
        <v>0</v>
      </c>
      <c r="DX86" s="253">
        <v>0</v>
      </c>
      <c r="DY86" s="262">
        <f>SUM(Table1[[#This Row],[VAQ1]:[VAQ3]])</f>
        <v>0</v>
      </c>
      <c r="DZ86" s="253">
        <v>0</v>
      </c>
      <c r="EA86" s="253">
        <v>0</v>
      </c>
      <c r="EB86" s="253">
        <v>0</v>
      </c>
      <c r="EC86" s="255">
        <f>SUM(Table1[[#This Row],[OthGrantQ1]:[OthGrantQ3]])</f>
        <v>0</v>
      </c>
      <c r="ED86" s="263">
        <f>Table1[[#This Row],[SEOGTot]]+Table1[[#This Row],[PellTot]]+Table1[[#This Row],[AccessTot]]+Table1[[#This Row],[AchiTot]]+Table1[[#This Row],[UTTot]]+Table1[[#This Row],[WITTot]]+Table1[[#This Row],[SerTot]]+Table1[[#This Row],[TranTot]]+Table1[[#This Row],[MatTot]]+Table1[[#This Row],[OutTot]]+Table1[[#This Row],[VATot]]+Table1[[#This Row],[OthGrantTot]]</f>
        <v>3900</v>
      </c>
      <c r="EE86" s="249"/>
      <c r="EF86" s="237"/>
      <c r="EG86" s="237"/>
      <c r="EH86" s="232">
        <f>SUM(Table1[[#This Row],[CashQ1]]:Table1[[#This Row],[CashQ3]])</f>
        <v>0</v>
      </c>
      <c r="EI86" s="229">
        <f>ROUND((Table1[[#This Row],[SubTot]]/3)/1.01059,0)</f>
        <v>1154</v>
      </c>
      <c r="EJ86" s="230">
        <f>ROUND((Table1[[#This Row],[SubTot]]/3)/1.01059,0)</f>
        <v>1154</v>
      </c>
      <c r="EK86" s="230">
        <f>ROUNDUP((Table1[[#This Row],[SubTot]]/3)/1.01059,0)</f>
        <v>1155</v>
      </c>
      <c r="EL86" s="231">
        <v>3500</v>
      </c>
      <c r="EM86" s="233">
        <f>Table1[[#This Row],[SubTot]]*0.01059</f>
        <v>37.065000000000005</v>
      </c>
      <c r="EN86" s="230">
        <f>ROUND((Table1[[#This Row],[UnsubTot]]/3)/1.01062,0)</f>
        <v>660</v>
      </c>
      <c r="EO86" s="230">
        <f>ROUND((Table1[[#This Row],[UnsubTot]]/3)/1.01062,0)</f>
        <v>660</v>
      </c>
      <c r="EP86" s="230">
        <f>ROUNDDOWN((Table1[[#This Row],[UnsubTot]]/3)/1.01062,0)</f>
        <v>659</v>
      </c>
      <c r="EQ86" s="231">
        <f>IF(Table1[D/I]="I",6000,2000)</f>
        <v>2000</v>
      </c>
      <c r="ER86" s="233">
        <f>Table1[[#This Row],[UnsubTot]]*0.01059</f>
        <v>21.18</v>
      </c>
      <c r="ES86" s="230">
        <f>ROUND((Table1[[#This Row],[PLUSTot]]/3)/1.04236,0)</f>
        <v>0</v>
      </c>
      <c r="ET86" s="230">
        <f>ROUND((Table1[[#This Row],[PLUSTot]]/3)/1.04236,0)</f>
        <v>0</v>
      </c>
      <c r="EU86" s="230">
        <f>ROUND((Table1[[#This Row],[PLUSTot]]/3)/1.04236,0)</f>
        <v>0</v>
      </c>
      <c r="EV86" s="231">
        <v>0</v>
      </c>
      <c r="EW86" s="239">
        <f>Table1[[#This Row],[PLUSTot]]*0.04248</f>
        <v>0</v>
      </c>
      <c r="EX86" s="237"/>
      <c r="EY86" s="237"/>
      <c r="EZ86" s="237"/>
      <c r="FA86" s="232">
        <f>SUM(Table1[[#This Row],[PrivQ1]:[PrivQ3]])</f>
        <v>0</v>
      </c>
      <c r="FB86" s="237"/>
      <c r="FC86" s="237"/>
      <c r="FD86" s="237"/>
      <c r="FE86" s="232">
        <f>SUM(Table1[[#This Row],[TOQ1]:[TOQ3]])</f>
        <v>0</v>
      </c>
      <c r="FF86" s="237"/>
      <c r="FG86" s="237"/>
      <c r="FH86" s="237"/>
      <c r="FI86" s="232">
        <f>SUM(Table1[[#This Row],[OFundQ1]:[OFundQ3]])</f>
        <v>0</v>
      </c>
      <c r="FJ86" s="239">
        <f>(Table1[[#This Row],[SubTot]]-Table1[[#This Row],[SubFee]])+(Table1[[#This Row],[UnsubTot]]-Table1[[#This Row],[UnsubFee]])+(Table1[[#This Row],[PLUSTot]]-Table1[[#This Row],[PLUSFee]])+Table1[[#This Row],[PrivTot]]+Table1[[#This Row],[TOTot]]+Table1[[#This Row],[OFundTot]]</f>
        <v>5441.7550000000001</v>
      </c>
      <c r="FK86" s="125">
        <f>Table1[[#This Row],[CostTot]]-Table1[[#This Row],[GiftTot]]</f>
        <v>35615</v>
      </c>
      <c r="FL86" s="130">
        <f>Table1[[#This Row],[NetNeed]]/(1-0.04248)</f>
        <v>31511.869203776419</v>
      </c>
      <c r="FM86" s="131">
        <f>Table1[[#This Row],[NetCost]]-Table1[[#This Row],[CashTot]]-(Table1[[#This Row],[SubTot]]-Table1[[#This Row],[SubFee]])-(Table1[[#This Row],[UnsubTot]]-Table1[[#This Row],[UnsubFee]])-(Table1[[#This Row],[PLUSTot]]-Table1[[#This Row],[PLUSFee]])-Table1[[#This Row],[PrivTot]]-Table1[[#This Row],[TOTot]]-Table1[[#This Row],[OFundTot]]</f>
        <v>30173.244999999999</v>
      </c>
      <c r="FN86" s="156"/>
      <c r="FO86" s="113"/>
      <c r="FP86" s="113"/>
    </row>
    <row r="87" spans="1:172" s="160" customFormat="1" ht="15" x14ac:dyDescent="0.25">
      <c r="A87" s="311">
        <v>196842</v>
      </c>
      <c r="B87" s="160" t="str">
        <f>VLOOKUP(Table1[[#This Row],[SyStudentId]],SSR!$A$2:$CC$4982,4,FALSE)</f>
        <v>Pyeatt</v>
      </c>
      <c r="C87" s="160" t="str">
        <f>VLOOKUP(Table1[[#This Row],[SyStudentId]],SSR!$A$2:$CC$4982,5,FALSE)</f>
        <v>Shelbie</v>
      </c>
      <c r="D87" s="160" t="str">
        <f>VLOOKUP(Table1[[#This Row],[SyStudentId]],SSR!$A$2:$CC$4982,6,FALSE)</f>
        <v>Pyeatt, Shelbie</v>
      </c>
      <c r="E87" s="113" t="str">
        <f>CONCATENATE(Table1[[#This Row],[FirstName]]," ",Table1[[#This Row],[LastName]])</f>
        <v>Shelbie Pyeatt</v>
      </c>
      <c r="F87" s="158">
        <v>1</v>
      </c>
      <c r="G87" s="114"/>
      <c r="H87" s="114"/>
      <c r="I87" s="114">
        <v>43776</v>
      </c>
      <c r="J87" s="163"/>
      <c r="K87" s="164"/>
      <c r="L87" s="158" t="str">
        <f>IFERROR(VLOOKUP(Table1[[#This Row],[SyStudentId]],ISIR!$A$2:$X$4999,11,FALSE),"")</f>
        <v>D</v>
      </c>
      <c r="M87" s="160" t="str">
        <f>VLOOKUP(Table1[[#This Row],[SyStudentId]],SSR!$A$2:$CC$4982,7,FALSE)</f>
        <v>srpyeatt@outlook.com</v>
      </c>
      <c r="N87" s="160" t="str">
        <f>VLOOKUP(Table1[[#This Row],[SyStudentId]],SSR!$A$2:$CC$4982,8,FALSE)</f>
        <v>20707 N 67th Ave, Apt. 117</v>
      </c>
      <c r="O87" s="160" t="str">
        <f>VLOOKUP(Table1[[#This Row],[SyStudentId]],SSR!$A$2:$CC$4982,9,FALSE)</f>
        <v>Glendale</v>
      </c>
      <c r="P87" s="295" t="str">
        <f>VLOOKUP(Table1[[#This Row],[SyStudentId]],SSR!$A$2:$CC$4982,10,FALSE)</f>
        <v>AZ</v>
      </c>
      <c r="Q87" s="165" t="str">
        <f>VLOOKUP(Table1[[#This Row],[SyStudentId]],SSR!$A$2:$CC$4982,11,FALSE)</f>
        <v xml:space="preserve">85308     </v>
      </c>
      <c r="R87" s="166">
        <f>VLOOKUP(Table1[[#This Row],[SyStudentId]],SSR!$A$2:$CC$4982,15,FALSE)</f>
        <v>3.13</v>
      </c>
      <c r="S87" s="167">
        <f>VLOOKUP(Table1[[#This Row],[SyStudentId]],SSR!$A$2:$CC$4982,22,FALSE)</f>
        <v>44109</v>
      </c>
      <c r="T87" s="160" t="str">
        <f>VLOOKUP(Table1[[#This Row],[SyStudentId]],SSR!$A$2:$CC$4982,24,FALSE)</f>
        <v>JT</v>
      </c>
      <c r="U87" s="160" t="str">
        <f>IF(VLOOKUP(Table1[[#This Row],[SyStudentId]],SSR!$A$2:$CC$4982,26,FALSE)=0,"Not Selected",VLOOKUP(Table1[[#This Row],[SyStudentId]],SSR!$A$2:$CC$4982,26,FALSE))</f>
        <v>Female</v>
      </c>
      <c r="V87" s="160" t="str">
        <f>VLOOKUP(Table1[[#This Row],[SyStudentId]],SSR!$A$2:$CC$4982,27,FALSE)</f>
        <v xml:space="preserve">HS2020  </v>
      </c>
      <c r="W87" s="160" t="str">
        <f>VLOOKUP(LEFT(Table1[[#This Row],[LastName]],1),Alpha!$A$1:$B$26,2,FALSE)</f>
        <v>Maureen Ranks</v>
      </c>
      <c r="X87" s="168" t="str">
        <f>VLOOKUP(Table1[[#This Row],[FAA]],Alpha!$B$1:$D$26,2,FALSE)</f>
        <v>mranks@neumont.edu</v>
      </c>
      <c r="Y87" s="160">
        <f>VLOOKUP(Table1[[#This Row],[FAA]],Alpha!$B$1:$D$26,3,FALSE)</f>
        <v>8883022894</v>
      </c>
      <c r="Z87" s="160" t="str">
        <f>VLOOKUP(Table1[[#This Row],[SyStudentId]],SSR!$A$2:$CC$4982,30,FALSE)</f>
        <v>16-Accepted</v>
      </c>
      <c r="AA87" s="160" t="str">
        <f>IF(VLOOKUP(Table1[[#This Row],[SyStudentId]],SSR!$A$2:$CC$4982,36,FALSE)="Bachelor of Science","BS Computer Science","Check Program")</f>
        <v>BS Computer Science</v>
      </c>
      <c r="AB87" s="160" t="str">
        <f>VLOOKUP(Table1[[#This Row],[SyStudentId]],SSR!$A$2:$CC$4982,37,FALSE)</f>
        <v xml:space="preserve">23      </v>
      </c>
      <c r="AC87" s="160">
        <f>VLOOKUP(Table1[[#This Row],[SyStudentId]],SSR!$A$2:$CC$4982,42,FALSE)</f>
        <v>0</v>
      </c>
      <c r="AD87" s="160" t="str">
        <f>VLOOKUP(Table1[[#This Row],[SyStudentId]],SSR!$A$2:$CC$4982,46,FALSE)</f>
        <v>102</v>
      </c>
      <c r="AE87" s="160" t="str">
        <f>VLOOKUP(Table1[[#This Row],[SyStudentId]],SSR!$A$2:$CC$4982,65,FALSE)</f>
        <v>III</v>
      </c>
      <c r="AF87"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87" s="160" t="str">
        <f>VLOOKUP(Table1[[#This Row],[SyStudentId]],SSR!$A$2:$CC$4982,66,FALSE)</f>
        <v>July-October</v>
      </c>
      <c r="AH87" s="160" t="str">
        <f>IFERROR(VLOOKUP(Table1[[#This Row],[SyStudentId]],ISIR!$A$2:$X$1999,7,FALSE),"")</f>
        <v>001865</v>
      </c>
      <c r="AI87" s="170">
        <f>IF(Table1[[#This Row],[EFCRaw]]="","",IF(Table1[[#This Row],[EFCRaw]]="No EFC","No EFC",_xlfn.NUMBERVALUE(Table1[[#This Row],[EFCRaw]])))</f>
        <v>1865</v>
      </c>
      <c r="AJ87" s="167">
        <f>IFERROR(VLOOKUP(Table1[[#This Row],[SyStudentId]],ISIR!$A$2:$X$4999,19,FALSE),"")</f>
        <v>43774</v>
      </c>
      <c r="AK87" s="160" t="str">
        <f>IFERROR(VLOOKUP(Table1[[#This Row],[SyStudentId]],ISIR!$A$2:$X$4999,8,FALSE),"")</f>
        <v>N</v>
      </c>
      <c r="AL87" s="171" t="str">
        <f>IF(Table1[[#This Row],[VerReq]]="N","n/a","")</f>
        <v>n/a</v>
      </c>
      <c r="AM87" s="122"/>
      <c r="AN87" s="122"/>
      <c r="AO87" s="122">
        <v>43766</v>
      </c>
      <c r="AP87" s="122"/>
      <c r="AQ87" s="122"/>
      <c r="AR87" s="122"/>
      <c r="AS87" s="122"/>
      <c r="AT87" s="122"/>
      <c r="AU87" s="122"/>
      <c r="AV87" s="122"/>
      <c r="AW87" s="122"/>
      <c r="AX87" s="122"/>
      <c r="AY87" s="122"/>
      <c r="AZ87" s="122"/>
      <c r="BA87" s="122"/>
      <c r="BB87" s="122"/>
      <c r="BC87" s="148"/>
      <c r="BD87" s="140" t="str">
        <f>IF(Table1[[#This Row],[VerReq]]="N","x","")</f>
        <v>x</v>
      </c>
      <c r="BE87" s="140" t="str">
        <f>IF(Table1[[#This Row],[VerReq]]="N","x","")</f>
        <v>x</v>
      </c>
      <c r="BF87" s="140" t="str">
        <f>IF(Table1[[#This Row],[VerReq]]="N","x","")</f>
        <v>x</v>
      </c>
      <c r="BG87" s="140" t="str">
        <f>IF(Table1[[#This Row],[VerReq]]="N","x","")</f>
        <v>x</v>
      </c>
      <c r="BH87" s="140" t="str">
        <f>IF(Table1[[#This Row],[VerReq]]="N","x","")</f>
        <v>x</v>
      </c>
      <c r="BI87" s="140" t="str">
        <f>IF(Table1[[#This Row],[VerReq]]="N","x","")</f>
        <v>x</v>
      </c>
      <c r="BJ87" s="181">
        <f>1-((COUNTBLANK(Table1[[#This Row],[ALESent]:[TaxTran]]))/(COUNT(Table1[[#This Row],[ALESent]:[TaxTran]])+COUNTBLANK(Table1[[#This Row],[ALESent]:[TaxTran]])))</f>
        <v>5.8823529411764719E-2</v>
      </c>
      <c r="BK87" s="216">
        <f>IF(VLOOKUP(Table1[[#This Row],[SyStudentId]],SSR!$A$2:$CC$4982,22,FALSE)=44109,44109,"Check Program")</f>
        <v>44109</v>
      </c>
      <c r="BL87" s="173">
        <f>IF(Table1[[#This Row],[AYStart]]=44109,44356,"Check Program")</f>
        <v>44356</v>
      </c>
      <c r="BM87" s="219">
        <v>8505</v>
      </c>
      <c r="BN87" s="219">
        <v>8505</v>
      </c>
      <c r="BO87" s="219">
        <v>8505</v>
      </c>
      <c r="BP87" s="220">
        <f t="shared" si="3"/>
        <v>25515</v>
      </c>
      <c r="BQ87" s="221">
        <v>3300</v>
      </c>
      <c r="BR87" s="219">
        <v>400</v>
      </c>
      <c r="BS87" s="219">
        <v>400</v>
      </c>
      <c r="BT87" s="222">
        <f t="shared" si="4"/>
        <v>4100</v>
      </c>
      <c r="BU87" s="219">
        <v>2100</v>
      </c>
      <c r="BV87" s="219">
        <v>2100</v>
      </c>
      <c r="BW87" s="219">
        <v>2100</v>
      </c>
      <c r="BX87" s="222">
        <f t="shared" si="5"/>
        <v>6300</v>
      </c>
      <c r="BY87" s="275">
        <v>1200</v>
      </c>
      <c r="BZ87" s="275">
        <v>1200</v>
      </c>
      <c r="CA87" s="275">
        <v>1200</v>
      </c>
      <c r="CB87" s="222">
        <f>SUM(Table1[[#This Row],[LEQ1]:[LEQ3]])</f>
        <v>3600</v>
      </c>
      <c r="CC87" s="223">
        <v>0</v>
      </c>
      <c r="CD87" s="223">
        <v>0</v>
      </c>
      <c r="CE87" s="223">
        <v>0</v>
      </c>
      <c r="CF87" s="222">
        <f>SUM(Table1[[#This Row],[OthCostQ1]:[OthCostQ3]])</f>
        <v>0</v>
      </c>
      <c r="CG87" s="222">
        <f>(Table1[[#This Row],[T&amp;FTot]]+Table1[[#This Row],[B&amp;STot]]+Table1[[#This Row],[HousTot]]+Table1[[#This Row],[LETot]]+Table1[[#This Row],[OthCostTot]])</f>
        <v>39515</v>
      </c>
      <c r="CH87" s="253">
        <v>0</v>
      </c>
      <c r="CI87" s="253">
        <v>0</v>
      </c>
      <c r="CJ87" s="253">
        <v>0</v>
      </c>
      <c r="CK87" s="254">
        <f>SUM(Table1[[#This Row],[SEOGQ1]:[SEOGQ3]])</f>
        <v>0</v>
      </c>
      <c r="CL87" s="253">
        <f>IFERROR(ROUNDUP(Table1[[#This Row],[PellTot]]/3,0),0)</f>
        <v>1449</v>
      </c>
      <c r="CM87" s="253">
        <f>IFERROR(ROUND(Table1[[#This Row],[PellTot]]/3,0),0)</f>
        <v>1448</v>
      </c>
      <c r="CN87" s="253">
        <f>IFERROR(ROUNDDOWN(Table1[[#This Row],[PellTot]]/3,0),0)</f>
        <v>1448</v>
      </c>
      <c r="CO87" s="254">
        <f>IFERROR(LOOKUP(Table1[EFC],Pell_Table[#Data],Pell_Table[Pell Amt]),0)</f>
        <v>4345</v>
      </c>
      <c r="CP87" s="253">
        <f>Table1[[#This Row],[AccessTot]]/3</f>
        <v>500</v>
      </c>
      <c r="CQ87" s="253">
        <f>Table1[[#This Row],[AccessTot]]/3</f>
        <v>500</v>
      </c>
      <c r="CR87" s="253">
        <f>Table1[[#This Row],[AccessTot]]/3</f>
        <v>500</v>
      </c>
      <c r="CS87" s="254">
        <f>IF(Table1[[#This Row],[PellTot]]&gt;0,1500,0)</f>
        <v>1500</v>
      </c>
      <c r="CT87" s="253">
        <f>Table1[[#This Row],[AchiTot]]/3</f>
        <v>1300</v>
      </c>
      <c r="CU87" s="253">
        <f>Table1[[#This Row],[AchiTot]]/3</f>
        <v>1300</v>
      </c>
      <c r="CV87" s="253">
        <f>Table1[[#This Row],[AchiTot]]/3</f>
        <v>1300</v>
      </c>
      <c r="CW87" s="255">
        <f>IF(Table1[[#This Row],[Rank]]="","",IF(Table1[[#This Row],[Rank]]=1,5100,IF(Table1[[#This Row],[Rank]]=2,4500,IF(Table1[[#This Row],[Rank]]=3,3900,IF(Table1[[#This Row],[Rank]]=4,3750,IF(Table1[[#This Row],[Rank]]=5,3000,IF(Table1[[#This Row],[Rank]]=6,2250,0)))))))</f>
        <v>3900</v>
      </c>
      <c r="CX87" s="253">
        <f>Table1[[#This Row],[UTTot]]/3</f>
        <v>0</v>
      </c>
      <c r="CY87" s="253">
        <f>Table1[[#This Row],[UTTot]]/3</f>
        <v>0</v>
      </c>
      <c r="CZ87" s="253">
        <f>Table1[[#This Row],[UTTot]]/3</f>
        <v>0</v>
      </c>
      <c r="DA87" s="254">
        <f>IF(Table1[[#This Row],[State]]="UT",9000,0)</f>
        <v>0</v>
      </c>
      <c r="DB87" s="253">
        <f>Table1[[#This Row],[WITTot]]/3</f>
        <v>1000</v>
      </c>
      <c r="DC87" s="253">
        <f>Table1[[#This Row],[WITTot]]/3</f>
        <v>1000</v>
      </c>
      <c r="DD87" s="253">
        <f>Table1[[#This Row],[WITTot]]/3</f>
        <v>1000</v>
      </c>
      <c r="DE87" s="254">
        <f>IF(Table1[[#This Row],[Gender]]="Female",3000,0)</f>
        <v>3000</v>
      </c>
      <c r="DF87" s="253">
        <f>Table1[[#This Row],[SerTot]]/3</f>
        <v>0</v>
      </c>
      <c r="DG87" s="253">
        <f>Table1[[#This Row],[SerTot]]/3</f>
        <v>0</v>
      </c>
      <c r="DH87" s="253">
        <f>Table1[[#This Row],[SerTot]]/3</f>
        <v>0</v>
      </c>
      <c r="DI87" s="255">
        <v>0</v>
      </c>
      <c r="DJ87" s="253">
        <f>IFERROR(ROUNDUP(Table1[[#This Row],[TranTot]]/3,0),0)</f>
        <v>0</v>
      </c>
      <c r="DK87" s="253">
        <f>IFERROR(ROUND(Table1[[#This Row],[TranTot]]/3,0),0)</f>
        <v>0</v>
      </c>
      <c r="DL87" s="253">
        <f>IFERROR(ROUNDDOWN(Table1[[#This Row],[TranTot]]/3,0),0)</f>
        <v>0</v>
      </c>
      <c r="DM87" s="255">
        <v>0</v>
      </c>
      <c r="DN87" s="253">
        <f>Table1[[#This Row],[MatTot]]/3</f>
        <v>0</v>
      </c>
      <c r="DO87" s="253">
        <f>Table1[[#This Row],[MatTot]]/3</f>
        <v>0</v>
      </c>
      <c r="DP87" s="253">
        <f>Table1[[#This Row],[MatTot]]/3</f>
        <v>0</v>
      </c>
      <c r="DQ87" s="262">
        <v>0</v>
      </c>
      <c r="DR87" s="253">
        <f>Table1[[#This Row],[OutTot]]/3</f>
        <v>0</v>
      </c>
      <c r="DS87" s="253">
        <f>Table1[[#This Row],[OutTot]]/3</f>
        <v>0</v>
      </c>
      <c r="DT87" s="253">
        <f>Table1[[#This Row],[OutTot]]/3</f>
        <v>0</v>
      </c>
      <c r="DU87" s="255">
        <v>0</v>
      </c>
      <c r="DV87" s="253">
        <v>0</v>
      </c>
      <c r="DW87" s="253">
        <v>0</v>
      </c>
      <c r="DX87" s="253">
        <v>0</v>
      </c>
      <c r="DY87" s="262">
        <f>SUM(Table1[[#This Row],[VAQ1]:[VAQ3]])</f>
        <v>0</v>
      </c>
      <c r="DZ87" s="253">
        <v>0</v>
      </c>
      <c r="EA87" s="253">
        <v>0</v>
      </c>
      <c r="EB87" s="253">
        <v>0</v>
      </c>
      <c r="EC87" s="255">
        <f>SUM(Table1[[#This Row],[OthGrantQ1]:[OthGrantQ3]])</f>
        <v>0</v>
      </c>
      <c r="ED87" s="264">
        <f>Table1[[#This Row],[SEOGTot]]+Table1[[#This Row],[PellTot]]+Table1[[#This Row],[AccessTot]]+Table1[[#This Row],[AchiTot]]+Table1[[#This Row],[UTTot]]+Table1[[#This Row],[WITTot]]+Table1[[#This Row],[SerTot]]+Table1[[#This Row],[TranTot]]+Table1[[#This Row],[MatTot]]+Table1[[#This Row],[OutTot]]+Table1[[#This Row],[VATot]]+Table1[[#This Row],[OthGrantTot]]</f>
        <v>12745</v>
      </c>
      <c r="EE87" s="226">
        <v>0</v>
      </c>
      <c r="EF87" s="227">
        <v>0</v>
      </c>
      <c r="EG87" s="227">
        <v>0</v>
      </c>
      <c r="EH87" s="228">
        <f>SUM(Table1[[#This Row],[CashQ1]]:Table1[[#This Row],[CashQ3]])</f>
        <v>0</v>
      </c>
      <c r="EI87" s="229">
        <f>ROUND((Table1[[#This Row],[SubTot]]/3)/1.01059,0)</f>
        <v>1154</v>
      </c>
      <c r="EJ87" s="230">
        <f>ROUND((Table1[[#This Row],[SubTot]]/3)/1.01059,0)</f>
        <v>1154</v>
      </c>
      <c r="EK87" s="230">
        <f>ROUNDUP((Table1[[#This Row],[SubTot]]/3)/1.01059,0)</f>
        <v>1155</v>
      </c>
      <c r="EL87" s="231">
        <v>3500</v>
      </c>
      <c r="EM87" s="233">
        <f>Table1[[#This Row],[SubTot]]*0.01059</f>
        <v>37.065000000000005</v>
      </c>
      <c r="EN87" s="230">
        <f>ROUND((Table1[[#This Row],[UnsubTot]]/3)/1.01062,0)</f>
        <v>660</v>
      </c>
      <c r="EO87" s="230">
        <f>ROUND((Table1[[#This Row],[UnsubTot]]/3)/1.01062,0)</f>
        <v>660</v>
      </c>
      <c r="EP87" s="230">
        <f>ROUNDDOWN((Table1[[#This Row],[UnsubTot]]/3)/1.01062,0)</f>
        <v>659</v>
      </c>
      <c r="EQ87" s="231">
        <f>IF(Table1[D/I]="I",6000,2000)</f>
        <v>2000</v>
      </c>
      <c r="ER87" s="233">
        <f>Table1[[#This Row],[UnsubTot]]*0.01059</f>
        <v>21.18</v>
      </c>
      <c r="ES87" s="230">
        <f>ROUND((Table1[[#This Row],[PLUSTot]]/3)/1.04236,0)</f>
        <v>0</v>
      </c>
      <c r="ET87" s="230">
        <f>ROUND((Table1[[#This Row],[PLUSTot]]/3)/1.04236,0)</f>
        <v>0</v>
      </c>
      <c r="EU87" s="230">
        <f>ROUND((Table1[[#This Row],[PLUSTot]]/3)/1.04236,0)</f>
        <v>0</v>
      </c>
      <c r="EV87" s="231">
        <v>0</v>
      </c>
      <c r="EW87" s="236">
        <f>Table1[[#This Row],[PLUSTot]]*0.04236</f>
        <v>0</v>
      </c>
      <c r="EX87" s="227"/>
      <c r="EY87" s="227"/>
      <c r="EZ87" s="227"/>
      <c r="FA87" s="228">
        <f>SUM(Table1[[#This Row],[PrivQ1]:[PrivQ3]])</f>
        <v>0</v>
      </c>
      <c r="FB87" s="227"/>
      <c r="FC87" s="227"/>
      <c r="FD87" s="227"/>
      <c r="FE87" s="228">
        <f>SUM(Table1[[#This Row],[TOQ1]:[TOQ3]])</f>
        <v>0</v>
      </c>
      <c r="FF87" s="227"/>
      <c r="FG87" s="227"/>
      <c r="FH87" s="227"/>
      <c r="FI87" s="228">
        <f>SUM(Table1[[#This Row],[OFundQ1]:[OFundQ3]])</f>
        <v>0</v>
      </c>
      <c r="FJ87" s="236">
        <f>(Table1[[#This Row],[SubTot]]-Table1[[#This Row],[SubFee]])+(Table1[[#This Row],[UnsubTot]]-Table1[[#This Row],[UnsubFee]])+(Table1[[#This Row],[PLUSTot]]-Table1[[#This Row],[PLUSFee]])+Table1[[#This Row],[PrivTot]]+Table1[[#This Row],[TOTot]]+Table1[[#This Row],[OFundTot]]</f>
        <v>5441.7550000000001</v>
      </c>
      <c r="FK87" s="159">
        <f>Table1[[#This Row],[CostTot]]-Table1[[#This Row],[GiftTot]]</f>
        <v>26770</v>
      </c>
      <c r="FL87" s="174">
        <f>Table1[[#This Row],[NetNeed]]/(1-0.04236)</f>
        <v>22271.673071300276</v>
      </c>
      <c r="FM87" s="176">
        <f>Table1[[#This Row],[NetCost]]-Table1[[#This Row],[CashTot]]-(Table1[[#This Row],[SubTot]]-Table1[[#This Row],[SubFee]])-(Table1[[#This Row],[UnsubTot]]-Table1[[#This Row],[UnsubFee]])-(Table1[[#This Row],[PLUSTot]]-Table1[[#This Row],[PLUSFee]])-Table1[[#This Row],[PrivTot]]-Table1[[#This Row],[TOTot]]-Table1[[#This Row],[OFundTot]]</f>
        <v>21328.244999999999</v>
      </c>
      <c r="FN87" s="217"/>
      <c r="FO87" s="162"/>
      <c r="FP87" s="162"/>
    </row>
    <row r="88" spans="1:172" s="160" customFormat="1" ht="15" x14ac:dyDescent="0.25">
      <c r="A88" s="311">
        <v>196339</v>
      </c>
      <c r="B88" s="160" t="str">
        <f>VLOOKUP(Table1[[#This Row],[SyStudentId]],SSR!$A$2:$CC$4982,4,FALSE)</f>
        <v>Quintero Salcido</v>
      </c>
      <c r="C88" s="160" t="str">
        <f>VLOOKUP(Table1[[#This Row],[SyStudentId]],SSR!$A$2:$CC$4982,5,FALSE)</f>
        <v>Emili</v>
      </c>
      <c r="D88" s="160" t="str">
        <f>VLOOKUP(Table1[[#This Row],[SyStudentId]],SSR!$A$2:$CC$4982,6,FALSE)</f>
        <v>Quintero Salcido, Emili</v>
      </c>
      <c r="E88" s="113" t="str">
        <f>CONCATENATE(Table1[[#This Row],[FirstName]]," ",Table1[[#This Row],[LastName]])</f>
        <v>Emili Quintero Salcido</v>
      </c>
      <c r="F88" s="158">
        <v>1</v>
      </c>
      <c r="G88" s="114"/>
      <c r="H88" s="114"/>
      <c r="I88" s="114">
        <v>43801</v>
      </c>
      <c r="J88" s="163"/>
      <c r="K88" s="164"/>
      <c r="L88" s="158" t="str">
        <f>IFERROR(VLOOKUP(Table1[[#This Row],[SyStudentId]],ISIR!$A$2:$X$4999,11,FALSE),"")</f>
        <v>X</v>
      </c>
      <c r="M88" s="160" t="str">
        <f>VLOOKUP(Table1[[#This Row],[SyStudentId]],SSR!$A$2:$CC$4982,7,FALSE)</f>
        <v>quinteroemili12@gmail.com</v>
      </c>
      <c r="N88" s="160" t="str">
        <f>VLOOKUP(Table1[[#This Row],[SyStudentId]],SSR!$A$2:$CC$4982,8,FALSE)</f>
        <v>7007 W Indian School Rd, Apt. 2504</v>
      </c>
      <c r="O88" s="160" t="str">
        <f>VLOOKUP(Table1[[#This Row],[SyStudentId]],SSR!$A$2:$CC$4982,9,FALSE)</f>
        <v>Phoenix</v>
      </c>
      <c r="P88" s="295" t="str">
        <f>VLOOKUP(Table1[[#This Row],[SyStudentId]],SSR!$A$2:$CC$4982,10,FALSE)</f>
        <v>AZ</v>
      </c>
      <c r="Q88" s="165" t="str">
        <f>VLOOKUP(Table1[[#This Row],[SyStudentId]],SSR!$A$2:$CC$4982,11,FALSE)</f>
        <v xml:space="preserve">85033     </v>
      </c>
      <c r="R88" s="166">
        <f>VLOOKUP(Table1[[#This Row],[SyStudentId]],SSR!$A$2:$CC$4982,15,FALSE)</f>
        <v>3.3409</v>
      </c>
      <c r="S88" s="167">
        <f>VLOOKUP(Table1[[#This Row],[SyStudentId]],SSR!$A$2:$CC$4982,22,FALSE)</f>
        <v>44109</v>
      </c>
      <c r="T88" s="160" t="str">
        <f>VLOOKUP(Table1[[#This Row],[SyStudentId]],SSR!$A$2:$CC$4982,24,FALSE)</f>
        <v>JT</v>
      </c>
      <c r="U88" s="160" t="str">
        <f>IF(VLOOKUP(Table1[[#This Row],[SyStudentId]],SSR!$A$2:$CC$4982,26,FALSE)=0,"Not Selected",VLOOKUP(Table1[[#This Row],[SyStudentId]],SSR!$A$2:$CC$4982,26,FALSE))</f>
        <v>Female</v>
      </c>
      <c r="V88" s="160" t="str">
        <f>VLOOKUP(Table1[[#This Row],[SyStudentId]],SSR!$A$2:$CC$4982,27,FALSE)</f>
        <v xml:space="preserve">HS2020  </v>
      </c>
      <c r="W88" s="160" t="str">
        <f>VLOOKUP(LEFT(Table1[[#This Row],[LastName]],1),Alpha!$A$1:$B$26,2,FALSE)</f>
        <v>Maureen Ranks</v>
      </c>
      <c r="X88" s="168" t="str">
        <f>VLOOKUP(Table1[[#This Row],[FAA]],Alpha!$B$1:$D$26,2,FALSE)</f>
        <v>mranks@neumont.edu</v>
      </c>
      <c r="Y88" s="160">
        <f>VLOOKUP(Table1[[#This Row],[FAA]],Alpha!$B$1:$D$26,3,FALSE)</f>
        <v>8883022894</v>
      </c>
      <c r="Z88" s="215" t="str">
        <f>VLOOKUP(Table1[[#This Row],[SyStudentId]],SSR!$A$2:$CC$4982,30,FALSE)</f>
        <v>16-Accepted</v>
      </c>
      <c r="AA88" s="160" t="str">
        <f>IF(VLOOKUP(Table1[[#This Row],[SyStudentId]],SSR!$A$2:$CC$4982,36,FALSE)="Bachelor of Science","BS Computer Science","Check Program")</f>
        <v>BS Computer Science</v>
      </c>
      <c r="AB88" s="160" t="str">
        <f>VLOOKUP(Table1[[#This Row],[SyStudentId]],SSR!$A$2:$CC$4982,37,FALSE)</f>
        <v xml:space="preserve">22      </v>
      </c>
      <c r="AC88" s="160">
        <f>VLOOKUP(Table1[[#This Row],[SyStudentId]],SSR!$A$2:$CC$4982,42,FALSE)</f>
        <v>0</v>
      </c>
      <c r="AD88" s="160" t="str">
        <f>VLOOKUP(Table1[[#This Row],[SyStudentId]],SSR!$A$2:$CC$4982,46,FALSE)</f>
        <v>105</v>
      </c>
      <c r="AE88" s="160" t="str">
        <f>VLOOKUP(Table1[[#This Row],[SyStudentId]],SSR!$A$2:$CC$4982,65,FALSE)</f>
        <v>I</v>
      </c>
      <c r="AF88"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88" s="160" t="str">
        <f>VLOOKUP(Table1[[#This Row],[SyStudentId]],SSR!$A$2:$CC$4982,66,FALSE)</f>
        <v>July-October</v>
      </c>
      <c r="AH88" s="285">
        <f>IFERROR(VLOOKUP(Table1[[#This Row],[SyStudentId]],ISIR!$A$2:$X$1999,7,FALSE),"")</f>
        <v>0</v>
      </c>
      <c r="AI88" s="286">
        <f>IF(Table1[[#This Row],[EFCRaw]]="","",IF(Table1[[#This Row],[EFCRaw]]="No EFC","No EFC",_xlfn.NUMBERVALUE(Table1[[#This Row],[EFCRaw]])))</f>
        <v>0</v>
      </c>
      <c r="AJ88" s="167">
        <f>IFERROR(VLOOKUP(Table1[[#This Row],[SyStudentId]],ISIR!$A$2:$X$4999,19,FALSE),"")</f>
        <v>43776</v>
      </c>
      <c r="AK88" s="160" t="str">
        <f>IFERROR(VLOOKUP(Table1[[#This Row],[SyStudentId]],ISIR!$A$2:$X$4999,8,FALSE),"")</f>
        <v>N</v>
      </c>
      <c r="AL88" s="171" t="str">
        <f>IF(Table1[[#This Row],[VerReq]]="N","n/a","")</f>
        <v>n/a</v>
      </c>
      <c r="AM88" s="122"/>
      <c r="AN88" s="122"/>
      <c r="AO88" s="122"/>
      <c r="AP88" s="122"/>
      <c r="AQ88" s="122"/>
      <c r="AR88" s="122"/>
      <c r="AS88" s="122"/>
      <c r="AT88" s="122"/>
      <c r="AU88" s="122"/>
      <c r="AV88" s="122"/>
      <c r="AW88" s="122"/>
      <c r="AX88" s="122"/>
      <c r="AY88" s="122"/>
      <c r="AZ88" s="122"/>
      <c r="BA88" s="122"/>
      <c r="BB88" s="122"/>
      <c r="BC88" s="148"/>
      <c r="BD88" s="140" t="str">
        <f>IF(Table1[[#This Row],[VerReq]]="N","x","")</f>
        <v>x</v>
      </c>
      <c r="BE88" s="140" t="str">
        <f>IF(Table1[[#This Row],[VerReq]]="N","x","")</f>
        <v>x</v>
      </c>
      <c r="BF88" s="140" t="str">
        <f>IF(Table1[[#This Row],[VerReq]]="N","x","")</f>
        <v>x</v>
      </c>
      <c r="BG88" s="140" t="str">
        <f>IF(Table1[[#This Row],[VerReq]]="N","x","")</f>
        <v>x</v>
      </c>
      <c r="BH88" s="140" t="str">
        <f>IF(Table1[[#This Row],[VerReq]]="N","x","")</f>
        <v>x</v>
      </c>
      <c r="BI88" s="140" t="str">
        <f>IF(Table1[[#This Row],[VerReq]]="N","x","")</f>
        <v>x</v>
      </c>
      <c r="BJ88" s="181">
        <f>1-((COUNTBLANK(Table1[[#This Row],[ALESent]:[TaxTran]]))/(COUNT(Table1[[#This Row],[ALESent]:[TaxTran]])+COUNTBLANK(Table1[[#This Row],[ALESent]:[TaxTran]])))</f>
        <v>0</v>
      </c>
      <c r="BK88" s="216">
        <f>IF(VLOOKUP(Table1[[#This Row],[SyStudentId]],SSR!$A$2:$CC$4982,22,FALSE)=44109,44109,"Check Program")</f>
        <v>44109</v>
      </c>
      <c r="BL88" s="173">
        <f>IF(Table1[[#This Row],[AYStart]]=44109,44356,"Check Program")</f>
        <v>44356</v>
      </c>
      <c r="BM88" s="219">
        <v>8505</v>
      </c>
      <c r="BN88" s="219">
        <v>8505</v>
      </c>
      <c r="BO88" s="219">
        <v>8505</v>
      </c>
      <c r="BP88" s="220">
        <f t="shared" si="3"/>
        <v>25515</v>
      </c>
      <c r="BQ88" s="221">
        <v>3300</v>
      </c>
      <c r="BR88" s="219">
        <v>400</v>
      </c>
      <c r="BS88" s="219">
        <v>400</v>
      </c>
      <c r="BT88" s="222">
        <f t="shared" si="4"/>
        <v>4100</v>
      </c>
      <c r="BU88" s="219">
        <v>2100</v>
      </c>
      <c r="BV88" s="219">
        <v>2100</v>
      </c>
      <c r="BW88" s="219">
        <v>2100</v>
      </c>
      <c r="BX88" s="222">
        <f t="shared" si="5"/>
        <v>6300</v>
      </c>
      <c r="BY88" s="275">
        <v>1200</v>
      </c>
      <c r="BZ88" s="275">
        <v>1200</v>
      </c>
      <c r="CA88" s="275">
        <v>1200</v>
      </c>
      <c r="CB88" s="222">
        <f>SUM(Table1[[#This Row],[LEQ1]:[LEQ3]])</f>
        <v>3600</v>
      </c>
      <c r="CC88" s="223">
        <v>0</v>
      </c>
      <c r="CD88" s="223">
        <v>0</v>
      </c>
      <c r="CE88" s="223">
        <v>0</v>
      </c>
      <c r="CF88" s="222">
        <f>SUM(Table1[[#This Row],[OthCostQ1]:[OthCostQ3]])</f>
        <v>0</v>
      </c>
      <c r="CG88" s="222">
        <f>(Table1[[#This Row],[T&amp;FTot]]+Table1[[#This Row],[B&amp;STot]]+Table1[[#This Row],[HousTot]]+Table1[[#This Row],[LETot]]+Table1[[#This Row],[OthCostTot]])</f>
        <v>39515</v>
      </c>
      <c r="CH88" s="253">
        <v>0</v>
      </c>
      <c r="CI88" s="253">
        <v>0</v>
      </c>
      <c r="CJ88" s="253">
        <v>0</v>
      </c>
      <c r="CK88" s="254">
        <f>SUM(Table1[[#This Row],[SEOGQ1]:[SEOGQ3]])</f>
        <v>0</v>
      </c>
      <c r="CL88" s="253">
        <f>IFERROR(ROUNDUP(Table1[[#This Row],[PellTot]]/3,0),0)</f>
        <v>2065</v>
      </c>
      <c r="CM88" s="253">
        <f>IFERROR(ROUND(Table1[[#This Row],[PellTot]]/3,0),0)</f>
        <v>2065</v>
      </c>
      <c r="CN88" s="253">
        <f>IFERROR(ROUNDDOWN(Table1[[#This Row],[PellTot]]/3,0),0)</f>
        <v>2065</v>
      </c>
      <c r="CO88" s="254">
        <f>IFERROR(LOOKUP(Table1[EFC],Pell_Table[#Data],Pell_Table[Pell Amt]),0)</f>
        <v>6195</v>
      </c>
      <c r="CP88" s="253">
        <f>Table1[[#This Row],[AccessTot]]/3</f>
        <v>500</v>
      </c>
      <c r="CQ88" s="253">
        <f>Table1[[#This Row],[AccessTot]]/3</f>
        <v>500</v>
      </c>
      <c r="CR88" s="253">
        <f>Table1[[#This Row],[AccessTot]]/3</f>
        <v>500</v>
      </c>
      <c r="CS88" s="254">
        <f>IF(Table1[[#This Row],[PellTot]]&gt;0,1500,0)</f>
        <v>1500</v>
      </c>
      <c r="CT88" s="253">
        <f>Table1[[#This Row],[AchiTot]]/3</f>
        <v>1700</v>
      </c>
      <c r="CU88" s="253">
        <f>Table1[[#This Row],[AchiTot]]/3</f>
        <v>1700</v>
      </c>
      <c r="CV88" s="253">
        <f>Table1[[#This Row],[AchiTot]]/3</f>
        <v>1700</v>
      </c>
      <c r="CW88" s="255">
        <f>IF(Table1[[#This Row],[Rank]]="","",IF(Table1[[#This Row],[Rank]]=1,5100,IF(Table1[[#This Row],[Rank]]=2,4500,IF(Table1[[#This Row],[Rank]]=3,3900,IF(Table1[[#This Row],[Rank]]=4,3750,IF(Table1[[#This Row],[Rank]]=5,3000,IF(Table1[[#This Row],[Rank]]=6,2250,0)))))))</f>
        <v>5100</v>
      </c>
      <c r="CX88" s="253">
        <f>Table1[[#This Row],[UTTot]]/3</f>
        <v>0</v>
      </c>
      <c r="CY88" s="253">
        <f>Table1[[#This Row],[UTTot]]/3</f>
        <v>0</v>
      </c>
      <c r="CZ88" s="253">
        <f>Table1[[#This Row],[UTTot]]/3</f>
        <v>0</v>
      </c>
      <c r="DA88" s="254">
        <f>IF(Table1[[#This Row],[State]]="UT",9000,0)</f>
        <v>0</v>
      </c>
      <c r="DB88" s="253">
        <f>Table1[[#This Row],[WITTot]]/3</f>
        <v>1000</v>
      </c>
      <c r="DC88" s="253">
        <f>Table1[[#This Row],[WITTot]]/3</f>
        <v>1000</v>
      </c>
      <c r="DD88" s="253">
        <f>Table1[[#This Row],[WITTot]]/3</f>
        <v>1000</v>
      </c>
      <c r="DE88" s="254">
        <f>IF(Table1[[#This Row],[Gender]]="Female",3000,0)</f>
        <v>3000</v>
      </c>
      <c r="DF88" s="253">
        <f>Table1[[#This Row],[SerTot]]/3</f>
        <v>0</v>
      </c>
      <c r="DG88" s="253">
        <f>Table1[[#This Row],[SerTot]]/3</f>
        <v>0</v>
      </c>
      <c r="DH88" s="253">
        <f>Table1[[#This Row],[SerTot]]/3</f>
        <v>0</v>
      </c>
      <c r="DI88" s="255">
        <v>0</v>
      </c>
      <c r="DJ88" s="253">
        <f>IFERROR(ROUNDUP(Table1[[#This Row],[TranTot]]/3,0),0)</f>
        <v>0</v>
      </c>
      <c r="DK88" s="253">
        <f>IFERROR(ROUND(Table1[[#This Row],[TranTot]]/3,0),0)</f>
        <v>0</v>
      </c>
      <c r="DL88" s="253">
        <f>IFERROR(ROUNDDOWN(Table1[[#This Row],[TranTot]]/3,0),0)</f>
        <v>0</v>
      </c>
      <c r="DM88" s="255">
        <v>0</v>
      </c>
      <c r="DN88" s="253">
        <f>Table1[[#This Row],[MatTot]]/3</f>
        <v>0</v>
      </c>
      <c r="DO88" s="253">
        <f>Table1[[#This Row],[MatTot]]/3</f>
        <v>0</v>
      </c>
      <c r="DP88" s="253">
        <f>Table1[[#This Row],[MatTot]]/3</f>
        <v>0</v>
      </c>
      <c r="DQ88" s="262">
        <v>0</v>
      </c>
      <c r="DR88" s="253">
        <f>Table1[[#This Row],[OutTot]]/3</f>
        <v>0</v>
      </c>
      <c r="DS88" s="253">
        <f>Table1[[#This Row],[OutTot]]/3</f>
        <v>0</v>
      </c>
      <c r="DT88" s="253">
        <f>Table1[[#This Row],[OutTot]]/3</f>
        <v>0</v>
      </c>
      <c r="DU88" s="255">
        <v>0</v>
      </c>
      <c r="DV88" s="253">
        <v>0</v>
      </c>
      <c r="DW88" s="253">
        <v>0</v>
      </c>
      <c r="DX88" s="253">
        <v>0</v>
      </c>
      <c r="DY88" s="262">
        <f>SUM(Table1[[#This Row],[VAQ1]:[VAQ3]])</f>
        <v>0</v>
      </c>
      <c r="DZ88" s="253">
        <v>0</v>
      </c>
      <c r="EA88" s="253">
        <v>0</v>
      </c>
      <c r="EB88" s="253">
        <v>0</v>
      </c>
      <c r="EC88" s="255">
        <f>SUM(Table1[[#This Row],[OthGrantQ1]:[OthGrantQ3]])</f>
        <v>0</v>
      </c>
      <c r="ED88" s="264">
        <f>Table1[[#This Row],[SEOGTot]]+Table1[[#This Row],[PellTot]]+Table1[[#This Row],[AccessTot]]+Table1[[#This Row],[AchiTot]]+Table1[[#This Row],[UTTot]]+Table1[[#This Row],[WITTot]]+Table1[[#This Row],[SerTot]]+Table1[[#This Row],[TranTot]]+Table1[[#This Row],[MatTot]]+Table1[[#This Row],[OutTot]]+Table1[[#This Row],[VATot]]+Table1[[#This Row],[OthGrantTot]]</f>
        <v>15795</v>
      </c>
      <c r="EE88" s="226">
        <v>0</v>
      </c>
      <c r="EF88" s="227">
        <v>0</v>
      </c>
      <c r="EG88" s="227">
        <v>0</v>
      </c>
      <c r="EH88" s="228">
        <f>SUM(Table1[[#This Row],[CashQ1]]:Table1[[#This Row],[CashQ3]])</f>
        <v>0</v>
      </c>
      <c r="EI88" s="229">
        <f>ROUND((Table1[[#This Row],[SubTot]]/3)/1.01059,0)</f>
        <v>1154</v>
      </c>
      <c r="EJ88" s="230">
        <f>ROUND((Table1[[#This Row],[SubTot]]/3)/1.01059,0)</f>
        <v>1154</v>
      </c>
      <c r="EK88" s="230">
        <f>ROUNDUP((Table1[[#This Row],[SubTot]]/3)/1.01059,0)</f>
        <v>1155</v>
      </c>
      <c r="EL88" s="231">
        <v>3500</v>
      </c>
      <c r="EM88" s="233">
        <f>Table1[[#This Row],[SubTot]]*0.01059</f>
        <v>37.065000000000005</v>
      </c>
      <c r="EN88" s="230">
        <f>ROUND((Table1[[#This Row],[UnsubTot]]/3)/1.01062,0)</f>
        <v>660</v>
      </c>
      <c r="EO88" s="230">
        <f>ROUND((Table1[[#This Row],[UnsubTot]]/3)/1.01062,0)</f>
        <v>660</v>
      </c>
      <c r="EP88" s="230">
        <f>ROUNDDOWN((Table1[[#This Row],[UnsubTot]]/3)/1.01062,0)</f>
        <v>659</v>
      </c>
      <c r="EQ88" s="231">
        <f>IF(Table1[D/I]="I",6000,2000)</f>
        <v>2000</v>
      </c>
      <c r="ER88" s="233">
        <f>Table1[[#This Row],[UnsubTot]]*0.01059</f>
        <v>21.18</v>
      </c>
      <c r="ES88" s="230">
        <f>ROUND((Table1[[#This Row],[PLUSTot]]/3)/1.04236,0)</f>
        <v>0</v>
      </c>
      <c r="ET88" s="230">
        <f>ROUND((Table1[[#This Row],[PLUSTot]]/3)/1.04236,0)</f>
        <v>0</v>
      </c>
      <c r="EU88" s="230">
        <f>ROUND((Table1[[#This Row],[PLUSTot]]/3)/1.04236,0)</f>
        <v>0</v>
      </c>
      <c r="EV88" s="231">
        <v>0</v>
      </c>
      <c r="EW88" s="236">
        <f>Table1[[#This Row],[PLUSTot]]*0.04236</f>
        <v>0</v>
      </c>
      <c r="EX88" s="227"/>
      <c r="EY88" s="227"/>
      <c r="EZ88" s="227"/>
      <c r="FA88" s="228">
        <f>SUM(Table1[[#This Row],[PrivQ1]:[PrivQ3]])</f>
        <v>0</v>
      </c>
      <c r="FB88" s="227"/>
      <c r="FC88" s="227"/>
      <c r="FD88" s="227"/>
      <c r="FE88" s="228">
        <f>SUM(Table1[[#This Row],[TOQ1]:[TOQ3]])</f>
        <v>0</v>
      </c>
      <c r="FF88" s="227"/>
      <c r="FG88" s="227"/>
      <c r="FH88" s="227"/>
      <c r="FI88" s="228">
        <f>SUM(Table1[[#This Row],[OFundQ1]:[OFundQ3]])</f>
        <v>0</v>
      </c>
      <c r="FJ88" s="236">
        <f>(Table1[[#This Row],[SubTot]]-Table1[[#This Row],[SubFee]])+(Table1[[#This Row],[UnsubTot]]-Table1[[#This Row],[UnsubFee]])+(Table1[[#This Row],[PLUSTot]]-Table1[[#This Row],[PLUSFee]])+Table1[[#This Row],[PrivTot]]+Table1[[#This Row],[TOTot]]+Table1[[#This Row],[OFundTot]]</f>
        <v>5441.7550000000001</v>
      </c>
      <c r="FK88" s="159">
        <f>Table1[[#This Row],[CostTot]]-Table1[[#This Row],[GiftTot]]</f>
        <v>23720</v>
      </c>
      <c r="FL88" s="174">
        <f>Table1[[#This Row],[NetNeed]]/(1-0.04236)</f>
        <v>19086.7601603943</v>
      </c>
      <c r="FM88" s="176">
        <f>Table1[[#This Row],[NetCost]]-Table1[[#This Row],[CashTot]]-(Table1[[#This Row],[SubTot]]-Table1[[#This Row],[SubFee]])-(Table1[[#This Row],[UnsubTot]]-Table1[[#This Row],[UnsubFee]])-(Table1[[#This Row],[PLUSTot]]-Table1[[#This Row],[PLUSFee]])-Table1[[#This Row],[PrivTot]]-Table1[[#This Row],[TOTot]]-Table1[[#This Row],[OFundTot]]</f>
        <v>18278.244999999999</v>
      </c>
      <c r="FN88" s="177"/>
      <c r="FO88" s="162"/>
      <c r="FP88" s="162"/>
    </row>
    <row r="89" spans="1:172" s="160" customFormat="1" ht="15" x14ac:dyDescent="0.25">
      <c r="A89" s="267">
        <v>195855</v>
      </c>
      <c r="B89" s="160" t="str">
        <f>VLOOKUP(Table1[[#This Row],[SyStudentId]],SSR!$A$2:$CC$4982,4,FALSE)</f>
        <v>Ramirez</v>
      </c>
      <c r="C89" s="160" t="str">
        <f>VLOOKUP(Table1[[#This Row],[SyStudentId]],SSR!$A$2:$CC$4982,5,FALSE)</f>
        <v>Armando</v>
      </c>
      <c r="D89" s="160" t="str">
        <f>VLOOKUP(Table1[[#This Row],[SyStudentId]],SSR!$A$2:$CC$4982,6,FALSE)</f>
        <v>Ramirez, Armando</v>
      </c>
      <c r="E89" s="113" t="str">
        <f>CONCATENATE(Table1[[#This Row],[FirstName]]," ",Table1[[#This Row],[LastName]])</f>
        <v>Armando Ramirez</v>
      </c>
      <c r="F89" s="158">
        <v>1</v>
      </c>
      <c r="G89" s="114"/>
      <c r="H89" s="114"/>
      <c r="I89" s="114">
        <v>43782</v>
      </c>
      <c r="J89" s="163"/>
      <c r="K89" s="164"/>
      <c r="L89" s="158" t="str">
        <f>IFERROR(VLOOKUP(Table1[[#This Row],[SyStudentId]],ISIR!$A$2:$X$4999,11,FALSE),"")</f>
        <v>X</v>
      </c>
      <c r="M89" s="160" t="str">
        <f>VLOOKUP(Table1[[#This Row],[SyStudentId]],SSR!$A$2:$CC$4982,7,FALSE)</f>
        <v>armando.r6910@gmail.com</v>
      </c>
      <c r="N89" s="160" t="str">
        <f>VLOOKUP(Table1[[#This Row],[SyStudentId]],SSR!$A$2:$CC$4982,8,FALSE)</f>
        <v>245 Warren Way</v>
      </c>
      <c r="O89" s="160" t="str">
        <f>VLOOKUP(Table1[[#This Row],[SyStudentId]],SSR!$A$2:$CC$4982,9,FALSE)</f>
        <v>Pittsburg</v>
      </c>
      <c r="P89" s="300" t="str">
        <f>VLOOKUP(Table1[[#This Row],[SyStudentId]],SSR!$A$2:$CC$4982,10,FALSE)</f>
        <v>CA</v>
      </c>
      <c r="Q89" s="165" t="str">
        <f>VLOOKUP(Table1[[#This Row],[SyStudentId]],SSR!$A$2:$CC$4982,11,FALSE)</f>
        <v>94565-3744</v>
      </c>
      <c r="R89" s="166">
        <f>VLOOKUP(Table1[[#This Row],[SyStudentId]],SSR!$A$2:$CC$4982,15,FALSE)</f>
        <v>3.2</v>
      </c>
      <c r="S89" s="167">
        <f>VLOOKUP(Table1[[#This Row],[SyStudentId]],SSR!$A$2:$CC$4982,22,FALSE)</f>
        <v>44109</v>
      </c>
      <c r="T89" s="160" t="str">
        <f>VLOOKUP(Table1[[#This Row],[SyStudentId]],SSR!$A$2:$CC$4982,24,FALSE)</f>
        <v>GM</v>
      </c>
      <c r="U89" s="160" t="str">
        <f>IF(VLOOKUP(Table1[[#This Row],[SyStudentId]],SSR!$A$2:$CC$4982,26,FALSE)=0,"Not Selected",VLOOKUP(Table1[[#This Row],[SyStudentId]],SSR!$A$2:$CC$4982,26,FALSE))</f>
        <v>Male</v>
      </c>
      <c r="V89" s="160" t="str">
        <f>VLOOKUP(Table1[[#This Row],[SyStudentId]],SSR!$A$2:$CC$4982,27,FALSE)</f>
        <v xml:space="preserve">HS2020  </v>
      </c>
      <c r="W89" s="160" t="str">
        <f>VLOOKUP(LEFT(Table1[[#This Row],[LastName]],1),Alpha!$A$1:$B$26,2,FALSE)</f>
        <v>Maureen Ranks</v>
      </c>
      <c r="X89" s="168" t="str">
        <f>VLOOKUP(Table1[[#This Row],[FAA]],Alpha!$B$1:$D$26,2,FALSE)</f>
        <v>mranks@neumont.edu</v>
      </c>
      <c r="Y89" s="160">
        <f>VLOOKUP(Table1[[#This Row],[FAA]],Alpha!$B$1:$D$26,3,FALSE)</f>
        <v>8883022894</v>
      </c>
      <c r="Z89" s="160" t="str">
        <f>VLOOKUP(Table1[[#This Row],[SyStudentId]],SSR!$A$2:$CC$4982,30,FALSE)</f>
        <v>16-Accepted</v>
      </c>
      <c r="AA89" s="160" t="str">
        <f>IF(VLOOKUP(Table1[[#This Row],[SyStudentId]],SSR!$A$2:$CC$4982,36,FALSE)="Bachelor of Science","BS Computer Science","Check Program")</f>
        <v>BS Computer Science</v>
      </c>
      <c r="AB89" s="160">
        <f>VLOOKUP(Table1[[#This Row],[SyStudentId]],SSR!$A$2:$CC$4982,37,FALSE)</f>
        <v>0</v>
      </c>
      <c r="AC89" s="160" t="str">
        <f>VLOOKUP(Table1[[#This Row],[SyStudentId]],SSR!$A$2:$CC$4982,42,FALSE)</f>
        <v xml:space="preserve">870     </v>
      </c>
      <c r="AD89" s="160" t="str">
        <f>VLOOKUP(Table1[[#This Row],[SyStudentId]],SSR!$A$2:$CC$4982,46,FALSE)</f>
        <v>95</v>
      </c>
      <c r="AE89" s="160" t="str">
        <f>VLOOKUP(Table1[[#This Row],[SyStudentId]],SSR!$A$2:$CC$4982,65,FALSE)</f>
        <v>V</v>
      </c>
      <c r="AF89"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5</v>
      </c>
      <c r="AG89" s="160" t="str">
        <f>VLOOKUP(Table1[[#This Row],[SyStudentId]],SSR!$A$2:$CC$4982,66,FALSE)</f>
        <v>July-October</v>
      </c>
      <c r="AH89" s="285">
        <f>IFERROR(VLOOKUP(Table1[[#This Row],[SyStudentId]],ISIR!$A$2:$X$1999,7,FALSE),"")</f>
        <v>0</v>
      </c>
      <c r="AI89" s="286">
        <f>IF(Table1[[#This Row],[EFCRaw]]="","",IF(Table1[[#This Row],[EFCRaw]]="No EFC","No EFC",_xlfn.NUMBERVALUE(Table1[[#This Row],[EFCRaw]])))</f>
        <v>0</v>
      </c>
      <c r="AJ89" s="167">
        <f>IFERROR(VLOOKUP(Table1[[#This Row],[SyStudentId]],ISIR!$A$2:$X$4999,19,FALSE),"")</f>
        <v>43774</v>
      </c>
      <c r="AK89" s="160" t="str">
        <f>IFERROR(VLOOKUP(Table1[[#This Row],[SyStudentId]],ISIR!$A$2:$X$4999,8,FALSE),"")</f>
        <v>Y</v>
      </c>
      <c r="AL89" s="171" t="str">
        <f>IF(Table1[[#This Row],[VerReq]]="N","n/a","")</f>
        <v/>
      </c>
      <c r="AM89" s="122"/>
      <c r="AN89" s="122"/>
      <c r="AO89" s="122"/>
      <c r="AP89" s="122"/>
      <c r="AQ89" s="122"/>
      <c r="AR89" s="122"/>
      <c r="AS89" s="122"/>
      <c r="AT89" s="122"/>
      <c r="AU89" s="122"/>
      <c r="AV89" s="122"/>
      <c r="AW89" s="122"/>
      <c r="AX89" s="122"/>
      <c r="AY89" s="122"/>
      <c r="AZ89" s="122"/>
      <c r="BA89" s="122"/>
      <c r="BB89" s="122"/>
      <c r="BC89" s="148"/>
      <c r="BD89" s="140" t="str">
        <f>IF(Table1[[#This Row],[VerReq]]="N","x","")</f>
        <v/>
      </c>
      <c r="BE89" s="140" t="str">
        <f>IF(Table1[[#This Row],[VerReq]]="N","x","")</f>
        <v/>
      </c>
      <c r="BF89" s="140" t="str">
        <f>IF(Table1[[#This Row],[VerReq]]="N","x","")</f>
        <v/>
      </c>
      <c r="BG89" s="140" t="str">
        <f>IF(Table1[[#This Row],[VerReq]]="N","x","")</f>
        <v/>
      </c>
      <c r="BH89" s="140" t="str">
        <f>IF(Table1[[#This Row],[VerReq]]="N","x","")</f>
        <v/>
      </c>
      <c r="BI89" s="140" t="str">
        <f>IF(Table1[[#This Row],[VerReq]]="N","x","")</f>
        <v/>
      </c>
      <c r="BJ89" s="181">
        <f>1-((COUNTBLANK(Table1[[#This Row],[ALESent]:[TaxTran]]))/(COUNT(Table1[[#This Row],[ALESent]:[TaxTran]])+COUNTBLANK(Table1[[#This Row],[ALESent]:[TaxTran]])))</f>
        <v>0</v>
      </c>
      <c r="BK89" s="216">
        <f>IF(VLOOKUP(Table1[[#This Row],[SyStudentId]],SSR!$A$2:$CC$4982,22,FALSE)=44109,44109,"Check Program")</f>
        <v>44109</v>
      </c>
      <c r="BL89" s="173">
        <f>IF(Table1[[#This Row],[AYStart]]=44109,44356,"Check Program")</f>
        <v>44356</v>
      </c>
      <c r="BM89" s="219">
        <v>8505</v>
      </c>
      <c r="BN89" s="219">
        <v>8505</v>
      </c>
      <c r="BO89" s="219">
        <v>8505</v>
      </c>
      <c r="BP89" s="220">
        <f t="shared" si="3"/>
        <v>25515</v>
      </c>
      <c r="BQ89" s="221">
        <v>3300</v>
      </c>
      <c r="BR89" s="219">
        <v>400</v>
      </c>
      <c r="BS89" s="219">
        <v>400</v>
      </c>
      <c r="BT89" s="222">
        <f t="shared" si="4"/>
        <v>4100</v>
      </c>
      <c r="BU89" s="219">
        <v>2100</v>
      </c>
      <c r="BV89" s="219">
        <v>2100</v>
      </c>
      <c r="BW89" s="219">
        <v>2100</v>
      </c>
      <c r="BX89" s="222">
        <f t="shared" si="5"/>
        <v>6300</v>
      </c>
      <c r="BY89" s="275">
        <v>1200</v>
      </c>
      <c r="BZ89" s="275">
        <v>1200</v>
      </c>
      <c r="CA89" s="275">
        <v>1200</v>
      </c>
      <c r="CB89" s="222">
        <f>SUM(Table1[[#This Row],[LEQ1]:[LEQ3]])</f>
        <v>3600</v>
      </c>
      <c r="CC89" s="223">
        <v>0</v>
      </c>
      <c r="CD89" s="223">
        <v>0</v>
      </c>
      <c r="CE89" s="223">
        <v>0</v>
      </c>
      <c r="CF89" s="222">
        <f>SUM(Table1[[#This Row],[OthCostQ1]:[OthCostQ3]])</f>
        <v>0</v>
      </c>
      <c r="CG89" s="222">
        <f>(Table1[[#This Row],[T&amp;FTot]]+Table1[[#This Row],[B&amp;STot]]+Table1[[#This Row],[HousTot]]+Table1[[#This Row],[LETot]]+Table1[[#This Row],[OthCostTot]])</f>
        <v>39515</v>
      </c>
      <c r="CH89" s="253">
        <v>0</v>
      </c>
      <c r="CI89" s="253">
        <v>0</v>
      </c>
      <c r="CJ89" s="253">
        <v>0</v>
      </c>
      <c r="CK89" s="254">
        <f>SUM(Table1[[#This Row],[SEOGQ1]:[SEOGQ3]])</f>
        <v>0</v>
      </c>
      <c r="CL89" s="253">
        <f>IFERROR(ROUNDUP(Table1[[#This Row],[PellTot]]/3,0),0)</f>
        <v>2065</v>
      </c>
      <c r="CM89" s="253">
        <f>IFERROR(ROUND(Table1[[#This Row],[PellTot]]/3,0),0)</f>
        <v>2065</v>
      </c>
      <c r="CN89" s="253">
        <f>IFERROR(ROUNDDOWN(Table1[[#This Row],[PellTot]]/3,0),0)</f>
        <v>2065</v>
      </c>
      <c r="CO89" s="254">
        <f>IFERROR(LOOKUP(Table1[EFC],Pell_Table[#Data],Pell_Table[Pell Amt]),0)</f>
        <v>6195</v>
      </c>
      <c r="CP89" s="253">
        <f>Table1[[#This Row],[AccessTot]]/3</f>
        <v>500</v>
      </c>
      <c r="CQ89" s="253">
        <f>Table1[[#This Row],[AccessTot]]/3</f>
        <v>500</v>
      </c>
      <c r="CR89" s="253">
        <f>Table1[[#This Row],[AccessTot]]/3</f>
        <v>500</v>
      </c>
      <c r="CS89" s="254">
        <f>IF(Table1[[#This Row],[PellTot]]&gt;0,1500,0)</f>
        <v>1500</v>
      </c>
      <c r="CT89" s="253">
        <f>Table1[[#This Row],[AchiTot]]/3</f>
        <v>1000</v>
      </c>
      <c r="CU89" s="253">
        <f>Table1[[#This Row],[AchiTot]]/3</f>
        <v>1000</v>
      </c>
      <c r="CV89" s="253">
        <f>Table1[[#This Row],[AchiTot]]/3</f>
        <v>1000</v>
      </c>
      <c r="CW89" s="255">
        <f>IF(Table1[[#This Row],[Rank]]="","",IF(Table1[[#This Row],[Rank]]=1,5100,IF(Table1[[#This Row],[Rank]]=2,4500,IF(Table1[[#This Row],[Rank]]=3,3900,IF(Table1[[#This Row],[Rank]]=4,3750,IF(Table1[[#This Row],[Rank]]=5,3000,IF(Table1[[#This Row],[Rank]]=6,2250,0)))))))</f>
        <v>3000</v>
      </c>
      <c r="CX89" s="253">
        <f>Table1[[#This Row],[UTTot]]/3</f>
        <v>0</v>
      </c>
      <c r="CY89" s="253">
        <f>Table1[[#This Row],[UTTot]]/3</f>
        <v>0</v>
      </c>
      <c r="CZ89" s="253">
        <f>Table1[[#This Row],[UTTot]]/3</f>
        <v>0</v>
      </c>
      <c r="DA89" s="254">
        <f>IF(Table1[[#This Row],[State]]="UT",9000,0)</f>
        <v>0</v>
      </c>
      <c r="DB89" s="253">
        <f>Table1[[#This Row],[WITTot]]/3</f>
        <v>0</v>
      </c>
      <c r="DC89" s="253">
        <f>Table1[[#This Row],[WITTot]]/3</f>
        <v>0</v>
      </c>
      <c r="DD89" s="253">
        <f>Table1[[#This Row],[WITTot]]/3</f>
        <v>0</v>
      </c>
      <c r="DE89" s="254">
        <f>IF(Table1[[#This Row],[Gender]]="Female",3000,0)</f>
        <v>0</v>
      </c>
      <c r="DF89" s="253">
        <f>Table1[[#This Row],[SerTot]]/3</f>
        <v>0</v>
      </c>
      <c r="DG89" s="253">
        <f>Table1[[#This Row],[SerTot]]/3</f>
        <v>0</v>
      </c>
      <c r="DH89" s="253">
        <f>Table1[[#This Row],[SerTot]]/3</f>
        <v>0</v>
      </c>
      <c r="DI89" s="255">
        <v>0</v>
      </c>
      <c r="DJ89" s="253">
        <f>IFERROR(ROUNDUP(Table1[[#This Row],[TranTot]]/3,0),0)</f>
        <v>0</v>
      </c>
      <c r="DK89" s="253">
        <f>IFERROR(ROUND(Table1[[#This Row],[TranTot]]/3,0),0)</f>
        <v>0</v>
      </c>
      <c r="DL89" s="253">
        <f>IFERROR(ROUNDDOWN(Table1[[#This Row],[TranTot]]/3,0),0)</f>
        <v>0</v>
      </c>
      <c r="DM89" s="255">
        <v>0</v>
      </c>
      <c r="DN89" s="253">
        <f>Table1[[#This Row],[MatTot]]/3</f>
        <v>0</v>
      </c>
      <c r="DO89" s="253">
        <f>Table1[[#This Row],[MatTot]]/3</f>
        <v>0</v>
      </c>
      <c r="DP89" s="253">
        <f>Table1[[#This Row],[MatTot]]/3</f>
        <v>0</v>
      </c>
      <c r="DQ89" s="262">
        <v>0</v>
      </c>
      <c r="DR89" s="253">
        <f>Table1[[#This Row],[OutTot]]/3</f>
        <v>0</v>
      </c>
      <c r="DS89" s="253">
        <f>Table1[[#This Row],[OutTot]]/3</f>
        <v>0</v>
      </c>
      <c r="DT89" s="253">
        <f>Table1[[#This Row],[OutTot]]/3</f>
        <v>0</v>
      </c>
      <c r="DU89" s="255">
        <v>0</v>
      </c>
      <c r="DV89" s="253">
        <v>0</v>
      </c>
      <c r="DW89" s="253">
        <v>0</v>
      </c>
      <c r="DX89" s="253">
        <v>0</v>
      </c>
      <c r="DY89" s="262">
        <f>SUM(Table1[[#This Row],[VAQ1]:[VAQ3]])</f>
        <v>0</v>
      </c>
      <c r="DZ89" s="253">
        <v>0</v>
      </c>
      <c r="EA89" s="253">
        <v>0</v>
      </c>
      <c r="EB89" s="253">
        <v>0</v>
      </c>
      <c r="EC89" s="255">
        <f>SUM(Table1[[#This Row],[OthGrantQ1]:[OthGrantQ3]])</f>
        <v>0</v>
      </c>
      <c r="ED89" s="264">
        <f>Table1[[#This Row],[SEOGTot]]+Table1[[#This Row],[PellTot]]+Table1[[#This Row],[AccessTot]]+Table1[[#This Row],[AchiTot]]+Table1[[#This Row],[UTTot]]+Table1[[#This Row],[WITTot]]+Table1[[#This Row],[SerTot]]+Table1[[#This Row],[TranTot]]+Table1[[#This Row],[MatTot]]+Table1[[#This Row],[OutTot]]+Table1[[#This Row],[VATot]]+Table1[[#This Row],[OthGrantTot]]</f>
        <v>10695</v>
      </c>
      <c r="EE89" s="226">
        <v>0</v>
      </c>
      <c r="EF89" s="227">
        <v>0</v>
      </c>
      <c r="EG89" s="227">
        <v>0</v>
      </c>
      <c r="EH89" s="228">
        <f>SUM(Table1[[#This Row],[CashQ1]]:Table1[[#This Row],[CashQ3]])</f>
        <v>0</v>
      </c>
      <c r="EI89" s="229">
        <f>ROUND((Table1[[#This Row],[SubTot]]/3)/1.01059,0)</f>
        <v>1154</v>
      </c>
      <c r="EJ89" s="230">
        <f>ROUND((Table1[[#This Row],[SubTot]]/3)/1.01059,0)</f>
        <v>1154</v>
      </c>
      <c r="EK89" s="230">
        <f>ROUNDUP((Table1[[#This Row],[SubTot]]/3)/1.01059,0)</f>
        <v>1155</v>
      </c>
      <c r="EL89" s="231">
        <v>3500</v>
      </c>
      <c r="EM89" s="233">
        <f>Table1[[#This Row],[SubTot]]*0.01059</f>
        <v>37.065000000000005</v>
      </c>
      <c r="EN89" s="230">
        <f>ROUND((Table1[[#This Row],[UnsubTot]]/3)/1.01062,0)</f>
        <v>660</v>
      </c>
      <c r="EO89" s="230">
        <f>ROUND((Table1[[#This Row],[UnsubTot]]/3)/1.01062,0)</f>
        <v>660</v>
      </c>
      <c r="EP89" s="230">
        <f>ROUNDDOWN((Table1[[#This Row],[UnsubTot]]/3)/1.01062,0)</f>
        <v>659</v>
      </c>
      <c r="EQ89" s="231">
        <f>IF(Table1[D/I]="I",6000,2000)</f>
        <v>2000</v>
      </c>
      <c r="ER89" s="233">
        <f>Table1[[#This Row],[UnsubTot]]*0.01059</f>
        <v>21.18</v>
      </c>
      <c r="ES89" s="230">
        <f>ROUND((Table1[[#This Row],[PLUSTot]]/3)/1.04236,0)</f>
        <v>0</v>
      </c>
      <c r="ET89" s="230">
        <f>ROUND((Table1[[#This Row],[PLUSTot]]/3)/1.04236,0)</f>
        <v>0</v>
      </c>
      <c r="EU89" s="230">
        <f>ROUND((Table1[[#This Row],[PLUSTot]]/3)/1.04236,0)</f>
        <v>0</v>
      </c>
      <c r="EV89" s="231">
        <v>0</v>
      </c>
      <c r="EW89" s="236">
        <f>Table1[[#This Row],[PLUSTot]]*0.04236</f>
        <v>0</v>
      </c>
      <c r="EX89" s="227"/>
      <c r="EY89" s="227"/>
      <c r="EZ89" s="227"/>
      <c r="FA89" s="228">
        <f>SUM(Table1[[#This Row],[PrivQ1]:[PrivQ3]])</f>
        <v>0</v>
      </c>
      <c r="FB89" s="227"/>
      <c r="FC89" s="227"/>
      <c r="FD89" s="227"/>
      <c r="FE89" s="228">
        <f>SUM(Table1[[#This Row],[TOQ1]:[TOQ3]])</f>
        <v>0</v>
      </c>
      <c r="FF89" s="227"/>
      <c r="FG89" s="227"/>
      <c r="FH89" s="227"/>
      <c r="FI89" s="228">
        <f>SUM(Table1[[#This Row],[OFundQ1]:[OFundQ3]])</f>
        <v>0</v>
      </c>
      <c r="FJ89" s="236">
        <f>(Table1[[#This Row],[SubTot]]-Table1[[#This Row],[SubFee]])+(Table1[[#This Row],[UnsubTot]]-Table1[[#This Row],[UnsubFee]])+(Table1[[#This Row],[PLUSTot]]-Table1[[#This Row],[PLUSFee]])+Table1[[#This Row],[PrivTot]]+Table1[[#This Row],[TOTot]]+Table1[[#This Row],[OFundTot]]</f>
        <v>5441.7550000000001</v>
      </c>
      <c r="FK89" s="159">
        <f>Table1[[#This Row],[CostTot]]-Table1[[#This Row],[GiftTot]]</f>
        <v>28820</v>
      </c>
      <c r="FL89" s="174">
        <f>Table1[[#This Row],[NetNeed]]/(1-0.04236)</f>
        <v>24412.352240925607</v>
      </c>
      <c r="FM89" s="176">
        <f>Table1[[#This Row],[NetCost]]-Table1[[#This Row],[CashTot]]-(Table1[[#This Row],[SubTot]]-Table1[[#This Row],[SubFee]])-(Table1[[#This Row],[UnsubTot]]-Table1[[#This Row],[UnsubFee]])-(Table1[[#This Row],[PLUSTot]]-Table1[[#This Row],[PLUSFee]])-Table1[[#This Row],[PrivTot]]-Table1[[#This Row],[TOTot]]-Table1[[#This Row],[OFundTot]]</f>
        <v>23378.244999999999</v>
      </c>
      <c r="FN89" s="177"/>
      <c r="FO89" s="162"/>
      <c r="FP89" s="162"/>
    </row>
    <row r="90" spans="1:172" s="160" customFormat="1" ht="15" x14ac:dyDescent="0.25">
      <c r="A90" s="267">
        <v>197667</v>
      </c>
      <c r="B90" s="160" t="str">
        <f>VLOOKUP(Table1[[#This Row],[SyStudentId]],SSR!$A$2:$CC$4982,4,FALSE)</f>
        <v>Ramirez</v>
      </c>
      <c r="C90" s="160" t="str">
        <f>VLOOKUP(Table1[[#This Row],[SyStudentId]],SSR!$A$2:$CC$4982,5,FALSE)</f>
        <v>Ezekiel</v>
      </c>
      <c r="D90" s="160" t="str">
        <f>VLOOKUP(Table1[[#This Row],[SyStudentId]],SSR!$A$2:$CC$4982,6,FALSE)</f>
        <v>Ramirez, Ezekiel</v>
      </c>
      <c r="E90" s="113" t="str">
        <f>CONCATENATE(Table1[[#This Row],[FirstName]]," ",Table1[[#This Row],[LastName]])</f>
        <v>Ezekiel Ramirez</v>
      </c>
      <c r="F90" s="158">
        <v>1</v>
      </c>
      <c r="G90" s="114">
        <v>43776</v>
      </c>
      <c r="H90" s="114">
        <v>43776</v>
      </c>
      <c r="I90" s="114">
        <v>43776</v>
      </c>
      <c r="J90" s="163" t="s">
        <v>5594</v>
      </c>
      <c r="K90" s="164" t="s">
        <v>605</v>
      </c>
      <c r="L90" s="158" t="str">
        <f>IFERROR(VLOOKUP(Table1[[#This Row],[SyStudentId]],ISIR!$A$2:$X$4999,11,FALSE),"")</f>
        <v>D</v>
      </c>
      <c r="M90" s="160" t="str">
        <f>VLOOKUP(Table1[[#This Row],[SyStudentId]],SSR!$A$2:$CC$4982,7,FALSE)</f>
        <v>ezekielrez16@gmail.com</v>
      </c>
      <c r="N90" s="160" t="str">
        <f>VLOOKUP(Table1[[#This Row],[SyStudentId]],SSR!$A$2:$CC$4982,8,FALSE)</f>
        <v>4510 Given Ave</v>
      </c>
      <c r="O90" s="160" t="str">
        <f>VLOOKUP(Table1[[#This Row],[SyStudentId]],SSR!$A$2:$CC$4982,9,FALSE)</f>
        <v>Memphis</v>
      </c>
      <c r="P90" s="294" t="str">
        <f>VLOOKUP(Table1[[#This Row],[SyStudentId]],SSR!$A$2:$CC$4982,10,FALSE)</f>
        <v>TN</v>
      </c>
      <c r="Q90" s="165" t="str">
        <f>VLOOKUP(Table1[[#This Row],[SyStudentId]],SSR!$A$2:$CC$4982,11,FALSE)</f>
        <v xml:space="preserve">38122     </v>
      </c>
      <c r="R90" s="166">
        <f>VLOOKUP(Table1[[#This Row],[SyStudentId]],SSR!$A$2:$CC$4982,15,FALSE)</f>
        <v>2.73</v>
      </c>
      <c r="S90" s="167">
        <f>VLOOKUP(Table1[[#This Row],[SyStudentId]],SSR!$A$2:$CC$4982,22,FALSE)</f>
        <v>44109</v>
      </c>
      <c r="T90" s="160" t="str">
        <f>VLOOKUP(Table1[[#This Row],[SyStudentId]],SSR!$A$2:$CC$4982,24,FALSE)</f>
        <v>JT</v>
      </c>
      <c r="U90" s="160" t="str">
        <f>IF(VLOOKUP(Table1[[#This Row],[SyStudentId]],SSR!$A$2:$CC$4982,26,FALSE)=0,"Not Selected",VLOOKUP(Table1[[#This Row],[SyStudentId]],SSR!$A$2:$CC$4982,26,FALSE))</f>
        <v>Male</v>
      </c>
      <c r="V90" s="160" t="str">
        <f>VLOOKUP(Table1[[#This Row],[SyStudentId]],SSR!$A$2:$CC$4982,27,FALSE)</f>
        <v xml:space="preserve">HS2020  </v>
      </c>
      <c r="W90" s="160" t="str">
        <f>VLOOKUP(LEFT(Table1[[#This Row],[LastName]],1),Alpha!$A$1:$B$26,2,FALSE)</f>
        <v>Maureen Ranks</v>
      </c>
      <c r="X90" s="168" t="str">
        <f>VLOOKUP(Table1[[#This Row],[FAA]],Alpha!$B$1:$D$26,2,FALSE)</f>
        <v>mranks@neumont.edu</v>
      </c>
      <c r="Y90" s="160">
        <f>VLOOKUP(Table1[[#This Row],[FAA]],Alpha!$B$1:$D$26,3,FALSE)</f>
        <v>8883022894</v>
      </c>
      <c r="Z90" s="160" t="str">
        <f>VLOOKUP(Table1[[#This Row],[SyStudentId]],SSR!$A$2:$CC$4982,30,FALSE)</f>
        <v>16-Accepted</v>
      </c>
      <c r="AA90" s="160" t="str">
        <f>IF(VLOOKUP(Table1[[#This Row],[SyStudentId]],SSR!$A$2:$CC$4982,36,FALSE)="Bachelor of Science","BS Computer Science","Check Program")</f>
        <v>BS Computer Science</v>
      </c>
      <c r="AB90" s="160" t="str">
        <f>VLOOKUP(Table1[[#This Row],[SyStudentId]],SSR!$A$2:$CC$4982,37,FALSE)</f>
        <v xml:space="preserve">18      </v>
      </c>
      <c r="AC90" s="160">
        <f>VLOOKUP(Table1[[#This Row],[SyStudentId]],SSR!$A$2:$CC$4982,42,FALSE)</f>
        <v>0</v>
      </c>
      <c r="AD90" s="160" t="str">
        <f>VLOOKUP(Table1[[#This Row],[SyStudentId]],SSR!$A$2:$CC$4982,46,FALSE)</f>
        <v>86</v>
      </c>
      <c r="AE90" s="160" t="str">
        <f>VLOOKUP(Table1[[#This Row],[SyStudentId]],SSR!$A$2:$CC$4982,65,FALSE)</f>
        <v>VIII</v>
      </c>
      <c r="AF90"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90" s="160" t="str">
        <f>VLOOKUP(Table1[[#This Row],[SyStudentId]],SSR!$A$2:$CC$4982,66,FALSE)</f>
        <v>July-October</v>
      </c>
      <c r="AH90" s="160" t="str">
        <f>IFERROR(VLOOKUP(Table1[[#This Row],[SyStudentId]],ISIR!$A$2:$X$1999,7,FALSE),"")</f>
        <v>000000</v>
      </c>
      <c r="AI90" s="170">
        <f>IF(Table1[[#This Row],[EFCRaw]]="","",IF(Table1[[#This Row],[EFCRaw]]="No EFC","No EFC",_xlfn.NUMBERVALUE(Table1[[#This Row],[EFCRaw]])))</f>
        <v>0</v>
      </c>
      <c r="AJ90" s="167">
        <f>IFERROR(VLOOKUP(Table1[[#This Row],[SyStudentId]],ISIR!$A$2:$X$4999,19,FALSE),"")</f>
        <v>43774</v>
      </c>
      <c r="AK90" s="160" t="str">
        <f>IFERROR(VLOOKUP(Table1[[#This Row],[SyStudentId]],ISIR!$A$2:$X$4999,8,FALSE),"")</f>
        <v>N</v>
      </c>
      <c r="AL90" s="178" t="str">
        <f>IF(Table1[[#This Row],[VerReq]]="N","n/a","")</f>
        <v>n/a</v>
      </c>
      <c r="AM90" s="122"/>
      <c r="AN90" s="122"/>
      <c r="AO90" s="122">
        <v>43764</v>
      </c>
      <c r="AP90" s="122"/>
      <c r="AQ90" s="122"/>
      <c r="AR90" s="122"/>
      <c r="AS90" s="122"/>
      <c r="AT90" s="122"/>
      <c r="AU90" s="122"/>
      <c r="AV90" s="122"/>
      <c r="AW90" s="122"/>
      <c r="AX90" s="122"/>
      <c r="AY90" s="122"/>
      <c r="AZ90" s="122"/>
      <c r="BA90" s="122"/>
      <c r="BB90" s="122"/>
      <c r="BC90" s="148"/>
      <c r="BD90" s="140" t="str">
        <f>IF(Table1[[#This Row],[VerReq]]="N","x","")</f>
        <v>x</v>
      </c>
      <c r="BE90" s="140" t="str">
        <f>IF(Table1[[#This Row],[VerReq]]="N","x","")</f>
        <v>x</v>
      </c>
      <c r="BF90" s="140" t="str">
        <f>IF(Table1[[#This Row],[VerReq]]="N","x","")</f>
        <v>x</v>
      </c>
      <c r="BG90" s="140" t="str">
        <f>IF(Table1[[#This Row],[VerReq]]="N","x","")</f>
        <v>x</v>
      </c>
      <c r="BH90" s="140" t="str">
        <f>IF(Table1[[#This Row],[VerReq]]="N","x","")</f>
        <v>x</v>
      </c>
      <c r="BI90" s="140" t="str">
        <f>IF(Table1[[#This Row],[VerReq]]="N","x","")</f>
        <v>x</v>
      </c>
      <c r="BJ90" s="181">
        <f>1-((COUNTBLANK(Table1[[#This Row],[ALESent]:[TaxTran]]))/(COUNT(Table1[[#This Row],[ALESent]:[TaxTran]])+COUNTBLANK(Table1[[#This Row],[ALESent]:[TaxTran]])))</f>
        <v>5.8823529411764719E-2</v>
      </c>
      <c r="BK90" s="216">
        <f>IF(VLOOKUP(Table1[[#This Row],[SyStudentId]],SSR!$A$2:$CC$4982,22,FALSE)=44109,44109,"Check Program")</f>
        <v>44109</v>
      </c>
      <c r="BL90" s="173">
        <f>IF(Table1[[#This Row],[AYStart]]=44109,44356,"Check Program")</f>
        <v>44356</v>
      </c>
      <c r="BM90" s="219">
        <v>8505</v>
      </c>
      <c r="BN90" s="219">
        <v>8505</v>
      </c>
      <c r="BO90" s="219">
        <v>8505</v>
      </c>
      <c r="BP90" s="220">
        <f t="shared" si="3"/>
        <v>25515</v>
      </c>
      <c r="BQ90" s="221">
        <v>3300</v>
      </c>
      <c r="BR90" s="219">
        <v>400</v>
      </c>
      <c r="BS90" s="219">
        <v>400</v>
      </c>
      <c r="BT90" s="222">
        <f t="shared" si="4"/>
        <v>4100</v>
      </c>
      <c r="BU90" s="219">
        <v>2100</v>
      </c>
      <c r="BV90" s="219">
        <v>2100</v>
      </c>
      <c r="BW90" s="219">
        <v>2100</v>
      </c>
      <c r="BX90" s="222">
        <f t="shared" si="5"/>
        <v>6300</v>
      </c>
      <c r="BY90" s="275">
        <v>1200</v>
      </c>
      <c r="BZ90" s="275">
        <v>1200</v>
      </c>
      <c r="CA90" s="275">
        <v>1200</v>
      </c>
      <c r="CB90" s="222">
        <f>SUM(Table1[[#This Row],[LEQ1]:[LEQ3]])</f>
        <v>3600</v>
      </c>
      <c r="CC90" s="223">
        <v>0</v>
      </c>
      <c r="CD90" s="223">
        <v>0</v>
      </c>
      <c r="CE90" s="223">
        <v>0</v>
      </c>
      <c r="CF90" s="222">
        <f>SUM(Table1[[#This Row],[OthCostQ1]:[OthCostQ3]])</f>
        <v>0</v>
      </c>
      <c r="CG90" s="222">
        <f>(Table1[[#This Row],[T&amp;FTot]]+Table1[[#This Row],[B&amp;STot]]+Table1[[#This Row],[HousTot]]+Table1[[#This Row],[LETot]]+Table1[[#This Row],[OthCostTot]])</f>
        <v>39515</v>
      </c>
      <c r="CH90" s="253">
        <v>0</v>
      </c>
      <c r="CI90" s="253">
        <v>0</v>
      </c>
      <c r="CJ90" s="253">
        <v>0</v>
      </c>
      <c r="CK90" s="254">
        <f>SUM(Table1[[#This Row],[SEOGQ1]:[SEOGQ3]])</f>
        <v>0</v>
      </c>
      <c r="CL90" s="253">
        <f>IFERROR(ROUNDUP(Table1[[#This Row],[PellTot]]/3,0),0)</f>
        <v>2065</v>
      </c>
      <c r="CM90" s="253">
        <f>IFERROR(ROUND(Table1[[#This Row],[PellTot]]/3,0),0)</f>
        <v>2065</v>
      </c>
      <c r="CN90" s="253">
        <f>IFERROR(ROUNDDOWN(Table1[[#This Row],[PellTot]]/3,0),0)</f>
        <v>2065</v>
      </c>
      <c r="CO90" s="254">
        <f>IFERROR(LOOKUP(Table1[EFC],Pell_Table[#Data],Pell_Table[Pell Amt]),0)</f>
        <v>6195</v>
      </c>
      <c r="CP90" s="253">
        <f>Table1[[#This Row],[AccessTot]]/3</f>
        <v>500</v>
      </c>
      <c r="CQ90" s="253">
        <f>Table1[[#This Row],[AccessTot]]/3</f>
        <v>500</v>
      </c>
      <c r="CR90" s="253">
        <f>Table1[[#This Row],[AccessTot]]/3</f>
        <v>500</v>
      </c>
      <c r="CS90" s="254">
        <f>IF(Table1[[#This Row],[PellTot]]&gt;0,1500,0)</f>
        <v>1500</v>
      </c>
      <c r="CT90" s="253">
        <f>Table1[[#This Row],[AchiTot]]/3</f>
        <v>0</v>
      </c>
      <c r="CU90" s="253">
        <f>Table1[[#This Row],[AchiTot]]/3</f>
        <v>0</v>
      </c>
      <c r="CV90" s="253">
        <f>Table1[[#This Row],[AchiTot]]/3</f>
        <v>0</v>
      </c>
      <c r="CW90" s="255">
        <f>IF(Table1[[#This Row],[Rank]]="","",IF(Table1[[#This Row],[Rank]]=1,5100,IF(Table1[[#This Row],[Rank]]=2,4500,IF(Table1[[#This Row],[Rank]]=3,3900,IF(Table1[[#This Row],[Rank]]=4,3750,IF(Table1[[#This Row],[Rank]]=5,3000,IF(Table1[[#This Row],[Rank]]=6,2250,0)))))))</f>
        <v>0</v>
      </c>
      <c r="CX90" s="253">
        <f>Table1[[#This Row],[UTTot]]/3</f>
        <v>0</v>
      </c>
      <c r="CY90" s="253">
        <f>Table1[[#This Row],[UTTot]]/3</f>
        <v>0</v>
      </c>
      <c r="CZ90" s="253">
        <f>Table1[[#This Row],[UTTot]]/3</f>
        <v>0</v>
      </c>
      <c r="DA90" s="254">
        <f>IF(Table1[[#This Row],[State]]="UT",9000,0)</f>
        <v>0</v>
      </c>
      <c r="DB90" s="253">
        <f>Table1[[#This Row],[WITTot]]/3</f>
        <v>0</v>
      </c>
      <c r="DC90" s="253">
        <f>Table1[[#This Row],[WITTot]]/3</f>
        <v>0</v>
      </c>
      <c r="DD90" s="253">
        <f>Table1[[#This Row],[WITTot]]/3</f>
        <v>0</v>
      </c>
      <c r="DE90" s="254">
        <f>IF(Table1[[#This Row],[Gender]]="Female",3000,0)</f>
        <v>0</v>
      </c>
      <c r="DF90" s="253">
        <f>Table1[[#This Row],[SerTot]]/3</f>
        <v>0</v>
      </c>
      <c r="DG90" s="253">
        <f>Table1[[#This Row],[SerTot]]/3</f>
        <v>0</v>
      </c>
      <c r="DH90" s="253">
        <f>Table1[[#This Row],[SerTot]]/3</f>
        <v>0</v>
      </c>
      <c r="DI90" s="255">
        <v>0</v>
      </c>
      <c r="DJ90" s="253">
        <f>IFERROR(ROUNDUP(Table1[[#This Row],[TranTot]]/3,0),0)</f>
        <v>0</v>
      </c>
      <c r="DK90" s="253">
        <f>IFERROR(ROUND(Table1[[#This Row],[TranTot]]/3,0),0)</f>
        <v>0</v>
      </c>
      <c r="DL90" s="253">
        <f>IFERROR(ROUNDDOWN(Table1[[#This Row],[TranTot]]/3,0),0)</f>
        <v>0</v>
      </c>
      <c r="DM90" s="255">
        <v>0</v>
      </c>
      <c r="DN90" s="253">
        <f>Table1[[#This Row],[MatTot]]/3</f>
        <v>0</v>
      </c>
      <c r="DO90" s="253">
        <f>Table1[[#This Row],[MatTot]]/3</f>
        <v>0</v>
      </c>
      <c r="DP90" s="253">
        <f>Table1[[#This Row],[MatTot]]/3</f>
        <v>0</v>
      </c>
      <c r="DQ90" s="262">
        <v>0</v>
      </c>
      <c r="DR90" s="253">
        <f>Table1[[#This Row],[OutTot]]/3</f>
        <v>0</v>
      </c>
      <c r="DS90" s="253">
        <f>Table1[[#This Row],[OutTot]]/3</f>
        <v>0</v>
      </c>
      <c r="DT90" s="253">
        <f>Table1[[#This Row],[OutTot]]/3</f>
        <v>0</v>
      </c>
      <c r="DU90" s="255">
        <v>0</v>
      </c>
      <c r="DV90" s="253">
        <v>0</v>
      </c>
      <c r="DW90" s="253">
        <v>0</v>
      </c>
      <c r="DX90" s="253">
        <v>0</v>
      </c>
      <c r="DY90" s="262">
        <f>SUM(Table1[[#This Row],[VAQ1]:[VAQ3]])</f>
        <v>0</v>
      </c>
      <c r="DZ90" s="253">
        <v>0</v>
      </c>
      <c r="EA90" s="253">
        <v>0</v>
      </c>
      <c r="EB90" s="253">
        <v>0</v>
      </c>
      <c r="EC90" s="255">
        <f>SUM(Table1[[#This Row],[OthGrantQ1]:[OthGrantQ3]])</f>
        <v>0</v>
      </c>
      <c r="ED90" s="264">
        <f>Table1[[#This Row],[SEOGTot]]+Table1[[#This Row],[PellTot]]+Table1[[#This Row],[AccessTot]]+Table1[[#This Row],[AchiTot]]+Table1[[#This Row],[UTTot]]+Table1[[#This Row],[WITTot]]+Table1[[#This Row],[SerTot]]+Table1[[#This Row],[TranTot]]+Table1[[#This Row],[MatTot]]+Table1[[#This Row],[OutTot]]+Table1[[#This Row],[VATot]]+Table1[[#This Row],[OthGrantTot]]</f>
        <v>7695</v>
      </c>
      <c r="EE90" s="226">
        <v>0</v>
      </c>
      <c r="EF90" s="227">
        <v>0</v>
      </c>
      <c r="EG90" s="227">
        <v>0</v>
      </c>
      <c r="EH90" s="228">
        <f>SUM(Table1[[#This Row],[CashQ1]]:Table1[[#This Row],[CashQ3]])</f>
        <v>0</v>
      </c>
      <c r="EI90" s="229">
        <f>ROUND((Table1[[#This Row],[SubTot]]/3)/1.01059,0)</f>
        <v>1154</v>
      </c>
      <c r="EJ90" s="230">
        <f>ROUND((Table1[[#This Row],[SubTot]]/3)/1.01059,0)</f>
        <v>1154</v>
      </c>
      <c r="EK90" s="230">
        <f>ROUNDUP((Table1[[#This Row],[SubTot]]/3)/1.01059,0)</f>
        <v>1155</v>
      </c>
      <c r="EL90" s="231">
        <v>3500</v>
      </c>
      <c r="EM90" s="233">
        <f>Table1[[#This Row],[SubTot]]*0.01059</f>
        <v>37.065000000000005</v>
      </c>
      <c r="EN90" s="230">
        <f>ROUND((Table1[[#This Row],[UnsubTot]]/3)/1.01062,0)</f>
        <v>660</v>
      </c>
      <c r="EO90" s="230">
        <f>ROUND((Table1[[#This Row],[UnsubTot]]/3)/1.01062,0)</f>
        <v>660</v>
      </c>
      <c r="EP90" s="230">
        <f>ROUNDDOWN((Table1[[#This Row],[UnsubTot]]/3)/1.01062,0)</f>
        <v>659</v>
      </c>
      <c r="EQ90" s="231">
        <f>IF(Table1[D/I]="I",6000,2000)</f>
        <v>2000</v>
      </c>
      <c r="ER90" s="233">
        <f>Table1[[#This Row],[UnsubTot]]*0.01059</f>
        <v>21.18</v>
      </c>
      <c r="ES90" s="230">
        <f>ROUND((Table1[[#This Row],[PLUSTot]]/3)/1.04236,0)</f>
        <v>8809</v>
      </c>
      <c r="ET90" s="230">
        <f>ROUND((Table1[[#This Row],[PLUSTot]]/3)/1.04236,0)</f>
        <v>8809</v>
      </c>
      <c r="EU90" s="230">
        <f>ROUND((Table1[[#This Row],[PLUSTot]]/3)/1.04236,0)</f>
        <v>8809</v>
      </c>
      <c r="EV90" s="231">
        <v>27545</v>
      </c>
      <c r="EW90" s="236">
        <f>Table1[[#This Row],[PLUSTot]]*0.04236</f>
        <v>1166.8062</v>
      </c>
      <c r="EX90" s="227"/>
      <c r="EY90" s="227"/>
      <c r="EZ90" s="227"/>
      <c r="FA90" s="228">
        <f>SUM(Table1[[#This Row],[PrivQ1]:[PrivQ3]])</f>
        <v>0</v>
      </c>
      <c r="FB90" s="227"/>
      <c r="FC90" s="227"/>
      <c r="FD90" s="227"/>
      <c r="FE90" s="228">
        <f>SUM(Table1[[#This Row],[TOQ1]:[TOQ3]])</f>
        <v>0</v>
      </c>
      <c r="FF90" s="227"/>
      <c r="FG90" s="227"/>
      <c r="FH90" s="227"/>
      <c r="FI90" s="228">
        <f>SUM(Table1[[#This Row],[OFundQ1]:[OFundQ3]])</f>
        <v>0</v>
      </c>
      <c r="FJ90" s="236">
        <f>(Table1[[#This Row],[SubTot]]-Table1[[#This Row],[SubFee]])+(Table1[[#This Row],[UnsubTot]]-Table1[[#This Row],[UnsubFee]])+(Table1[[#This Row],[PLUSTot]]-Table1[[#This Row],[PLUSFee]])+Table1[[#This Row],[PrivTot]]+Table1[[#This Row],[TOTot]]+Table1[[#This Row],[OFundTot]]</f>
        <v>31819.948800000002</v>
      </c>
      <c r="FK90" s="159">
        <f>Table1[[#This Row],[CostTot]]-Table1[[#This Row],[GiftTot]]</f>
        <v>31820</v>
      </c>
      <c r="FL90" s="174">
        <f>Table1[[#This Row],[NetNeed]]/(1-0.04236)</f>
        <v>5.3464767551545132E-2</v>
      </c>
      <c r="FM90" s="176">
        <f>Table1[[#This Row],[NetCost]]-Table1[[#This Row],[CashTot]]-(Table1[[#This Row],[SubTot]]-Table1[[#This Row],[SubFee]])-(Table1[[#This Row],[UnsubTot]]-Table1[[#This Row],[UnsubFee]])-(Table1[[#This Row],[PLUSTot]]-Table1[[#This Row],[PLUSFee]])-Table1[[#This Row],[PrivTot]]-Table1[[#This Row],[TOTot]]-Table1[[#This Row],[OFundTot]]</f>
        <v>5.1199999998061685E-2</v>
      </c>
      <c r="FN90" s="217"/>
      <c r="FO90" s="162"/>
      <c r="FP90" s="162"/>
    </row>
    <row r="91" spans="1:172" s="160" customFormat="1" ht="15" x14ac:dyDescent="0.25">
      <c r="A91" s="267">
        <v>197351</v>
      </c>
      <c r="B91" s="113" t="str">
        <f>VLOOKUP(Table1[[#This Row],[SyStudentId]],SSR!$A$2:$CC$4982,4,FALSE)</f>
        <v>Ramirez</v>
      </c>
      <c r="C91" s="113" t="str">
        <f>VLOOKUP(Table1[[#This Row],[SyStudentId]],SSR!$A$2:$CC$4982,5,FALSE)</f>
        <v>Jasmin</v>
      </c>
      <c r="D91" s="113" t="str">
        <f>VLOOKUP(Table1[[#This Row],[SyStudentId]],SSR!$A$2:$CC$4982,6,FALSE)</f>
        <v>Ramirez, Jasmin</v>
      </c>
      <c r="E91" s="113" t="str">
        <f>CONCATENATE(Table1[[#This Row],[FirstName]]," ",Table1[[#This Row],[LastName]])</f>
        <v>Jasmin Ramirez</v>
      </c>
      <c r="F91" s="112">
        <v>1</v>
      </c>
      <c r="G91" s="114">
        <v>43776</v>
      </c>
      <c r="H91" s="114">
        <v>43782</v>
      </c>
      <c r="I91" s="114">
        <v>43782</v>
      </c>
      <c r="J91" s="115" t="s">
        <v>5313</v>
      </c>
      <c r="K91" s="116" t="s">
        <v>708</v>
      </c>
      <c r="L91" s="112" t="str">
        <f>IFERROR(VLOOKUP(Table1[[#This Row],[SyStudentId]],ISIR!$A$2:$X$999,11,FALSE),"")</f>
        <v>D</v>
      </c>
      <c r="M91" s="113" t="str">
        <f>VLOOKUP(Table1[[#This Row],[SyStudentId]],SSR!$A$2:$CC$4982,7,FALSE)</f>
        <v>jessyeet42@gmail.com</v>
      </c>
      <c r="N91" s="113" t="str">
        <f>VLOOKUP(Table1[[#This Row],[SyStudentId]],SSR!$A$2:$CC$4982,8,FALSE)</f>
        <v>404 NW H ST</v>
      </c>
      <c r="O91" s="113" t="str">
        <f>VLOOKUP(Table1[[#This Row],[SyStudentId]],SSR!$A$2:$CC$4982,9,FALSE)</f>
        <v>Bentonville</v>
      </c>
      <c r="P91" s="292" t="str">
        <f>VLOOKUP(Table1[[#This Row],[SyStudentId]],SSR!$A$2:$CC$4982,10,FALSE)</f>
        <v>AR</v>
      </c>
      <c r="Q91" s="117" t="str">
        <f>VLOOKUP(Table1[[#This Row],[SyStudentId]],SSR!$A$2:$CC$4982,11,FALSE)</f>
        <v xml:space="preserve">72712     </v>
      </c>
      <c r="R91" s="118">
        <f>VLOOKUP(Table1[[#This Row],[SyStudentId]],SSR!$A$2:$CC$4982,15,FALSE)</f>
        <v>2.5741000000000001</v>
      </c>
      <c r="S91" s="119">
        <f>VLOOKUP(Table1[[#This Row],[SyStudentId]],SSR!$A$2:$CC$4982,22,FALSE)</f>
        <v>44109</v>
      </c>
      <c r="T91" s="113" t="str">
        <f>VLOOKUP(Table1[[#This Row],[SyStudentId]],SSR!$A$2:$CC$4982,24,FALSE)</f>
        <v>MN</v>
      </c>
      <c r="U91" s="113" t="str">
        <f>IF(VLOOKUP(Table1[[#This Row],[SyStudentId]],SSR!$A$2:$CC$4982,26,FALSE)=0,"Not Selected",VLOOKUP(Table1[[#This Row],[SyStudentId]],SSR!$A$2:$CC$4982,26,FALSE))</f>
        <v>Female</v>
      </c>
      <c r="V91" s="113" t="str">
        <f>VLOOKUP(Table1[[#This Row],[SyStudentId]],SSR!$A$2:$CC$4982,27,FALSE)</f>
        <v xml:space="preserve">HS2018  </v>
      </c>
      <c r="W91" s="113" t="str">
        <f>VLOOKUP(LEFT(Table1[[#This Row],[LastName]],1),Alpha!$A$1:$B$26,2,FALSE)</f>
        <v>Maureen Ranks</v>
      </c>
      <c r="X91" s="149" t="str">
        <f>VLOOKUP(Table1[[#This Row],[FAA]],Alpha!$B$1:$D$26,2,FALSE)</f>
        <v>mranks@neumont.edu</v>
      </c>
      <c r="Y91" s="113">
        <f>VLOOKUP(Table1[[#This Row],[FAA]],Alpha!$B$1:$D$26,3,FALSE)</f>
        <v>8883022894</v>
      </c>
      <c r="Z91" s="156" t="str">
        <f>VLOOKUP(Table1[[#This Row],[SyStudentId]],SSR!$A$2:$CC$4982,30,FALSE)</f>
        <v>16-Accepted</v>
      </c>
      <c r="AA91" s="113" t="str">
        <f>IF(VLOOKUP(Table1[[#This Row],[SyStudentId]],SSR!$A$2:$CC$4982,36,FALSE)="Bachelor of Science","BS Computer Science","Check Program")</f>
        <v>BS Computer Science</v>
      </c>
      <c r="AB91" s="113" t="str">
        <f>VLOOKUP(Table1[[#This Row],[SyStudentId]],SSR!$A$2:$CC$4982,37,FALSE)</f>
        <v xml:space="preserve">20      </v>
      </c>
      <c r="AC91" s="113">
        <f>VLOOKUP(Table1[[#This Row],[SyStudentId]],SSR!$A$2:$CC$4982,42,FALSE)</f>
        <v>0</v>
      </c>
      <c r="AD91" s="113" t="str">
        <f>VLOOKUP(Table1[[#This Row],[SyStudentId]],SSR!$A$2:$CC$4982,46,FALSE)</f>
        <v>88</v>
      </c>
      <c r="AE91" s="113" t="str">
        <f>VLOOKUP(Table1[[#This Row],[SyStudentId]],SSR!$A$2:$CC$4982,65,FALSE)</f>
        <v>VI</v>
      </c>
      <c r="AF91"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6</v>
      </c>
      <c r="AG91" s="113" t="str">
        <f>VLOOKUP(Table1[[#This Row],[SyStudentId]],SSR!$A$2:$CC$4982,66,FALSE)</f>
        <v>July-October</v>
      </c>
      <c r="AH91" s="113" t="str">
        <f>IFERROR(VLOOKUP(Table1[[#This Row],[SyStudentId]],ISIR!$A$2:$X$999,7,FALSE),"")</f>
        <v>000010</v>
      </c>
      <c r="AI91" s="121">
        <f>IF(Table1[[#This Row],[EFCRaw]]="","",IF(Table1[[#This Row],[EFCRaw]]="No EFC","No EFC",_xlfn.NUMBERVALUE(Table1[[#This Row],[EFCRaw]])))</f>
        <v>10</v>
      </c>
      <c r="AJ91" s="119">
        <f>IFERROR(VLOOKUP(Table1[[#This Row],[SyStudentId]],ISIR!$A$2:$X$4999,19,FALSE),"")</f>
        <v>43774</v>
      </c>
      <c r="AK91" s="113" t="str">
        <f>IFERROR(VLOOKUP(Table1[[#This Row],[SyStudentId]],ISIR!$A$2:$X$4999,8,FALSE),"")</f>
        <v>Y</v>
      </c>
      <c r="AL91" s="132" t="str">
        <f>IF(Table1[[#This Row],[VerReq]]="N","n/a","")</f>
        <v/>
      </c>
      <c r="AM91" s="122">
        <v>43782</v>
      </c>
      <c r="AN91" s="122">
        <v>43782</v>
      </c>
      <c r="AO91" s="122">
        <v>43766</v>
      </c>
      <c r="AP91" s="122">
        <v>43782</v>
      </c>
      <c r="AQ91" s="122">
        <v>43767</v>
      </c>
      <c r="AR91" s="122"/>
      <c r="AS91" s="122"/>
      <c r="AT91" s="122"/>
      <c r="AU91" s="122"/>
      <c r="AV91" s="122"/>
      <c r="AW91" s="122"/>
      <c r="AX91" s="122"/>
      <c r="AY91" s="122"/>
      <c r="AZ91" s="122"/>
      <c r="BA91" s="122"/>
      <c r="BB91" s="122"/>
      <c r="BC91" s="148"/>
      <c r="BD91" s="140" t="str">
        <f>IF(Table1[[#This Row],[VerReq]]="N","x","")</f>
        <v/>
      </c>
      <c r="BE91" s="140" t="str">
        <f>IF(Table1[[#This Row],[VerReq]]="N","x","")</f>
        <v/>
      </c>
      <c r="BF91" s="140" t="s">
        <v>631</v>
      </c>
      <c r="BG91" s="140" t="s">
        <v>631</v>
      </c>
      <c r="BH91" s="140">
        <v>43774</v>
      </c>
      <c r="BI91" s="140" t="s">
        <v>631</v>
      </c>
      <c r="BJ91" s="123">
        <f>1-((COUNTBLANK(Table1[[#This Row],[ALESent]:[TaxTran]]))/(COUNT(Table1[[#This Row],[ALESent]:[TaxTran]])+COUNTBLANK(Table1[[#This Row],[ALESent]:[TaxTran]])))</f>
        <v>0.30000000000000004</v>
      </c>
      <c r="BK91" s="150">
        <f>IF(VLOOKUP(Table1[[#This Row],[SyStudentId]],SSR!$A$2:$CC$4982,22,FALSE)=44109,44109,"Check Program")</f>
        <v>44109</v>
      </c>
      <c r="BL91" s="124">
        <f>IF(Table1[[#This Row],[AYStart]]=44109,44356,"Check Program")</f>
        <v>44356</v>
      </c>
      <c r="BM91" s="219">
        <v>8505</v>
      </c>
      <c r="BN91" s="219">
        <v>8505</v>
      </c>
      <c r="BO91" s="219">
        <v>8505</v>
      </c>
      <c r="BP91" s="220">
        <f t="shared" si="3"/>
        <v>25515</v>
      </c>
      <c r="BQ91" s="221">
        <v>3300</v>
      </c>
      <c r="BR91" s="219">
        <v>400</v>
      </c>
      <c r="BS91" s="219">
        <v>400</v>
      </c>
      <c r="BT91" s="222">
        <f t="shared" si="4"/>
        <v>4100</v>
      </c>
      <c r="BU91" s="219">
        <v>2100</v>
      </c>
      <c r="BV91" s="219">
        <v>2100</v>
      </c>
      <c r="BW91" s="219">
        <v>2100</v>
      </c>
      <c r="BX91" s="222">
        <f t="shared" si="5"/>
        <v>6300</v>
      </c>
      <c r="BY91" s="275">
        <v>1200</v>
      </c>
      <c r="BZ91" s="275">
        <v>1200</v>
      </c>
      <c r="CA91" s="275">
        <v>1200</v>
      </c>
      <c r="CB91" s="222">
        <f>SUM(Table1[[#This Row],[LEQ1]:[LEQ3]])</f>
        <v>3600</v>
      </c>
      <c r="CC91" s="223">
        <v>0</v>
      </c>
      <c r="CD91" s="223">
        <v>0</v>
      </c>
      <c r="CE91" s="223">
        <v>0</v>
      </c>
      <c r="CF91" s="222">
        <f>SUM(Table1[[#This Row],[OthCostQ1]:[OthCostQ3]])</f>
        <v>0</v>
      </c>
      <c r="CG91" s="220">
        <f>(Table1[[#This Row],[T&amp;FTot]]+Table1[[#This Row],[B&amp;STot]]+Table1[[#This Row],[HousTot]]+Table1[[#This Row],[LETot]]+Table1[[#This Row],[OthCostTot]])</f>
        <v>39515</v>
      </c>
      <c r="CH91" s="250"/>
      <c r="CI91" s="250"/>
      <c r="CJ91" s="250"/>
      <c r="CK91" s="251">
        <f>SUM(Table1[[#This Row],[SEOGQ1]:[SEOGQ3]])</f>
        <v>0</v>
      </c>
      <c r="CL91" s="250">
        <f>IFERROR(ROUNDUP(Table1[[#This Row],[PellTot]]/3,0),0)</f>
        <v>2049</v>
      </c>
      <c r="CM91" s="250">
        <f>IFERROR(ROUND(Table1[[#This Row],[PellTot]]/3,0),0)</f>
        <v>2048</v>
      </c>
      <c r="CN91" s="250">
        <f>IFERROR(ROUNDDOWN(Table1[[#This Row],[PellTot]]/3,0),0)</f>
        <v>2048</v>
      </c>
      <c r="CO91" s="251">
        <f>IFERROR(LOOKUP(Table1[EFC],Pell_Table[#Data],Pell_Table[Pell Amt]),0)</f>
        <v>6145</v>
      </c>
      <c r="CP91" s="250">
        <f>Table1[[#This Row],[AccessTot]]/3</f>
        <v>500</v>
      </c>
      <c r="CQ91" s="250">
        <f>Table1[[#This Row],[AccessTot]]/3</f>
        <v>500</v>
      </c>
      <c r="CR91" s="250">
        <f>Table1[[#This Row],[AccessTot]]/3</f>
        <v>500</v>
      </c>
      <c r="CS91" s="251">
        <f>IF(Table1[[#This Row],[PellTot]]&gt;0,1500,0)</f>
        <v>1500</v>
      </c>
      <c r="CT91" s="250">
        <f>Table1[[#This Row],[AchiTot]]/3</f>
        <v>750</v>
      </c>
      <c r="CU91" s="250">
        <f>Table1[[#This Row],[AchiTot]]/3</f>
        <v>750</v>
      </c>
      <c r="CV91" s="250">
        <f>Table1[[#This Row],[AchiTot]]/3</f>
        <v>750</v>
      </c>
      <c r="CW91" s="252">
        <f>IF(Table1[[#This Row],[Rank]]="","",IF(Table1[[#This Row],[Rank]]=1,5100,IF(Table1[[#This Row],[Rank]]=2,4500,IF(Table1[[#This Row],[Rank]]=3,3900,IF(Table1[[#This Row],[Rank]]=4,3750,IF(Table1[[#This Row],[Rank]]=5,3000,IF(Table1[[#This Row],[Rank]]=6,2250,0)))))))</f>
        <v>2250</v>
      </c>
      <c r="CX91" s="250">
        <f>Table1[[#This Row],[UTTot]]/3</f>
        <v>0</v>
      </c>
      <c r="CY91" s="250">
        <f>Table1[[#This Row],[UTTot]]/3</f>
        <v>0</v>
      </c>
      <c r="CZ91" s="250">
        <f>Table1[[#This Row],[UTTot]]/3</f>
        <v>0</v>
      </c>
      <c r="DA91" s="251">
        <f>IF(Table1[[#This Row],[State]]="UT",9000,0)</f>
        <v>0</v>
      </c>
      <c r="DB91" s="250">
        <f>Table1[[#This Row],[WITTot]]/3</f>
        <v>1000</v>
      </c>
      <c r="DC91" s="250">
        <f>Table1[[#This Row],[WITTot]]/3</f>
        <v>1000</v>
      </c>
      <c r="DD91" s="250">
        <f>Table1[[#This Row],[WITTot]]/3</f>
        <v>1000</v>
      </c>
      <c r="DE91" s="251">
        <f>IF(Table1[[#This Row],[Gender]]="Female",3000,0)</f>
        <v>3000</v>
      </c>
      <c r="DF91" s="250">
        <f>Table1[[#This Row],[SerTot]]/3</f>
        <v>0</v>
      </c>
      <c r="DG91" s="250">
        <f>Table1[[#This Row],[SerTot]]/3</f>
        <v>0</v>
      </c>
      <c r="DH91" s="250">
        <f>Table1[[#This Row],[SerTot]]/3</f>
        <v>0</v>
      </c>
      <c r="DI91" s="252"/>
      <c r="DJ91" s="250"/>
      <c r="DK91" s="250"/>
      <c r="DL91" s="250"/>
      <c r="DM91" s="252"/>
      <c r="DN91" s="253">
        <f>Table1[[#This Row],[MatTot]]/3</f>
        <v>0</v>
      </c>
      <c r="DO91" s="253">
        <f>Table1[[#This Row],[MatTot]]/3</f>
        <v>0</v>
      </c>
      <c r="DP91" s="253">
        <f>Table1[[#This Row],[MatTot]]/3</f>
        <v>0</v>
      </c>
      <c r="DQ91" s="262">
        <v>0</v>
      </c>
      <c r="DR91" s="253">
        <f>Table1[[#This Row],[OutTot]]/3</f>
        <v>0</v>
      </c>
      <c r="DS91" s="253">
        <f>Table1[[#This Row],[OutTot]]/3</f>
        <v>0</v>
      </c>
      <c r="DT91" s="253">
        <f>Table1[[#This Row],[OutTot]]/3</f>
        <v>0</v>
      </c>
      <c r="DU91" s="255">
        <v>0</v>
      </c>
      <c r="DV91" s="253">
        <v>0</v>
      </c>
      <c r="DW91" s="253">
        <v>0</v>
      </c>
      <c r="DX91" s="253">
        <v>0</v>
      </c>
      <c r="DY91" s="262">
        <f>SUM(Table1[[#This Row],[VAQ1]:[VAQ3]])</f>
        <v>0</v>
      </c>
      <c r="DZ91" s="253">
        <v>0</v>
      </c>
      <c r="EA91" s="253">
        <v>0</v>
      </c>
      <c r="EB91" s="253">
        <v>0</v>
      </c>
      <c r="EC91" s="255">
        <f>SUM(Table1[[#This Row],[OthGrantQ1]:[OthGrantQ3]])</f>
        <v>0</v>
      </c>
      <c r="ED91" s="263">
        <f>Table1[[#This Row],[SEOGTot]]+Table1[[#This Row],[PellTot]]+Table1[[#This Row],[AccessTot]]+Table1[[#This Row],[AchiTot]]+Table1[[#This Row],[UTTot]]+Table1[[#This Row],[WITTot]]+Table1[[#This Row],[SerTot]]+Table1[[#This Row],[TranTot]]+Table1[[#This Row],[MatTot]]+Table1[[#This Row],[OutTot]]+Table1[[#This Row],[VATot]]+Table1[[#This Row],[OthGrantTot]]</f>
        <v>12895</v>
      </c>
      <c r="EE91" s="226">
        <v>0</v>
      </c>
      <c r="EF91" s="227">
        <v>0</v>
      </c>
      <c r="EG91" s="227">
        <v>0</v>
      </c>
      <c r="EH91" s="228">
        <f>SUM(Table1[[#This Row],[CashQ1]]:Table1[[#This Row],[CashQ3]])</f>
        <v>0</v>
      </c>
      <c r="EI91" s="229">
        <f>ROUND((Table1[[#This Row],[SubTot]]/3)/1.01059,0)</f>
        <v>1154</v>
      </c>
      <c r="EJ91" s="230">
        <f>ROUND((Table1[[#This Row],[SubTot]]/3)/1.01059,0)</f>
        <v>1154</v>
      </c>
      <c r="EK91" s="230">
        <f>ROUNDUP((Table1[[#This Row],[SubTot]]/3)/1.01059,0)</f>
        <v>1155</v>
      </c>
      <c r="EL91" s="231">
        <v>3500</v>
      </c>
      <c r="EM91" s="233">
        <f>Table1[[#This Row],[SubTot]]*0.01059</f>
        <v>37.065000000000005</v>
      </c>
      <c r="EN91" s="230">
        <f>ROUND((Table1[[#This Row],[UnsubTot]]/3)/1.01062,0)</f>
        <v>660</v>
      </c>
      <c r="EO91" s="230">
        <f>ROUND((Table1[[#This Row],[UnsubTot]]/3)/1.01062,0)</f>
        <v>660</v>
      </c>
      <c r="EP91" s="230">
        <f>ROUNDDOWN((Table1[[#This Row],[UnsubTot]]/3)/1.01062,0)</f>
        <v>659</v>
      </c>
      <c r="EQ91" s="231">
        <f>IF(Table1[D/I]="I",6000,2000)</f>
        <v>2000</v>
      </c>
      <c r="ER91" s="233">
        <f>Table1[[#This Row],[UnsubTot]]*0.01059</f>
        <v>21.18</v>
      </c>
      <c r="ES91" s="230">
        <f>ROUND((Table1[[#This Row],[PLUSTot]]/3)/1.04236,0)</f>
        <v>7073</v>
      </c>
      <c r="ET91" s="230">
        <f>ROUND((Table1[[#This Row],[PLUSTot]]/3)/1.04236,0)</f>
        <v>7073</v>
      </c>
      <c r="EU91" s="230">
        <f>ROUND((Table1[[#This Row],[PLUSTot]]/3)/1.04236,0)</f>
        <v>7073</v>
      </c>
      <c r="EV91" s="231">
        <v>22118</v>
      </c>
      <c r="EW91" s="239">
        <f>Table1[[#This Row],[PLUSTot]]*0.04248</f>
        <v>939.57263999999998</v>
      </c>
      <c r="EX91" s="237"/>
      <c r="EY91" s="237"/>
      <c r="EZ91" s="237"/>
      <c r="FA91" s="232">
        <f>SUM(Table1[[#This Row],[PrivQ1]:[PrivQ3]])</f>
        <v>0</v>
      </c>
      <c r="FB91" s="237"/>
      <c r="FC91" s="237"/>
      <c r="FD91" s="237"/>
      <c r="FE91" s="232">
        <f>SUM(Table1[[#This Row],[TOQ1]:[TOQ3]])</f>
        <v>0</v>
      </c>
      <c r="FF91" s="237"/>
      <c r="FG91" s="237"/>
      <c r="FH91" s="237"/>
      <c r="FI91" s="232">
        <f>SUM(Table1[[#This Row],[OFundQ1]:[OFundQ3]])</f>
        <v>0</v>
      </c>
      <c r="FJ91" s="239">
        <f>(Table1[[#This Row],[SubTot]]-Table1[[#This Row],[SubFee]])+(Table1[[#This Row],[UnsubTot]]-Table1[[#This Row],[UnsubFee]])+(Table1[[#This Row],[PLUSTot]]-Table1[[#This Row],[PLUSFee]])+Table1[[#This Row],[PrivTot]]+Table1[[#This Row],[TOTot]]+Table1[[#This Row],[OFundTot]]</f>
        <v>26620.182360000003</v>
      </c>
      <c r="FK91" s="125">
        <f>Table1[[#This Row],[CostTot]]-Table1[[#This Row],[GiftTot]]</f>
        <v>26620</v>
      </c>
      <c r="FL91" s="130">
        <f>Table1[[#This Row],[NetNeed]]/(1-0.04248)</f>
        <v>-0.19045033002184608</v>
      </c>
      <c r="FM91" s="131">
        <f>Table1[[#This Row],[NetCost]]-Table1[[#This Row],[CashTot]]-(Table1[[#This Row],[SubTot]]-Table1[[#This Row],[SubFee]])-(Table1[[#This Row],[UnsubTot]]-Table1[[#This Row],[UnsubFee]])-(Table1[[#This Row],[PLUSTot]]-Table1[[#This Row],[PLUSFee]])-Table1[[#This Row],[PrivTot]]-Table1[[#This Row],[TOTot]]-Table1[[#This Row],[OFundTot]]</f>
        <v>-0.18236000000251806</v>
      </c>
      <c r="FN91" s="217"/>
      <c r="FO91" s="162"/>
      <c r="FP91" s="162"/>
    </row>
    <row r="92" spans="1:172" s="160" customFormat="1" ht="15" x14ac:dyDescent="0.25">
      <c r="A92" s="267">
        <v>196698</v>
      </c>
      <c r="B92" s="160" t="str">
        <f>VLOOKUP(Table1[[#This Row],[SyStudentId]],SSR!$A$2:$CC$4982,4,FALSE)</f>
        <v>Rampton</v>
      </c>
      <c r="C92" s="160" t="str">
        <f>VLOOKUP(Table1[[#This Row],[SyStudentId]],SSR!$A$2:$CC$4982,5,FALSE)</f>
        <v>Isaac</v>
      </c>
      <c r="D92" s="160" t="str">
        <f>VLOOKUP(Table1[[#This Row],[SyStudentId]],SSR!$A$2:$CC$4982,6,FALSE)</f>
        <v>Rampton, Isaac</v>
      </c>
      <c r="E92" s="113" t="str">
        <f>CONCATENATE(Table1[[#This Row],[FirstName]]," ",Table1[[#This Row],[LastName]])</f>
        <v>Isaac Rampton</v>
      </c>
      <c r="F92" s="158"/>
      <c r="G92" s="114"/>
      <c r="H92" s="114"/>
      <c r="I92" s="114"/>
      <c r="J92" s="163"/>
      <c r="K92" s="164"/>
      <c r="L92" s="158" t="str">
        <f>IFERROR(VLOOKUP(Table1[[#This Row],[SyStudentId]],ISIR!$A$2:$X$4999,11,FALSE),"")</f>
        <v/>
      </c>
      <c r="M92" s="160" t="str">
        <f>VLOOKUP(Table1[[#This Row],[SyStudentId]],SSR!$A$2:$CC$4982,7,FALSE)</f>
        <v>isaac@2b4joy.com</v>
      </c>
      <c r="N92" s="160" t="str">
        <f>VLOOKUP(Table1[[#This Row],[SyStudentId]],SSR!$A$2:$CC$4982,8,FALSE)</f>
        <v>691 W 2400 N</v>
      </c>
      <c r="O92" s="160" t="str">
        <f>VLOOKUP(Table1[[#This Row],[SyStudentId]],SSR!$A$2:$CC$4982,9,FALSE)</f>
        <v>Lehi</v>
      </c>
      <c r="P92" s="160" t="str">
        <f>VLOOKUP(Table1[[#This Row],[SyStudentId]],SSR!$A$2:$CC$4982,10,FALSE)</f>
        <v>UT</v>
      </c>
      <c r="Q92" s="165" t="str">
        <f>VLOOKUP(Table1[[#This Row],[SyStudentId]],SSR!$A$2:$CC$4982,11,FALSE)</f>
        <v xml:space="preserve">84043     </v>
      </c>
      <c r="R92" s="166">
        <f>VLOOKUP(Table1[[#This Row],[SyStudentId]],SSR!$A$2:$CC$4982,15,FALSE)</f>
        <v>3.4039999999999999</v>
      </c>
      <c r="S92" s="167">
        <f>VLOOKUP(Table1[[#This Row],[SyStudentId]],SSR!$A$2:$CC$4982,22,FALSE)</f>
        <v>44109</v>
      </c>
      <c r="T92" s="160" t="str">
        <f>VLOOKUP(Table1[[#This Row],[SyStudentId]],SSR!$A$2:$CC$4982,24,FALSE)</f>
        <v>MR</v>
      </c>
      <c r="U92" s="160" t="str">
        <f>IF(VLOOKUP(Table1[[#This Row],[SyStudentId]],SSR!$A$2:$CC$4982,26,FALSE)=0,"Not Selected",VLOOKUP(Table1[[#This Row],[SyStudentId]],SSR!$A$2:$CC$4982,26,FALSE))</f>
        <v>Male</v>
      </c>
      <c r="V92" s="160" t="str">
        <f>VLOOKUP(Table1[[#This Row],[SyStudentId]],SSR!$A$2:$CC$4982,27,FALSE)</f>
        <v xml:space="preserve">HS2020  </v>
      </c>
      <c r="W92" s="160" t="str">
        <f>VLOOKUP(LEFT(Table1[[#This Row],[LastName]],1),Alpha!$A$1:$B$26,2,FALSE)</f>
        <v>Maureen Ranks</v>
      </c>
      <c r="X92" s="168" t="str">
        <f>VLOOKUP(Table1[[#This Row],[FAA]],Alpha!$B$1:$D$26,2,FALSE)</f>
        <v>mranks@neumont.edu</v>
      </c>
      <c r="Y92" s="160">
        <f>VLOOKUP(Table1[[#This Row],[FAA]],Alpha!$B$1:$D$26,3,FALSE)</f>
        <v>8883022894</v>
      </c>
      <c r="Z92" s="160" t="str">
        <f>VLOOKUP(Table1[[#This Row],[SyStudentId]],SSR!$A$2:$CC$4982,30,FALSE)</f>
        <v>16-Accepted</v>
      </c>
      <c r="AA92" s="160" t="str">
        <f>IF(VLOOKUP(Table1[[#This Row],[SyStudentId]],SSR!$A$2:$CC$4982,36,FALSE)="Bachelor of Science","BS Computer Science","Check Program")</f>
        <v>BS Computer Science</v>
      </c>
      <c r="AB92" s="160">
        <f>VLOOKUP(Table1[[#This Row],[SyStudentId]],SSR!$A$2:$CC$4982,37,FALSE)</f>
        <v>0</v>
      </c>
      <c r="AC92" s="160">
        <f>VLOOKUP(Table1[[#This Row],[SyStudentId]],SSR!$A$2:$CC$4982,42,FALSE)</f>
        <v>0</v>
      </c>
      <c r="AD92" s="160" t="str">
        <f>VLOOKUP(Table1[[#This Row],[SyStudentId]],SSR!$A$2:$CC$4982,46,FALSE)</f>
        <v>0</v>
      </c>
      <c r="AE92" s="160" t="str">
        <f>VLOOKUP(Table1[[#This Row],[SyStudentId]],SSR!$A$2:$CC$4982,65,FALSE)</f>
        <v>VIII</v>
      </c>
      <c r="AF92"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92" s="160" t="str">
        <f>VLOOKUP(Table1[[#This Row],[SyStudentId]],SSR!$A$2:$CC$4982,66,FALSE)</f>
        <v>July-October</v>
      </c>
      <c r="AH92" s="160" t="str">
        <f>IFERROR(VLOOKUP(Table1[[#This Row],[SyStudentId]],ISIR!$A$2:$X$1999,7,FALSE),"")</f>
        <v/>
      </c>
      <c r="AI92" s="170" t="str">
        <f>IF(Table1[[#This Row],[EFCRaw]]="","",IF(Table1[[#This Row],[EFCRaw]]="No EFC","No EFC",_xlfn.NUMBERVALUE(Table1[[#This Row],[EFCRaw]])))</f>
        <v/>
      </c>
      <c r="AJ92" s="167" t="str">
        <f>IFERROR(VLOOKUP(Table1[[#This Row],[SyStudentId]],ISIR!$A$2:$X$4999,19,FALSE),"")</f>
        <v/>
      </c>
      <c r="AK92" s="160" t="str">
        <f>IFERROR(VLOOKUP(Table1[[#This Row],[SyStudentId]],ISIR!$A$2:$X$4999,8,FALSE),"")</f>
        <v/>
      </c>
      <c r="AL92" s="171" t="str">
        <f>IF(Table1[[#This Row],[VerReq]]="N","n/a","")</f>
        <v/>
      </c>
      <c r="AM92" s="122"/>
      <c r="AN92" s="122"/>
      <c r="AO92" s="122"/>
      <c r="AP92" s="122"/>
      <c r="AQ92" s="122"/>
      <c r="AR92" s="122"/>
      <c r="AS92" s="122"/>
      <c r="AT92" s="122"/>
      <c r="AU92" s="122"/>
      <c r="AV92" s="122"/>
      <c r="AW92" s="122"/>
      <c r="AX92" s="122"/>
      <c r="AY92" s="122"/>
      <c r="AZ92" s="122"/>
      <c r="BA92" s="122"/>
      <c r="BB92" s="122"/>
      <c r="BC92" s="148"/>
      <c r="BD92" s="140" t="str">
        <f>IF(Table1[[#This Row],[VerReq]]="N","x","")</f>
        <v/>
      </c>
      <c r="BE92" s="140" t="str">
        <f>IF(Table1[[#This Row],[VerReq]]="N","x","")</f>
        <v/>
      </c>
      <c r="BF92" s="140" t="str">
        <f>IF(Table1[[#This Row],[VerReq]]="N","x","")</f>
        <v/>
      </c>
      <c r="BG92" s="140" t="str">
        <f>IF(Table1[[#This Row],[VerReq]]="N","x","")</f>
        <v/>
      </c>
      <c r="BH92" s="140" t="str">
        <f>IF(Table1[[#This Row],[VerReq]]="N","x","")</f>
        <v/>
      </c>
      <c r="BI92" s="140" t="str">
        <f>IF(Table1[[#This Row],[VerReq]]="N","x","")</f>
        <v/>
      </c>
      <c r="BJ92" s="181">
        <f>1-((COUNTBLANK(Table1[[#This Row],[ALESent]:[TaxTran]]))/(COUNT(Table1[[#This Row],[ALESent]:[TaxTran]])+COUNTBLANK(Table1[[#This Row],[ALESent]:[TaxTran]])))</f>
        <v>0</v>
      </c>
      <c r="BK92" s="216">
        <f>IF(VLOOKUP(Table1[[#This Row],[SyStudentId]],SSR!$A$2:$CC$4982,22,FALSE)=44109,44109,"Check Program")</f>
        <v>44109</v>
      </c>
      <c r="BL92" s="173">
        <f>IF(Table1[[#This Row],[AYStart]]=44109,44356,"Check Program")</f>
        <v>44356</v>
      </c>
      <c r="BM92" s="219">
        <v>8505</v>
      </c>
      <c r="BN92" s="219">
        <v>8505</v>
      </c>
      <c r="BO92" s="219">
        <v>8505</v>
      </c>
      <c r="BP92" s="220">
        <f t="shared" si="3"/>
        <v>25515</v>
      </c>
      <c r="BQ92" s="221">
        <v>3300</v>
      </c>
      <c r="BR92" s="219">
        <v>400</v>
      </c>
      <c r="BS92" s="219">
        <v>400</v>
      </c>
      <c r="BT92" s="222">
        <f t="shared" si="4"/>
        <v>4100</v>
      </c>
      <c r="BU92" s="219">
        <v>2100</v>
      </c>
      <c r="BV92" s="219">
        <v>2100</v>
      </c>
      <c r="BW92" s="219">
        <v>2100</v>
      </c>
      <c r="BX92" s="222">
        <f t="shared" si="5"/>
        <v>6300</v>
      </c>
      <c r="BY92" s="275">
        <v>1200</v>
      </c>
      <c r="BZ92" s="275">
        <v>1200</v>
      </c>
      <c r="CA92" s="275">
        <v>1200</v>
      </c>
      <c r="CB92" s="222">
        <f>SUM(Table1[[#This Row],[LEQ1]:[LEQ3]])</f>
        <v>3600</v>
      </c>
      <c r="CC92" s="223">
        <v>0</v>
      </c>
      <c r="CD92" s="223">
        <v>0</v>
      </c>
      <c r="CE92" s="223">
        <v>0</v>
      </c>
      <c r="CF92" s="222">
        <f>SUM(Table1[[#This Row],[OthCostQ1]:[OthCostQ3]])</f>
        <v>0</v>
      </c>
      <c r="CG92" s="222">
        <f>(Table1[[#This Row],[T&amp;FTot]]+Table1[[#This Row],[B&amp;STot]]+Table1[[#This Row],[HousTot]]+Table1[[#This Row],[LETot]]+Table1[[#This Row],[OthCostTot]])</f>
        <v>39515</v>
      </c>
      <c r="CH92" s="253">
        <v>0</v>
      </c>
      <c r="CI92" s="253">
        <v>0</v>
      </c>
      <c r="CJ92" s="253">
        <v>0</v>
      </c>
      <c r="CK92" s="254">
        <f>SUM(Table1[[#This Row],[SEOGQ1]:[SEOGQ3]])</f>
        <v>0</v>
      </c>
      <c r="CL92" s="253">
        <f>IFERROR(ROUNDUP(Table1[[#This Row],[PellTot]]/3,0),0)</f>
        <v>2065</v>
      </c>
      <c r="CM92" s="253">
        <f>IFERROR(ROUND(Table1[[#This Row],[PellTot]]/3,0),0)</f>
        <v>2065</v>
      </c>
      <c r="CN92" s="253">
        <f>IFERROR(ROUNDDOWN(Table1[[#This Row],[PellTot]]/3,0),0)</f>
        <v>2065</v>
      </c>
      <c r="CO92" s="254">
        <v>6195</v>
      </c>
      <c r="CP92" s="253">
        <f>Table1[[#This Row],[AccessTot]]/3</f>
        <v>500</v>
      </c>
      <c r="CQ92" s="253">
        <f>Table1[[#This Row],[AccessTot]]/3</f>
        <v>500</v>
      </c>
      <c r="CR92" s="253">
        <f>Table1[[#This Row],[AccessTot]]/3</f>
        <v>500</v>
      </c>
      <c r="CS92" s="254">
        <f>IF(Table1[[#This Row],[PellTot]]&gt;0,1500,0)</f>
        <v>1500</v>
      </c>
      <c r="CT92" s="253">
        <f>Table1[[#This Row],[AchiTot]]/3</f>
        <v>0</v>
      </c>
      <c r="CU92" s="253">
        <f>Table1[[#This Row],[AchiTot]]/3</f>
        <v>0</v>
      </c>
      <c r="CV92" s="253">
        <f>Table1[[#This Row],[AchiTot]]/3</f>
        <v>0</v>
      </c>
      <c r="CW92" s="255">
        <f>IF(Table1[[#This Row],[Rank]]="","",IF(Table1[[#This Row],[Rank]]=1,5100,IF(Table1[[#This Row],[Rank]]=2,4500,IF(Table1[[#This Row],[Rank]]=3,3900,IF(Table1[[#This Row],[Rank]]=4,3750,IF(Table1[[#This Row],[Rank]]=5,3000,IF(Table1[[#This Row],[Rank]]=6,2250,0)))))))</f>
        <v>0</v>
      </c>
      <c r="CX92" s="253">
        <f>Table1[[#This Row],[UTTot]]/3</f>
        <v>3000</v>
      </c>
      <c r="CY92" s="253">
        <f>Table1[[#This Row],[UTTot]]/3</f>
        <v>3000</v>
      </c>
      <c r="CZ92" s="253">
        <f>Table1[[#This Row],[UTTot]]/3</f>
        <v>3000</v>
      </c>
      <c r="DA92" s="254">
        <f>IF(Table1[[#This Row],[State]]="UT",9000,0)</f>
        <v>9000</v>
      </c>
      <c r="DB92" s="253">
        <f>Table1[[#This Row],[WITTot]]/3</f>
        <v>0</v>
      </c>
      <c r="DC92" s="253">
        <f>Table1[[#This Row],[WITTot]]/3</f>
        <v>0</v>
      </c>
      <c r="DD92" s="253">
        <f>Table1[[#This Row],[WITTot]]/3</f>
        <v>0</v>
      </c>
      <c r="DE92" s="254">
        <f>IF(Table1[[#This Row],[Gender]]="Female",3000,0)</f>
        <v>0</v>
      </c>
      <c r="DF92" s="253">
        <f>Table1[[#This Row],[SerTot]]/3</f>
        <v>0</v>
      </c>
      <c r="DG92" s="253">
        <f>Table1[[#This Row],[SerTot]]/3</f>
        <v>0</v>
      </c>
      <c r="DH92" s="253">
        <f>Table1[[#This Row],[SerTot]]/3</f>
        <v>0</v>
      </c>
      <c r="DI92" s="255">
        <v>0</v>
      </c>
      <c r="DJ92" s="253">
        <f>IFERROR(ROUNDUP(Table1[[#This Row],[TranTot]]/3,0),0)</f>
        <v>0</v>
      </c>
      <c r="DK92" s="253">
        <f>IFERROR(ROUND(Table1[[#This Row],[TranTot]]/3,0),0)</f>
        <v>0</v>
      </c>
      <c r="DL92" s="253">
        <f>IFERROR(ROUNDDOWN(Table1[[#This Row],[TranTot]]/3,0),0)</f>
        <v>0</v>
      </c>
      <c r="DM92" s="255">
        <v>0</v>
      </c>
      <c r="DN92" s="253">
        <f>Table1[[#This Row],[MatTot]]/3</f>
        <v>0</v>
      </c>
      <c r="DO92" s="253">
        <f>Table1[[#This Row],[MatTot]]/3</f>
        <v>0</v>
      </c>
      <c r="DP92" s="253">
        <f>Table1[[#This Row],[MatTot]]/3</f>
        <v>0</v>
      </c>
      <c r="DQ92" s="262">
        <v>0</v>
      </c>
      <c r="DR92" s="253">
        <f>Table1[[#This Row],[OutTot]]/3</f>
        <v>0</v>
      </c>
      <c r="DS92" s="253">
        <f>Table1[[#This Row],[OutTot]]/3</f>
        <v>0</v>
      </c>
      <c r="DT92" s="253">
        <f>Table1[[#This Row],[OutTot]]/3</f>
        <v>0</v>
      </c>
      <c r="DU92" s="255">
        <v>0</v>
      </c>
      <c r="DV92" s="253">
        <v>0</v>
      </c>
      <c r="DW92" s="253">
        <v>0</v>
      </c>
      <c r="DX92" s="253">
        <v>0</v>
      </c>
      <c r="DY92" s="262">
        <f>SUM(Table1[[#This Row],[VAQ1]:[VAQ3]])</f>
        <v>0</v>
      </c>
      <c r="DZ92" s="253">
        <v>0</v>
      </c>
      <c r="EA92" s="253">
        <v>0</v>
      </c>
      <c r="EB92" s="253">
        <v>0</v>
      </c>
      <c r="EC92" s="255">
        <f>SUM(Table1[[#This Row],[OthGrantQ1]:[OthGrantQ3]])</f>
        <v>0</v>
      </c>
      <c r="ED92" s="264">
        <f>Table1[[#This Row],[SEOGTot]]+Table1[[#This Row],[PellTot]]+Table1[[#This Row],[AccessTot]]+Table1[[#This Row],[AchiTot]]+Table1[[#This Row],[UTTot]]+Table1[[#This Row],[WITTot]]+Table1[[#This Row],[SerTot]]+Table1[[#This Row],[TranTot]]+Table1[[#This Row],[MatTot]]+Table1[[#This Row],[OutTot]]+Table1[[#This Row],[VATot]]+Table1[[#This Row],[OthGrantTot]]</f>
        <v>16695</v>
      </c>
      <c r="EE92" s="226">
        <v>0</v>
      </c>
      <c r="EF92" s="227">
        <v>0</v>
      </c>
      <c r="EG92" s="227">
        <v>0</v>
      </c>
      <c r="EH92" s="228">
        <f>SUM(Table1[[#This Row],[CashQ1]]:Table1[[#This Row],[CashQ3]])</f>
        <v>0</v>
      </c>
      <c r="EI92" s="229">
        <f>ROUND((Table1[[#This Row],[SubTot]]/3)/1.01059,0)</f>
        <v>1154</v>
      </c>
      <c r="EJ92" s="230">
        <f>ROUND((Table1[[#This Row],[SubTot]]/3)/1.01059,0)</f>
        <v>1154</v>
      </c>
      <c r="EK92" s="230">
        <f>ROUNDUP((Table1[[#This Row],[SubTot]]/3)/1.01059,0)</f>
        <v>1155</v>
      </c>
      <c r="EL92" s="231">
        <v>3500</v>
      </c>
      <c r="EM92" s="233">
        <f>Table1[[#This Row],[SubTot]]*0.01059</f>
        <v>37.065000000000005</v>
      </c>
      <c r="EN92" s="230">
        <f>ROUND((Table1[[#This Row],[UnsubTot]]/3)/1.01062,0)</f>
        <v>660</v>
      </c>
      <c r="EO92" s="230">
        <f>ROUND((Table1[[#This Row],[UnsubTot]]/3)/1.01062,0)</f>
        <v>660</v>
      </c>
      <c r="EP92" s="230">
        <f>ROUNDDOWN((Table1[[#This Row],[UnsubTot]]/3)/1.01062,0)</f>
        <v>659</v>
      </c>
      <c r="EQ92" s="231">
        <f>IF(Table1[D/I]="I",6000,2000)</f>
        <v>2000</v>
      </c>
      <c r="ER92" s="233">
        <f>Table1[[#This Row],[UnsubTot]]*0.01059</f>
        <v>21.18</v>
      </c>
      <c r="ES92" s="230">
        <f>ROUND((Table1[[#This Row],[PLUSTot]]/3)/1.04236,0)</f>
        <v>0</v>
      </c>
      <c r="ET92" s="230">
        <f>ROUND((Table1[[#This Row],[PLUSTot]]/3)/1.04236,0)</f>
        <v>0</v>
      </c>
      <c r="EU92" s="230">
        <f>ROUND((Table1[[#This Row],[PLUSTot]]/3)/1.04236,0)</f>
        <v>0</v>
      </c>
      <c r="EV92" s="231">
        <v>0</v>
      </c>
      <c r="EW92" s="236">
        <f>Table1[[#This Row],[PLUSTot]]*0.04236</f>
        <v>0</v>
      </c>
      <c r="EX92" s="227"/>
      <c r="EY92" s="227"/>
      <c r="EZ92" s="227"/>
      <c r="FA92" s="228">
        <f>SUM(Table1[[#This Row],[PrivQ1]:[PrivQ3]])</f>
        <v>0</v>
      </c>
      <c r="FB92" s="227"/>
      <c r="FC92" s="227"/>
      <c r="FD92" s="227"/>
      <c r="FE92" s="228">
        <f>SUM(Table1[[#This Row],[TOQ1]:[TOQ3]])</f>
        <v>0</v>
      </c>
      <c r="FF92" s="227"/>
      <c r="FG92" s="227"/>
      <c r="FH92" s="227"/>
      <c r="FI92" s="228">
        <f>SUM(Table1[[#This Row],[OFundQ1]:[OFundQ3]])</f>
        <v>0</v>
      </c>
      <c r="FJ92" s="236">
        <f>(Table1[[#This Row],[SubTot]]-Table1[[#This Row],[SubFee]])+(Table1[[#This Row],[UnsubTot]]-Table1[[#This Row],[UnsubFee]])+(Table1[[#This Row],[PLUSTot]]-Table1[[#This Row],[PLUSFee]])+Table1[[#This Row],[PrivTot]]+Table1[[#This Row],[TOTot]]+Table1[[#This Row],[OFundTot]]</f>
        <v>5441.7550000000001</v>
      </c>
      <c r="FK92" s="159">
        <f>Table1[[#This Row],[CostTot]]-Table1[[#This Row],[GiftTot]]</f>
        <v>22820</v>
      </c>
      <c r="FL92" s="174">
        <f>Table1[[#This Row],[NetNeed]]/(1-0.04236)</f>
        <v>18146.949793241718</v>
      </c>
      <c r="FM92" s="176">
        <f>Table1[[#This Row],[NetCost]]-Table1[[#This Row],[CashTot]]-(Table1[[#This Row],[SubTot]]-Table1[[#This Row],[SubFee]])-(Table1[[#This Row],[UnsubTot]]-Table1[[#This Row],[UnsubFee]])-(Table1[[#This Row],[PLUSTot]]-Table1[[#This Row],[PLUSFee]])-Table1[[#This Row],[PrivTot]]-Table1[[#This Row],[TOTot]]-Table1[[#This Row],[OFundTot]]</f>
        <v>17378.244999999999</v>
      </c>
      <c r="FN92" s="217"/>
      <c r="FO92" s="162"/>
      <c r="FP92" s="162"/>
    </row>
    <row r="93" spans="1:172" s="160" customFormat="1" ht="15" x14ac:dyDescent="0.25">
      <c r="A93" s="267">
        <v>199124</v>
      </c>
      <c r="B93" s="113" t="str">
        <f>VLOOKUP(Table1[[#This Row],[SyStudentId]],SSR!$A$2:$CC$4982,4,FALSE)</f>
        <v>Randazzo</v>
      </c>
      <c r="C93" s="113" t="str">
        <f>VLOOKUP(Table1[[#This Row],[SyStudentId]],SSR!$A$2:$CC$4982,5,FALSE)</f>
        <v>Zachary</v>
      </c>
      <c r="D93" s="113" t="str">
        <f>VLOOKUP(Table1[[#This Row],[SyStudentId]],SSR!$A$2:$CC$4982,6,FALSE)</f>
        <v>Randazzo, Zachary</v>
      </c>
      <c r="E93" s="113" t="str">
        <f>CONCATENATE(Table1[[#This Row],[FirstName]]," ",Table1[[#This Row],[LastName]])</f>
        <v>Zachary Randazzo</v>
      </c>
      <c r="F93" s="112"/>
      <c r="G93" s="114"/>
      <c r="H93" s="114"/>
      <c r="I93" s="114"/>
      <c r="J93" s="115" t="s">
        <v>5311</v>
      </c>
      <c r="K93" s="116"/>
      <c r="L93" s="112" t="str">
        <f>IFERROR(VLOOKUP(Table1[[#This Row],[SyStudentId]],ISIR!$A$2:$X$999,11,FALSE),"")</f>
        <v/>
      </c>
      <c r="M93" s="113" t="str">
        <f>VLOOKUP(Table1[[#This Row],[SyStudentId]],SSR!$A$2:$CC$4982,7,FALSE)</f>
        <v>zachary.randazzo@gmail.com</v>
      </c>
      <c r="N93" s="113" t="str">
        <f>VLOOKUP(Table1[[#This Row],[SyStudentId]],SSR!$A$2:$CC$4982,8,FALSE)</f>
        <v>1180 COYOTE RUN</v>
      </c>
      <c r="O93" s="113" t="str">
        <f>VLOOKUP(Table1[[#This Row],[SyStudentId]],SSR!$A$2:$CC$4982,9,FALSE)</f>
        <v>BOURBONNAIS</v>
      </c>
      <c r="P93" s="292" t="str">
        <f>VLOOKUP(Table1[[#This Row],[SyStudentId]],SSR!$A$2:$CC$4982,10,FALSE)</f>
        <v>IL</v>
      </c>
      <c r="Q93" s="117" t="str">
        <f>VLOOKUP(Table1[[#This Row],[SyStudentId]],SSR!$A$2:$CC$4982,11,FALSE)</f>
        <v xml:space="preserve">60914     </v>
      </c>
      <c r="R93" s="118">
        <f>VLOOKUP(Table1[[#This Row],[SyStudentId]],SSR!$A$2:$CC$4982,15,FALSE)</f>
        <v>3.7</v>
      </c>
      <c r="S93" s="119">
        <f>VLOOKUP(Table1[[#This Row],[SyStudentId]],SSR!$A$2:$CC$4982,22,FALSE)</f>
        <v>44109</v>
      </c>
      <c r="T93" s="113" t="str">
        <f>VLOOKUP(Table1[[#This Row],[SyStudentId]],SSR!$A$2:$CC$4982,24,FALSE)</f>
        <v>GM</v>
      </c>
      <c r="U93" s="113" t="str">
        <f>IF(VLOOKUP(Table1[[#This Row],[SyStudentId]],SSR!$A$2:$CC$4982,26,FALSE)=0,"Not Selected",VLOOKUP(Table1[[#This Row],[SyStudentId]],SSR!$A$2:$CC$4982,26,FALSE))</f>
        <v>Male</v>
      </c>
      <c r="V93" s="113" t="str">
        <f>VLOOKUP(Table1[[#This Row],[SyStudentId]],SSR!$A$2:$CC$4982,27,FALSE)</f>
        <v xml:space="preserve">HS2020  </v>
      </c>
      <c r="W93" s="113" t="str">
        <f>VLOOKUP(LEFT(Table1[[#This Row],[LastName]],1),Alpha!$A$1:$B$26,2,FALSE)</f>
        <v>Maureen Ranks</v>
      </c>
      <c r="X93" s="149" t="str">
        <f>VLOOKUP(Table1[[#This Row],[FAA]],Alpha!$B$1:$D$26,2,FALSE)</f>
        <v>mranks@neumont.edu</v>
      </c>
      <c r="Y93" s="113">
        <f>VLOOKUP(Table1[[#This Row],[FAA]],Alpha!$B$1:$D$26,3,FALSE)</f>
        <v>8883022894</v>
      </c>
      <c r="Z93" s="113" t="str">
        <f>VLOOKUP(Table1[[#This Row],[SyStudentId]],SSR!$A$2:$CC$4982,30,FALSE)</f>
        <v>16-Accepted</v>
      </c>
      <c r="AA93" s="113" t="str">
        <f>IF(VLOOKUP(Table1[[#This Row],[SyStudentId]],SSR!$A$2:$CC$4982,36,FALSE)="Bachelor of Science","BS Computer Science","Check Program")</f>
        <v>BS Computer Science</v>
      </c>
      <c r="AB93" s="113">
        <f>VLOOKUP(Table1[[#This Row],[SyStudentId]],SSR!$A$2:$CC$4982,37,FALSE)</f>
        <v>0</v>
      </c>
      <c r="AC93" s="113">
        <f>VLOOKUP(Table1[[#This Row],[SyStudentId]],SSR!$A$2:$CC$4982,42,FALSE)</f>
        <v>0</v>
      </c>
      <c r="AD93" s="113" t="str">
        <f>VLOOKUP(Table1[[#This Row],[SyStudentId]],SSR!$A$2:$CC$4982,46,FALSE)</f>
        <v>0</v>
      </c>
      <c r="AE93" s="113" t="str">
        <f>VLOOKUP(Table1[[#This Row],[SyStudentId]],SSR!$A$2:$CC$4982,65,FALSE)</f>
        <v>IV</v>
      </c>
      <c r="AF9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4</v>
      </c>
      <c r="AG93" s="113" t="str">
        <f>VLOOKUP(Table1[[#This Row],[SyStudentId]],SSR!$A$2:$CC$4982,66,FALSE)</f>
        <v>November</v>
      </c>
      <c r="AH93" s="113" t="str">
        <f>IFERROR(VLOOKUP(Table1[[#This Row],[SyStudentId]],ISIR!$A$2:$X$999,7,FALSE),"")</f>
        <v/>
      </c>
      <c r="AI93" s="121" t="str">
        <f>IF(Table1[[#This Row],[EFCRaw]]="","",IF(Table1[[#This Row],[EFCRaw]]="No EFC","No EFC",_xlfn.NUMBERVALUE(Table1[[#This Row],[EFCRaw]])))</f>
        <v/>
      </c>
      <c r="AJ93" s="119" t="str">
        <f>IFERROR(VLOOKUP(Table1[[#This Row],[SyStudentId]],ISIR!$A$2:$X$4999,19,FALSE),"")</f>
        <v/>
      </c>
      <c r="AK93" s="113" t="str">
        <f>IFERROR(VLOOKUP(Table1[[#This Row],[SyStudentId]],ISIR!$A$2:$X$4999,8,FALSE),"")</f>
        <v/>
      </c>
      <c r="AL93" s="132" t="str">
        <f>IF(Table1[[#This Row],[VerReq]]="N","n/a","")</f>
        <v/>
      </c>
      <c r="AM93" s="122"/>
      <c r="AN93" s="122"/>
      <c r="AO93" s="122"/>
      <c r="AP93" s="122"/>
      <c r="AQ93" s="122"/>
      <c r="AR93" s="122"/>
      <c r="AS93" s="122"/>
      <c r="AT93" s="122"/>
      <c r="AU93" s="122"/>
      <c r="AV93" s="122"/>
      <c r="AW93" s="122"/>
      <c r="AX93" s="122"/>
      <c r="AY93" s="122"/>
      <c r="AZ93" s="122"/>
      <c r="BA93" s="122"/>
      <c r="BB93" s="122"/>
      <c r="BC93" s="148"/>
      <c r="BD93" s="140" t="str">
        <f>IF(Table1[[#This Row],[VerReq]]="N","x","")</f>
        <v/>
      </c>
      <c r="BE93" s="140" t="str">
        <f>IF(Table1[[#This Row],[VerReq]]="N","x","")</f>
        <v/>
      </c>
      <c r="BF93" s="140" t="str">
        <f>IF(Table1[[#This Row],[VerReq]]="N","x","")</f>
        <v/>
      </c>
      <c r="BG93" s="140" t="str">
        <f>IF(Table1[[#This Row],[VerReq]]="N","x","")</f>
        <v/>
      </c>
      <c r="BH93" s="140" t="str">
        <f>IF(Table1[[#This Row],[VerReq]]="N","x","")</f>
        <v/>
      </c>
      <c r="BI93" s="140" t="str">
        <f>IF(Table1[[#This Row],[VerReq]]="N","x","")</f>
        <v/>
      </c>
      <c r="BJ93" s="123">
        <f>1-((COUNTBLANK(Table1[[#This Row],[ALESent]:[TaxTran]]))/(COUNT(Table1[[#This Row],[ALESent]:[TaxTran]])+COUNTBLANK(Table1[[#This Row],[ALESent]:[TaxTran]])))</f>
        <v>0</v>
      </c>
      <c r="BK93" s="150">
        <f>IF(VLOOKUP(Table1[[#This Row],[SyStudentId]],SSR!$A$2:$CC$4982,22,FALSE)=44109,44109,"Check Program")</f>
        <v>44109</v>
      </c>
      <c r="BL93" s="124">
        <f>IF(Table1[[#This Row],[AYStart]]=44109,44356,"Check Program")</f>
        <v>44356</v>
      </c>
      <c r="BM93" s="219">
        <v>8505</v>
      </c>
      <c r="BN93" s="219">
        <v>8505</v>
      </c>
      <c r="BO93" s="219">
        <v>8505</v>
      </c>
      <c r="BP93" s="220">
        <f t="shared" si="3"/>
        <v>25515</v>
      </c>
      <c r="BQ93" s="221">
        <v>3300</v>
      </c>
      <c r="BR93" s="219">
        <v>400</v>
      </c>
      <c r="BS93" s="219">
        <v>400</v>
      </c>
      <c r="BT93" s="220">
        <f t="shared" si="4"/>
        <v>4100</v>
      </c>
      <c r="BU93" s="219">
        <v>2100</v>
      </c>
      <c r="BV93" s="219">
        <v>2100</v>
      </c>
      <c r="BW93" s="219">
        <v>2100</v>
      </c>
      <c r="BX93" s="220">
        <f t="shared" si="5"/>
        <v>6300</v>
      </c>
      <c r="BY93" s="275">
        <v>1200</v>
      </c>
      <c r="BZ93" s="275">
        <v>1200</v>
      </c>
      <c r="CA93" s="275">
        <v>1200</v>
      </c>
      <c r="CB93" s="220">
        <f>SUM(Table1[[#This Row],[LEQ1]:[LEQ3]])</f>
        <v>3600</v>
      </c>
      <c r="CC93" s="275"/>
      <c r="CD93" s="275"/>
      <c r="CE93" s="275"/>
      <c r="CF93" s="220">
        <f>SUM(Table1[[#This Row],[OthCostQ1]:[OthCostQ3]])</f>
        <v>0</v>
      </c>
      <c r="CG93" s="220">
        <f>(Table1[[#This Row],[T&amp;FTot]]+Table1[[#This Row],[B&amp;STot]]+Table1[[#This Row],[HousTot]]+Table1[[#This Row],[LETot]]+Table1[[#This Row],[OthCostTot]])</f>
        <v>39515</v>
      </c>
      <c r="CH93" s="250"/>
      <c r="CI93" s="250"/>
      <c r="CJ93" s="250"/>
      <c r="CK93" s="251">
        <f>SUM(Table1[[#This Row],[SEOGQ1]:[SEOGQ3]])</f>
        <v>0</v>
      </c>
      <c r="CL93" s="250">
        <f>IFERROR(ROUNDUP(Table1[[#This Row],[PellTot]]/3,0),0)</f>
        <v>0</v>
      </c>
      <c r="CM93" s="250">
        <f>IFERROR(ROUND(Table1[[#This Row],[PellTot]]/3,0),0)</f>
        <v>0</v>
      </c>
      <c r="CN93" s="250">
        <f>IFERROR(ROUNDDOWN(Table1[[#This Row],[PellTot]]/3,0),0)</f>
        <v>0</v>
      </c>
      <c r="CO93" s="251">
        <f>IFERROR(LOOKUP(Table1[EFC],Pell_Table[#Data],Pell_Table[Pell Amt]),0)</f>
        <v>0</v>
      </c>
      <c r="CP93" s="250">
        <f>Table1[[#This Row],[AccessTot]]/3</f>
        <v>0</v>
      </c>
      <c r="CQ93" s="250">
        <f>Table1[[#This Row],[AccessTot]]/3</f>
        <v>0</v>
      </c>
      <c r="CR93" s="250">
        <f>Table1[[#This Row],[AccessTot]]/3</f>
        <v>0</v>
      </c>
      <c r="CS93" s="251">
        <f>IF(Table1[[#This Row],[PellTot]]&gt;0,1500,0)</f>
        <v>0</v>
      </c>
      <c r="CT93" s="250">
        <f>Table1[[#This Row],[AchiTot]]/3</f>
        <v>1250</v>
      </c>
      <c r="CU93" s="250">
        <f>Table1[[#This Row],[AchiTot]]/3</f>
        <v>1250</v>
      </c>
      <c r="CV93" s="250">
        <f>Table1[[#This Row],[AchiTot]]/3</f>
        <v>1250</v>
      </c>
      <c r="CW93" s="252">
        <f>IF(Table1[[#This Row],[Rank]]="","",IF(Table1[[#This Row],[Rank]]=1,5100,IF(Table1[[#This Row],[Rank]]=2,4500,IF(Table1[[#This Row],[Rank]]=3,3900,IF(Table1[[#This Row],[Rank]]=4,3750,IF(Table1[[#This Row],[Rank]]=5,3000,IF(Table1[[#This Row],[Rank]]=6,2250,0)))))))</f>
        <v>3750</v>
      </c>
      <c r="CX93" s="250">
        <f>Table1[[#This Row],[UTTot]]/3</f>
        <v>0</v>
      </c>
      <c r="CY93" s="250">
        <f>Table1[[#This Row],[UTTot]]/3</f>
        <v>0</v>
      </c>
      <c r="CZ93" s="250">
        <f>Table1[[#This Row],[UTTot]]/3</f>
        <v>0</v>
      </c>
      <c r="DA93" s="251">
        <f>IF(Table1[[#This Row],[State]]="UT",9000,0)</f>
        <v>0</v>
      </c>
      <c r="DB93" s="250">
        <f>Table1[[#This Row],[WITTot]]/3</f>
        <v>0</v>
      </c>
      <c r="DC93" s="250">
        <f>Table1[[#This Row],[WITTot]]/3</f>
        <v>0</v>
      </c>
      <c r="DD93" s="250">
        <f>Table1[[#This Row],[WITTot]]/3</f>
        <v>0</v>
      </c>
      <c r="DE93" s="251">
        <f>IF(Table1[[#This Row],[Gender]]="Female",3000,0)</f>
        <v>0</v>
      </c>
      <c r="DF93" s="250">
        <f>Table1[[#This Row],[SerTot]]/3</f>
        <v>0</v>
      </c>
      <c r="DG93" s="250">
        <f>Table1[[#This Row],[SerTot]]/3</f>
        <v>0</v>
      </c>
      <c r="DH93" s="250">
        <f>Table1[[#This Row],[SerTot]]/3</f>
        <v>0</v>
      </c>
      <c r="DI93" s="252"/>
      <c r="DJ93" s="250"/>
      <c r="DK93" s="250"/>
      <c r="DL93" s="250"/>
      <c r="DM93" s="252"/>
      <c r="DN93" s="250">
        <f>Table1[[#This Row],[MatTot]]/3</f>
        <v>0</v>
      </c>
      <c r="DO93" s="250">
        <f>Table1[[#This Row],[MatTot]]/3</f>
        <v>0</v>
      </c>
      <c r="DP93" s="250">
        <f>Table1[[#This Row],[MatTot]]/3</f>
        <v>0</v>
      </c>
      <c r="DQ93" s="277"/>
      <c r="DR93" s="250">
        <f>Table1[[#This Row],[OutTot]]/3</f>
        <v>0</v>
      </c>
      <c r="DS93" s="250">
        <f>Table1[[#This Row],[OutTot]]/3</f>
        <v>0</v>
      </c>
      <c r="DT93" s="250">
        <f>Table1[[#This Row],[OutTot]]/3</f>
        <v>0</v>
      </c>
      <c r="DU93" s="252"/>
      <c r="DV93" s="250"/>
      <c r="DW93" s="250"/>
      <c r="DX93" s="250"/>
      <c r="DY93" s="277">
        <f>SUM(Table1[[#This Row],[VAQ1]:[VAQ3]])</f>
        <v>0</v>
      </c>
      <c r="DZ93" s="250"/>
      <c r="EA93" s="250"/>
      <c r="EB93" s="250"/>
      <c r="EC93" s="252">
        <f>SUM(Table1[[#This Row],[OthGrantQ1]:[OthGrantQ3]])</f>
        <v>0</v>
      </c>
      <c r="ED93" s="263">
        <f>Table1[[#This Row],[SEOGTot]]+Table1[[#This Row],[PellTot]]+Table1[[#This Row],[AccessTot]]+Table1[[#This Row],[AchiTot]]+Table1[[#This Row],[UTTot]]+Table1[[#This Row],[WITTot]]+Table1[[#This Row],[SerTot]]+Table1[[#This Row],[TranTot]]+Table1[[#This Row],[MatTot]]+Table1[[#This Row],[OutTot]]+Table1[[#This Row],[VATot]]+Table1[[#This Row],[OthGrantTot]]</f>
        <v>3750</v>
      </c>
      <c r="EE93" s="249"/>
      <c r="EF93" s="237"/>
      <c r="EG93" s="237"/>
      <c r="EH93" s="232">
        <f>SUM(Table1[[#This Row],[CashQ1]]:Table1[[#This Row],[CashQ3]])</f>
        <v>0</v>
      </c>
      <c r="EI93" s="271">
        <f>ROUND((Table1[[#This Row],[SubTot]]/3)/1.01059,0)</f>
        <v>0</v>
      </c>
      <c r="EJ93" s="234">
        <f>ROUND((Table1[[#This Row],[SubTot]]/3)/1.01059,0)</f>
        <v>0</v>
      </c>
      <c r="EK93" s="234">
        <f>ROUNDUP((Table1[[#This Row],[SubTot]]/3)/1.01059,0)</f>
        <v>0</v>
      </c>
      <c r="EL93" s="235"/>
      <c r="EM93" s="240">
        <f>Table1[[#This Row],[SubTot]]*0.01059</f>
        <v>0</v>
      </c>
      <c r="EN93" s="234">
        <f>ROUND((Table1[[#This Row],[UnsubTot]]/3)/1.01062,0)</f>
        <v>660</v>
      </c>
      <c r="EO93" s="234">
        <f>ROUND((Table1[[#This Row],[UnsubTot]]/3)/1.01062,0)</f>
        <v>660</v>
      </c>
      <c r="EP93" s="234">
        <f>ROUNDDOWN((Table1[[#This Row],[UnsubTot]]/3)/1.01062,0)</f>
        <v>659</v>
      </c>
      <c r="EQ93" s="235">
        <f>IF(Table1[D/I]="I",6000,2000)</f>
        <v>2000</v>
      </c>
      <c r="ER93" s="240">
        <f>Table1[[#This Row],[UnsubTot]]*0.01062</f>
        <v>21.24</v>
      </c>
      <c r="ES93" s="234">
        <f>ROUND((Table1[[#This Row],[PLUSTot]]/3)/1.04248,0)</f>
        <v>0</v>
      </c>
      <c r="ET93" s="234">
        <f>ROUND((Table1[[#This Row],[PLUSTot]]/3)/1.04248,0)</f>
        <v>0</v>
      </c>
      <c r="EU93" s="234">
        <f>ROUND((Table1[[#This Row],[PLUSTot]]/3)/1.04248,0)</f>
        <v>0</v>
      </c>
      <c r="EV93" s="235"/>
      <c r="EW93" s="239">
        <f>Table1[[#This Row],[PLUSTot]]*0.04248</f>
        <v>0</v>
      </c>
      <c r="EX93" s="237"/>
      <c r="EY93" s="237"/>
      <c r="EZ93" s="237"/>
      <c r="FA93" s="232">
        <f>SUM(Table1[[#This Row],[PrivQ1]:[PrivQ3]])</f>
        <v>0</v>
      </c>
      <c r="FB93" s="237"/>
      <c r="FC93" s="237"/>
      <c r="FD93" s="237"/>
      <c r="FE93" s="232">
        <f>SUM(Table1[[#This Row],[TOQ1]:[TOQ3]])</f>
        <v>0</v>
      </c>
      <c r="FF93" s="237"/>
      <c r="FG93" s="237"/>
      <c r="FH93" s="237"/>
      <c r="FI93" s="232">
        <f>SUM(Table1[[#This Row],[OFundQ1]:[OFundQ3]])</f>
        <v>0</v>
      </c>
      <c r="FJ93" s="239">
        <f>(Table1[[#This Row],[SubTot]]-Table1[[#This Row],[SubFee]])+(Table1[[#This Row],[UnsubTot]]-Table1[[#This Row],[UnsubFee]])+(Table1[[#This Row],[PLUSTot]]-Table1[[#This Row],[PLUSFee]])+Table1[[#This Row],[PrivTot]]+Table1[[#This Row],[TOTot]]+Table1[[#This Row],[OFundTot]]</f>
        <v>1978.76</v>
      </c>
      <c r="FK93" s="125">
        <f>Table1[[#This Row],[CostTot]]-Table1[[#This Row],[GiftTot]]</f>
        <v>35765</v>
      </c>
      <c r="FL93" s="130">
        <f>Table1[[#This Row],[NetNeed]]/(1-0.04248)</f>
        <v>35285.153312724535</v>
      </c>
      <c r="FM93" s="131">
        <f>Table1[[#This Row],[NetCost]]-Table1[[#This Row],[CashTot]]-(Table1[[#This Row],[SubTot]]-Table1[[#This Row],[SubFee]])-(Table1[[#This Row],[UnsubTot]]-Table1[[#This Row],[UnsubFee]])-(Table1[[#This Row],[PLUSTot]]-Table1[[#This Row],[PLUSFee]])-Table1[[#This Row],[PrivTot]]-Table1[[#This Row],[TOTot]]-Table1[[#This Row],[OFundTot]]</f>
        <v>33786.239999999998</v>
      </c>
      <c r="FN93" s="156"/>
      <c r="FO93" s="113"/>
      <c r="FP93" s="113"/>
    </row>
    <row r="94" spans="1:172" ht="15" x14ac:dyDescent="0.25">
      <c r="A94" s="267">
        <v>198046</v>
      </c>
      <c r="B94" s="160" t="str">
        <f>VLOOKUP(Table1[[#This Row],[SyStudentId]],SSR!$A$2:$CC$4982,4,FALSE)</f>
        <v>Reese</v>
      </c>
      <c r="C94" s="160" t="str">
        <f>VLOOKUP(Table1[[#This Row],[SyStudentId]],SSR!$A$2:$CC$4982,5,FALSE)</f>
        <v>Xavier</v>
      </c>
      <c r="D94" s="160" t="str">
        <f>VLOOKUP(Table1[[#This Row],[SyStudentId]],SSR!$A$2:$CC$4982,6,FALSE)</f>
        <v>Reese, Xavier</v>
      </c>
      <c r="E94" s="113" t="str">
        <f>CONCATENATE(Table1[[#This Row],[FirstName]]," ",Table1[[#This Row],[LastName]])</f>
        <v>Xavier Reese</v>
      </c>
      <c r="F94" s="158">
        <v>1</v>
      </c>
      <c r="G94" s="114">
        <v>43794</v>
      </c>
      <c r="H94" s="114">
        <v>43794</v>
      </c>
      <c r="I94" s="114">
        <v>43794</v>
      </c>
      <c r="J94" s="163" t="s">
        <v>6123</v>
      </c>
      <c r="K94" s="164"/>
      <c r="L94" s="158" t="str">
        <f>IFERROR(VLOOKUP(Table1[[#This Row],[SyStudentId]],ISIR!$A$2:$X$4999,11,FALSE),"")</f>
        <v>D</v>
      </c>
      <c r="M94" s="160" t="str">
        <f>VLOOKUP(Table1[[#This Row],[SyStudentId]],SSR!$A$2:$CC$4982,7,FALSE)</f>
        <v>xavier.reese@mtchs.org</v>
      </c>
      <c r="N94" s="160" t="str">
        <f>VLOOKUP(Table1[[#This Row],[SyStudentId]],SSR!$A$2:$CC$4982,8,FALSE)</f>
        <v>10827 West Sandhurst Dr.</v>
      </c>
      <c r="O94" s="160" t="str">
        <f>VLOOKUP(Table1[[#This Row],[SyStudentId]],SSR!$A$2:$CC$4982,9,FALSE)</f>
        <v>Boise</v>
      </c>
      <c r="P94" s="230" t="str">
        <f>VLOOKUP(Table1[[#This Row],[SyStudentId]],SSR!$A$2:$CC$4982,10,FALSE)</f>
        <v>ID</v>
      </c>
      <c r="Q94" s="165" t="str">
        <f>VLOOKUP(Table1[[#This Row],[SyStudentId]],SSR!$A$2:$CC$4982,11,FALSE)</f>
        <v xml:space="preserve">83709     </v>
      </c>
      <c r="R94" s="166">
        <f>VLOOKUP(Table1[[#This Row],[SyStudentId]],SSR!$A$2:$CC$4982,15,FALSE)</f>
        <v>3.0375000000000001</v>
      </c>
      <c r="S94" s="167">
        <f>VLOOKUP(Table1[[#This Row],[SyStudentId]],SSR!$A$2:$CC$4982,22,FALSE)</f>
        <v>44109</v>
      </c>
      <c r="T94" s="160" t="str">
        <f>VLOOKUP(Table1[[#This Row],[SyStudentId]],SSR!$A$2:$CC$4982,24,FALSE)</f>
        <v>MN</v>
      </c>
      <c r="U94" s="160" t="str">
        <f>IF(VLOOKUP(Table1[[#This Row],[SyStudentId]],SSR!$A$2:$CC$4982,26,FALSE)=0,"Not Selected",VLOOKUP(Table1[[#This Row],[SyStudentId]],SSR!$A$2:$CC$4982,26,FALSE))</f>
        <v>Male</v>
      </c>
      <c r="V94" s="160" t="str">
        <f>VLOOKUP(Table1[[#This Row],[SyStudentId]],SSR!$A$2:$CC$4982,27,FALSE)</f>
        <v xml:space="preserve">HS2020  </v>
      </c>
      <c r="W94" s="160" t="str">
        <f>VLOOKUP(LEFT(Table1[[#This Row],[LastName]],1),Alpha!$A$1:$B$26,2,FALSE)</f>
        <v>Maureen Ranks</v>
      </c>
      <c r="X94" s="168" t="str">
        <f>VLOOKUP(Table1[[#This Row],[FAA]],Alpha!$B$1:$D$26,2,FALSE)</f>
        <v>mranks@neumont.edu</v>
      </c>
      <c r="Y94" s="160">
        <f>VLOOKUP(Table1[[#This Row],[FAA]],Alpha!$B$1:$D$26,3,FALSE)</f>
        <v>8883022894</v>
      </c>
      <c r="Z94" s="160" t="str">
        <f>VLOOKUP(Table1[[#This Row],[SyStudentId]],SSR!$A$2:$CC$4982,30,FALSE)</f>
        <v>16-Accepted</v>
      </c>
      <c r="AA94" s="160" t="str">
        <f>IF(VLOOKUP(Table1[[#This Row],[SyStudentId]],SSR!$A$2:$CC$4982,36,FALSE)="Bachelor of Science","BS Computer Science","Check Program")</f>
        <v>BS Computer Science</v>
      </c>
      <c r="AB94" s="160">
        <f>VLOOKUP(Table1[[#This Row],[SyStudentId]],SSR!$A$2:$CC$4982,37,FALSE)</f>
        <v>0</v>
      </c>
      <c r="AC94" s="160" t="str">
        <f>VLOOKUP(Table1[[#This Row],[SyStudentId]],SSR!$A$2:$CC$4982,42,FALSE)</f>
        <v xml:space="preserve">1040    </v>
      </c>
      <c r="AD94" s="160" t="str">
        <f>VLOOKUP(Table1[[#This Row],[SyStudentId]],SSR!$A$2:$CC$4982,46,FALSE)</f>
        <v>99</v>
      </c>
      <c r="AE94" s="160" t="str">
        <f>VLOOKUP(Table1[[#This Row],[SyStudentId]],SSR!$A$2:$CC$4982,65,FALSE)</f>
        <v>IV</v>
      </c>
      <c r="AF94"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4</v>
      </c>
      <c r="AG94" s="160" t="str">
        <f>VLOOKUP(Table1[[#This Row],[SyStudentId]],SSR!$A$2:$CC$4982,66,FALSE)</f>
        <v>July-October</v>
      </c>
      <c r="AH94" s="160" t="str">
        <f>IFERROR(VLOOKUP(Table1[[#This Row],[SyStudentId]],ISIR!$A$2:$X$1999,7,FALSE),"")</f>
        <v>007401</v>
      </c>
      <c r="AI94" s="170">
        <f>IF(Table1[[#This Row],[EFCRaw]]="","",IF(Table1[[#This Row],[EFCRaw]]="No EFC","No EFC",_xlfn.NUMBERVALUE(Table1[[#This Row],[EFCRaw]])))</f>
        <v>7401</v>
      </c>
      <c r="AJ94" s="167">
        <f>IFERROR(VLOOKUP(Table1[[#This Row],[SyStudentId]],ISIR!$A$2:$X$4999,19,FALSE),"")</f>
        <v>43801</v>
      </c>
      <c r="AK94" s="160" t="str">
        <f>IFERROR(VLOOKUP(Table1[[#This Row],[SyStudentId]],ISIR!$A$2:$X$4999,8,FALSE),"")</f>
        <v>N</v>
      </c>
      <c r="AL94" s="171" t="str">
        <f>IF(Table1[[#This Row],[VerReq]]="N","n/a","")</f>
        <v>n/a</v>
      </c>
      <c r="AM94" s="122"/>
      <c r="AN94" s="122"/>
      <c r="AO94" s="122">
        <v>43795</v>
      </c>
      <c r="AP94" s="122"/>
      <c r="AQ94" s="122"/>
      <c r="AR94" s="122"/>
      <c r="AS94" s="122"/>
      <c r="AT94" s="122"/>
      <c r="AU94" s="122"/>
      <c r="AV94" s="122"/>
      <c r="AW94" s="122"/>
      <c r="AX94" s="122"/>
      <c r="AY94" s="122"/>
      <c r="AZ94" s="122"/>
      <c r="BA94" s="122"/>
      <c r="BB94" s="122"/>
      <c r="BC94" s="148"/>
      <c r="BD94" s="140" t="str">
        <f>IF(Table1[[#This Row],[VerReq]]="N","x","")</f>
        <v>x</v>
      </c>
      <c r="BE94" s="140" t="str">
        <f>IF(Table1[[#This Row],[VerReq]]="N","x","")</f>
        <v>x</v>
      </c>
      <c r="BF94" s="140" t="str">
        <f>IF(Table1[[#This Row],[VerReq]]="N","x","")</f>
        <v>x</v>
      </c>
      <c r="BG94" s="140" t="str">
        <f>IF(Table1[[#This Row],[VerReq]]="N","x","")</f>
        <v>x</v>
      </c>
      <c r="BH94" s="140" t="str">
        <f>IF(Table1[[#This Row],[VerReq]]="N","x","")</f>
        <v>x</v>
      </c>
      <c r="BI94" s="140" t="str">
        <f>IF(Table1[[#This Row],[VerReq]]="N","x","")</f>
        <v>x</v>
      </c>
      <c r="BJ94" s="181">
        <f>1-((COUNTBLANK(Table1[[#This Row],[ALESent]:[TaxTran]]))/(COUNT(Table1[[#This Row],[ALESent]:[TaxTran]])+COUNTBLANK(Table1[[#This Row],[ALESent]:[TaxTran]])))</f>
        <v>5.8823529411764719E-2</v>
      </c>
      <c r="BK94" s="216">
        <f>IF(VLOOKUP(Table1[[#This Row],[SyStudentId]],SSR!$A$2:$CC$4982,22,FALSE)=44109,44109,"Check Program")</f>
        <v>44109</v>
      </c>
      <c r="BL94" s="173">
        <f>IF(Table1[[#This Row],[AYStart]]=44109,44356,"Check Program")</f>
        <v>44356</v>
      </c>
      <c r="BM94" s="219">
        <v>8505</v>
      </c>
      <c r="BN94" s="219">
        <v>8505</v>
      </c>
      <c r="BO94" s="219">
        <v>8505</v>
      </c>
      <c r="BP94" s="220">
        <f t="shared" si="3"/>
        <v>25515</v>
      </c>
      <c r="BQ94" s="221">
        <v>3300</v>
      </c>
      <c r="BR94" s="219">
        <v>400</v>
      </c>
      <c r="BS94" s="219">
        <v>400</v>
      </c>
      <c r="BT94" s="222">
        <f t="shared" si="4"/>
        <v>4100</v>
      </c>
      <c r="BU94" s="219">
        <v>2100</v>
      </c>
      <c r="BV94" s="219">
        <v>2100</v>
      </c>
      <c r="BW94" s="219">
        <v>2100</v>
      </c>
      <c r="BX94" s="222">
        <f t="shared" si="5"/>
        <v>6300</v>
      </c>
      <c r="BY94" s="275">
        <v>1200</v>
      </c>
      <c r="BZ94" s="275">
        <v>1200</v>
      </c>
      <c r="CA94" s="275">
        <v>1200</v>
      </c>
      <c r="CB94" s="222">
        <f>SUM(Table1[[#This Row],[LEQ1]:[LEQ3]])</f>
        <v>3600</v>
      </c>
      <c r="CC94" s="276">
        <v>0</v>
      </c>
      <c r="CD94" s="276">
        <v>0</v>
      </c>
      <c r="CE94" s="276">
        <v>0</v>
      </c>
      <c r="CF94" s="222">
        <f>SUM(Table1[[#This Row],[OthCostQ1]:[OthCostQ3]])</f>
        <v>0</v>
      </c>
      <c r="CG94" s="222">
        <f>(Table1[[#This Row],[T&amp;FTot]]+Table1[[#This Row],[B&amp;STot]]+Table1[[#This Row],[HousTot]]+Table1[[#This Row],[LETot]]+Table1[[#This Row],[OthCostTot]])</f>
        <v>39515</v>
      </c>
      <c r="CH94" s="253">
        <v>0</v>
      </c>
      <c r="CI94" s="253">
        <v>0</v>
      </c>
      <c r="CJ94" s="253">
        <v>0</v>
      </c>
      <c r="CK94" s="254">
        <f>SUM(Table1[[#This Row],[SEOGQ1]:[SEOGQ3]])</f>
        <v>0</v>
      </c>
      <c r="CL94" s="253">
        <f>IFERROR(ROUNDUP(Table1[[#This Row],[PellTot]]/3,0),0)</f>
        <v>0</v>
      </c>
      <c r="CM94" s="253">
        <f>IFERROR(ROUND(Table1[[#This Row],[PellTot]]/3,0),0)</f>
        <v>0</v>
      </c>
      <c r="CN94" s="253">
        <f>IFERROR(ROUNDDOWN(Table1[[#This Row],[PellTot]]/3,0),0)</f>
        <v>0</v>
      </c>
      <c r="CO94" s="254">
        <f>IFERROR(LOOKUP(Table1[EFC],Pell_Table[#Data],Pell_Table[Pell Amt]),0)</f>
        <v>0</v>
      </c>
      <c r="CP94" s="253">
        <f>Table1[[#This Row],[AccessTot]]/3</f>
        <v>0</v>
      </c>
      <c r="CQ94" s="253">
        <f>Table1[[#This Row],[AccessTot]]/3</f>
        <v>0</v>
      </c>
      <c r="CR94" s="253">
        <f>Table1[[#This Row],[AccessTot]]/3</f>
        <v>0</v>
      </c>
      <c r="CS94" s="254">
        <f>IF(Table1[[#This Row],[PellTot]]&gt;0,1500,0)</f>
        <v>0</v>
      </c>
      <c r="CT94" s="253">
        <f>Table1[[#This Row],[AchiTot]]/3</f>
        <v>1250</v>
      </c>
      <c r="CU94" s="253">
        <f>Table1[[#This Row],[AchiTot]]/3</f>
        <v>1250</v>
      </c>
      <c r="CV94" s="253">
        <f>Table1[[#This Row],[AchiTot]]/3</f>
        <v>1250</v>
      </c>
      <c r="CW94" s="255">
        <f>IF(Table1[[#This Row],[Rank]]="","",IF(Table1[[#This Row],[Rank]]=1,5100,IF(Table1[[#This Row],[Rank]]=2,4500,IF(Table1[[#This Row],[Rank]]=3,3900,IF(Table1[[#This Row],[Rank]]=4,3750,IF(Table1[[#This Row],[Rank]]=5,3000,IF(Table1[[#This Row],[Rank]]=6,2250,0)))))))</f>
        <v>3750</v>
      </c>
      <c r="CX94" s="253">
        <f>Table1[[#This Row],[UTTot]]/3</f>
        <v>0</v>
      </c>
      <c r="CY94" s="253">
        <f>Table1[[#This Row],[UTTot]]/3</f>
        <v>0</v>
      </c>
      <c r="CZ94" s="253">
        <f>Table1[[#This Row],[UTTot]]/3</f>
        <v>0</v>
      </c>
      <c r="DA94" s="254">
        <f>IF(Table1[[#This Row],[State]]="UT",9000,0)</f>
        <v>0</v>
      </c>
      <c r="DB94" s="253">
        <f>Table1[[#This Row],[WITTot]]/3</f>
        <v>0</v>
      </c>
      <c r="DC94" s="253">
        <f>Table1[[#This Row],[WITTot]]/3</f>
        <v>0</v>
      </c>
      <c r="DD94" s="253">
        <f>Table1[[#This Row],[WITTot]]/3</f>
        <v>0</v>
      </c>
      <c r="DE94" s="254">
        <f>IF(Table1[[#This Row],[Gender]]="Female",3000,0)</f>
        <v>0</v>
      </c>
      <c r="DF94" s="253">
        <f>Table1[[#This Row],[SerTot]]/3</f>
        <v>0</v>
      </c>
      <c r="DG94" s="253">
        <f>Table1[[#This Row],[SerTot]]/3</f>
        <v>0</v>
      </c>
      <c r="DH94" s="253">
        <f>Table1[[#This Row],[SerTot]]/3</f>
        <v>0</v>
      </c>
      <c r="DI94" s="255">
        <v>0</v>
      </c>
      <c r="DJ94" s="253">
        <f>IFERROR(ROUNDUP(Table1[[#This Row],[TranTot]]/3,0),0)</f>
        <v>0</v>
      </c>
      <c r="DK94" s="253">
        <f>IFERROR(ROUND(Table1[[#This Row],[TranTot]]/3,0),0)</f>
        <v>0</v>
      </c>
      <c r="DL94" s="253">
        <f>IFERROR(ROUNDDOWN(Table1[[#This Row],[TranTot]]/3,0),0)</f>
        <v>0</v>
      </c>
      <c r="DM94" s="255">
        <v>0</v>
      </c>
      <c r="DN94" s="253">
        <f>Table1[[#This Row],[MatTot]]/3</f>
        <v>0</v>
      </c>
      <c r="DO94" s="253">
        <f>Table1[[#This Row],[MatTot]]/3</f>
        <v>0</v>
      </c>
      <c r="DP94" s="253">
        <f>Table1[[#This Row],[MatTot]]/3</f>
        <v>0</v>
      </c>
      <c r="DQ94" s="255">
        <v>0</v>
      </c>
      <c r="DR94" s="253">
        <f>Table1[[#This Row],[OutTot]]/3</f>
        <v>0</v>
      </c>
      <c r="DS94" s="253">
        <f>Table1[[#This Row],[OutTot]]/3</f>
        <v>0</v>
      </c>
      <c r="DT94" s="253">
        <f>Table1[[#This Row],[OutTot]]/3</f>
        <v>0</v>
      </c>
      <c r="DU94" s="255">
        <v>0</v>
      </c>
      <c r="DV94" s="253">
        <v>0</v>
      </c>
      <c r="DW94" s="253">
        <v>0</v>
      </c>
      <c r="DX94" s="253">
        <v>0</v>
      </c>
      <c r="DY94" s="255">
        <f>SUM(Table1[[#This Row],[VAQ1]:[VAQ3]])</f>
        <v>0</v>
      </c>
      <c r="DZ94" s="253">
        <v>0</v>
      </c>
      <c r="EA94" s="253">
        <v>0</v>
      </c>
      <c r="EB94" s="253">
        <v>0</v>
      </c>
      <c r="EC94" s="278">
        <f>SUM(Table1[[#This Row],[OthGrantQ1]:[OthGrantQ3]])</f>
        <v>0</v>
      </c>
      <c r="ED94" s="264">
        <f>Table1[[#This Row],[SEOGTot]]+Table1[[#This Row],[PellTot]]+Table1[[#This Row],[AccessTot]]+Table1[[#This Row],[AchiTot]]+Table1[[#This Row],[UTTot]]+Table1[[#This Row],[WITTot]]+Table1[[#This Row],[SerTot]]+Table1[[#This Row],[TranTot]]+Table1[[#This Row],[MatTot]]+Table1[[#This Row],[OutTot]]+Table1[[#This Row],[VATot]]+Table1[[#This Row],[OthGrantTot]]</f>
        <v>3750</v>
      </c>
      <c r="EE94" s="226">
        <v>0</v>
      </c>
      <c r="EF94" s="227">
        <v>0</v>
      </c>
      <c r="EG94" s="227">
        <v>0</v>
      </c>
      <c r="EH94" s="228">
        <f>SUM(Table1[[#This Row],[CashQ1]]:Table1[[#This Row],[CashQ3]])</f>
        <v>0</v>
      </c>
      <c r="EI94" s="229">
        <f>ROUND((Table1[[#This Row],[SubTot]]/3)/1.01059,0)</f>
        <v>1154</v>
      </c>
      <c r="EJ94" s="230">
        <f>ROUND((Table1[[#This Row],[SubTot]]/3)/1.01059,0)</f>
        <v>1154</v>
      </c>
      <c r="EK94" s="230">
        <f>ROUNDUP((Table1[[#This Row],[SubTot]]/3)/1.01059,0)</f>
        <v>1155</v>
      </c>
      <c r="EL94" s="231">
        <v>3500</v>
      </c>
      <c r="EM94" s="233">
        <f>Table1[[#This Row],[SubTot]]*0.01059</f>
        <v>37.065000000000005</v>
      </c>
      <c r="EN94" s="230">
        <f>ROUND((Table1[[#This Row],[UnsubTot]]/3)/1.01062,0)</f>
        <v>660</v>
      </c>
      <c r="EO94" s="230">
        <f>ROUND((Table1[[#This Row],[UnsubTot]]/3)/1.01062,0)</f>
        <v>660</v>
      </c>
      <c r="EP94" s="230">
        <f>ROUNDDOWN((Table1[[#This Row],[UnsubTot]]/3)/1.01062,0)</f>
        <v>659</v>
      </c>
      <c r="EQ94" s="231">
        <f>IF(Table1[D/I]="I",6000,2000)</f>
        <v>2000</v>
      </c>
      <c r="ER94" s="233">
        <f>Table1[[#This Row],[UnsubTot]]*0.01059</f>
        <v>21.18</v>
      </c>
      <c r="ES94" s="230">
        <f>ROUND((Table1[[#This Row],[PLUSTot]]/3)/1.04236,0)</f>
        <v>0</v>
      </c>
      <c r="ET94" s="230">
        <f>ROUND((Table1[[#This Row],[PLUSTot]]/3)/1.04236,0)</f>
        <v>0</v>
      </c>
      <c r="EU94" s="230">
        <f>ROUND((Table1[[#This Row],[PLUSTot]]/3)/1.04236,0)</f>
        <v>0</v>
      </c>
      <c r="EV94" s="231">
        <v>0</v>
      </c>
      <c r="EW94" s="236">
        <f>Table1[[#This Row],[PLUSTot]]*0.04236</f>
        <v>0</v>
      </c>
      <c r="EX94" s="227"/>
      <c r="EY94" s="227"/>
      <c r="EZ94" s="227"/>
      <c r="FA94" s="228">
        <v>0</v>
      </c>
      <c r="FB94" s="227"/>
      <c r="FC94" s="227"/>
      <c r="FD94" s="227"/>
      <c r="FE94" s="228">
        <f>SUM(Table1[[#This Row],[TOQ1]:[TOQ3]])</f>
        <v>0</v>
      </c>
      <c r="FF94" s="227"/>
      <c r="FG94" s="227"/>
      <c r="FH94" s="227"/>
      <c r="FI94" s="228">
        <f>SUM(Table1[[#This Row],[OFundQ1]:[OFundQ3]])</f>
        <v>0</v>
      </c>
      <c r="FJ94" s="236">
        <f>(Table1[[#This Row],[SubTot]]-Table1[[#This Row],[SubFee]])+(Table1[[#This Row],[UnsubTot]]-Table1[[#This Row],[UnsubFee]])+(Table1[[#This Row],[PLUSTot]]-Table1[[#This Row],[PLUSFee]])+Table1[[#This Row],[PrivTot]]+Table1[[#This Row],[TOTot]]+Table1[[#This Row],[OFundTot]]</f>
        <v>5441.7550000000001</v>
      </c>
      <c r="FK94" s="159">
        <f>Table1[[#This Row],[CostTot]]-Table1[[#This Row],[GiftTot]]</f>
        <v>35765</v>
      </c>
      <c r="FL94" s="174">
        <f>Table1[[#This Row],[NetNeed]]/(1-0.04236)</f>
        <v>31664.555574119709</v>
      </c>
      <c r="FM94" s="176">
        <f>Table1[[#This Row],[NetCost]]-Table1[[#This Row],[CashTot]]-(Table1[[#This Row],[SubTot]]-Table1[[#This Row],[SubFee]])-(Table1[[#This Row],[UnsubTot]]-Table1[[#This Row],[UnsubFee]])-(Table1[[#This Row],[PLUSTot]]-Table1[[#This Row],[PLUSFee]])-Table1[[#This Row],[PrivTot]]-Table1[[#This Row],[TOTot]]-Table1[[#This Row],[OFundTot]]</f>
        <v>30323.244999999999</v>
      </c>
      <c r="FN94" s="217"/>
      <c r="FO94" s="162"/>
      <c r="FP94" s="162"/>
    </row>
    <row r="95" spans="1:172" ht="15" x14ac:dyDescent="0.25">
      <c r="A95" s="267">
        <v>198964</v>
      </c>
      <c r="B95" s="113" t="str">
        <f>VLOOKUP(Table1[[#This Row],[SyStudentId]],SSR!$A$2:$CC$4982,4,FALSE)</f>
        <v>Reisner</v>
      </c>
      <c r="C95" s="113" t="str">
        <f>VLOOKUP(Table1[[#This Row],[SyStudentId]],SSR!$A$2:$CC$4982,5,FALSE)</f>
        <v>Kaleb</v>
      </c>
      <c r="D95" s="113" t="str">
        <f>VLOOKUP(Table1[[#This Row],[SyStudentId]],SSR!$A$2:$CC$4982,6,FALSE)</f>
        <v>Reisner, Kaleb</v>
      </c>
      <c r="E95" s="113" t="str">
        <f>CONCATENATE(Table1[[#This Row],[FirstName]]," ",Table1[[#This Row],[LastName]])</f>
        <v>Kaleb Reisner</v>
      </c>
      <c r="F95" s="112"/>
      <c r="G95" s="114"/>
      <c r="H95" s="114"/>
      <c r="I95" s="114"/>
      <c r="J95" s="115"/>
      <c r="K95" s="116"/>
      <c r="L95" s="112" t="str">
        <f>IFERROR(VLOOKUP(Table1[[#This Row],[SyStudentId]],ISIR!$A$2:$X$999,11,FALSE),"")</f>
        <v/>
      </c>
      <c r="M95" s="113" t="str">
        <f>VLOOKUP(Table1[[#This Row],[SyStudentId]],SSR!$A$2:$CC$4982,7,FALSE)</f>
        <v>reisnerkaleb@gmail.com</v>
      </c>
      <c r="N95" s="113" t="str">
        <f>VLOOKUP(Table1[[#This Row],[SyStudentId]],SSR!$A$2:$CC$4982,8,FALSE)</f>
        <v>8371 West Jennings Road</v>
      </c>
      <c r="O95" s="113" t="str">
        <f>VLOOKUP(Table1[[#This Row],[SyStudentId]],SSR!$A$2:$CC$4982,9,FALSE)</f>
        <v>Lake CIty</v>
      </c>
      <c r="P95" s="303" t="str">
        <f>VLOOKUP(Table1[[#This Row],[SyStudentId]],SSR!$A$2:$CC$4982,10,FALSE)</f>
        <v>MI</v>
      </c>
      <c r="Q95" s="117" t="str">
        <f>VLOOKUP(Table1[[#This Row],[SyStudentId]],SSR!$A$2:$CC$4982,11,FALSE)</f>
        <v xml:space="preserve">49651     </v>
      </c>
      <c r="R95" s="118">
        <f>VLOOKUP(Table1[[#This Row],[SyStudentId]],SSR!$A$2:$CC$4982,15,FALSE)</f>
        <v>1.353</v>
      </c>
      <c r="S95" s="119">
        <f>VLOOKUP(Table1[[#This Row],[SyStudentId]],SSR!$A$2:$CC$4982,22,FALSE)</f>
        <v>44109</v>
      </c>
      <c r="T95" s="113" t="str">
        <f>VLOOKUP(Table1[[#This Row],[SyStudentId]],SSR!$A$2:$CC$4982,24,FALSE)</f>
        <v>JT</v>
      </c>
      <c r="U95" s="113" t="str">
        <f>IF(VLOOKUP(Table1[[#This Row],[SyStudentId]],SSR!$A$2:$CC$4982,26,FALSE)=0,"Not Selected",VLOOKUP(Table1[[#This Row],[SyStudentId]],SSR!$A$2:$CC$4982,26,FALSE))</f>
        <v>Male</v>
      </c>
      <c r="V95" s="113" t="str">
        <f>VLOOKUP(Table1[[#This Row],[SyStudentId]],SSR!$A$2:$CC$4982,27,FALSE)</f>
        <v xml:space="preserve">HS2020  </v>
      </c>
      <c r="W95" s="113" t="str">
        <f>VLOOKUP(LEFT(Table1[[#This Row],[LastName]],1),Alpha!$A$1:$B$26,2,FALSE)</f>
        <v>Maureen Ranks</v>
      </c>
      <c r="X95" s="149" t="str">
        <f>VLOOKUP(Table1[[#This Row],[FAA]],Alpha!$B$1:$D$26,2,FALSE)</f>
        <v>mranks@neumont.edu</v>
      </c>
      <c r="Y95" s="113">
        <f>VLOOKUP(Table1[[#This Row],[FAA]],Alpha!$B$1:$D$26,3,FALSE)</f>
        <v>8883022894</v>
      </c>
      <c r="Z95" s="113" t="str">
        <f>VLOOKUP(Table1[[#This Row],[SyStudentId]],SSR!$A$2:$CC$4982,30,FALSE)</f>
        <v>16-Accepted</v>
      </c>
      <c r="AA95" s="113" t="str">
        <f>IF(VLOOKUP(Table1[[#This Row],[SyStudentId]],SSR!$A$2:$CC$4982,36,FALSE)="Bachelor of Science","BS Computer Science","Check Program")</f>
        <v>BS Computer Science</v>
      </c>
      <c r="AB95" s="113">
        <f>VLOOKUP(Table1[[#This Row],[SyStudentId]],SSR!$A$2:$CC$4982,37,FALSE)</f>
        <v>0</v>
      </c>
      <c r="AC95" s="113" t="str">
        <f>VLOOKUP(Table1[[#This Row],[SyStudentId]],SSR!$A$2:$CC$4982,42,FALSE)</f>
        <v xml:space="preserve">1030    </v>
      </c>
      <c r="AD95" s="113" t="str">
        <f>VLOOKUP(Table1[[#This Row],[SyStudentId]],SSR!$A$2:$CC$4982,46,FALSE)</f>
        <v>0</v>
      </c>
      <c r="AE95" s="113" t="str">
        <f>VLOOKUP(Table1[[#This Row],[SyStudentId]],SSR!$A$2:$CC$4982,65,FALSE)</f>
        <v>VIII</v>
      </c>
      <c r="AF95"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95" s="113" t="str">
        <f>VLOOKUP(Table1[[#This Row],[SyStudentId]],SSR!$A$2:$CC$4982,66,FALSE)</f>
        <v>October</v>
      </c>
      <c r="AH95" s="113" t="str">
        <f>IFERROR(VLOOKUP(Table1[[#This Row],[SyStudentId]],ISIR!$A$2:$X$999,7,FALSE),"")</f>
        <v/>
      </c>
      <c r="AI95" s="121" t="str">
        <f>IF(Table1[[#This Row],[EFCRaw]]="","",IF(Table1[[#This Row],[EFCRaw]]="No EFC","No EFC",_xlfn.NUMBERVALUE(Table1[[#This Row],[EFCRaw]])))</f>
        <v/>
      </c>
      <c r="AJ95" s="119" t="str">
        <f>IFERROR(VLOOKUP(Table1[[#This Row],[SyStudentId]],ISIR!$A$2:$X$4999,19,FALSE),"")</f>
        <v/>
      </c>
      <c r="AK95" s="113" t="str">
        <f>IFERROR(VLOOKUP(Table1[[#This Row],[SyStudentId]],ISIR!$A$2:$X$4999,8,FALSE),"")</f>
        <v/>
      </c>
      <c r="AL95" s="132" t="str">
        <f>IF(Table1[[#This Row],[VerReq]]="N","n/a","")</f>
        <v/>
      </c>
      <c r="AM95" s="122"/>
      <c r="AN95" s="122"/>
      <c r="AO95" s="122"/>
      <c r="AP95" s="122"/>
      <c r="AQ95" s="122"/>
      <c r="AR95" s="122"/>
      <c r="AS95" s="122"/>
      <c r="AT95" s="122"/>
      <c r="AU95" s="122"/>
      <c r="AV95" s="122"/>
      <c r="AW95" s="122"/>
      <c r="AX95" s="122"/>
      <c r="AY95" s="122"/>
      <c r="AZ95" s="122"/>
      <c r="BA95" s="122"/>
      <c r="BB95" s="122"/>
      <c r="BC95" s="148"/>
      <c r="BD95" s="140" t="str">
        <f>IF(Table1[[#This Row],[VerReq]]="N","x","")</f>
        <v/>
      </c>
      <c r="BE95" s="140" t="str">
        <f>IF(Table1[[#This Row],[VerReq]]="N","x","")</f>
        <v/>
      </c>
      <c r="BF95" s="140" t="str">
        <f>IF(Table1[[#This Row],[VerReq]]="N","x","")</f>
        <v/>
      </c>
      <c r="BG95" s="140" t="str">
        <f>IF(Table1[[#This Row],[VerReq]]="N","x","")</f>
        <v/>
      </c>
      <c r="BH95" s="140" t="str">
        <f>IF(Table1[[#This Row],[VerReq]]="N","x","")</f>
        <v/>
      </c>
      <c r="BI95" s="140" t="str">
        <f>IF(Table1[[#This Row],[VerReq]]="N","x","")</f>
        <v/>
      </c>
      <c r="BJ95" s="123">
        <f>1-((COUNTBLANK(Table1[[#This Row],[ALESent]:[TaxTran]]))/(COUNT(Table1[[#This Row],[ALESent]:[TaxTran]])+COUNTBLANK(Table1[[#This Row],[ALESent]:[TaxTran]])))</f>
        <v>0</v>
      </c>
      <c r="BK95" s="150">
        <f>IF(VLOOKUP(Table1[[#This Row],[SyStudentId]],SSR!$A$2:$CC$4982,22,FALSE)=44109,44109,"Check Program")</f>
        <v>44109</v>
      </c>
      <c r="BL95" s="124">
        <f>IF(Table1[[#This Row],[AYStart]]=44109,44356,"Check Program")</f>
        <v>44356</v>
      </c>
      <c r="BM95" s="219">
        <v>8505</v>
      </c>
      <c r="BN95" s="219">
        <v>8505</v>
      </c>
      <c r="BO95" s="219">
        <v>8505</v>
      </c>
      <c r="BP95" s="220">
        <f t="shared" si="3"/>
        <v>25515</v>
      </c>
      <c r="BQ95" s="221">
        <v>3300</v>
      </c>
      <c r="BR95" s="219">
        <v>400</v>
      </c>
      <c r="BS95" s="219">
        <v>400</v>
      </c>
      <c r="BT95" s="220">
        <f t="shared" si="4"/>
        <v>4100</v>
      </c>
      <c r="BU95" s="219">
        <v>2100</v>
      </c>
      <c r="BV95" s="219">
        <v>2100</v>
      </c>
      <c r="BW95" s="219">
        <v>2100</v>
      </c>
      <c r="BX95" s="220">
        <f t="shared" si="5"/>
        <v>6300</v>
      </c>
      <c r="BY95" s="275">
        <v>1200</v>
      </c>
      <c r="BZ95" s="275">
        <v>1200</v>
      </c>
      <c r="CA95" s="275">
        <v>1200</v>
      </c>
      <c r="CB95" s="220">
        <f>SUM(Table1[[#This Row],[LEQ1]:[LEQ3]])</f>
        <v>3600</v>
      </c>
      <c r="CC95" s="269"/>
      <c r="CD95" s="269"/>
      <c r="CE95" s="269"/>
      <c r="CF95" s="220">
        <f>SUM(Table1[[#This Row],[OthCostQ1]:[OthCostQ3]])</f>
        <v>0</v>
      </c>
      <c r="CG95" s="220">
        <f>(Table1[[#This Row],[T&amp;FTot]]+Table1[[#This Row],[B&amp;STot]]+Table1[[#This Row],[HousTot]]+Table1[[#This Row],[LETot]]+Table1[[#This Row],[OthCostTot]])</f>
        <v>39515</v>
      </c>
      <c r="CH95" s="250"/>
      <c r="CI95" s="250"/>
      <c r="CJ95" s="250"/>
      <c r="CK95" s="251">
        <f>SUM(Table1[[#This Row],[SEOGQ1]:[SEOGQ3]])</f>
        <v>0</v>
      </c>
      <c r="CL95" s="250">
        <f>IFERROR(ROUNDUP(Table1[[#This Row],[PellTot]]/3,0),0)</f>
        <v>0</v>
      </c>
      <c r="CM95" s="250">
        <f>IFERROR(ROUND(Table1[[#This Row],[PellTot]]/3,0),0)</f>
        <v>0</v>
      </c>
      <c r="CN95" s="250">
        <f>IFERROR(ROUNDDOWN(Table1[[#This Row],[PellTot]]/3,0),0)</f>
        <v>0</v>
      </c>
      <c r="CO95" s="251">
        <f>IFERROR(LOOKUP(Table1[EFC],Pell_Table[#Data],Pell_Table[Pell Amt]),0)</f>
        <v>0</v>
      </c>
      <c r="CP95" s="250">
        <f>Table1[[#This Row],[AccessTot]]/3</f>
        <v>0</v>
      </c>
      <c r="CQ95" s="250">
        <f>Table1[[#This Row],[AccessTot]]/3</f>
        <v>0</v>
      </c>
      <c r="CR95" s="250">
        <f>Table1[[#This Row],[AccessTot]]/3</f>
        <v>0</v>
      </c>
      <c r="CS95" s="251">
        <f>IF(Table1[[#This Row],[PellTot]]&gt;0,1500,0)</f>
        <v>0</v>
      </c>
      <c r="CT95" s="250">
        <f>Table1[[#This Row],[AchiTot]]/3</f>
        <v>0</v>
      </c>
      <c r="CU95" s="250">
        <f>Table1[[#This Row],[AchiTot]]/3</f>
        <v>0</v>
      </c>
      <c r="CV95" s="250">
        <f>Table1[[#This Row],[AchiTot]]/3</f>
        <v>0</v>
      </c>
      <c r="CW95" s="252">
        <f>IF(Table1[[#This Row],[Rank]]="","",IF(Table1[[#This Row],[Rank]]=1,5100,IF(Table1[[#This Row],[Rank]]=2,4500,IF(Table1[[#This Row],[Rank]]=3,3900,IF(Table1[[#This Row],[Rank]]=4,3750,IF(Table1[[#This Row],[Rank]]=5,3000,IF(Table1[[#This Row],[Rank]]=6,2250,0)))))))</f>
        <v>0</v>
      </c>
      <c r="CX95" s="250">
        <f>Table1[[#This Row],[UTTot]]/3</f>
        <v>0</v>
      </c>
      <c r="CY95" s="250">
        <f>Table1[[#This Row],[UTTot]]/3</f>
        <v>0</v>
      </c>
      <c r="CZ95" s="250">
        <f>Table1[[#This Row],[UTTot]]/3</f>
        <v>0</v>
      </c>
      <c r="DA95" s="251">
        <f>IF(Table1[[#This Row],[State]]="UT",9000,0)</f>
        <v>0</v>
      </c>
      <c r="DB95" s="250">
        <f>Table1[[#This Row],[WITTot]]/3</f>
        <v>0</v>
      </c>
      <c r="DC95" s="250">
        <f>Table1[[#This Row],[WITTot]]/3</f>
        <v>0</v>
      </c>
      <c r="DD95" s="250">
        <f>Table1[[#This Row],[WITTot]]/3</f>
        <v>0</v>
      </c>
      <c r="DE95" s="251">
        <f>IF(Table1[[#This Row],[Gender]]="Female",3000,0)</f>
        <v>0</v>
      </c>
      <c r="DF95" s="250">
        <f>Table1[[#This Row],[SerTot]]/3</f>
        <v>0</v>
      </c>
      <c r="DG95" s="250">
        <f>Table1[[#This Row],[SerTot]]/3</f>
        <v>0</v>
      </c>
      <c r="DH95" s="250">
        <f>Table1[[#This Row],[SerTot]]/3</f>
        <v>0</v>
      </c>
      <c r="DI95" s="252"/>
      <c r="DJ95" s="250"/>
      <c r="DK95" s="250"/>
      <c r="DL95" s="250"/>
      <c r="DM95" s="252"/>
      <c r="DN95" s="250">
        <f>Table1[[#This Row],[MatTot]]/3</f>
        <v>0</v>
      </c>
      <c r="DO95" s="250">
        <f>Table1[[#This Row],[MatTot]]/3</f>
        <v>0</v>
      </c>
      <c r="DP95" s="250">
        <f>Table1[[#This Row],[MatTot]]/3</f>
        <v>0</v>
      </c>
      <c r="DQ95" s="252"/>
      <c r="DR95" s="250">
        <f>Table1[[#This Row],[OutTot]]/3</f>
        <v>0</v>
      </c>
      <c r="DS95" s="250">
        <f>Table1[[#This Row],[OutTot]]/3</f>
        <v>0</v>
      </c>
      <c r="DT95" s="250">
        <f>Table1[[#This Row],[OutTot]]/3</f>
        <v>0</v>
      </c>
      <c r="DU95" s="252"/>
      <c r="DV95" s="250"/>
      <c r="DW95" s="250"/>
      <c r="DX95" s="250"/>
      <c r="DY95" s="252">
        <f>SUM(Table1[[#This Row],[VAQ1]:[VAQ3]])</f>
        <v>0</v>
      </c>
      <c r="DZ95" s="250"/>
      <c r="EA95" s="250"/>
      <c r="EB95" s="250"/>
      <c r="EC95" s="270">
        <f>SUM(Table1[[#This Row],[OthGrantQ1]:[OthGrantQ3]])</f>
        <v>0</v>
      </c>
      <c r="ED95" s="263">
        <f>Table1[[#This Row],[SEOGTot]]+Table1[[#This Row],[PellTot]]+Table1[[#This Row],[AccessTot]]+Table1[[#This Row],[AchiTot]]+Table1[[#This Row],[UTTot]]+Table1[[#This Row],[WITTot]]+Table1[[#This Row],[SerTot]]+Table1[[#This Row],[TranTot]]+Table1[[#This Row],[MatTot]]+Table1[[#This Row],[OutTot]]+Table1[[#This Row],[VATot]]+Table1[[#This Row],[OthGrantTot]]</f>
        <v>0</v>
      </c>
      <c r="EE95" s="249"/>
      <c r="EF95" s="237"/>
      <c r="EG95" s="237"/>
      <c r="EH95" s="232">
        <f>SUM(Table1[[#This Row],[CashQ1]]:Table1[[#This Row],[CashQ3]])</f>
        <v>0</v>
      </c>
      <c r="EI95" s="271">
        <f>ROUND((Table1[[#This Row],[SubTot]]/3)/1.01059,0)</f>
        <v>0</v>
      </c>
      <c r="EJ95" s="234">
        <f>ROUND((Table1[[#This Row],[SubTot]]/3)/1.01059,0)</f>
        <v>0</v>
      </c>
      <c r="EK95" s="234">
        <f>ROUNDUP((Table1[[#This Row],[SubTot]]/3)/1.01059,0)</f>
        <v>0</v>
      </c>
      <c r="EL95" s="235"/>
      <c r="EM95" s="240">
        <f>Table1[[#This Row],[SubTot]]*0.01059</f>
        <v>0</v>
      </c>
      <c r="EN95" s="234">
        <f>ROUND((Table1[[#This Row],[UnsubTot]]/3)/1.01062,0)</f>
        <v>660</v>
      </c>
      <c r="EO95" s="234">
        <f>ROUND((Table1[[#This Row],[UnsubTot]]/3)/1.01062,0)</f>
        <v>660</v>
      </c>
      <c r="EP95" s="234">
        <f>ROUNDDOWN((Table1[[#This Row],[UnsubTot]]/3)/1.01062,0)</f>
        <v>659</v>
      </c>
      <c r="EQ95" s="235">
        <f>IF(Table1[D/I]="I",6000,2000)</f>
        <v>2000</v>
      </c>
      <c r="ER95" s="240">
        <f>Table1[[#This Row],[UnsubTot]]*0.01062</f>
        <v>21.24</v>
      </c>
      <c r="ES95" s="234">
        <f>ROUND((Table1[[#This Row],[PLUSTot]]/3)/1.04248,0)</f>
        <v>0</v>
      </c>
      <c r="ET95" s="234">
        <f>ROUND((Table1[[#This Row],[PLUSTot]]/3)/1.04248,0)</f>
        <v>0</v>
      </c>
      <c r="EU95" s="234">
        <f>ROUND((Table1[[#This Row],[PLUSTot]]/3)/1.04248,0)</f>
        <v>0</v>
      </c>
      <c r="EV95" s="235"/>
      <c r="EW95" s="239">
        <f>Table1[[#This Row],[PLUSTot]]*0.04248</f>
        <v>0</v>
      </c>
      <c r="EX95" s="237"/>
      <c r="EY95" s="237"/>
      <c r="EZ95" s="237"/>
      <c r="FA95" s="232">
        <f>SUM(Table1[[#This Row],[PrivQ1]:[PrivQ3]])</f>
        <v>0</v>
      </c>
      <c r="FB95" s="237"/>
      <c r="FC95" s="237"/>
      <c r="FD95" s="237"/>
      <c r="FE95" s="232">
        <f>SUM(Table1[[#This Row],[TOQ1]:[TOQ3]])</f>
        <v>0</v>
      </c>
      <c r="FF95" s="237"/>
      <c r="FG95" s="237"/>
      <c r="FH95" s="237"/>
      <c r="FI95" s="232">
        <f>SUM(Table1[[#This Row],[OFundQ1]:[OFundQ3]])</f>
        <v>0</v>
      </c>
      <c r="FJ95" s="239">
        <f>(Table1[[#This Row],[SubTot]]-Table1[[#This Row],[SubFee]])+(Table1[[#This Row],[UnsubTot]]-Table1[[#This Row],[UnsubFee]])+(Table1[[#This Row],[PLUSTot]]-Table1[[#This Row],[PLUSFee]])+Table1[[#This Row],[PrivTot]]+Table1[[#This Row],[TOTot]]+Table1[[#This Row],[OFundTot]]</f>
        <v>1978.76</v>
      </c>
      <c r="FK95" s="125">
        <f>Table1[[#This Row],[CostTot]]-Table1[[#This Row],[GiftTot]]</f>
        <v>39515</v>
      </c>
      <c r="FL95" s="130">
        <f>Table1[[#This Row],[NetNeed]]/(1-0.04248)</f>
        <v>39201.520594870075</v>
      </c>
      <c r="FM95" s="131">
        <f>Table1[[#This Row],[NetCost]]-Table1[[#This Row],[CashTot]]-(Table1[[#This Row],[SubTot]]-Table1[[#This Row],[SubFee]])-(Table1[[#This Row],[UnsubTot]]-Table1[[#This Row],[UnsubFee]])-(Table1[[#This Row],[PLUSTot]]-Table1[[#This Row],[PLUSFee]])-Table1[[#This Row],[PrivTot]]-Table1[[#This Row],[TOTot]]-Table1[[#This Row],[OFundTot]]</f>
        <v>37536.239999999998</v>
      </c>
      <c r="FN95" s="156"/>
      <c r="FO95" s="113"/>
      <c r="FP95" s="113"/>
    </row>
    <row r="96" spans="1:172" ht="15" x14ac:dyDescent="0.25">
      <c r="A96" s="316">
        <v>198525</v>
      </c>
      <c r="B96" s="113" t="str">
        <f>VLOOKUP(Table1[[#This Row],[SyStudentId]],SSR!$A$2:$CC$4982,4,FALSE)</f>
        <v>Reyes</v>
      </c>
      <c r="C96" s="113" t="str">
        <f>VLOOKUP(Table1[[#This Row],[SyStudentId]],SSR!$A$2:$CC$4982,5,FALSE)</f>
        <v>Brailin</v>
      </c>
      <c r="D96" s="113" t="str">
        <f>VLOOKUP(Table1[[#This Row],[SyStudentId]],SSR!$A$2:$CC$4982,6,FALSE)</f>
        <v>Reyes, Brailin</v>
      </c>
      <c r="E96" s="113" t="str">
        <f>CONCATENATE(Table1[[#This Row],[FirstName]]," ",Table1[[#This Row],[LastName]])</f>
        <v>Brailin Reyes</v>
      </c>
      <c r="F96" s="112"/>
      <c r="G96" s="114"/>
      <c r="H96" s="114"/>
      <c r="I96" s="114"/>
      <c r="J96" s="115" t="s">
        <v>5311</v>
      </c>
      <c r="K96" s="116"/>
      <c r="L96" s="112" t="str">
        <f>IFERROR(VLOOKUP(Table1[[#This Row],[SyStudentId]],ISIR!$A$2:$X$999,11,FALSE),"")</f>
        <v/>
      </c>
      <c r="M96" s="113" t="str">
        <f>VLOOKUP(Table1[[#This Row],[SyStudentId]],SSR!$A$2:$CC$4982,7,FALSE)</f>
        <v>brailinreyes9@gmail.com</v>
      </c>
      <c r="N96" s="113" t="str">
        <f>VLOOKUP(Table1[[#This Row],[SyStudentId]],SSR!$A$2:$CC$4982,8,FALSE)</f>
        <v>11513 BUCKNELL DR</v>
      </c>
      <c r="O96" s="113" t="str">
        <f>VLOOKUP(Table1[[#This Row],[SyStudentId]],SSR!$A$2:$CC$4982,9,FALSE)</f>
        <v>SILVER SPRING</v>
      </c>
      <c r="P96" s="303" t="str">
        <f>VLOOKUP(Table1[[#This Row],[SyStudentId]],SSR!$A$2:$CC$4982,10,FALSE)</f>
        <v>MD</v>
      </c>
      <c r="Q96" s="117" t="str">
        <f>VLOOKUP(Table1[[#This Row],[SyStudentId]],SSR!$A$2:$CC$4982,11,FALSE)</f>
        <v xml:space="preserve">20902     </v>
      </c>
      <c r="R96" s="118">
        <f>VLOOKUP(Table1[[#This Row],[SyStudentId]],SSR!$A$2:$CC$4982,15,FALSE)</f>
        <v>2.84</v>
      </c>
      <c r="S96" s="119">
        <f>VLOOKUP(Table1[[#This Row],[SyStudentId]],SSR!$A$2:$CC$4982,22,FALSE)</f>
        <v>44109</v>
      </c>
      <c r="T96" s="113" t="str">
        <f>VLOOKUP(Table1[[#This Row],[SyStudentId]],SSR!$A$2:$CC$4982,24,FALSE)</f>
        <v>JT</v>
      </c>
      <c r="U96" s="113" t="str">
        <f>IF(VLOOKUP(Table1[[#This Row],[SyStudentId]],SSR!$A$2:$CC$4982,26,FALSE)=0,"Not Selected",VLOOKUP(Table1[[#This Row],[SyStudentId]],SSR!$A$2:$CC$4982,26,FALSE))</f>
        <v>Male</v>
      </c>
      <c r="V96" s="113" t="str">
        <f>VLOOKUP(Table1[[#This Row],[SyStudentId]],SSR!$A$2:$CC$4982,27,FALSE)</f>
        <v xml:space="preserve">HS2020  </v>
      </c>
      <c r="W96" s="113" t="str">
        <f>VLOOKUP(LEFT(Table1[[#This Row],[LastName]],1),Alpha!$A$1:$B$26,2,FALSE)</f>
        <v>Maureen Ranks</v>
      </c>
      <c r="X96" s="149" t="str">
        <f>VLOOKUP(Table1[[#This Row],[FAA]],Alpha!$B$1:$D$26,2,FALSE)</f>
        <v>mranks@neumont.edu</v>
      </c>
      <c r="Y96" s="113">
        <f>VLOOKUP(Table1[[#This Row],[FAA]],Alpha!$B$1:$D$26,3,FALSE)</f>
        <v>8883022894</v>
      </c>
      <c r="Z96" s="113" t="str">
        <f>VLOOKUP(Table1[[#This Row],[SyStudentId]],SSR!$A$2:$CC$4982,30,FALSE)</f>
        <v>16-Accepted</v>
      </c>
      <c r="AA96" s="113" t="str">
        <f>IF(VLOOKUP(Table1[[#This Row],[SyStudentId]],SSR!$A$2:$CC$4982,36,FALSE)="Bachelor of Science","BS Computer Science","Check Program")</f>
        <v>BS Computer Science</v>
      </c>
      <c r="AB96" s="113">
        <f>VLOOKUP(Table1[[#This Row],[SyStudentId]],SSR!$A$2:$CC$4982,37,FALSE)</f>
        <v>0</v>
      </c>
      <c r="AC96" s="113">
        <f>VLOOKUP(Table1[[#This Row],[SyStudentId]],SSR!$A$2:$CC$4982,42,FALSE)</f>
        <v>0</v>
      </c>
      <c r="AD96" s="113" t="str">
        <f>VLOOKUP(Table1[[#This Row],[SyStudentId]],SSR!$A$2:$CC$4982,46,FALSE)</f>
        <v>0</v>
      </c>
      <c r="AE96" s="113" t="str">
        <f>VLOOKUP(Table1[[#This Row],[SyStudentId]],SSR!$A$2:$CC$4982,65,FALSE)</f>
        <v>IX</v>
      </c>
      <c r="AF96"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96" s="113" t="str">
        <f>VLOOKUP(Table1[[#This Row],[SyStudentId]],SSR!$A$2:$CC$4982,66,FALSE)</f>
        <v>November</v>
      </c>
      <c r="AH96" s="113" t="str">
        <f>IFERROR(VLOOKUP(Table1[[#This Row],[SyStudentId]],ISIR!$A$2:$X$999,7,FALSE),"")</f>
        <v/>
      </c>
      <c r="AI96" s="121" t="str">
        <f>IF(Table1[[#This Row],[EFCRaw]]="","",IF(Table1[[#This Row],[EFCRaw]]="No EFC","No EFC",_xlfn.NUMBERVALUE(Table1[[#This Row],[EFCRaw]])))</f>
        <v/>
      </c>
      <c r="AJ96" s="119" t="str">
        <f>IFERROR(VLOOKUP(Table1[[#This Row],[SyStudentId]],ISIR!$A$2:$X$4999,19,FALSE),"")</f>
        <v/>
      </c>
      <c r="AK96" s="113" t="str">
        <f>IFERROR(VLOOKUP(Table1[[#This Row],[SyStudentId]],ISIR!$A$2:$X$4999,8,FALSE),"")</f>
        <v/>
      </c>
      <c r="AL96" s="132" t="str">
        <f>IF(Table1[[#This Row],[VerReq]]="N","n/a","")</f>
        <v/>
      </c>
      <c r="AM96" s="122"/>
      <c r="AN96" s="122"/>
      <c r="AO96" s="122"/>
      <c r="AP96" s="122"/>
      <c r="AQ96" s="122"/>
      <c r="AR96" s="122"/>
      <c r="AS96" s="122"/>
      <c r="AT96" s="122"/>
      <c r="AU96" s="122"/>
      <c r="AV96" s="122"/>
      <c r="AW96" s="122"/>
      <c r="AX96" s="122"/>
      <c r="AY96" s="122"/>
      <c r="AZ96" s="122"/>
      <c r="BA96" s="122"/>
      <c r="BB96" s="122"/>
      <c r="BC96" s="148"/>
      <c r="BD96" s="140" t="str">
        <f>IF(Table1[[#This Row],[VerReq]]="N","x","")</f>
        <v/>
      </c>
      <c r="BE96" s="140" t="str">
        <f>IF(Table1[[#This Row],[VerReq]]="N","x","")</f>
        <v/>
      </c>
      <c r="BF96" s="140" t="str">
        <f>IF(Table1[[#This Row],[VerReq]]="N","x","")</f>
        <v/>
      </c>
      <c r="BG96" s="140" t="str">
        <f>IF(Table1[[#This Row],[VerReq]]="N","x","")</f>
        <v/>
      </c>
      <c r="BH96" s="140" t="str">
        <f>IF(Table1[[#This Row],[VerReq]]="N","x","")</f>
        <v/>
      </c>
      <c r="BI96" s="140" t="str">
        <f>IF(Table1[[#This Row],[VerReq]]="N","x","")</f>
        <v/>
      </c>
      <c r="BJ96" s="123">
        <f>1-((COUNTBLANK(Table1[[#This Row],[ALESent]:[TaxTran]]))/(COUNT(Table1[[#This Row],[ALESent]:[TaxTran]])+COUNTBLANK(Table1[[#This Row],[ALESent]:[TaxTran]])))</f>
        <v>0</v>
      </c>
      <c r="BK96" s="150">
        <f>IF(VLOOKUP(Table1[[#This Row],[SyStudentId]],SSR!$A$2:$CC$4982,22,FALSE)=44109,44109,"Check Program")</f>
        <v>44109</v>
      </c>
      <c r="BL96" s="124">
        <f>IF(Table1[[#This Row],[AYStart]]=44109,44356,"Check Program")</f>
        <v>44356</v>
      </c>
      <c r="BM96" s="219">
        <v>8505</v>
      </c>
      <c r="BN96" s="219">
        <v>8505</v>
      </c>
      <c r="BO96" s="219">
        <v>8505</v>
      </c>
      <c r="BP96" s="220">
        <f t="shared" si="3"/>
        <v>25515</v>
      </c>
      <c r="BQ96" s="221">
        <v>3300</v>
      </c>
      <c r="BR96" s="219">
        <v>400</v>
      </c>
      <c r="BS96" s="219">
        <v>400</v>
      </c>
      <c r="BT96" s="220">
        <f t="shared" si="4"/>
        <v>4100</v>
      </c>
      <c r="BU96" s="219">
        <v>2100</v>
      </c>
      <c r="BV96" s="219">
        <v>2100</v>
      </c>
      <c r="BW96" s="219">
        <v>2100</v>
      </c>
      <c r="BX96" s="220">
        <f t="shared" si="5"/>
        <v>6300</v>
      </c>
      <c r="BY96" s="275">
        <v>1200</v>
      </c>
      <c r="BZ96" s="275">
        <v>1200</v>
      </c>
      <c r="CA96" s="275">
        <v>1200</v>
      </c>
      <c r="CB96" s="220">
        <f>SUM(Table1[[#This Row],[LEQ1]:[LEQ3]])</f>
        <v>3600</v>
      </c>
      <c r="CC96" s="269"/>
      <c r="CD96" s="269"/>
      <c r="CE96" s="269"/>
      <c r="CF96" s="220">
        <f>SUM(Table1[[#This Row],[OthCostQ1]:[OthCostQ3]])</f>
        <v>0</v>
      </c>
      <c r="CG96" s="220">
        <f>(Table1[[#This Row],[T&amp;FTot]]+Table1[[#This Row],[B&amp;STot]]+Table1[[#This Row],[HousTot]]+Table1[[#This Row],[LETot]]+Table1[[#This Row],[OthCostTot]])</f>
        <v>39515</v>
      </c>
      <c r="CH96" s="250"/>
      <c r="CI96" s="250"/>
      <c r="CJ96" s="250"/>
      <c r="CK96" s="251">
        <f>SUM(Table1[[#This Row],[SEOGQ1]:[SEOGQ3]])</f>
        <v>0</v>
      </c>
      <c r="CL96" s="250">
        <f>IFERROR(ROUNDUP(Table1[[#This Row],[PellTot]]/3,0),0)</f>
        <v>0</v>
      </c>
      <c r="CM96" s="250">
        <f>IFERROR(ROUND(Table1[[#This Row],[PellTot]]/3,0),0)</f>
        <v>0</v>
      </c>
      <c r="CN96" s="250">
        <f>IFERROR(ROUNDDOWN(Table1[[#This Row],[PellTot]]/3,0),0)</f>
        <v>0</v>
      </c>
      <c r="CO96" s="251">
        <f>IFERROR(LOOKUP(Table1[EFC],Pell_Table[#Data],Pell_Table[Pell Amt]),0)</f>
        <v>0</v>
      </c>
      <c r="CP96" s="250">
        <f>Table1[[#This Row],[AccessTot]]/3</f>
        <v>0</v>
      </c>
      <c r="CQ96" s="250">
        <f>Table1[[#This Row],[AccessTot]]/3</f>
        <v>0</v>
      </c>
      <c r="CR96" s="250">
        <f>Table1[[#This Row],[AccessTot]]/3</f>
        <v>0</v>
      </c>
      <c r="CS96" s="251">
        <f>IF(Table1[[#This Row],[PellTot]]&gt;0,1500,0)</f>
        <v>0</v>
      </c>
      <c r="CT96" s="250">
        <f>Table1[[#This Row],[AchiTot]]/3</f>
        <v>0</v>
      </c>
      <c r="CU96" s="250">
        <f>Table1[[#This Row],[AchiTot]]/3</f>
        <v>0</v>
      </c>
      <c r="CV96" s="250">
        <f>Table1[[#This Row],[AchiTot]]/3</f>
        <v>0</v>
      </c>
      <c r="CW96" s="252">
        <f>IF(Table1[[#This Row],[Rank]]="","",IF(Table1[[#This Row],[Rank]]=1,5100,IF(Table1[[#This Row],[Rank]]=2,4500,IF(Table1[[#This Row],[Rank]]=3,3900,IF(Table1[[#This Row],[Rank]]=4,3750,IF(Table1[[#This Row],[Rank]]=5,3000,IF(Table1[[#This Row],[Rank]]=6,2250,0)))))))</f>
        <v>0</v>
      </c>
      <c r="CX96" s="250">
        <f>Table1[[#This Row],[UTTot]]/3</f>
        <v>0</v>
      </c>
      <c r="CY96" s="250">
        <f>Table1[[#This Row],[UTTot]]/3</f>
        <v>0</v>
      </c>
      <c r="CZ96" s="250">
        <f>Table1[[#This Row],[UTTot]]/3</f>
        <v>0</v>
      </c>
      <c r="DA96" s="251">
        <f>IF(Table1[[#This Row],[State]]="UT",9000,0)</f>
        <v>0</v>
      </c>
      <c r="DB96" s="250">
        <f>Table1[[#This Row],[WITTot]]/3</f>
        <v>0</v>
      </c>
      <c r="DC96" s="250">
        <f>Table1[[#This Row],[WITTot]]/3</f>
        <v>0</v>
      </c>
      <c r="DD96" s="250">
        <f>Table1[[#This Row],[WITTot]]/3</f>
        <v>0</v>
      </c>
      <c r="DE96" s="251">
        <f>IF(Table1[[#This Row],[Gender]]="Female",3000,0)</f>
        <v>0</v>
      </c>
      <c r="DF96" s="250">
        <f>Table1[[#This Row],[SerTot]]/3</f>
        <v>0</v>
      </c>
      <c r="DG96" s="250">
        <f>Table1[[#This Row],[SerTot]]/3</f>
        <v>0</v>
      </c>
      <c r="DH96" s="250">
        <f>Table1[[#This Row],[SerTot]]/3</f>
        <v>0</v>
      </c>
      <c r="DI96" s="252"/>
      <c r="DJ96" s="250"/>
      <c r="DK96" s="250"/>
      <c r="DL96" s="250"/>
      <c r="DM96" s="252"/>
      <c r="DN96" s="250">
        <f>Table1[[#This Row],[MatTot]]/3</f>
        <v>0</v>
      </c>
      <c r="DO96" s="250">
        <f>Table1[[#This Row],[MatTot]]/3</f>
        <v>0</v>
      </c>
      <c r="DP96" s="250">
        <f>Table1[[#This Row],[MatTot]]/3</f>
        <v>0</v>
      </c>
      <c r="DQ96" s="252"/>
      <c r="DR96" s="250">
        <f>Table1[[#This Row],[OutTot]]/3</f>
        <v>0</v>
      </c>
      <c r="DS96" s="250">
        <f>Table1[[#This Row],[OutTot]]/3</f>
        <v>0</v>
      </c>
      <c r="DT96" s="250">
        <f>Table1[[#This Row],[OutTot]]/3</f>
        <v>0</v>
      </c>
      <c r="DU96" s="252"/>
      <c r="DV96" s="250"/>
      <c r="DW96" s="250"/>
      <c r="DX96" s="250"/>
      <c r="DY96" s="252">
        <f>SUM(Table1[[#This Row],[VAQ1]:[VAQ3]])</f>
        <v>0</v>
      </c>
      <c r="DZ96" s="250"/>
      <c r="EA96" s="250"/>
      <c r="EB96" s="250"/>
      <c r="EC96" s="270">
        <f>SUM(Table1[[#This Row],[OthGrantQ1]:[OthGrantQ3]])</f>
        <v>0</v>
      </c>
      <c r="ED96" s="263">
        <f>Table1[[#This Row],[SEOGTot]]+Table1[[#This Row],[PellTot]]+Table1[[#This Row],[AccessTot]]+Table1[[#This Row],[AchiTot]]+Table1[[#This Row],[UTTot]]+Table1[[#This Row],[WITTot]]+Table1[[#This Row],[SerTot]]+Table1[[#This Row],[TranTot]]+Table1[[#This Row],[MatTot]]+Table1[[#This Row],[OutTot]]+Table1[[#This Row],[VATot]]+Table1[[#This Row],[OthGrantTot]]</f>
        <v>0</v>
      </c>
      <c r="EE96" s="249"/>
      <c r="EF96" s="237"/>
      <c r="EG96" s="237"/>
      <c r="EH96" s="232">
        <f>SUM(Table1[[#This Row],[CashQ1]]:Table1[[#This Row],[CashQ3]])</f>
        <v>0</v>
      </c>
      <c r="EI96" s="271">
        <f>ROUND((Table1[[#This Row],[SubTot]]/3)/1.01059,0)</f>
        <v>0</v>
      </c>
      <c r="EJ96" s="234">
        <f>ROUND((Table1[[#This Row],[SubTot]]/3)/1.01059,0)</f>
        <v>0</v>
      </c>
      <c r="EK96" s="234">
        <f>ROUNDUP((Table1[[#This Row],[SubTot]]/3)/1.01059,0)</f>
        <v>0</v>
      </c>
      <c r="EL96" s="235"/>
      <c r="EM96" s="240">
        <f>Table1[[#This Row],[SubTot]]*0.01059</f>
        <v>0</v>
      </c>
      <c r="EN96" s="234">
        <f>ROUND((Table1[[#This Row],[UnsubTot]]/3)/1.01062,0)</f>
        <v>660</v>
      </c>
      <c r="EO96" s="234">
        <f>ROUND((Table1[[#This Row],[UnsubTot]]/3)/1.01062,0)</f>
        <v>660</v>
      </c>
      <c r="EP96" s="234">
        <f>ROUNDDOWN((Table1[[#This Row],[UnsubTot]]/3)/1.01062,0)</f>
        <v>659</v>
      </c>
      <c r="EQ96" s="235">
        <f>IF(Table1[D/I]="I",6000,2000)</f>
        <v>2000</v>
      </c>
      <c r="ER96" s="240">
        <f>Table1[[#This Row],[UnsubTot]]*0.01062</f>
        <v>21.24</v>
      </c>
      <c r="ES96" s="234">
        <f>ROUND((Table1[[#This Row],[PLUSTot]]/3)/1.04248,0)</f>
        <v>0</v>
      </c>
      <c r="ET96" s="234">
        <f>ROUND((Table1[[#This Row],[PLUSTot]]/3)/1.04248,0)</f>
        <v>0</v>
      </c>
      <c r="EU96" s="234">
        <f>ROUND((Table1[[#This Row],[PLUSTot]]/3)/1.04248,0)</f>
        <v>0</v>
      </c>
      <c r="EV96" s="235"/>
      <c r="EW96" s="239">
        <f>Table1[[#This Row],[PLUSTot]]*0.04248</f>
        <v>0</v>
      </c>
      <c r="EX96" s="237"/>
      <c r="EY96" s="237"/>
      <c r="EZ96" s="237"/>
      <c r="FA96" s="232">
        <f>SUM(Table1[[#This Row],[PrivQ1]:[PrivQ3]])</f>
        <v>0</v>
      </c>
      <c r="FB96" s="237"/>
      <c r="FC96" s="237"/>
      <c r="FD96" s="237"/>
      <c r="FE96" s="232">
        <f>SUM(Table1[[#This Row],[TOQ1]:[TOQ3]])</f>
        <v>0</v>
      </c>
      <c r="FF96" s="237"/>
      <c r="FG96" s="237"/>
      <c r="FH96" s="237"/>
      <c r="FI96" s="232">
        <f>SUM(Table1[[#This Row],[OFundQ1]:[OFundQ3]])</f>
        <v>0</v>
      </c>
      <c r="FJ96" s="239">
        <f>(Table1[[#This Row],[SubTot]]-Table1[[#This Row],[SubFee]])+(Table1[[#This Row],[UnsubTot]]-Table1[[#This Row],[UnsubFee]])+(Table1[[#This Row],[PLUSTot]]-Table1[[#This Row],[PLUSFee]])+Table1[[#This Row],[PrivTot]]+Table1[[#This Row],[TOTot]]+Table1[[#This Row],[OFundTot]]</f>
        <v>1978.76</v>
      </c>
      <c r="FK96" s="125">
        <f>Table1[[#This Row],[CostTot]]-Table1[[#This Row],[GiftTot]]</f>
        <v>39515</v>
      </c>
      <c r="FL96" s="130">
        <f>Table1[[#This Row],[NetNeed]]/(1-0.04248)</f>
        <v>39201.520594870075</v>
      </c>
      <c r="FM96" s="131">
        <f>Table1[[#This Row],[NetCost]]-Table1[[#This Row],[CashTot]]-(Table1[[#This Row],[SubTot]]-Table1[[#This Row],[SubFee]])-(Table1[[#This Row],[UnsubTot]]-Table1[[#This Row],[UnsubFee]])-(Table1[[#This Row],[PLUSTot]]-Table1[[#This Row],[PLUSFee]])-Table1[[#This Row],[PrivTot]]-Table1[[#This Row],[TOTot]]-Table1[[#This Row],[OFundTot]]</f>
        <v>37536.239999999998</v>
      </c>
      <c r="FN96" s="156"/>
      <c r="FO96" s="113"/>
      <c r="FP96" s="113"/>
    </row>
    <row r="97" spans="1:172" ht="15" x14ac:dyDescent="0.25">
      <c r="A97" s="311">
        <v>198662</v>
      </c>
      <c r="B97" s="113" t="str">
        <f>VLOOKUP(Table1[[#This Row],[SyStudentId]],SSR!$A$2:$CC$4982,4,FALSE)</f>
        <v>Reyes</v>
      </c>
      <c r="C97" s="113" t="str">
        <f>VLOOKUP(Table1[[#This Row],[SyStudentId]],SSR!$A$2:$CC$4982,5,FALSE)</f>
        <v>Isaac</v>
      </c>
      <c r="D97" s="113" t="str">
        <f>VLOOKUP(Table1[[#This Row],[SyStudentId]],SSR!$A$2:$CC$4982,6,FALSE)</f>
        <v>Reyes, Isaac</v>
      </c>
      <c r="E97" s="113" t="str">
        <f>CONCATENATE(Table1[[#This Row],[FirstName]]," ",Table1[[#This Row],[LastName]])</f>
        <v>Isaac Reyes</v>
      </c>
      <c r="F97" s="112">
        <v>2</v>
      </c>
      <c r="G97" s="114">
        <v>43802</v>
      </c>
      <c r="H97" s="114">
        <v>43802</v>
      </c>
      <c r="I97" s="114">
        <v>43802</v>
      </c>
      <c r="J97" s="115"/>
      <c r="K97" s="116"/>
      <c r="L97" s="112" t="str">
        <f>IFERROR(VLOOKUP(Table1[[#This Row],[SyStudentId]],ISIR!$A$2:$X$999,11,FALSE),"")</f>
        <v>D</v>
      </c>
      <c r="M97" s="113" t="str">
        <f>VLOOKUP(Table1[[#This Row],[SyStudentId]],SSR!$A$2:$CC$4982,7,FALSE)</f>
        <v>saacrey8@gmail.com</v>
      </c>
      <c r="N97" s="113" t="str">
        <f>VLOOKUP(Table1[[#This Row],[SyStudentId]],SSR!$A$2:$CC$4982,8,FALSE)</f>
        <v>6764 Browns Bay Ct</v>
      </c>
      <c r="O97" s="113" t="str">
        <f>VLOOKUP(Table1[[#This Row],[SyStudentId]],SSR!$A$2:$CC$4982,9,FALSE)</f>
        <v>Las Vegas</v>
      </c>
      <c r="P97" s="290" t="str">
        <f>VLOOKUP(Table1[[#This Row],[SyStudentId]],SSR!$A$2:$CC$4982,10,FALSE)</f>
        <v>NV</v>
      </c>
      <c r="Q97" s="117" t="str">
        <f>VLOOKUP(Table1[[#This Row],[SyStudentId]],SSR!$A$2:$CC$4982,11,FALSE)</f>
        <v xml:space="preserve">89149     </v>
      </c>
      <c r="R97" s="118">
        <f>VLOOKUP(Table1[[#This Row],[SyStudentId]],SSR!$A$2:$CC$4982,15,FALSE)</f>
        <v>3.5419999999999998</v>
      </c>
      <c r="S97" s="119">
        <f>VLOOKUP(Table1[[#This Row],[SyStudentId]],SSR!$A$2:$CC$4982,22,FALSE)</f>
        <v>44109</v>
      </c>
      <c r="T97" s="312" t="str">
        <f>VLOOKUP(Table1[[#This Row],[SyStudentId]],SSR!$A$2:$CC$4982,24,FALSE)</f>
        <v>JT</v>
      </c>
      <c r="U97" s="113" t="str">
        <f>IF(VLOOKUP(Table1[[#This Row],[SyStudentId]],SSR!$A$2:$CC$4982,26,FALSE)=0,"Not Selected",VLOOKUP(Table1[[#This Row],[SyStudentId]],SSR!$A$2:$CC$4982,26,FALSE))</f>
        <v>Male</v>
      </c>
      <c r="V97" s="113" t="str">
        <f>VLOOKUP(Table1[[#This Row],[SyStudentId]],SSR!$A$2:$CC$4982,27,FALSE)</f>
        <v xml:space="preserve">HS2020  </v>
      </c>
      <c r="W97" s="113" t="str">
        <f>VLOOKUP(LEFT(Table1[[#This Row],[LastName]],1),Alpha!$A$1:$B$26,2,FALSE)</f>
        <v>Maureen Ranks</v>
      </c>
      <c r="X97" s="149" t="str">
        <f>VLOOKUP(Table1[[#This Row],[FAA]],Alpha!$B$1:$D$26,2,FALSE)</f>
        <v>mranks@neumont.edu</v>
      </c>
      <c r="Y97" s="113">
        <f>VLOOKUP(Table1[[#This Row],[FAA]],Alpha!$B$1:$D$26,3,FALSE)</f>
        <v>8883022894</v>
      </c>
      <c r="Z97" s="113" t="str">
        <f>VLOOKUP(Table1[[#This Row],[SyStudentId]],SSR!$A$2:$CC$4982,30,FALSE)</f>
        <v>16-Accepted</v>
      </c>
      <c r="AA97" s="113" t="str">
        <f>IF(VLOOKUP(Table1[[#This Row],[SyStudentId]],SSR!$A$2:$CC$4982,36,FALSE)="Bachelor of Science","BS Computer Science","Check Program")</f>
        <v>BS Computer Science</v>
      </c>
      <c r="AB97" s="113" t="str">
        <f>VLOOKUP(Table1[[#This Row],[SyStudentId]],SSR!$A$2:$CC$4982,37,FALSE)</f>
        <v xml:space="preserve">23      </v>
      </c>
      <c r="AC97" s="113">
        <f>VLOOKUP(Table1[[#This Row],[SyStudentId]],SSR!$A$2:$CC$4982,42,FALSE)</f>
        <v>0</v>
      </c>
      <c r="AD97" s="113" t="str">
        <f>VLOOKUP(Table1[[#This Row],[SyStudentId]],SSR!$A$2:$CC$4982,46,FALSE)</f>
        <v>109</v>
      </c>
      <c r="AE97" s="113" t="str">
        <f>VLOOKUP(Table1[[#This Row],[SyStudentId]],SSR!$A$2:$CC$4982,65,FALSE)</f>
        <v>II</v>
      </c>
      <c r="AF97"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2</v>
      </c>
      <c r="AG97" s="113" t="str">
        <f>VLOOKUP(Table1[[#This Row],[SyStudentId]],SSR!$A$2:$CC$4982,66,FALSE)</f>
        <v>November</v>
      </c>
      <c r="AH97" s="113" t="str">
        <f>IFERROR(VLOOKUP(Table1[[#This Row],[SyStudentId]],ISIR!$A$2:$X$999,7,FALSE),"")</f>
        <v>029423</v>
      </c>
      <c r="AI97" s="121">
        <f>IF(Table1[[#This Row],[EFCRaw]]="","",IF(Table1[[#This Row],[EFCRaw]]="No EFC","No EFC",_xlfn.NUMBERVALUE(Table1[[#This Row],[EFCRaw]])))</f>
        <v>29423</v>
      </c>
      <c r="AJ97" s="119">
        <f>IFERROR(VLOOKUP(Table1[[#This Row],[SyStudentId]],ISIR!$A$2:$X$4999,19,FALSE),"")</f>
        <v>43774</v>
      </c>
      <c r="AK97" s="113" t="str">
        <f>IFERROR(VLOOKUP(Table1[[#This Row],[SyStudentId]],ISIR!$A$2:$X$4999,8,FALSE),"")</f>
        <v>N</v>
      </c>
      <c r="AL97" s="132" t="str">
        <f>IF(Table1[[#This Row],[VerReq]]="N","n/a","")</f>
        <v>n/a</v>
      </c>
      <c r="AM97" s="122"/>
      <c r="AN97" s="122"/>
      <c r="AO97" s="122">
        <v>43804</v>
      </c>
      <c r="AP97" s="122"/>
      <c r="AQ97" s="122"/>
      <c r="AR97" s="122"/>
      <c r="AS97" s="122"/>
      <c r="AT97" s="122"/>
      <c r="AU97" s="122"/>
      <c r="AV97" s="122"/>
      <c r="AW97" s="122"/>
      <c r="AX97" s="122"/>
      <c r="AY97" s="122"/>
      <c r="AZ97" s="122"/>
      <c r="BA97" s="122"/>
      <c r="BB97" s="122"/>
      <c r="BC97" s="148"/>
      <c r="BD97" s="140" t="str">
        <f>IF(Table1[[#This Row],[VerReq]]="N","x","")</f>
        <v>x</v>
      </c>
      <c r="BE97" s="140" t="str">
        <f>IF(Table1[[#This Row],[VerReq]]="N","x","")</f>
        <v>x</v>
      </c>
      <c r="BF97" s="140" t="str">
        <f>IF(Table1[[#This Row],[VerReq]]="N","x","")</f>
        <v>x</v>
      </c>
      <c r="BG97" s="140" t="str">
        <f>IF(Table1[[#This Row],[VerReq]]="N","x","")</f>
        <v>x</v>
      </c>
      <c r="BH97" s="140" t="str">
        <f>IF(Table1[[#This Row],[VerReq]]="N","x","")</f>
        <v>x</v>
      </c>
      <c r="BI97" s="140" t="str">
        <f>IF(Table1[[#This Row],[VerReq]]="N","x","")</f>
        <v>x</v>
      </c>
      <c r="BJ97" s="123">
        <f>1-((COUNTBLANK(Table1[[#This Row],[ALESent]:[TaxTran]]))/(COUNT(Table1[[#This Row],[ALESent]:[TaxTran]])+COUNTBLANK(Table1[[#This Row],[ALESent]:[TaxTran]])))</f>
        <v>5.8823529411764719E-2</v>
      </c>
      <c r="BK97" s="150">
        <f>IF(VLOOKUP(Table1[[#This Row],[SyStudentId]],SSR!$A$2:$CC$4982,22,FALSE)=44109,44109,"Check Program")</f>
        <v>44109</v>
      </c>
      <c r="BL97" s="124">
        <f>IF(Table1[[#This Row],[AYStart]]=44109,44356,"Check Program")</f>
        <v>44356</v>
      </c>
      <c r="BM97" s="219"/>
      <c r="BN97" s="219"/>
      <c r="BO97" s="219"/>
      <c r="BP97" s="220">
        <f t="shared" si="3"/>
        <v>0</v>
      </c>
      <c r="BQ97" s="221"/>
      <c r="BR97" s="219"/>
      <c r="BS97" s="219"/>
      <c r="BT97" s="220">
        <f t="shared" si="4"/>
        <v>0</v>
      </c>
      <c r="BU97" s="219"/>
      <c r="BV97" s="219"/>
      <c r="BW97" s="219"/>
      <c r="BX97" s="220">
        <f t="shared" si="5"/>
        <v>0</v>
      </c>
      <c r="BY97" s="275"/>
      <c r="BZ97" s="275"/>
      <c r="CA97" s="275"/>
      <c r="CB97" s="220">
        <f>SUM(Table1[[#This Row],[LEQ1]:[LEQ3]])</f>
        <v>0</v>
      </c>
      <c r="CC97" s="269"/>
      <c r="CD97" s="269"/>
      <c r="CE97" s="269"/>
      <c r="CF97" s="220">
        <f>SUM(Table1[[#This Row],[OthCostQ1]:[OthCostQ3]])</f>
        <v>0</v>
      </c>
      <c r="CG97" s="220">
        <f>(Table1[[#This Row],[T&amp;FTot]]+Table1[[#This Row],[B&amp;STot]]+Table1[[#This Row],[HousTot]]+Table1[[#This Row],[LETot]]+Table1[[#This Row],[OthCostTot]])</f>
        <v>0</v>
      </c>
      <c r="CH97" s="250"/>
      <c r="CI97" s="250"/>
      <c r="CJ97" s="250"/>
      <c r="CK97" s="251">
        <f>SUM(Table1[[#This Row],[SEOGQ1]:[SEOGQ3]])</f>
        <v>0</v>
      </c>
      <c r="CL97" s="250">
        <f>IFERROR(ROUNDUP(Table1[[#This Row],[PellTot]]/3,0),0)</f>
        <v>0</v>
      </c>
      <c r="CM97" s="250">
        <f>IFERROR(ROUND(Table1[[#This Row],[PellTot]]/3,0),0)</f>
        <v>0</v>
      </c>
      <c r="CN97" s="250">
        <f>IFERROR(ROUNDDOWN(Table1[[#This Row],[PellTot]]/3,0),0)</f>
        <v>0</v>
      </c>
      <c r="CO97" s="251">
        <f>IFERROR(LOOKUP(Table1[EFC],Pell_Table[#Data],Pell_Table[Pell Amt]),0)</f>
        <v>0</v>
      </c>
      <c r="CP97" s="250">
        <f>Table1[[#This Row],[AccessTot]]/3</f>
        <v>0</v>
      </c>
      <c r="CQ97" s="250">
        <f>Table1[[#This Row],[AccessTot]]/3</f>
        <v>0</v>
      </c>
      <c r="CR97" s="250">
        <f>Table1[[#This Row],[AccessTot]]/3</f>
        <v>0</v>
      </c>
      <c r="CS97" s="251">
        <f>IF(Table1[[#This Row],[PellTot]]&gt;0,1500,0)</f>
        <v>0</v>
      </c>
      <c r="CT97" s="250">
        <f>Table1[[#This Row],[AchiTot]]/3</f>
        <v>1500</v>
      </c>
      <c r="CU97" s="250">
        <f>Table1[[#This Row],[AchiTot]]/3</f>
        <v>1500</v>
      </c>
      <c r="CV97" s="250">
        <f>Table1[[#This Row],[AchiTot]]/3</f>
        <v>1500</v>
      </c>
      <c r="CW97" s="252">
        <f>IF(Table1[[#This Row],[Rank]]="","",IF(Table1[[#This Row],[Rank]]=1,5100,IF(Table1[[#This Row],[Rank]]=2,4500,IF(Table1[[#This Row],[Rank]]=3,3900,IF(Table1[[#This Row],[Rank]]=4,3750,IF(Table1[[#This Row],[Rank]]=5,3000,IF(Table1[[#This Row],[Rank]]=6,2250,0)))))))</f>
        <v>4500</v>
      </c>
      <c r="CX97" s="250">
        <f>Table1[[#This Row],[UTTot]]/3</f>
        <v>0</v>
      </c>
      <c r="CY97" s="250">
        <f>Table1[[#This Row],[UTTot]]/3</f>
        <v>0</v>
      </c>
      <c r="CZ97" s="250">
        <f>Table1[[#This Row],[UTTot]]/3</f>
        <v>0</v>
      </c>
      <c r="DA97" s="251">
        <f>IF(Table1[[#This Row],[State]]="UT",9000,0)</f>
        <v>0</v>
      </c>
      <c r="DB97" s="250">
        <f>Table1[[#This Row],[WITTot]]/3</f>
        <v>0</v>
      </c>
      <c r="DC97" s="250">
        <f>Table1[[#This Row],[WITTot]]/3</f>
        <v>0</v>
      </c>
      <c r="DD97" s="250">
        <f>Table1[[#This Row],[WITTot]]/3</f>
        <v>0</v>
      </c>
      <c r="DE97" s="251">
        <f>IF(Table1[[#This Row],[Gender]]="Female",3000,0)</f>
        <v>0</v>
      </c>
      <c r="DF97" s="250">
        <f>Table1[[#This Row],[SerTot]]/3</f>
        <v>0</v>
      </c>
      <c r="DG97" s="250">
        <f>Table1[[#This Row],[SerTot]]/3</f>
        <v>0</v>
      </c>
      <c r="DH97" s="250">
        <f>Table1[[#This Row],[SerTot]]/3</f>
        <v>0</v>
      </c>
      <c r="DI97" s="252"/>
      <c r="DJ97" s="250"/>
      <c r="DK97" s="250"/>
      <c r="DL97" s="250"/>
      <c r="DM97" s="252"/>
      <c r="DN97" s="250">
        <f>Table1[[#This Row],[MatTot]]/3</f>
        <v>0</v>
      </c>
      <c r="DO97" s="250">
        <f>Table1[[#This Row],[MatTot]]/3</f>
        <v>0</v>
      </c>
      <c r="DP97" s="250">
        <f>Table1[[#This Row],[MatTot]]/3</f>
        <v>0</v>
      </c>
      <c r="DQ97" s="252"/>
      <c r="DR97" s="250">
        <f>Table1[[#This Row],[OutTot]]/3</f>
        <v>0</v>
      </c>
      <c r="DS97" s="250">
        <f>Table1[[#This Row],[OutTot]]/3</f>
        <v>0</v>
      </c>
      <c r="DT97" s="250">
        <f>Table1[[#This Row],[OutTot]]/3</f>
        <v>0</v>
      </c>
      <c r="DU97" s="252"/>
      <c r="DV97" s="250"/>
      <c r="DW97" s="250"/>
      <c r="DX97" s="250"/>
      <c r="DY97" s="252">
        <f>SUM(Table1[[#This Row],[VAQ1]:[VAQ3]])</f>
        <v>0</v>
      </c>
      <c r="DZ97" s="250"/>
      <c r="EA97" s="250"/>
      <c r="EB97" s="250"/>
      <c r="EC97" s="270">
        <f>SUM(Table1[[#This Row],[OthGrantQ1]:[OthGrantQ3]])</f>
        <v>0</v>
      </c>
      <c r="ED97" s="263">
        <f>Table1[[#This Row],[SEOGTot]]+Table1[[#This Row],[PellTot]]+Table1[[#This Row],[AccessTot]]+Table1[[#This Row],[AchiTot]]+Table1[[#This Row],[UTTot]]+Table1[[#This Row],[WITTot]]+Table1[[#This Row],[SerTot]]+Table1[[#This Row],[TranTot]]+Table1[[#This Row],[MatTot]]+Table1[[#This Row],[OutTot]]+Table1[[#This Row],[VATot]]+Table1[[#This Row],[OthGrantTot]]</f>
        <v>4500</v>
      </c>
      <c r="EE97" s="249"/>
      <c r="EF97" s="237"/>
      <c r="EG97" s="237"/>
      <c r="EH97" s="232">
        <f>SUM(Table1[[#This Row],[CashQ1]]:Table1[[#This Row],[CashQ3]])</f>
        <v>0</v>
      </c>
      <c r="EI97" s="271">
        <f>ROUND((Table1[[#This Row],[SubTot]]/3)/1.01059,0)</f>
        <v>0</v>
      </c>
      <c r="EJ97" s="234">
        <f>ROUND((Table1[[#This Row],[SubTot]]/3)/1.01059,0)</f>
        <v>0</v>
      </c>
      <c r="EK97" s="234">
        <f>ROUNDUP((Table1[[#This Row],[SubTot]]/3)/1.01059,0)</f>
        <v>0</v>
      </c>
      <c r="EL97" s="235"/>
      <c r="EM97" s="240">
        <f>Table1[[#This Row],[SubTot]]*0.01059</f>
        <v>0</v>
      </c>
      <c r="EN97" s="234">
        <f>ROUND((Table1[[#This Row],[UnsubTot]]/3)/1.01062,0)</f>
        <v>660</v>
      </c>
      <c r="EO97" s="234">
        <f>ROUND((Table1[[#This Row],[UnsubTot]]/3)/1.01062,0)</f>
        <v>660</v>
      </c>
      <c r="EP97" s="234">
        <f>ROUNDDOWN((Table1[[#This Row],[UnsubTot]]/3)/1.01062,0)</f>
        <v>659</v>
      </c>
      <c r="EQ97" s="235">
        <f>IF(Table1[D/I]="I",6000,2000)</f>
        <v>2000</v>
      </c>
      <c r="ER97" s="240">
        <f>Table1[[#This Row],[UnsubTot]]*0.01062</f>
        <v>21.24</v>
      </c>
      <c r="ES97" s="234">
        <f>ROUND((Table1[[#This Row],[PLUSTot]]/3)/1.04248,0)</f>
        <v>0</v>
      </c>
      <c r="ET97" s="234">
        <f>ROUND((Table1[[#This Row],[PLUSTot]]/3)/1.04248,0)</f>
        <v>0</v>
      </c>
      <c r="EU97" s="234">
        <f>ROUND((Table1[[#This Row],[PLUSTot]]/3)/1.04248,0)</f>
        <v>0</v>
      </c>
      <c r="EV97" s="235"/>
      <c r="EW97" s="239">
        <f>Table1[[#This Row],[PLUSTot]]*0.04248</f>
        <v>0</v>
      </c>
      <c r="EX97" s="237"/>
      <c r="EY97" s="237"/>
      <c r="EZ97" s="237"/>
      <c r="FA97" s="232">
        <f>SUM(Table1[[#This Row],[PrivQ1]:[PrivQ3]])</f>
        <v>0</v>
      </c>
      <c r="FB97" s="237"/>
      <c r="FC97" s="237"/>
      <c r="FD97" s="237"/>
      <c r="FE97" s="232">
        <f>SUM(Table1[[#This Row],[TOQ1]:[TOQ3]])</f>
        <v>0</v>
      </c>
      <c r="FF97" s="237"/>
      <c r="FG97" s="237"/>
      <c r="FH97" s="237"/>
      <c r="FI97" s="232">
        <f>SUM(Table1[[#This Row],[OFundQ1]:[OFundQ3]])</f>
        <v>0</v>
      </c>
      <c r="FJ97" s="239">
        <f>(Table1[[#This Row],[SubTot]]-Table1[[#This Row],[SubFee]])+(Table1[[#This Row],[UnsubTot]]-Table1[[#This Row],[UnsubFee]])+(Table1[[#This Row],[PLUSTot]]-Table1[[#This Row],[PLUSFee]])+Table1[[#This Row],[PrivTot]]+Table1[[#This Row],[TOTot]]+Table1[[#This Row],[OFundTot]]</f>
        <v>1978.76</v>
      </c>
      <c r="FK97" s="125">
        <f>Table1[[#This Row],[CostTot]]-Table1[[#This Row],[GiftTot]]</f>
        <v>-4500</v>
      </c>
      <c r="FL97" s="130">
        <f>Table1[[#This Row],[NetNeed]]/(1-0.04248)</f>
        <v>-6766.1876514328678</v>
      </c>
      <c r="FM97" s="131">
        <f>Table1[[#This Row],[NetCost]]-Table1[[#This Row],[CashTot]]-(Table1[[#This Row],[SubTot]]-Table1[[#This Row],[SubFee]])-(Table1[[#This Row],[UnsubTot]]-Table1[[#This Row],[UnsubFee]])-(Table1[[#This Row],[PLUSTot]]-Table1[[#This Row],[PLUSFee]])-Table1[[#This Row],[PrivTot]]-Table1[[#This Row],[TOTot]]-Table1[[#This Row],[OFundTot]]</f>
        <v>-6478.76</v>
      </c>
      <c r="FN97" s="156"/>
      <c r="FO97" s="113"/>
      <c r="FP97" s="113"/>
    </row>
    <row r="98" spans="1:172" ht="15" x14ac:dyDescent="0.25">
      <c r="A98" s="267">
        <v>195250</v>
      </c>
      <c r="B98" s="160" t="str">
        <f>VLOOKUP(Table1[[#This Row],[SyStudentId]],SSR!$A$2:$CC$4982,4,FALSE)</f>
        <v>Reyes</v>
      </c>
      <c r="C98" s="160" t="str">
        <f>VLOOKUP(Table1[[#This Row],[SyStudentId]],SSR!$A$2:$CC$4982,5,FALSE)</f>
        <v>Shawn</v>
      </c>
      <c r="D98" s="160" t="str">
        <f>VLOOKUP(Table1[[#This Row],[SyStudentId]],SSR!$A$2:$CC$4982,6,FALSE)</f>
        <v>Reyes, Shawn</v>
      </c>
      <c r="E98" s="113" t="str">
        <f>CONCATENATE(Table1[[#This Row],[FirstName]]," ",Table1[[#This Row],[LastName]])</f>
        <v>Shawn Reyes</v>
      </c>
      <c r="F98" s="158">
        <v>1</v>
      </c>
      <c r="G98" s="114"/>
      <c r="H98" s="114"/>
      <c r="I98" s="114">
        <v>43803</v>
      </c>
      <c r="J98" s="163"/>
      <c r="K98" s="164"/>
      <c r="L98" s="158" t="str">
        <f>IFERROR(VLOOKUP(Table1[[#This Row],[SyStudentId]],ISIR!$A$2:$X$4999,11,FALSE),"")</f>
        <v>D</v>
      </c>
      <c r="M98" s="160" t="str">
        <f>VLOOKUP(Table1[[#This Row],[SyStudentId]],SSR!$A$2:$CC$4982,7,FALSE)</f>
        <v>snreyes223@gmail.com</v>
      </c>
      <c r="N98" s="160" t="str">
        <f>VLOOKUP(Table1[[#This Row],[SyStudentId]],SSR!$A$2:$CC$4982,8,FALSE)</f>
        <v>28169 Saint Tropez PL.</v>
      </c>
      <c r="O98" s="160" t="str">
        <f>VLOOKUP(Table1[[#This Row],[SyStudentId]],SSR!$A$2:$CC$4982,9,FALSE)</f>
        <v>Hayward</v>
      </c>
      <c r="P98" s="300" t="str">
        <f>VLOOKUP(Table1[[#This Row],[SyStudentId]],SSR!$A$2:$CC$4982,10,FALSE)</f>
        <v>CA</v>
      </c>
      <c r="Q98" s="165" t="str">
        <f>VLOOKUP(Table1[[#This Row],[SyStudentId]],SSR!$A$2:$CC$4982,11,FALSE)</f>
        <v xml:space="preserve">94544     </v>
      </c>
      <c r="R98" s="166">
        <f>VLOOKUP(Table1[[#This Row],[SyStudentId]],SSR!$A$2:$CC$4982,15,FALSE)</f>
        <v>3.19</v>
      </c>
      <c r="S98" s="167">
        <f>VLOOKUP(Table1[[#This Row],[SyStudentId]],SSR!$A$2:$CC$4982,22,FALSE)</f>
        <v>44109</v>
      </c>
      <c r="T98" s="160" t="str">
        <f>VLOOKUP(Table1[[#This Row],[SyStudentId]],SSR!$A$2:$CC$4982,24,FALSE)</f>
        <v>JT</v>
      </c>
      <c r="U98" s="160" t="str">
        <f>IF(VLOOKUP(Table1[[#This Row],[SyStudentId]],SSR!$A$2:$CC$4982,26,FALSE)=0,"Not Selected",VLOOKUP(Table1[[#This Row],[SyStudentId]],SSR!$A$2:$CC$4982,26,FALSE))</f>
        <v>Male</v>
      </c>
      <c r="V98" s="160" t="str">
        <f>VLOOKUP(Table1[[#This Row],[SyStudentId]],SSR!$A$2:$CC$4982,27,FALSE)</f>
        <v xml:space="preserve">HS2020  </v>
      </c>
      <c r="W98" s="160" t="str">
        <f>VLOOKUP(LEFT(Table1[[#This Row],[LastName]],1),Alpha!$A$1:$B$26,2,FALSE)</f>
        <v>Maureen Ranks</v>
      </c>
      <c r="X98" s="168" t="str">
        <f>VLOOKUP(Table1[[#This Row],[FAA]],Alpha!$B$1:$D$26,2,FALSE)</f>
        <v>mranks@neumont.edu</v>
      </c>
      <c r="Y98" s="160">
        <f>VLOOKUP(Table1[[#This Row],[FAA]],Alpha!$B$1:$D$26,3,FALSE)</f>
        <v>8883022894</v>
      </c>
      <c r="Z98" s="160" t="str">
        <f>VLOOKUP(Table1[[#This Row],[SyStudentId]],SSR!$A$2:$CC$4982,30,FALSE)</f>
        <v>16-Accepted</v>
      </c>
      <c r="AA98" s="160" t="str">
        <f>IF(VLOOKUP(Table1[[#This Row],[SyStudentId]],SSR!$A$2:$CC$4982,36,FALSE)="Bachelor of Science","BS Computer Science","Check Program")</f>
        <v>BS Computer Science</v>
      </c>
      <c r="AB98" s="160">
        <f>VLOOKUP(Table1[[#This Row],[SyStudentId]],SSR!$A$2:$CC$4982,37,FALSE)</f>
        <v>0</v>
      </c>
      <c r="AC98" s="160">
        <f>VLOOKUP(Table1[[#This Row],[SyStudentId]],SSR!$A$2:$CC$4982,42,FALSE)</f>
        <v>0</v>
      </c>
      <c r="AD98" s="160" t="str">
        <f>VLOOKUP(Table1[[#This Row],[SyStudentId]],SSR!$A$2:$CC$4982,46,FALSE)</f>
        <v>0</v>
      </c>
      <c r="AE98" s="160" t="str">
        <f>VLOOKUP(Table1[[#This Row],[SyStudentId]],SSR!$A$2:$CC$4982,65,FALSE)</f>
        <v>VIII</v>
      </c>
      <c r="AF98"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98" s="160" t="str">
        <f>VLOOKUP(Table1[[#This Row],[SyStudentId]],SSR!$A$2:$CC$4982,66,FALSE)</f>
        <v>July-October</v>
      </c>
      <c r="AH98" s="160" t="str">
        <f>IFERROR(VLOOKUP(Table1[[#This Row],[SyStudentId]],ISIR!$A$2:$X$1999,7,FALSE),"")</f>
        <v>015604</v>
      </c>
      <c r="AI98" s="170">
        <f>IF(Table1[[#This Row],[EFCRaw]]="","",IF(Table1[[#This Row],[EFCRaw]]="No EFC","No EFC",_xlfn.NUMBERVALUE(Table1[[#This Row],[EFCRaw]])))</f>
        <v>15604</v>
      </c>
      <c r="AJ98" s="167">
        <f>IFERROR(VLOOKUP(Table1[[#This Row],[SyStudentId]],ISIR!$A$2:$X$4999,19,FALSE),"")</f>
        <v>43790</v>
      </c>
      <c r="AK98" s="160" t="str">
        <f>IFERROR(VLOOKUP(Table1[[#This Row],[SyStudentId]],ISIR!$A$2:$X$4999,8,FALSE),"")</f>
        <v>N</v>
      </c>
      <c r="AL98" s="171" t="str">
        <f>IF(Table1[[#This Row],[VerReq]]="N","n/a","")</f>
        <v>n/a</v>
      </c>
      <c r="AM98" s="122"/>
      <c r="AN98" s="122"/>
      <c r="AO98" s="122"/>
      <c r="AP98" s="122"/>
      <c r="AQ98" s="122"/>
      <c r="AR98" s="122"/>
      <c r="AS98" s="122"/>
      <c r="AT98" s="122"/>
      <c r="AU98" s="122"/>
      <c r="AV98" s="122"/>
      <c r="AW98" s="122"/>
      <c r="AX98" s="122"/>
      <c r="AY98" s="122"/>
      <c r="AZ98" s="122"/>
      <c r="BA98" s="122"/>
      <c r="BB98" s="122"/>
      <c r="BC98" s="148"/>
      <c r="BD98" s="140" t="str">
        <f>IF(Table1[[#This Row],[VerReq]]="N","x","")</f>
        <v>x</v>
      </c>
      <c r="BE98" s="140" t="str">
        <f>IF(Table1[[#This Row],[VerReq]]="N","x","")</f>
        <v>x</v>
      </c>
      <c r="BF98" s="140" t="str">
        <f>IF(Table1[[#This Row],[VerReq]]="N","x","")</f>
        <v>x</v>
      </c>
      <c r="BG98" s="140" t="str">
        <f>IF(Table1[[#This Row],[VerReq]]="N","x","")</f>
        <v>x</v>
      </c>
      <c r="BH98" s="140" t="str">
        <f>IF(Table1[[#This Row],[VerReq]]="N","x","")</f>
        <v>x</v>
      </c>
      <c r="BI98" s="140" t="str">
        <f>IF(Table1[[#This Row],[VerReq]]="N","x","")</f>
        <v>x</v>
      </c>
      <c r="BJ98" s="181">
        <f>1-((COUNTBLANK(Table1[[#This Row],[ALESent]:[TaxTran]]))/(COUNT(Table1[[#This Row],[ALESent]:[TaxTran]])+COUNTBLANK(Table1[[#This Row],[ALESent]:[TaxTran]])))</f>
        <v>0</v>
      </c>
      <c r="BK98" s="216">
        <f>IF(VLOOKUP(Table1[[#This Row],[SyStudentId]],SSR!$A$2:$CC$4982,22,FALSE)=44109,44109,"Check Program")</f>
        <v>44109</v>
      </c>
      <c r="BL98" s="173">
        <f>IF(Table1[[#This Row],[AYStart]]=44109,44356,"Check Program")</f>
        <v>44356</v>
      </c>
      <c r="BM98" s="219">
        <v>8505</v>
      </c>
      <c r="BN98" s="219">
        <v>8505</v>
      </c>
      <c r="BO98" s="219">
        <v>8505</v>
      </c>
      <c r="BP98" s="220">
        <f t="shared" si="3"/>
        <v>25515</v>
      </c>
      <c r="BQ98" s="221">
        <v>3300</v>
      </c>
      <c r="BR98" s="219">
        <v>400</v>
      </c>
      <c r="BS98" s="219">
        <v>400</v>
      </c>
      <c r="BT98" s="222">
        <f t="shared" si="4"/>
        <v>4100</v>
      </c>
      <c r="BU98" s="219">
        <v>2100</v>
      </c>
      <c r="BV98" s="219">
        <v>2100</v>
      </c>
      <c r="BW98" s="219">
        <v>2100</v>
      </c>
      <c r="BX98" s="222">
        <f t="shared" si="5"/>
        <v>6300</v>
      </c>
      <c r="BY98" s="275">
        <v>1200</v>
      </c>
      <c r="BZ98" s="275">
        <v>1200</v>
      </c>
      <c r="CA98" s="275">
        <v>1200</v>
      </c>
      <c r="CB98" s="222">
        <f>SUM(Table1[[#This Row],[LEQ1]:[LEQ3]])</f>
        <v>3600</v>
      </c>
      <c r="CC98" s="276">
        <v>0</v>
      </c>
      <c r="CD98" s="276">
        <v>0</v>
      </c>
      <c r="CE98" s="276">
        <v>0</v>
      </c>
      <c r="CF98" s="222">
        <f>SUM(Table1[[#This Row],[OthCostQ1]:[OthCostQ3]])</f>
        <v>0</v>
      </c>
      <c r="CG98" s="222">
        <f>(Table1[[#This Row],[T&amp;FTot]]+Table1[[#This Row],[B&amp;STot]]+Table1[[#This Row],[HousTot]]+Table1[[#This Row],[LETot]]+Table1[[#This Row],[OthCostTot]])</f>
        <v>39515</v>
      </c>
      <c r="CH98" s="253">
        <v>0</v>
      </c>
      <c r="CI98" s="253">
        <v>0</v>
      </c>
      <c r="CJ98" s="253">
        <v>0</v>
      </c>
      <c r="CK98" s="254">
        <f>SUM(Table1[[#This Row],[SEOGQ1]:[SEOGQ3]])</f>
        <v>0</v>
      </c>
      <c r="CL98" s="253">
        <f>IFERROR(ROUNDUP(Table1[[#This Row],[PellTot]]/3,0),0)</f>
        <v>0</v>
      </c>
      <c r="CM98" s="253">
        <f>IFERROR(ROUND(Table1[[#This Row],[PellTot]]/3,0),0)</f>
        <v>0</v>
      </c>
      <c r="CN98" s="253">
        <f>IFERROR(ROUNDDOWN(Table1[[#This Row],[PellTot]]/3,0),0)</f>
        <v>0</v>
      </c>
      <c r="CO98" s="254">
        <f>IFERROR(LOOKUP(Table1[EFC],Pell_Table[#Data],Pell_Table[Pell Amt]),0)</f>
        <v>0</v>
      </c>
      <c r="CP98" s="253">
        <f>Table1[[#This Row],[AccessTot]]/3</f>
        <v>0</v>
      </c>
      <c r="CQ98" s="253">
        <f>Table1[[#This Row],[AccessTot]]/3</f>
        <v>0</v>
      </c>
      <c r="CR98" s="253">
        <f>Table1[[#This Row],[AccessTot]]/3</f>
        <v>0</v>
      </c>
      <c r="CS98" s="254">
        <f>IF(Table1[[#This Row],[PellTot]]&gt;0,1500,0)</f>
        <v>0</v>
      </c>
      <c r="CT98" s="253">
        <f>Table1[[#This Row],[AchiTot]]/3</f>
        <v>0</v>
      </c>
      <c r="CU98" s="253">
        <f>Table1[[#This Row],[AchiTot]]/3</f>
        <v>0</v>
      </c>
      <c r="CV98" s="253">
        <f>Table1[[#This Row],[AchiTot]]/3</f>
        <v>0</v>
      </c>
      <c r="CW98" s="255">
        <f>IF(Table1[[#This Row],[Rank]]="","",IF(Table1[[#This Row],[Rank]]=1,5100,IF(Table1[[#This Row],[Rank]]=2,4500,IF(Table1[[#This Row],[Rank]]=3,3900,IF(Table1[[#This Row],[Rank]]=4,3750,IF(Table1[[#This Row],[Rank]]=5,3000,IF(Table1[[#This Row],[Rank]]=6,2250,0)))))))</f>
        <v>0</v>
      </c>
      <c r="CX98" s="253">
        <f>Table1[[#This Row],[UTTot]]/3</f>
        <v>0</v>
      </c>
      <c r="CY98" s="253">
        <f>Table1[[#This Row],[UTTot]]/3</f>
        <v>0</v>
      </c>
      <c r="CZ98" s="253">
        <f>Table1[[#This Row],[UTTot]]/3</f>
        <v>0</v>
      </c>
      <c r="DA98" s="254">
        <f>IF(Table1[[#This Row],[State]]="UT",9000,0)</f>
        <v>0</v>
      </c>
      <c r="DB98" s="253">
        <f>Table1[[#This Row],[WITTot]]/3</f>
        <v>0</v>
      </c>
      <c r="DC98" s="253">
        <f>Table1[[#This Row],[WITTot]]/3</f>
        <v>0</v>
      </c>
      <c r="DD98" s="253">
        <f>Table1[[#This Row],[WITTot]]/3</f>
        <v>0</v>
      </c>
      <c r="DE98" s="254">
        <f>IF(Table1[[#This Row],[Gender]]="Female",3000,0)</f>
        <v>0</v>
      </c>
      <c r="DF98" s="253">
        <f>Table1[[#This Row],[SerTot]]/3</f>
        <v>0</v>
      </c>
      <c r="DG98" s="253">
        <f>Table1[[#This Row],[SerTot]]/3</f>
        <v>0</v>
      </c>
      <c r="DH98" s="253">
        <f>Table1[[#This Row],[SerTot]]/3</f>
        <v>0</v>
      </c>
      <c r="DI98" s="255">
        <v>0</v>
      </c>
      <c r="DJ98" s="253">
        <f>IFERROR(ROUNDUP(Table1[[#This Row],[TranTot]]/3,0),0)</f>
        <v>0</v>
      </c>
      <c r="DK98" s="253">
        <f>IFERROR(ROUND(Table1[[#This Row],[TranTot]]/3,0),0)</f>
        <v>0</v>
      </c>
      <c r="DL98" s="253">
        <f>IFERROR(ROUNDDOWN(Table1[[#This Row],[TranTot]]/3,0),0)</f>
        <v>0</v>
      </c>
      <c r="DM98" s="255">
        <v>0</v>
      </c>
      <c r="DN98" s="253">
        <f>Table1[[#This Row],[MatTot]]/3</f>
        <v>0</v>
      </c>
      <c r="DO98" s="253">
        <f>Table1[[#This Row],[MatTot]]/3</f>
        <v>0</v>
      </c>
      <c r="DP98" s="253">
        <f>Table1[[#This Row],[MatTot]]/3</f>
        <v>0</v>
      </c>
      <c r="DQ98" s="255">
        <v>0</v>
      </c>
      <c r="DR98" s="253">
        <f>Table1[[#This Row],[OutTot]]/3</f>
        <v>0</v>
      </c>
      <c r="DS98" s="253">
        <f>Table1[[#This Row],[OutTot]]/3</f>
        <v>0</v>
      </c>
      <c r="DT98" s="253">
        <f>Table1[[#This Row],[OutTot]]/3</f>
        <v>0</v>
      </c>
      <c r="DU98" s="255">
        <v>0</v>
      </c>
      <c r="DV98" s="253">
        <v>0</v>
      </c>
      <c r="DW98" s="253">
        <v>0</v>
      </c>
      <c r="DX98" s="253">
        <v>0</v>
      </c>
      <c r="DY98" s="255">
        <f>SUM(Table1[[#This Row],[VAQ1]:[VAQ3]])</f>
        <v>0</v>
      </c>
      <c r="DZ98" s="253">
        <v>0</v>
      </c>
      <c r="EA98" s="253">
        <v>0</v>
      </c>
      <c r="EB98" s="253">
        <v>0</v>
      </c>
      <c r="EC98" s="278">
        <f>SUM(Table1[[#This Row],[OthGrantQ1]:[OthGrantQ3]])</f>
        <v>0</v>
      </c>
      <c r="ED98" s="264">
        <f>Table1[[#This Row],[SEOGTot]]+Table1[[#This Row],[PellTot]]+Table1[[#This Row],[AccessTot]]+Table1[[#This Row],[AchiTot]]+Table1[[#This Row],[UTTot]]+Table1[[#This Row],[WITTot]]+Table1[[#This Row],[SerTot]]+Table1[[#This Row],[TranTot]]+Table1[[#This Row],[MatTot]]+Table1[[#This Row],[OutTot]]+Table1[[#This Row],[VATot]]+Table1[[#This Row],[OthGrantTot]]</f>
        <v>0</v>
      </c>
      <c r="EE98" s="226">
        <v>0</v>
      </c>
      <c r="EF98" s="227">
        <v>0</v>
      </c>
      <c r="EG98" s="227">
        <v>0</v>
      </c>
      <c r="EH98" s="228">
        <f>SUM(Table1[[#This Row],[CashQ1]]:Table1[[#This Row],[CashQ3]])</f>
        <v>0</v>
      </c>
      <c r="EI98" s="229">
        <f>ROUND((Table1[[#This Row],[SubTot]]/3)/1.01059,0)</f>
        <v>1154</v>
      </c>
      <c r="EJ98" s="230">
        <f>ROUND((Table1[[#This Row],[SubTot]]/3)/1.01059,0)</f>
        <v>1154</v>
      </c>
      <c r="EK98" s="230">
        <f>ROUNDUP((Table1[[#This Row],[SubTot]]/3)/1.01059,0)</f>
        <v>1155</v>
      </c>
      <c r="EL98" s="231">
        <v>3500</v>
      </c>
      <c r="EM98" s="233">
        <f>Table1[[#This Row],[SubTot]]*0.01059</f>
        <v>37.065000000000005</v>
      </c>
      <c r="EN98" s="230">
        <f>ROUND((Table1[[#This Row],[UnsubTot]]/3)/1.01062,0)</f>
        <v>660</v>
      </c>
      <c r="EO98" s="230">
        <f>ROUND((Table1[[#This Row],[UnsubTot]]/3)/1.01062,0)</f>
        <v>660</v>
      </c>
      <c r="EP98" s="230">
        <f>ROUNDDOWN((Table1[[#This Row],[UnsubTot]]/3)/1.01062,0)</f>
        <v>659</v>
      </c>
      <c r="EQ98" s="231">
        <f>IF(Table1[D/I]="I",6000,2000)</f>
        <v>2000</v>
      </c>
      <c r="ER98" s="233">
        <f>Table1[[#This Row],[UnsubTot]]*0.01059</f>
        <v>21.18</v>
      </c>
      <c r="ES98" s="230">
        <f>ROUND((Table1[[#This Row],[PLUSTot]]/3)/1.04236,0)</f>
        <v>0</v>
      </c>
      <c r="ET98" s="230">
        <f>ROUND((Table1[[#This Row],[PLUSTot]]/3)/1.04236,0)</f>
        <v>0</v>
      </c>
      <c r="EU98" s="230">
        <f>ROUND((Table1[[#This Row],[PLUSTot]]/3)/1.04236,0)</f>
        <v>0</v>
      </c>
      <c r="EV98" s="231">
        <v>0</v>
      </c>
      <c r="EW98" s="236">
        <f>Table1[[#This Row],[PLUSTot]]*0.04236</f>
        <v>0</v>
      </c>
      <c r="EX98" s="227"/>
      <c r="EY98" s="227"/>
      <c r="EZ98" s="227"/>
      <c r="FA98" s="228">
        <f>SUM(Table1[[#This Row],[PrivQ1]:[PrivQ3]])</f>
        <v>0</v>
      </c>
      <c r="FB98" s="227"/>
      <c r="FC98" s="227"/>
      <c r="FD98" s="227"/>
      <c r="FE98" s="228">
        <f>SUM(Table1[[#This Row],[TOQ1]:[TOQ3]])</f>
        <v>0</v>
      </c>
      <c r="FF98" s="227"/>
      <c r="FG98" s="227"/>
      <c r="FH98" s="227"/>
      <c r="FI98" s="228">
        <f>SUM(Table1[[#This Row],[OFundQ1]:[OFundQ3]])</f>
        <v>0</v>
      </c>
      <c r="FJ98" s="236">
        <f>(Table1[[#This Row],[SubTot]]-Table1[[#This Row],[SubFee]])+(Table1[[#This Row],[UnsubTot]]-Table1[[#This Row],[UnsubFee]])+(Table1[[#This Row],[PLUSTot]]-Table1[[#This Row],[PLUSFee]])+Table1[[#This Row],[PrivTot]]+Table1[[#This Row],[TOTot]]+Table1[[#This Row],[OFundTot]]</f>
        <v>5441.7550000000001</v>
      </c>
      <c r="FK98" s="159">
        <f>Table1[[#This Row],[CostTot]]-Table1[[#This Row],[GiftTot]]</f>
        <v>39515</v>
      </c>
      <c r="FL98" s="174">
        <f>Table1[[#This Row],[NetNeed]]/(1-0.04236)</f>
        <v>35580.43210392214</v>
      </c>
      <c r="FM98" s="176">
        <f>Table1[[#This Row],[NetCost]]-Table1[[#This Row],[CashTot]]-(Table1[[#This Row],[SubTot]]-Table1[[#This Row],[SubFee]])-(Table1[[#This Row],[UnsubTot]]-Table1[[#This Row],[UnsubFee]])-(Table1[[#This Row],[PLUSTot]]-Table1[[#This Row],[PLUSFee]])-Table1[[#This Row],[PrivTot]]-Table1[[#This Row],[TOTot]]-Table1[[#This Row],[OFundTot]]</f>
        <v>34073.245000000003</v>
      </c>
      <c r="FN98" s="217"/>
      <c r="FO98" s="162"/>
      <c r="FP98" s="162"/>
    </row>
    <row r="99" spans="1:172" ht="15" x14ac:dyDescent="0.25">
      <c r="A99" s="311">
        <v>196116</v>
      </c>
      <c r="B99" s="113" t="str">
        <f>VLOOKUP(Table1[[#This Row],[SyStudentId]],SSR!$A$2:$CC$4982,4,FALSE)</f>
        <v>Richardson</v>
      </c>
      <c r="C99" s="113" t="str">
        <f>VLOOKUP(Table1[[#This Row],[SyStudentId]],SSR!$A$2:$CC$4982,5,FALSE)</f>
        <v>Mark</v>
      </c>
      <c r="D99" s="113" t="str">
        <f>VLOOKUP(Table1[[#This Row],[SyStudentId]],SSR!$A$2:$CC$4982,6,FALSE)</f>
        <v>Richardson, Mark</v>
      </c>
      <c r="E99" s="113" t="str">
        <f>CONCATENATE(Table1[[#This Row],[FirstName]]," ",Table1[[#This Row],[LastName]])</f>
        <v>Mark Richardson</v>
      </c>
      <c r="F99" s="112">
        <v>1</v>
      </c>
      <c r="G99" s="114">
        <v>43759</v>
      </c>
      <c r="H99" s="114">
        <v>43776</v>
      </c>
      <c r="I99" s="114">
        <v>43776</v>
      </c>
      <c r="J99" s="115"/>
      <c r="K99" s="116"/>
      <c r="L99" s="112" t="str">
        <f>IFERROR(VLOOKUP(Table1[[#This Row],[SyStudentId]],ISIR!$A$2:$X$999,11,FALSE),"")</f>
        <v>D</v>
      </c>
      <c r="M99" s="113" t="str">
        <f>VLOOKUP(Table1[[#This Row],[SyStudentId]],SSR!$A$2:$CC$4982,7,FALSE)</f>
        <v>Mr.legoman@yahoo.com</v>
      </c>
      <c r="N99" s="113" t="str">
        <f>VLOOKUP(Table1[[#This Row],[SyStudentId]],SSR!$A$2:$CC$4982,8,FALSE)</f>
        <v>408 East RailRoad Street</v>
      </c>
      <c r="O99" s="113" t="str">
        <f>VLOOKUP(Table1[[#This Row],[SyStudentId]],SSR!$A$2:$CC$4982,9,FALSE)</f>
        <v>Sheffield</v>
      </c>
      <c r="P99" s="292" t="str">
        <f>VLOOKUP(Table1[[#This Row],[SyStudentId]],SSR!$A$2:$CC$4982,10,FALSE)</f>
        <v>IL</v>
      </c>
      <c r="Q99" s="117" t="str">
        <f>VLOOKUP(Table1[[#This Row],[SyStudentId]],SSR!$A$2:$CC$4982,11,FALSE)</f>
        <v xml:space="preserve">61361     </v>
      </c>
      <c r="R99" s="118">
        <f>VLOOKUP(Table1[[#This Row],[SyStudentId]],SSR!$A$2:$CC$4982,15,FALSE)</f>
        <v>3.56</v>
      </c>
      <c r="S99" s="119">
        <f>VLOOKUP(Table1[[#This Row],[SyStudentId]],SSR!$A$2:$CC$4982,22,FALSE)</f>
        <v>44109</v>
      </c>
      <c r="T99" s="113" t="str">
        <f>VLOOKUP(Table1[[#This Row],[SyStudentId]],SSR!$A$2:$CC$4982,24,FALSE)</f>
        <v>JT</v>
      </c>
      <c r="U99" s="113" t="str">
        <f>IF(VLOOKUP(Table1[[#This Row],[SyStudentId]],SSR!$A$2:$CC$4982,26,FALSE)=0,"Not Selected",VLOOKUP(Table1[[#This Row],[SyStudentId]],SSR!$A$2:$CC$4982,26,FALSE))</f>
        <v>Male</v>
      </c>
      <c r="V99" s="113" t="str">
        <f>VLOOKUP(Table1[[#This Row],[SyStudentId]],SSR!$A$2:$CC$4982,27,FALSE)</f>
        <v xml:space="preserve">HS2020  </v>
      </c>
      <c r="W99" s="113" t="str">
        <f>VLOOKUP(LEFT(Table1[[#This Row],[LastName]],1),Alpha!$A$1:$B$26,2,FALSE)</f>
        <v>Maureen Ranks</v>
      </c>
      <c r="X99" s="149" t="str">
        <f>VLOOKUP(Table1[[#This Row],[FAA]],Alpha!$B$1:$D$26,2,FALSE)</f>
        <v>mranks@neumont.edu</v>
      </c>
      <c r="Y99" s="113">
        <f>VLOOKUP(Table1[[#This Row],[FAA]],Alpha!$B$1:$D$26,3,FALSE)</f>
        <v>8883022894</v>
      </c>
      <c r="Z99" s="113" t="str">
        <f>VLOOKUP(Table1[[#This Row],[SyStudentId]],SSR!$A$2:$CC$4982,30,FALSE)</f>
        <v>16-Accepted</v>
      </c>
      <c r="AA99" s="113" t="str">
        <f>IF(VLOOKUP(Table1[[#This Row],[SyStudentId]],SSR!$A$2:$CC$4982,36,FALSE)="Bachelor of Science","BS Computer Science","Check Program")</f>
        <v>BS Computer Science</v>
      </c>
      <c r="AB99" s="113">
        <f>VLOOKUP(Table1[[#This Row],[SyStudentId]],SSR!$A$2:$CC$4982,37,FALSE)</f>
        <v>0</v>
      </c>
      <c r="AC99" s="113" t="str">
        <f>VLOOKUP(Table1[[#This Row],[SyStudentId]],SSR!$A$2:$CC$4982,42,FALSE)</f>
        <v xml:space="preserve">1100    </v>
      </c>
      <c r="AD99" s="113" t="str">
        <f>VLOOKUP(Table1[[#This Row],[SyStudentId]],SSR!$A$2:$CC$4982,46,FALSE)</f>
        <v>113</v>
      </c>
      <c r="AE99" s="113" t="str">
        <f>VLOOKUP(Table1[[#This Row],[SyStudentId]],SSR!$A$2:$CC$4982,65,FALSE)</f>
        <v>II</v>
      </c>
      <c r="AF99"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2</v>
      </c>
      <c r="AG99" s="113" t="str">
        <f>VLOOKUP(Table1[[#This Row],[SyStudentId]],SSR!$A$2:$CC$4982,66,FALSE)</f>
        <v>July-October</v>
      </c>
      <c r="AH99" s="160" t="str">
        <f>IFERROR(VLOOKUP(Table1[[#This Row],[SyStudentId]],ISIR!$A$2:$X$1999,7,FALSE),"")</f>
        <v>000000</v>
      </c>
      <c r="AI99" s="170">
        <f>IF(Table1[[#This Row],[EFCRaw]]="","",IF(Table1[[#This Row],[EFCRaw]]="No EFC","No EFC",_xlfn.NUMBERVALUE(Table1[[#This Row],[EFCRaw]])))</f>
        <v>0</v>
      </c>
      <c r="AJ99" s="167">
        <f>IFERROR(VLOOKUP(Table1[[#This Row],[SyStudentId]],ISIR!$A$2:$X$4999,19,FALSE),"")</f>
        <v>43776</v>
      </c>
      <c r="AK99" s="160" t="str">
        <f>IFERROR(VLOOKUP(Table1[[#This Row],[SyStudentId]],ISIR!$A$2:$X$4999,8,FALSE),"")</f>
        <v>N</v>
      </c>
      <c r="AL99" s="132" t="str">
        <f>IF(Table1[[#This Row],[VerReq]]="N","n/a","")</f>
        <v>n/a</v>
      </c>
      <c r="AM99" s="122">
        <v>43776</v>
      </c>
      <c r="AN99" s="122">
        <v>43776</v>
      </c>
      <c r="AO99" s="122">
        <v>43759</v>
      </c>
      <c r="AP99" s="122">
        <v>43760</v>
      </c>
      <c r="AQ99" s="122">
        <v>43760</v>
      </c>
      <c r="AR99" s="122"/>
      <c r="AS99" s="122"/>
      <c r="AT99" s="122"/>
      <c r="AU99" s="122"/>
      <c r="AV99" s="122"/>
      <c r="AW99" s="122"/>
      <c r="AX99" s="122"/>
      <c r="AY99" s="122"/>
      <c r="AZ99" s="122"/>
      <c r="BA99" s="122"/>
      <c r="BB99" s="122"/>
      <c r="BC99" s="148"/>
      <c r="BD99" s="140" t="str">
        <f>IF(Table1[[#This Row],[VerReq]]="N","x","")</f>
        <v>x</v>
      </c>
      <c r="BE99" s="140" t="str">
        <f>IF(Table1[[#This Row],[VerReq]]="N","x","")</f>
        <v>x</v>
      </c>
      <c r="BF99" s="140" t="str">
        <f>IF(Table1[[#This Row],[VerReq]]="N","x","")</f>
        <v>x</v>
      </c>
      <c r="BG99" s="140" t="str">
        <f>IF(Table1[[#This Row],[VerReq]]="N","x","")</f>
        <v>x</v>
      </c>
      <c r="BH99" s="140" t="str">
        <f>IF(Table1[[#This Row],[VerReq]]="N","x","")</f>
        <v>x</v>
      </c>
      <c r="BI99" s="140" t="str">
        <f>IF(Table1[[#This Row],[VerReq]]="N","x","")</f>
        <v>x</v>
      </c>
      <c r="BJ99" s="123">
        <f>1-((COUNTBLANK(Table1[[#This Row],[ALESent]:[TaxTran]]))/(COUNT(Table1[[#This Row],[ALESent]:[TaxTran]])+COUNTBLANK(Table1[[#This Row],[ALESent]:[TaxTran]])))</f>
        <v>0.29411764705882348</v>
      </c>
      <c r="BK99" s="150">
        <f>IF(VLOOKUP(Table1[[#This Row],[SyStudentId]],SSR!$A$2:$CC$4982,22,FALSE)=44109,44109,"Check Program")</f>
        <v>44109</v>
      </c>
      <c r="BL99" s="124">
        <f>IF(Table1[[#This Row],[AYStart]]=44109,44356,"Check Program")</f>
        <v>44356</v>
      </c>
      <c r="BM99" s="219">
        <v>8505</v>
      </c>
      <c r="BN99" s="219">
        <v>8505</v>
      </c>
      <c r="BO99" s="219">
        <v>8505</v>
      </c>
      <c r="BP99" s="220">
        <f t="shared" si="3"/>
        <v>25515</v>
      </c>
      <c r="BQ99" s="221">
        <v>3300</v>
      </c>
      <c r="BR99" s="219">
        <v>400</v>
      </c>
      <c r="BS99" s="219">
        <v>400</v>
      </c>
      <c r="BT99" s="220">
        <f t="shared" si="4"/>
        <v>4100</v>
      </c>
      <c r="BU99" s="219">
        <v>2100</v>
      </c>
      <c r="BV99" s="219">
        <v>2100</v>
      </c>
      <c r="BW99" s="219">
        <v>2100</v>
      </c>
      <c r="BX99" s="222">
        <f t="shared" si="5"/>
        <v>6300</v>
      </c>
      <c r="BY99" s="275">
        <v>1200</v>
      </c>
      <c r="BZ99" s="275">
        <v>1200</v>
      </c>
      <c r="CA99" s="275">
        <v>1200</v>
      </c>
      <c r="CB99" s="222">
        <f>SUM(Table1[[#This Row],[LEQ1]:[LEQ3]])</f>
        <v>3600</v>
      </c>
      <c r="CC99" s="276">
        <v>0</v>
      </c>
      <c r="CD99" s="276">
        <v>0</v>
      </c>
      <c r="CE99" s="276">
        <v>0</v>
      </c>
      <c r="CF99" s="222">
        <f>SUM(Table1[[#This Row],[OthCostQ1]:[OthCostQ3]])</f>
        <v>0</v>
      </c>
      <c r="CG99" s="220">
        <f>(Table1[[#This Row],[T&amp;FTot]]+Table1[[#This Row],[B&amp;STot]]+Table1[[#This Row],[HousTot]]+Table1[[#This Row],[LETot]]+Table1[[#This Row],[OthCostTot]])</f>
        <v>39515</v>
      </c>
      <c r="CH99" s="250">
        <v>0</v>
      </c>
      <c r="CI99" s="250">
        <v>0</v>
      </c>
      <c r="CJ99" s="250">
        <v>0</v>
      </c>
      <c r="CK99" s="251">
        <f>SUM(Table1[[#This Row],[SEOGQ1]:[SEOGQ3]])</f>
        <v>0</v>
      </c>
      <c r="CL99" s="250">
        <f>IFERROR(ROUNDUP(Table1[[#This Row],[PellTot]]/3,0),0)</f>
        <v>2065</v>
      </c>
      <c r="CM99" s="250">
        <f>IFERROR(ROUND(Table1[[#This Row],[PellTot]]/3,0),0)</f>
        <v>2065</v>
      </c>
      <c r="CN99" s="250">
        <f>IFERROR(ROUNDDOWN(Table1[[#This Row],[PellTot]]/3,0),0)</f>
        <v>2065</v>
      </c>
      <c r="CO99" s="251">
        <f>IFERROR(LOOKUP(Table1[EFC],Pell_Table[#Data],Pell_Table[Pell Amt]),0)</f>
        <v>6195</v>
      </c>
      <c r="CP99" s="250">
        <f>Table1[[#This Row],[AccessTot]]/3</f>
        <v>500</v>
      </c>
      <c r="CQ99" s="250">
        <f>Table1[[#This Row],[AccessTot]]/3</f>
        <v>500</v>
      </c>
      <c r="CR99" s="250">
        <f>Table1[[#This Row],[AccessTot]]/3</f>
        <v>500</v>
      </c>
      <c r="CS99" s="251">
        <f>IF(Table1[[#This Row],[PellTot]]&gt;0,1500,0)</f>
        <v>1500</v>
      </c>
      <c r="CT99" s="250">
        <f>Table1[[#This Row],[AchiTot]]/3</f>
        <v>1500</v>
      </c>
      <c r="CU99" s="250">
        <f>Table1[[#This Row],[AchiTot]]/3</f>
        <v>1500</v>
      </c>
      <c r="CV99" s="250">
        <f>Table1[[#This Row],[AchiTot]]/3</f>
        <v>1500</v>
      </c>
      <c r="CW99" s="252">
        <f>IF(Table1[[#This Row],[Rank]]="","",IF(Table1[[#This Row],[Rank]]=1,5100,IF(Table1[[#This Row],[Rank]]=2,4500,IF(Table1[[#This Row],[Rank]]=3,3900,IF(Table1[[#This Row],[Rank]]=4,3750,IF(Table1[[#This Row],[Rank]]=5,3000,IF(Table1[[#This Row],[Rank]]=6,2250,0)))))))</f>
        <v>4500</v>
      </c>
      <c r="CX99" s="250">
        <f>Table1[[#This Row],[UTTot]]/3</f>
        <v>0</v>
      </c>
      <c r="CY99" s="250">
        <f>Table1[[#This Row],[UTTot]]/3</f>
        <v>0</v>
      </c>
      <c r="CZ99" s="250">
        <f>Table1[[#This Row],[UTTot]]/3</f>
        <v>0</v>
      </c>
      <c r="DA99" s="251">
        <f>IF(Table1[[#This Row],[State]]="UT",9000,0)</f>
        <v>0</v>
      </c>
      <c r="DB99" s="250">
        <f>Table1[[#This Row],[WITTot]]/3</f>
        <v>0</v>
      </c>
      <c r="DC99" s="250">
        <f>Table1[[#This Row],[WITTot]]/3</f>
        <v>0</v>
      </c>
      <c r="DD99" s="250">
        <f>Table1[[#This Row],[WITTot]]/3</f>
        <v>0</v>
      </c>
      <c r="DE99" s="251">
        <f>IF(Table1[[#This Row],[Gender]]="Female",3000,0)</f>
        <v>0</v>
      </c>
      <c r="DF99" s="250">
        <f>Table1[[#This Row],[SerTot]]/3</f>
        <v>0</v>
      </c>
      <c r="DG99" s="250">
        <f>Table1[[#This Row],[SerTot]]/3</f>
        <v>0</v>
      </c>
      <c r="DH99" s="250">
        <f>Table1[[#This Row],[SerTot]]/3</f>
        <v>0</v>
      </c>
      <c r="DI99" s="252"/>
      <c r="DJ99" s="250"/>
      <c r="DK99" s="250"/>
      <c r="DL99" s="250"/>
      <c r="DM99" s="252"/>
      <c r="DN99" s="253">
        <f>Table1[[#This Row],[MatTot]]/3</f>
        <v>0</v>
      </c>
      <c r="DO99" s="253">
        <f>Table1[[#This Row],[MatTot]]/3</f>
        <v>0</v>
      </c>
      <c r="DP99" s="253">
        <f>Table1[[#This Row],[MatTot]]/3</f>
        <v>0</v>
      </c>
      <c r="DQ99" s="255">
        <v>0</v>
      </c>
      <c r="DR99" s="253">
        <f>Table1[[#This Row],[OutTot]]/3</f>
        <v>0</v>
      </c>
      <c r="DS99" s="253">
        <f>Table1[[#This Row],[OutTot]]/3</f>
        <v>0</v>
      </c>
      <c r="DT99" s="253">
        <f>Table1[[#This Row],[OutTot]]/3</f>
        <v>0</v>
      </c>
      <c r="DU99" s="255">
        <v>0</v>
      </c>
      <c r="DV99" s="253">
        <v>0</v>
      </c>
      <c r="DW99" s="253">
        <v>0</v>
      </c>
      <c r="DX99" s="253">
        <v>0</v>
      </c>
      <c r="DY99" s="255">
        <f>SUM(Table1[[#This Row],[VAQ1]:[VAQ3]])</f>
        <v>0</v>
      </c>
      <c r="DZ99" s="253">
        <v>0</v>
      </c>
      <c r="EA99" s="253">
        <v>0</v>
      </c>
      <c r="EB99" s="253">
        <v>0</v>
      </c>
      <c r="EC99" s="278">
        <f>SUM(Table1[[#This Row],[OthGrantQ1]:[OthGrantQ3]])</f>
        <v>0</v>
      </c>
      <c r="ED99" s="263">
        <f>Table1[[#This Row],[SEOGTot]]+Table1[[#This Row],[PellTot]]+Table1[[#This Row],[AccessTot]]+Table1[[#This Row],[AchiTot]]+Table1[[#This Row],[UTTot]]+Table1[[#This Row],[WITTot]]+Table1[[#This Row],[SerTot]]+Table1[[#This Row],[TranTot]]+Table1[[#This Row],[MatTot]]+Table1[[#This Row],[OutTot]]+Table1[[#This Row],[VATot]]+Table1[[#This Row],[OthGrantTot]]</f>
        <v>12195</v>
      </c>
      <c r="EE99" s="226">
        <v>0</v>
      </c>
      <c r="EF99" s="227">
        <v>0</v>
      </c>
      <c r="EG99" s="227">
        <v>0</v>
      </c>
      <c r="EH99" s="228">
        <f>SUM(Table1[[#This Row],[CashQ1]]:Table1[[#This Row],[CashQ3]])</f>
        <v>0</v>
      </c>
      <c r="EI99" s="229">
        <f>ROUND((Table1[[#This Row],[SubTot]]/3)/1.01059,0)</f>
        <v>1154</v>
      </c>
      <c r="EJ99" s="230">
        <f>ROUND((Table1[[#This Row],[SubTot]]/3)/1.01059,0)</f>
        <v>1154</v>
      </c>
      <c r="EK99" s="230">
        <f>ROUNDUP((Table1[[#This Row],[SubTot]]/3)/1.01059,0)</f>
        <v>1155</v>
      </c>
      <c r="EL99" s="231">
        <v>3500</v>
      </c>
      <c r="EM99" s="240">
        <f>Table1[[#This Row],[SubTot]]*0.01059</f>
        <v>37.065000000000005</v>
      </c>
      <c r="EN99" s="230">
        <f>ROUND((Table1[[#This Row],[UnsubTot]]/3)/1.01062,0)</f>
        <v>660</v>
      </c>
      <c r="EO99" s="230">
        <f>ROUND((Table1[[#This Row],[UnsubTot]]/3)/1.01062,0)</f>
        <v>660</v>
      </c>
      <c r="EP99" s="230">
        <f>ROUNDDOWN((Table1[[#This Row],[UnsubTot]]/3)/1.01062,0)</f>
        <v>659</v>
      </c>
      <c r="EQ99" s="231">
        <f>IF(Table1[D/I]="I",6000,2000)</f>
        <v>2000</v>
      </c>
      <c r="ER99" s="233">
        <f>Table1[[#This Row],[UnsubTot]]*0.01059</f>
        <v>21.18</v>
      </c>
      <c r="ES99" s="230">
        <f>ROUND((Table1[[#This Row],[PLUSTot]]/3)/1.04236,0)</f>
        <v>7307</v>
      </c>
      <c r="ET99" s="230">
        <f>ROUND((Table1[[#This Row],[PLUSTot]]/3)/1.04236,0)</f>
        <v>7307</v>
      </c>
      <c r="EU99" s="230">
        <f>ROUND((Table1[[#This Row],[PLUSTot]]/3)/1.04236,0)</f>
        <v>7307</v>
      </c>
      <c r="EV99" s="231">
        <v>22849</v>
      </c>
      <c r="EW99" s="239">
        <f>Table1[[#This Row],[PLUSTot]]*0.04248</f>
        <v>970.62551999999994</v>
      </c>
      <c r="EX99" s="237"/>
      <c r="EY99" s="237"/>
      <c r="EZ99" s="237"/>
      <c r="FA99" s="232">
        <f>SUM(Table1[[#This Row],[PrivQ1]:[PrivQ3]])</f>
        <v>0</v>
      </c>
      <c r="FB99" s="237"/>
      <c r="FC99" s="237"/>
      <c r="FD99" s="237"/>
      <c r="FE99" s="232">
        <f>SUM(Table1[[#This Row],[TOQ1]:[TOQ3]])</f>
        <v>0</v>
      </c>
      <c r="FF99" s="237"/>
      <c r="FG99" s="237"/>
      <c r="FH99" s="237"/>
      <c r="FI99" s="232">
        <f>SUM(Table1[[#This Row],[OFundQ1]:[OFundQ3]])</f>
        <v>0</v>
      </c>
      <c r="FJ99" s="239">
        <f>(Table1[[#This Row],[SubTot]]-Table1[[#This Row],[SubFee]])+(Table1[[#This Row],[UnsubTot]]-Table1[[#This Row],[UnsubFee]])+(Table1[[#This Row],[PLUSTot]]-Table1[[#This Row],[PLUSFee]])+Table1[[#This Row],[PrivTot]]+Table1[[#This Row],[TOTot]]+Table1[[#This Row],[OFundTot]]</f>
        <v>27320.12948</v>
      </c>
      <c r="FK99" s="125">
        <f>Table1[[#This Row],[CostTot]]-Table1[[#This Row],[GiftTot]]</f>
        <v>27320</v>
      </c>
      <c r="FL99" s="130">
        <f>Table1[[#This Row],[NetNeed]]/(1-0.04248)</f>
        <v>-0.13522432951750671</v>
      </c>
      <c r="FM99" s="131">
        <f>Table1[[#This Row],[NetCost]]-Table1[[#This Row],[CashTot]]-(Table1[[#This Row],[SubTot]]-Table1[[#This Row],[SubFee]])-(Table1[[#This Row],[UnsubTot]]-Table1[[#This Row],[UnsubFee]])-(Table1[[#This Row],[PLUSTot]]-Table1[[#This Row],[PLUSFee]])-Table1[[#This Row],[PrivTot]]-Table1[[#This Row],[TOTot]]-Table1[[#This Row],[OFundTot]]</f>
        <v>-0.12947999999960302</v>
      </c>
      <c r="FN99" s="217"/>
      <c r="FO99" s="162"/>
      <c r="FP99" s="162"/>
    </row>
    <row r="100" spans="1:172" ht="15" x14ac:dyDescent="0.25">
      <c r="A100" s="267">
        <v>193060</v>
      </c>
      <c r="B100" s="113" t="str">
        <f>VLOOKUP(Table1[[#This Row],[SyStudentId]],SSR!$A$2:$CC$4982,4,FALSE)</f>
        <v>Richardson</v>
      </c>
      <c r="C100" s="113" t="str">
        <f>VLOOKUP(Table1[[#This Row],[SyStudentId]],SSR!$A$2:$CC$4982,5,FALSE)</f>
        <v>Taya</v>
      </c>
      <c r="D100" s="113" t="str">
        <f>VLOOKUP(Table1[[#This Row],[SyStudentId]],SSR!$A$2:$CC$4982,6,FALSE)</f>
        <v>Richardson, Taya</v>
      </c>
      <c r="E100" s="113" t="str">
        <f>CONCATENATE(Table1[[#This Row],[FirstName]]," ",Table1[[#This Row],[LastName]])</f>
        <v>Taya Richardson</v>
      </c>
      <c r="F100" s="112"/>
      <c r="G100" s="114"/>
      <c r="H100" s="114"/>
      <c r="I100" s="114"/>
      <c r="J100" s="115" t="s">
        <v>5311</v>
      </c>
      <c r="K100" s="116"/>
      <c r="L100" s="112" t="str">
        <f>IFERROR(VLOOKUP(Table1[[#This Row],[SyStudentId]],ISIR!$A$2:$X$999,11,FALSE),"")</f>
        <v/>
      </c>
      <c r="M100" s="113" t="str">
        <f>VLOOKUP(Table1[[#This Row],[SyStudentId]],SSR!$A$2:$CC$4982,7,FALSE)</f>
        <v>richardson4173@gmail.com</v>
      </c>
      <c r="N100" s="113" t="str">
        <f>VLOOKUP(Table1[[#This Row],[SyStudentId]],SSR!$A$2:$CC$4982,8,FALSE)</f>
        <v>76 merrymeeting rd</v>
      </c>
      <c r="O100" s="113" t="str">
        <f>VLOOKUP(Table1[[#This Row],[SyStudentId]],SSR!$A$2:$CC$4982,9,FALSE)</f>
        <v>Brunswick</v>
      </c>
      <c r="P100" s="303" t="str">
        <f>VLOOKUP(Table1[[#This Row],[SyStudentId]],SSR!$A$2:$CC$4982,10,FALSE)</f>
        <v>ME</v>
      </c>
      <c r="Q100" s="117" t="str">
        <f>VLOOKUP(Table1[[#This Row],[SyStudentId]],SSR!$A$2:$CC$4982,11,FALSE)</f>
        <v xml:space="preserve">04011     </v>
      </c>
      <c r="R100" s="118">
        <f>VLOOKUP(Table1[[#This Row],[SyStudentId]],SSR!$A$2:$CC$4982,15,FALSE)</f>
        <v>3.2</v>
      </c>
      <c r="S100" s="119">
        <f>VLOOKUP(Table1[[#This Row],[SyStudentId]],SSR!$A$2:$CC$4982,22,FALSE)</f>
        <v>44109</v>
      </c>
      <c r="T100" s="113" t="str">
        <f>VLOOKUP(Table1[[#This Row],[SyStudentId]],SSR!$A$2:$CC$4982,24,FALSE)</f>
        <v>GM</v>
      </c>
      <c r="U100" s="113" t="str">
        <f>IF(VLOOKUP(Table1[[#This Row],[SyStudentId]],SSR!$A$2:$CC$4982,26,FALSE)=0,"Not Selected",VLOOKUP(Table1[[#This Row],[SyStudentId]],SSR!$A$2:$CC$4982,26,FALSE))</f>
        <v>Female</v>
      </c>
      <c r="V100" s="113" t="str">
        <f>VLOOKUP(Table1[[#This Row],[SyStudentId]],SSR!$A$2:$CC$4982,27,FALSE)</f>
        <v xml:space="preserve">HS2020  </v>
      </c>
      <c r="W100" s="113" t="str">
        <f>VLOOKUP(LEFT(Table1[[#This Row],[LastName]],1),Alpha!$A$1:$B$26,2,FALSE)</f>
        <v>Maureen Ranks</v>
      </c>
      <c r="X100" s="149" t="str">
        <f>VLOOKUP(Table1[[#This Row],[FAA]],Alpha!$B$1:$D$26,2,FALSE)</f>
        <v>mranks@neumont.edu</v>
      </c>
      <c r="Y100" s="113">
        <f>VLOOKUP(Table1[[#This Row],[FAA]],Alpha!$B$1:$D$26,3,FALSE)</f>
        <v>8883022894</v>
      </c>
      <c r="Z100" s="113" t="str">
        <f>VLOOKUP(Table1[[#This Row],[SyStudentId]],SSR!$A$2:$CC$4982,30,FALSE)</f>
        <v>18-Pending Enrollment</v>
      </c>
      <c r="AA100" s="113" t="str">
        <f>IF(VLOOKUP(Table1[[#This Row],[SyStudentId]],SSR!$A$2:$CC$4982,36,FALSE)="Bachelor of Science","BS Computer Science","Check Program")</f>
        <v>BS Computer Science</v>
      </c>
      <c r="AB100" s="113">
        <f>VLOOKUP(Table1[[#This Row],[SyStudentId]],SSR!$A$2:$CC$4982,37,FALSE)</f>
        <v>0</v>
      </c>
      <c r="AC100" s="113">
        <f>VLOOKUP(Table1[[#This Row],[SyStudentId]],SSR!$A$2:$CC$4982,42,FALSE)</f>
        <v>0</v>
      </c>
      <c r="AD100" s="113" t="str">
        <f>VLOOKUP(Table1[[#This Row],[SyStudentId]],SSR!$A$2:$CC$4982,46,FALSE)</f>
        <v>0</v>
      </c>
      <c r="AE100" s="113" t="str">
        <f>VLOOKUP(Table1[[#This Row],[SyStudentId]],SSR!$A$2:$CC$4982,65,FALSE)</f>
        <v>VII</v>
      </c>
      <c r="AF100"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7</v>
      </c>
      <c r="AG100" s="113" t="str">
        <f>VLOOKUP(Table1[[#This Row],[SyStudentId]],SSR!$A$2:$CC$4982,66,FALSE)</f>
        <v>November</v>
      </c>
      <c r="AH100" s="113" t="str">
        <f>IFERROR(VLOOKUP(Table1[[#This Row],[SyStudentId]],ISIR!$A$2:$X$999,7,FALSE),"")</f>
        <v/>
      </c>
      <c r="AI100" s="121" t="str">
        <f>IF(Table1[[#This Row],[EFCRaw]]="","",IF(Table1[[#This Row],[EFCRaw]]="No EFC","No EFC",_xlfn.NUMBERVALUE(Table1[[#This Row],[EFCRaw]])))</f>
        <v/>
      </c>
      <c r="AJ100" s="119" t="str">
        <f>IFERROR(VLOOKUP(Table1[[#This Row],[SyStudentId]],ISIR!$A$2:$X$4999,19,FALSE),"")</f>
        <v/>
      </c>
      <c r="AK100" s="113" t="str">
        <f>IFERROR(VLOOKUP(Table1[[#This Row],[SyStudentId]],ISIR!$A$2:$X$4999,8,FALSE),"")</f>
        <v/>
      </c>
      <c r="AL100" s="132" t="str">
        <f>IF(Table1[[#This Row],[VerReq]]="N","n/a","")</f>
        <v/>
      </c>
      <c r="AM100" s="122"/>
      <c r="AN100" s="122"/>
      <c r="AO100" s="122"/>
      <c r="AP100" s="122"/>
      <c r="AQ100" s="122"/>
      <c r="AR100" s="122"/>
      <c r="AS100" s="122"/>
      <c r="AT100" s="122"/>
      <c r="AU100" s="122"/>
      <c r="AV100" s="122"/>
      <c r="AW100" s="122"/>
      <c r="AX100" s="122"/>
      <c r="AY100" s="122"/>
      <c r="AZ100" s="122"/>
      <c r="BA100" s="122"/>
      <c r="BB100" s="122"/>
      <c r="BC100" s="148"/>
      <c r="BD100" s="140" t="str">
        <f>IF(Table1[[#This Row],[VerReq]]="N","x","")</f>
        <v/>
      </c>
      <c r="BE100" s="140" t="str">
        <f>IF(Table1[[#This Row],[VerReq]]="N","x","")</f>
        <v/>
      </c>
      <c r="BF100" s="140" t="str">
        <f>IF(Table1[[#This Row],[VerReq]]="N","x","")</f>
        <v/>
      </c>
      <c r="BG100" s="140" t="str">
        <f>IF(Table1[[#This Row],[VerReq]]="N","x","")</f>
        <v/>
      </c>
      <c r="BH100" s="140" t="str">
        <f>IF(Table1[[#This Row],[VerReq]]="N","x","")</f>
        <v/>
      </c>
      <c r="BI100" s="140" t="str">
        <f>IF(Table1[[#This Row],[VerReq]]="N","x","")</f>
        <v/>
      </c>
      <c r="BJ100" s="123">
        <f>1-((COUNTBLANK(Table1[[#This Row],[ALESent]:[TaxTran]]))/(COUNT(Table1[[#This Row],[ALESent]:[TaxTran]])+COUNTBLANK(Table1[[#This Row],[ALESent]:[TaxTran]])))</f>
        <v>0</v>
      </c>
      <c r="BK100" s="150">
        <f>IF(VLOOKUP(Table1[[#This Row],[SyStudentId]],SSR!$A$2:$CC$4982,22,FALSE)=44109,44109,"Check Program")</f>
        <v>44109</v>
      </c>
      <c r="BL100" s="124">
        <f>IF(Table1[[#This Row],[AYStart]]=44109,44356,"Check Program")</f>
        <v>44356</v>
      </c>
      <c r="BM100" s="219">
        <v>8505</v>
      </c>
      <c r="BN100" s="219">
        <v>8505</v>
      </c>
      <c r="BO100" s="219">
        <v>8505</v>
      </c>
      <c r="BP100" s="220">
        <f t="shared" si="3"/>
        <v>25515</v>
      </c>
      <c r="BQ100" s="221">
        <v>3300</v>
      </c>
      <c r="BR100" s="219">
        <v>400</v>
      </c>
      <c r="BS100" s="219">
        <v>400</v>
      </c>
      <c r="BT100" s="220">
        <f t="shared" si="4"/>
        <v>4100</v>
      </c>
      <c r="BU100" s="219">
        <v>2100</v>
      </c>
      <c r="BV100" s="219">
        <v>2100</v>
      </c>
      <c r="BW100" s="219">
        <v>2100</v>
      </c>
      <c r="BX100" s="220">
        <f t="shared" si="5"/>
        <v>6300</v>
      </c>
      <c r="BY100" s="275">
        <v>1200</v>
      </c>
      <c r="BZ100" s="275">
        <v>1200</v>
      </c>
      <c r="CA100" s="275">
        <v>1200</v>
      </c>
      <c r="CB100" s="220">
        <f>SUM(Table1[[#This Row],[LEQ1]:[LEQ3]])</f>
        <v>3600</v>
      </c>
      <c r="CC100" s="269"/>
      <c r="CD100" s="269"/>
      <c r="CE100" s="269"/>
      <c r="CF100" s="220">
        <f>SUM(Table1[[#This Row],[OthCostQ1]:[OthCostQ3]])</f>
        <v>0</v>
      </c>
      <c r="CG100" s="220">
        <f>(Table1[[#This Row],[T&amp;FTot]]+Table1[[#This Row],[B&amp;STot]]+Table1[[#This Row],[HousTot]]+Table1[[#This Row],[LETot]]+Table1[[#This Row],[OthCostTot]])</f>
        <v>39515</v>
      </c>
      <c r="CH100" s="250"/>
      <c r="CI100" s="250"/>
      <c r="CJ100" s="250"/>
      <c r="CK100" s="251">
        <f>SUM(Table1[[#This Row],[SEOGQ1]:[SEOGQ3]])</f>
        <v>0</v>
      </c>
      <c r="CL100" s="250">
        <f>IFERROR(ROUNDUP(Table1[[#This Row],[PellTot]]/3,0),0)</f>
        <v>0</v>
      </c>
      <c r="CM100" s="250">
        <f>IFERROR(ROUND(Table1[[#This Row],[PellTot]]/3,0),0)</f>
        <v>0</v>
      </c>
      <c r="CN100" s="250">
        <f>IFERROR(ROUNDDOWN(Table1[[#This Row],[PellTot]]/3,0),0)</f>
        <v>0</v>
      </c>
      <c r="CO100" s="251">
        <f>IFERROR(LOOKUP(Table1[EFC],Pell_Table[#Data],Pell_Table[Pell Amt]),0)</f>
        <v>0</v>
      </c>
      <c r="CP100" s="250">
        <f>Table1[[#This Row],[AccessTot]]/3</f>
        <v>0</v>
      </c>
      <c r="CQ100" s="250">
        <f>Table1[[#This Row],[AccessTot]]/3</f>
        <v>0</v>
      </c>
      <c r="CR100" s="250">
        <f>Table1[[#This Row],[AccessTot]]/3</f>
        <v>0</v>
      </c>
      <c r="CS100" s="251">
        <f>IF(Table1[[#This Row],[PellTot]]&gt;0,1500,0)</f>
        <v>0</v>
      </c>
      <c r="CT100" s="250">
        <f>Table1[[#This Row],[AchiTot]]/3</f>
        <v>0</v>
      </c>
      <c r="CU100" s="250">
        <f>Table1[[#This Row],[AchiTot]]/3</f>
        <v>0</v>
      </c>
      <c r="CV100" s="250">
        <f>Table1[[#This Row],[AchiTot]]/3</f>
        <v>0</v>
      </c>
      <c r="CW100" s="252">
        <f>IF(Table1[[#This Row],[Rank]]="","",IF(Table1[[#This Row],[Rank]]=1,5100,IF(Table1[[#This Row],[Rank]]=2,4500,IF(Table1[[#This Row],[Rank]]=3,3900,IF(Table1[[#This Row],[Rank]]=4,3750,IF(Table1[[#This Row],[Rank]]=5,3000,IF(Table1[[#This Row],[Rank]]=6,2250,0)))))))</f>
        <v>0</v>
      </c>
      <c r="CX100" s="250">
        <f>Table1[[#This Row],[UTTot]]/3</f>
        <v>0</v>
      </c>
      <c r="CY100" s="250">
        <f>Table1[[#This Row],[UTTot]]/3</f>
        <v>0</v>
      </c>
      <c r="CZ100" s="250">
        <f>Table1[[#This Row],[UTTot]]/3</f>
        <v>0</v>
      </c>
      <c r="DA100" s="251">
        <f>IF(Table1[[#This Row],[State]]="UT",9000,0)</f>
        <v>0</v>
      </c>
      <c r="DB100" s="250">
        <f>Table1[[#This Row],[WITTot]]/3</f>
        <v>1000</v>
      </c>
      <c r="DC100" s="250">
        <f>Table1[[#This Row],[WITTot]]/3</f>
        <v>1000</v>
      </c>
      <c r="DD100" s="250">
        <f>Table1[[#This Row],[WITTot]]/3</f>
        <v>1000</v>
      </c>
      <c r="DE100" s="251">
        <f>IF(Table1[[#This Row],[Gender]]="Female",3000,0)</f>
        <v>3000</v>
      </c>
      <c r="DF100" s="250">
        <f>Table1[[#This Row],[SerTot]]/3</f>
        <v>0</v>
      </c>
      <c r="DG100" s="250">
        <f>Table1[[#This Row],[SerTot]]/3</f>
        <v>0</v>
      </c>
      <c r="DH100" s="250">
        <f>Table1[[#This Row],[SerTot]]/3</f>
        <v>0</v>
      </c>
      <c r="DI100" s="252"/>
      <c r="DJ100" s="250"/>
      <c r="DK100" s="250"/>
      <c r="DL100" s="250"/>
      <c r="DM100" s="252"/>
      <c r="DN100" s="250">
        <f>Table1[[#This Row],[MatTot]]/3</f>
        <v>0</v>
      </c>
      <c r="DO100" s="250">
        <f>Table1[[#This Row],[MatTot]]/3</f>
        <v>0</v>
      </c>
      <c r="DP100" s="250">
        <f>Table1[[#This Row],[MatTot]]/3</f>
        <v>0</v>
      </c>
      <c r="DQ100" s="252"/>
      <c r="DR100" s="250">
        <f>Table1[[#This Row],[OutTot]]/3</f>
        <v>0</v>
      </c>
      <c r="DS100" s="250">
        <f>Table1[[#This Row],[OutTot]]/3</f>
        <v>0</v>
      </c>
      <c r="DT100" s="250">
        <f>Table1[[#This Row],[OutTot]]/3</f>
        <v>0</v>
      </c>
      <c r="DU100" s="252"/>
      <c r="DV100" s="250"/>
      <c r="DW100" s="250"/>
      <c r="DX100" s="250"/>
      <c r="DY100" s="252">
        <f>SUM(Table1[[#This Row],[VAQ1]:[VAQ3]])</f>
        <v>0</v>
      </c>
      <c r="DZ100" s="250"/>
      <c r="EA100" s="250"/>
      <c r="EB100" s="250"/>
      <c r="EC100" s="270">
        <f>SUM(Table1[[#This Row],[OthGrantQ1]:[OthGrantQ3]])</f>
        <v>0</v>
      </c>
      <c r="ED100" s="263">
        <f>Table1[[#This Row],[SEOGTot]]+Table1[[#This Row],[PellTot]]+Table1[[#This Row],[AccessTot]]+Table1[[#This Row],[AchiTot]]+Table1[[#This Row],[UTTot]]+Table1[[#This Row],[WITTot]]+Table1[[#This Row],[SerTot]]+Table1[[#This Row],[TranTot]]+Table1[[#This Row],[MatTot]]+Table1[[#This Row],[OutTot]]+Table1[[#This Row],[VATot]]+Table1[[#This Row],[OthGrantTot]]</f>
        <v>3000</v>
      </c>
      <c r="EE100" s="249"/>
      <c r="EF100" s="237"/>
      <c r="EG100" s="237"/>
      <c r="EH100" s="232">
        <f>SUM(Table1[[#This Row],[CashQ1]]:Table1[[#This Row],[CashQ3]])</f>
        <v>0</v>
      </c>
      <c r="EI100" s="271">
        <f>ROUND((Table1[[#This Row],[SubTot]]/3)/1.01059,0)</f>
        <v>0</v>
      </c>
      <c r="EJ100" s="234">
        <f>ROUND((Table1[[#This Row],[SubTot]]/3)/1.01059,0)</f>
        <v>0</v>
      </c>
      <c r="EK100" s="234">
        <f>ROUNDUP((Table1[[#This Row],[SubTot]]/3)/1.01059,0)</f>
        <v>0</v>
      </c>
      <c r="EL100" s="235"/>
      <c r="EM100" s="240">
        <f>Table1[[#This Row],[SubTot]]*0.01059</f>
        <v>0</v>
      </c>
      <c r="EN100" s="234">
        <f>ROUND((Table1[[#This Row],[UnsubTot]]/3)/1.01062,0)</f>
        <v>660</v>
      </c>
      <c r="EO100" s="234">
        <f>ROUND((Table1[[#This Row],[UnsubTot]]/3)/1.01062,0)</f>
        <v>660</v>
      </c>
      <c r="EP100" s="234">
        <f>ROUNDDOWN((Table1[[#This Row],[UnsubTot]]/3)/1.01062,0)</f>
        <v>659</v>
      </c>
      <c r="EQ100" s="235">
        <f>IF(Table1[D/I]="I",6000,2000)</f>
        <v>2000</v>
      </c>
      <c r="ER100" s="240">
        <f>Table1[[#This Row],[UnsubTot]]*0.01062</f>
        <v>21.24</v>
      </c>
      <c r="ES100" s="234">
        <f>ROUND((Table1[[#This Row],[PLUSTot]]/3)/1.04248,0)</f>
        <v>0</v>
      </c>
      <c r="ET100" s="234">
        <f>ROUND((Table1[[#This Row],[PLUSTot]]/3)/1.04248,0)</f>
        <v>0</v>
      </c>
      <c r="EU100" s="234">
        <f>ROUND((Table1[[#This Row],[PLUSTot]]/3)/1.04248,0)</f>
        <v>0</v>
      </c>
      <c r="EV100" s="235"/>
      <c r="EW100" s="239">
        <f>Table1[[#This Row],[PLUSTot]]*0.04248</f>
        <v>0</v>
      </c>
      <c r="EX100" s="237"/>
      <c r="EY100" s="237"/>
      <c r="EZ100" s="237"/>
      <c r="FA100" s="232">
        <f>SUM(Table1[[#This Row],[PrivQ1]:[PrivQ3]])</f>
        <v>0</v>
      </c>
      <c r="FB100" s="237"/>
      <c r="FC100" s="237"/>
      <c r="FD100" s="237"/>
      <c r="FE100" s="232">
        <f>SUM(Table1[[#This Row],[TOQ1]:[TOQ3]])</f>
        <v>0</v>
      </c>
      <c r="FF100" s="237"/>
      <c r="FG100" s="237"/>
      <c r="FH100" s="237"/>
      <c r="FI100" s="232">
        <f>SUM(Table1[[#This Row],[OFundQ1]:[OFundQ3]])</f>
        <v>0</v>
      </c>
      <c r="FJ100" s="239">
        <f>(Table1[[#This Row],[SubTot]]-Table1[[#This Row],[SubFee]])+(Table1[[#This Row],[UnsubTot]]-Table1[[#This Row],[UnsubFee]])+(Table1[[#This Row],[PLUSTot]]-Table1[[#This Row],[PLUSFee]])+Table1[[#This Row],[PrivTot]]+Table1[[#This Row],[TOTot]]+Table1[[#This Row],[OFundTot]]</f>
        <v>1978.76</v>
      </c>
      <c r="FK100" s="125">
        <f>Table1[[#This Row],[CostTot]]-Table1[[#This Row],[GiftTot]]</f>
        <v>36515</v>
      </c>
      <c r="FL100" s="130">
        <f>Table1[[#This Row],[NetNeed]]/(1-0.04248)</f>
        <v>36068.426769153644</v>
      </c>
      <c r="FM100" s="131">
        <f>Table1[[#This Row],[NetCost]]-Table1[[#This Row],[CashTot]]-(Table1[[#This Row],[SubTot]]-Table1[[#This Row],[SubFee]])-(Table1[[#This Row],[UnsubTot]]-Table1[[#This Row],[UnsubFee]])-(Table1[[#This Row],[PLUSTot]]-Table1[[#This Row],[PLUSFee]])-Table1[[#This Row],[PrivTot]]-Table1[[#This Row],[TOTot]]-Table1[[#This Row],[OFundTot]]</f>
        <v>34536.239999999998</v>
      </c>
      <c r="FN100" s="156"/>
      <c r="FO100" s="113"/>
      <c r="FP100" s="113"/>
    </row>
    <row r="101" spans="1:172" ht="15" x14ac:dyDescent="0.25">
      <c r="A101" s="267">
        <v>197858</v>
      </c>
      <c r="B101" s="160" t="str">
        <f>VLOOKUP(Table1[[#This Row],[SyStudentId]],SSR!$A$2:$CC$4982,4,FALSE)</f>
        <v>Ries</v>
      </c>
      <c r="C101" s="160" t="str">
        <f>VLOOKUP(Table1[[#This Row],[SyStudentId]],SSR!$A$2:$CC$4982,5,FALSE)</f>
        <v>Nicolas</v>
      </c>
      <c r="D101" s="160" t="str">
        <f>VLOOKUP(Table1[[#This Row],[SyStudentId]],SSR!$A$2:$CC$4982,6,FALSE)</f>
        <v>Ries, Nicolas</v>
      </c>
      <c r="E101" s="113" t="str">
        <f>CONCATENATE(Table1[[#This Row],[FirstName]]," ",Table1[[#This Row],[LastName]])</f>
        <v>Nicolas Ries</v>
      </c>
      <c r="F101" s="158"/>
      <c r="G101" s="114"/>
      <c r="H101" s="114"/>
      <c r="I101" s="114"/>
      <c r="J101" s="163"/>
      <c r="K101" s="164"/>
      <c r="L101" s="158" t="str">
        <f>IFERROR(VLOOKUP(Table1[[#This Row],[SyStudentId]],ISIR!$A$2:$X$4999,11,FALSE),"")</f>
        <v/>
      </c>
      <c r="M101" s="160" t="str">
        <f>VLOOKUP(Table1[[#This Row],[SyStudentId]],SSR!$A$2:$CC$4982,7,FALSE)</f>
        <v>ries.roberts@juno.com</v>
      </c>
      <c r="N101" s="160" t="str">
        <f>VLOOKUP(Table1[[#This Row],[SyStudentId]],SSR!$A$2:$CC$4982,8,FALSE)</f>
        <v>2809 Emerald Bay Drive</v>
      </c>
      <c r="O101" s="160" t="str">
        <f>VLOOKUP(Table1[[#This Row],[SyStudentId]],SSR!$A$2:$CC$4982,9,FALSE)</f>
        <v>Davis</v>
      </c>
      <c r="P101" s="300" t="str">
        <f>VLOOKUP(Table1[[#This Row],[SyStudentId]],SSR!$A$2:$CC$4982,10,FALSE)</f>
        <v>CA</v>
      </c>
      <c r="Q101" s="165" t="str">
        <f>VLOOKUP(Table1[[#This Row],[SyStudentId]],SSR!$A$2:$CC$4982,11,FALSE)</f>
        <v xml:space="preserve">95618     </v>
      </c>
      <c r="R101" s="166">
        <f>VLOOKUP(Table1[[#This Row],[SyStudentId]],SSR!$A$2:$CC$4982,15,FALSE)</f>
        <v>3.96</v>
      </c>
      <c r="S101" s="167">
        <f>VLOOKUP(Table1[[#This Row],[SyStudentId]],SSR!$A$2:$CC$4982,22,FALSE)</f>
        <v>44109</v>
      </c>
      <c r="T101" s="160" t="str">
        <f>VLOOKUP(Table1[[#This Row],[SyStudentId]],SSR!$A$2:$CC$4982,24,FALSE)</f>
        <v>JT</v>
      </c>
      <c r="U101" s="160" t="str">
        <f>IF(VLOOKUP(Table1[[#This Row],[SyStudentId]],SSR!$A$2:$CC$4982,26,FALSE)=0,"Not Selected",VLOOKUP(Table1[[#This Row],[SyStudentId]],SSR!$A$2:$CC$4982,26,FALSE))</f>
        <v>Male</v>
      </c>
      <c r="V101" s="160" t="str">
        <f>VLOOKUP(Table1[[#This Row],[SyStudentId]],SSR!$A$2:$CC$4982,27,FALSE)</f>
        <v xml:space="preserve">HS2020  </v>
      </c>
      <c r="W101" s="160" t="str">
        <f>VLOOKUP(LEFT(Table1[[#This Row],[LastName]],1),Alpha!$A$1:$B$26,2,FALSE)</f>
        <v>Maureen Ranks</v>
      </c>
      <c r="X101" s="168" t="str">
        <f>VLOOKUP(Table1[[#This Row],[FAA]],Alpha!$B$1:$D$26,2,FALSE)</f>
        <v>mranks@neumont.edu</v>
      </c>
      <c r="Y101" s="160">
        <f>VLOOKUP(Table1[[#This Row],[FAA]],Alpha!$B$1:$D$26,3,FALSE)</f>
        <v>8883022894</v>
      </c>
      <c r="Z101" s="160" t="str">
        <f>VLOOKUP(Table1[[#This Row],[SyStudentId]],SSR!$A$2:$CC$4982,30,FALSE)</f>
        <v>16-Accepted</v>
      </c>
      <c r="AA101" s="160" t="str">
        <f>IF(VLOOKUP(Table1[[#This Row],[SyStudentId]],SSR!$A$2:$CC$4982,36,FALSE)="Bachelor of Science","BS Computer Science","Check Program")</f>
        <v>BS Computer Science</v>
      </c>
      <c r="AB101" s="160">
        <f>VLOOKUP(Table1[[#This Row],[SyStudentId]],SSR!$A$2:$CC$4982,37,FALSE)</f>
        <v>0</v>
      </c>
      <c r="AC101" s="160" t="str">
        <f>VLOOKUP(Table1[[#This Row],[SyStudentId]],SSR!$A$2:$CC$4982,42,FALSE)</f>
        <v xml:space="preserve">1350    </v>
      </c>
      <c r="AD101" s="160" t="str">
        <f>VLOOKUP(Table1[[#This Row],[SyStudentId]],SSR!$A$2:$CC$4982,46,FALSE)</f>
        <v>131</v>
      </c>
      <c r="AE101" s="160" t="str">
        <f>VLOOKUP(Table1[[#This Row],[SyStudentId]],SSR!$A$2:$CC$4982,65,FALSE)</f>
        <v>I</v>
      </c>
      <c r="AF101"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01" s="160" t="str">
        <f>VLOOKUP(Table1[[#This Row],[SyStudentId]],SSR!$A$2:$CC$4982,66,FALSE)</f>
        <v>July-October</v>
      </c>
      <c r="AH101" s="160" t="str">
        <f>IFERROR(VLOOKUP(Table1[[#This Row],[SyStudentId]],ISIR!$A$2:$X$1999,7,FALSE),"")</f>
        <v/>
      </c>
      <c r="AI101" s="170" t="str">
        <f>IF(Table1[[#This Row],[EFCRaw]]="","",IF(Table1[[#This Row],[EFCRaw]]="No EFC","No EFC",_xlfn.NUMBERVALUE(Table1[[#This Row],[EFCRaw]])))</f>
        <v/>
      </c>
      <c r="AJ101" s="167" t="str">
        <f>IFERROR(VLOOKUP(Table1[[#This Row],[SyStudentId]],ISIR!$A$2:$X$4999,19,FALSE),"")</f>
        <v/>
      </c>
      <c r="AK101" s="160" t="str">
        <f>IFERROR(VLOOKUP(Table1[[#This Row],[SyStudentId]],ISIR!$A$2:$X$4999,8,FALSE),"")</f>
        <v/>
      </c>
      <c r="AL101" s="171" t="str">
        <f>IF(Table1[[#This Row],[VerReq]]="N","n/a","")</f>
        <v/>
      </c>
      <c r="AM101" s="122"/>
      <c r="AN101" s="122"/>
      <c r="AO101" s="122"/>
      <c r="AP101" s="122"/>
      <c r="AQ101" s="122"/>
      <c r="AR101" s="122"/>
      <c r="AS101" s="122"/>
      <c r="AT101" s="122"/>
      <c r="AU101" s="122"/>
      <c r="AV101" s="122"/>
      <c r="AW101" s="122"/>
      <c r="AX101" s="122"/>
      <c r="AY101" s="122"/>
      <c r="AZ101" s="122"/>
      <c r="BA101" s="122"/>
      <c r="BB101" s="122"/>
      <c r="BC101" s="148"/>
      <c r="BD101" s="140" t="str">
        <f>IF(Table1[[#This Row],[VerReq]]="N","x","")</f>
        <v/>
      </c>
      <c r="BE101" s="140" t="str">
        <f>IF(Table1[[#This Row],[VerReq]]="N","x","")</f>
        <v/>
      </c>
      <c r="BF101" s="140" t="str">
        <f>IF(Table1[[#This Row],[VerReq]]="N","x","")</f>
        <v/>
      </c>
      <c r="BG101" s="140" t="str">
        <f>IF(Table1[[#This Row],[VerReq]]="N","x","")</f>
        <v/>
      </c>
      <c r="BH101" s="140" t="str">
        <f>IF(Table1[[#This Row],[VerReq]]="N","x","")</f>
        <v/>
      </c>
      <c r="BI101" s="140" t="str">
        <f>IF(Table1[[#This Row],[VerReq]]="N","x","")</f>
        <v/>
      </c>
      <c r="BJ101" s="181">
        <f>1-((COUNTBLANK(Table1[[#This Row],[ALESent]:[TaxTran]]))/(COUNT(Table1[[#This Row],[ALESent]:[TaxTran]])+COUNTBLANK(Table1[[#This Row],[ALESent]:[TaxTran]])))</f>
        <v>0</v>
      </c>
      <c r="BK101" s="216">
        <f>IF(VLOOKUP(Table1[[#This Row],[SyStudentId]],SSR!$A$2:$CC$4982,22,FALSE)=44109,44109,"Check Program")</f>
        <v>44109</v>
      </c>
      <c r="BL101" s="173">
        <f>IF(Table1[[#This Row],[AYStart]]=44109,44356,"Check Program")</f>
        <v>44356</v>
      </c>
      <c r="BM101" s="219">
        <v>8505</v>
      </c>
      <c r="BN101" s="219">
        <v>8505</v>
      </c>
      <c r="BO101" s="219">
        <v>8505</v>
      </c>
      <c r="BP101" s="220">
        <f t="shared" si="3"/>
        <v>25515</v>
      </c>
      <c r="BQ101" s="221">
        <v>3300</v>
      </c>
      <c r="BR101" s="219">
        <v>400</v>
      </c>
      <c r="BS101" s="219">
        <v>400</v>
      </c>
      <c r="BT101" s="222">
        <f t="shared" si="4"/>
        <v>4100</v>
      </c>
      <c r="BU101" s="219">
        <v>2100</v>
      </c>
      <c r="BV101" s="219">
        <v>2100</v>
      </c>
      <c r="BW101" s="219">
        <v>2100</v>
      </c>
      <c r="BX101" s="222">
        <f t="shared" si="5"/>
        <v>6300</v>
      </c>
      <c r="BY101" s="275">
        <v>1200</v>
      </c>
      <c r="BZ101" s="275">
        <v>1200</v>
      </c>
      <c r="CA101" s="275">
        <v>1200</v>
      </c>
      <c r="CB101" s="222">
        <f>SUM(Table1[[#This Row],[LEQ1]:[LEQ3]])</f>
        <v>3600</v>
      </c>
      <c r="CC101" s="276">
        <v>0</v>
      </c>
      <c r="CD101" s="276">
        <v>0</v>
      </c>
      <c r="CE101" s="276">
        <v>0</v>
      </c>
      <c r="CF101" s="222">
        <f>SUM(Table1[[#This Row],[OthCostQ1]:[OthCostQ3]])</f>
        <v>0</v>
      </c>
      <c r="CG101" s="222">
        <f>(Table1[[#This Row],[T&amp;FTot]]+Table1[[#This Row],[B&amp;STot]]+Table1[[#This Row],[HousTot]]+Table1[[#This Row],[LETot]]+Table1[[#This Row],[OthCostTot]])</f>
        <v>39515</v>
      </c>
      <c r="CH101" s="253">
        <v>0</v>
      </c>
      <c r="CI101" s="253">
        <v>0</v>
      </c>
      <c r="CJ101" s="253">
        <v>0</v>
      </c>
      <c r="CK101" s="254">
        <f>SUM(Table1[[#This Row],[SEOGQ1]:[SEOGQ3]])</f>
        <v>0</v>
      </c>
      <c r="CL101" s="253">
        <f>IFERROR(ROUNDUP(Table1[[#This Row],[PellTot]]/3,0),0)</f>
        <v>0</v>
      </c>
      <c r="CM101" s="253">
        <f>IFERROR(ROUND(Table1[[#This Row],[PellTot]]/3,0),0)</f>
        <v>0</v>
      </c>
      <c r="CN101" s="253">
        <f>IFERROR(ROUNDDOWN(Table1[[#This Row],[PellTot]]/3,0),0)</f>
        <v>0</v>
      </c>
      <c r="CO101" s="254">
        <f>IFERROR(LOOKUP(Table1[EFC],Pell_Table[#Data],Pell_Table[Pell Amt]),0)</f>
        <v>0</v>
      </c>
      <c r="CP101" s="253">
        <f>Table1[[#This Row],[AccessTot]]/3</f>
        <v>0</v>
      </c>
      <c r="CQ101" s="253">
        <f>Table1[[#This Row],[AccessTot]]/3</f>
        <v>0</v>
      </c>
      <c r="CR101" s="253">
        <f>Table1[[#This Row],[AccessTot]]/3</f>
        <v>0</v>
      </c>
      <c r="CS101" s="254">
        <f>IF(Table1[[#This Row],[PellTot]]&gt;0,1500,0)</f>
        <v>0</v>
      </c>
      <c r="CT101" s="253">
        <f>Table1[[#This Row],[AchiTot]]/3</f>
        <v>1700</v>
      </c>
      <c r="CU101" s="253">
        <f>Table1[[#This Row],[AchiTot]]/3</f>
        <v>1700</v>
      </c>
      <c r="CV101" s="253">
        <f>Table1[[#This Row],[AchiTot]]/3</f>
        <v>1700</v>
      </c>
      <c r="CW101" s="255">
        <f>IF(Table1[[#This Row],[Rank]]="","",IF(Table1[[#This Row],[Rank]]=1,5100,IF(Table1[[#This Row],[Rank]]=2,4500,IF(Table1[[#This Row],[Rank]]=3,3900,IF(Table1[[#This Row],[Rank]]=4,3750,IF(Table1[[#This Row],[Rank]]=5,3000,IF(Table1[[#This Row],[Rank]]=6,2250,0)))))))</f>
        <v>5100</v>
      </c>
      <c r="CX101" s="253">
        <f>Table1[[#This Row],[UTTot]]/3</f>
        <v>0</v>
      </c>
      <c r="CY101" s="253">
        <f>Table1[[#This Row],[UTTot]]/3</f>
        <v>0</v>
      </c>
      <c r="CZ101" s="253">
        <f>Table1[[#This Row],[UTTot]]/3</f>
        <v>0</v>
      </c>
      <c r="DA101" s="254">
        <f>IF(Table1[[#This Row],[State]]="UT",9000,0)</f>
        <v>0</v>
      </c>
      <c r="DB101" s="253">
        <f>Table1[[#This Row],[WITTot]]/3</f>
        <v>0</v>
      </c>
      <c r="DC101" s="253">
        <f>Table1[[#This Row],[WITTot]]/3</f>
        <v>0</v>
      </c>
      <c r="DD101" s="253">
        <f>Table1[[#This Row],[WITTot]]/3</f>
        <v>0</v>
      </c>
      <c r="DE101" s="254">
        <f>IF(Table1[[#This Row],[Gender]]="Female",3000,0)</f>
        <v>0</v>
      </c>
      <c r="DF101" s="253">
        <f>Table1[[#This Row],[SerTot]]/3</f>
        <v>0</v>
      </c>
      <c r="DG101" s="253">
        <f>Table1[[#This Row],[SerTot]]/3</f>
        <v>0</v>
      </c>
      <c r="DH101" s="253">
        <f>Table1[[#This Row],[SerTot]]/3</f>
        <v>0</v>
      </c>
      <c r="DI101" s="255">
        <v>0</v>
      </c>
      <c r="DJ101" s="253">
        <f>IFERROR(ROUNDUP(Table1[[#This Row],[TranTot]]/3,0),0)</f>
        <v>0</v>
      </c>
      <c r="DK101" s="253">
        <f>IFERROR(ROUND(Table1[[#This Row],[TranTot]]/3,0),0)</f>
        <v>0</v>
      </c>
      <c r="DL101" s="253">
        <f>IFERROR(ROUNDDOWN(Table1[[#This Row],[TranTot]]/3,0),0)</f>
        <v>0</v>
      </c>
      <c r="DM101" s="255">
        <v>0</v>
      </c>
      <c r="DN101" s="253">
        <f>Table1[[#This Row],[MatTot]]/3</f>
        <v>0</v>
      </c>
      <c r="DO101" s="253">
        <f>Table1[[#This Row],[MatTot]]/3</f>
        <v>0</v>
      </c>
      <c r="DP101" s="253">
        <f>Table1[[#This Row],[MatTot]]/3</f>
        <v>0</v>
      </c>
      <c r="DQ101" s="255">
        <v>0</v>
      </c>
      <c r="DR101" s="253">
        <f>Table1[[#This Row],[OutTot]]/3</f>
        <v>0</v>
      </c>
      <c r="DS101" s="253">
        <f>Table1[[#This Row],[OutTot]]/3</f>
        <v>0</v>
      </c>
      <c r="DT101" s="253">
        <f>Table1[[#This Row],[OutTot]]/3</f>
        <v>0</v>
      </c>
      <c r="DU101" s="255">
        <v>0</v>
      </c>
      <c r="DV101" s="253">
        <v>0</v>
      </c>
      <c r="DW101" s="253">
        <v>0</v>
      </c>
      <c r="DX101" s="253">
        <v>0</v>
      </c>
      <c r="DY101" s="255">
        <f>SUM(Table1[[#This Row],[VAQ1]:[VAQ3]])</f>
        <v>0</v>
      </c>
      <c r="DZ101" s="253">
        <v>0</v>
      </c>
      <c r="EA101" s="253">
        <v>0</v>
      </c>
      <c r="EB101" s="253">
        <v>0</v>
      </c>
      <c r="EC101" s="278">
        <f>SUM(Table1[[#This Row],[OthGrantQ1]:[OthGrantQ3]])</f>
        <v>0</v>
      </c>
      <c r="ED101" s="264">
        <f>Table1[[#This Row],[SEOGTot]]+Table1[[#This Row],[PellTot]]+Table1[[#This Row],[AccessTot]]+Table1[[#This Row],[AchiTot]]+Table1[[#This Row],[UTTot]]+Table1[[#This Row],[WITTot]]+Table1[[#This Row],[SerTot]]+Table1[[#This Row],[TranTot]]+Table1[[#This Row],[MatTot]]+Table1[[#This Row],[OutTot]]+Table1[[#This Row],[VATot]]+Table1[[#This Row],[OthGrantTot]]</f>
        <v>5100</v>
      </c>
      <c r="EE101" s="226">
        <v>0</v>
      </c>
      <c r="EF101" s="227">
        <v>0</v>
      </c>
      <c r="EG101" s="227">
        <v>0</v>
      </c>
      <c r="EH101" s="228">
        <f>SUM(Table1[[#This Row],[CashQ1]]:Table1[[#This Row],[CashQ3]])</f>
        <v>0</v>
      </c>
      <c r="EI101" s="229">
        <f>ROUND((Table1[[#This Row],[SubTot]]/3)/1.01059,0)</f>
        <v>1154</v>
      </c>
      <c r="EJ101" s="230">
        <f>ROUND((Table1[[#This Row],[SubTot]]/3)/1.01059,0)</f>
        <v>1154</v>
      </c>
      <c r="EK101" s="230">
        <f>ROUNDUP((Table1[[#This Row],[SubTot]]/3)/1.01059,0)</f>
        <v>1155</v>
      </c>
      <c r="EL101" s="231">
        <v>3500</v>
      </c>
      <c r="EM101" s="233">
        <f>Table1[[#This Row],[SubTot]]*0.01059</f>
        <v>37.065000000000005</v>
      </c>
      <c r="EN101" s="230">
        <f>ROUND((Table1[[#This Row],[UnsubTot]]/3)/1.01062,0)</f>
        <v>660</v>
      </c>
      <c r="EO101" s="230">
        <f>ROUND((Table1[[#This Row],[UnsubTot]]/3)/1.01062,0)</f>
        <v>660</v>
      </c>
      <c r="EP101" s="230">
        <f>ROUNDDOWN((Table1[[#This Row],[UnsubTot]]/3)/1.01062,0)</f>
        <v>659</v>
      </c>
      <c r="EQ101" s="231">
        <f>IF(Table1[D/I]="I",6000,2000)</f>
        <v>2000</v>
      </c>
      <c r="ER101" s="233">
        <f>Table1[[#This Row],[UnsubTot]]*0.01059</f>
        <v>21.18</v>
      </c>
      <c r="ES101" s="230">
        <f>ROUND((Table1[[#This Row],[PLUSTot]]/3)/1.04236,0)</f>
        <v>0</v>
      </c>
      <c r="ET101" s="230">
        <f>ROUND((Table1[[#This Row],[PLUSTot]]/3)/1.04236,0)</f>
        <v>0</v>
      </c>
      <c r="EU101" s="230">
        <f>ROUND((Table1[[#This Row],[PLUSTot]]/3)/1.04236,0)</f>
        <v>0</v>
      </c>
      <c r="EV101" s="231">
        <v>0</v>
      </c>
      <c r="EW101" s="236">
        <f>Table1[[#This Row],[PLUSTot]]*0.04236</f>
        <v>0</v>
      </c>
      <c r="EX101" s="227"/>
      <c r="EY101" s="227"/>
      <c r="EZ101" s="227"/>
      <c r="FA101" s="228">
        <f>SUM(Table1[[#This Row],[PrivQ1]:[PrivQ3]])</f>
        <v>0</v>
      </c>
      <c r="FB101" s="227"/>
      <c r="FC101" s="227"/>
      <c r="FD101" s="227"/>
      <c r="FE101" s="228">
        <f>SUM(Table1[[#This Row],[TOQ1]:[TOQ3]])</f>
        <v>0</v>
      </c>
      <c r="FF101" s="227">
        <v>2736</v>
      </c>
      <c r="FG101" s="227">
        <v>2736</v>
      </c>
      <c r="FH101" s="227">
        <v>2736</v>
      </c>
      <c r="FI101" s="228">
        <f>SUM(Table1[[#This Row],[OFundQ1]:[OFundQ3]])</f>
        <v>8208</v>
      </c>
      <c r="FJ101" s="236">
        <f>(Table1[[#This Row],[SubTot]]-Table1[[#This Row],[SubFee]])+(Table1[[#This Row],[UnsubTot]]-Table1[[#This Row],[UnsubFee]])+(Table1[[#This Row],[PLUSTot]]-Table1[[#This Row],[PLUSFee]])+Table1[[#This Row],[PrivTot]]+Table1[[#This Row],[TOTot]]+Table1[[#This Row],[OFundTot]]</f>
        <v>13649.755000000001</v>
      </c>
      <c r="FK101" s="159">
        <f>Table1[[#This Row],[CostTot]]-Table1[[#This Row],[GiftTot]]</f>
        <v>34415</v>
      </c>
      <c r="FL101" s="174">
        <f>Table1[[#This Row],[NetNeed]]/(1-0.04236)</f>
        <v>21683.769474959274</v>
      </c>
      <c r="FM101" s="176">
        <f>Table1[[#This Row],[NetCost]]-Table1[[#This Row],[CashTot]]-(Table1[[#This Row],[SubTot]]-Table1[[#This Row],[SubFee]])-(Table1[[#This Row],[UnsubTot]]-Table1[[#This Row],[UnsubFee]])-(Table1[[#This Row],[PLUSTot]]-Table1[[#This Row],[PLUSFee]])-Table1[[#This Row],[PrivTot]]-Table1[[#This Row],[TOTot]]-Table1[[#This Row],[OFundTot]]</f>
        <v>20765.244999999999</v>
      </c>
      <c r="FN101" s="217"/>
      <c r="FO101" s="162"/>
      <c r="FP101" s="162"/>
    </row>
    <row r="102" spans="1:172" ht="15" x14ac:dyDescent="0.25">
      <c r="A102" s="311">
        <v>196357</v>
      </c>
      <c r="B102" s="160" t="str">
        <f>VLOOKUP(Table1[[#This Row],[SyStudentId]],SSR!$A$2:$CC$4982,4,FALSE)</f>
        <v>Riggs</v>
      </c>
      <c r="C102" s="160" t="str">
        <f>VLOOKUP(Table1[[#This Row],[SyStudentId]],SSR!$A$2:$CC$4982,5,FALSE)</f>
        <v>Jacob</v>
      </c>
      <c r="D102" s="160" t="str">
        <f>VLOOKUP(Table1[[#This Row],[SyStudentId]],SSR!$A$2:$CC$4982,6,FALSE)</f>
        <v>Riggs, Jacob</v>
      </c>
      <c r="E102" s="113" t="str">
        <f>CONCATENATE(Table1[[#This Row],[FirstName]]," ",Table1[[#This Row],[LastName]])</f>
        <v>Jacob Riggs</v>
      </c>
      <c r="F102" s="158"/>
      <c r="G102" s="114"/>
      <c r="H102" s="114"/>
      <c r="I102" s="114"/>
      <c r="J102" s="163"/>
      <c r="K102" s="164"/>
      <c r="L102" s="158" t="str">
        <f>IFERROR(VLOOKUP(Table1[[#This Row],[SyStudentId]],ISIR!$A$2:$X$4999,11,FALSE),"")</f>
        <v/>
      </c>
      <c r="M102" s="160" t="str">
        <f>VLOOKUP(Table1[[#This Row],[SyStudentId]],SSR!$A$2:$CC$4982,7,FALSE)</f>
        <v>jacob.riggs2411@gmail.com</v>
      </c>
      <c r="N102" s="160" t="str">
        <f>VLOOKUP(Table1[[#This Row],[SyStudentId]],SSR!$A$2:$CC$4982,8,FALSE)</f>
        <v>963 S Leslie Pl</v>
      </c>
      <c r="O102" s="160" t="str">
        <f>VLOOKUP(Table1[[#This Row],[SyStudentId]],SSR!$A$2:$CC$4982,9,FALSE)</f>
        <v>West Terre Haute</v>
      </c>
      <c r="P102" s="160" t="str">
        <f>VLOOKUP(Table1[[#This Row],[SyStudentId]],SSR!$A$2:$CC$4982,10,FALSE)</f>
        <v>IN</v>
      </c>
      <c r="Q102" s="165" t="str">
        <f>VLOOKUP(Table1[[#This Row],[SyStudentId]],SSR!$A$2:$CC$4982,11,FALSE)</f>
        <v>47885-8934</v>
      </c>
      <c r="R102" s="166">
        <f>VLOOKUP(Table1[[#This Row],[SyStudentId]],SSR!$A$2:$CC$4982,15,FALSE)</f>
        <v>3.03</v>
      </c>
      <c r="S102" s="167">
        <f>VLOOKUP(Table1[[#This Row],[SyStudentId]],SSR!$A$2:$CC$4982,22,FALSE)</f>
        <v>44109</v>
      </c>
      <c r="T102" s="160" t="str">
        <f>VLOOKUP(Table1[[#This Row],[SyStudentId]],SSR!$A$2:$CC$4982,24,FALSE)</f>
        <v>JT</v>
      </c>
      <c r="U102" s="160" t="str">
        <f>IF(VLOOKUP(Table1[[#This Row],[SyStudentId]],SSR!$A$2:$CC$4982,26,FALSE)=0,"Not Selected",VLOOKUP(Table1[[#This Row],[SyStudentId]],SSR!$A$2:$CC$4982,26,FALSE))</f>
        <v>Male</v>
      </c>
      <c r="V102" s="160" t="str">
        <f>VLOOKUP(Table1[[#This Row],[SyStudentId]],SSR!$A$2:$CC$4982,27,FALSE)</f>
        <v xml:space="preserve">HS2020  </v>
      </c>
      <c r="W102" s="160" t="str">
        <f>VLOOKUP(LEFT(Table1[[#This Row],[LastName]],1),Alpha!$A$1:$B$26,2,FALSE)</f>
        <v>Maureen Ranks</v>
      </c>
      <c r="X102" s="168" t="str">
        <f>VLOOKUP(Table1[[#This Row],[FAA]],Alpha!$B$1:$D$26,2,FALSE)</f>
        <v>mranks@neumont.edu</v>
      </c>
      <c r="Y102" s="160">
        <f>VLOOKUP(Table1[[#This Row],[FAA]],Alpha!$B$1:$D$26,3,FALSE)</f>
        <v>8883022894</v>
      </c>
      <c r="Z102" s="160" t="str">
        <f>VLOOKUP(Table1[[#This Row],[SyStudentId]],SSR!$A$2:$CC$4982,30,FALSE)</f>
        <v>18-Pending Enrollment</v>
      </c>
      <c r="AA102" s="160" t="str">
        <f>IF(VLOOKUP(Table1[[#This Row],[SyStudentId]],SSR!$A$2:$CC$4982,36,FALSE)="Bachelor of Science","BS Computer Science","Check Program")</f>
        <v>BS Computer Science</v>
      </c>
      <c r="AB102" s="160">
        <f>VLOOKUP(Table1[[#This Row],[SyStudentId]],SSR!$A$2:$CC$4982,37,FALSE)</f>
        <v>0</v>
      </c>
      <c r="AC102" s="160">
        <f>VLOOKUP(Table1[[#This Row],[SyStudentId]],SSR!$A$2:$CC$4982,42,FALSE)</f>
        <v>0</v>
      </c>
      <c r="AD102" s="160" t="str">
        <f>VLOOKUP(Table1[[#This Row],[SyStudentId]],SSR!$A$2:$CC$4982,46,FALSE)</f>
        <v>0</v>
      </c>
      <c r="AE102" s="160" t="str">
        <f>VLOOKUP(Table1[[#This Row],[SyStudentId]],SSR!$A$2:$CC$4982,65,FALSE)</f>
        <v>VIII</v>
      </c>
      <c r="AF102"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102" s="160" t="str">
        <f>VLOOKUP(Table1[[#This Row],[SyStudentId]],SSR!$A$2:$CC$4982,66,FALSE)</f>
        <v>July-October</v>
      </c>
      <c r="AH102" s="160" t="str">
        <f>IFERROR(VLOOKUP(Table1[[#This Row],[SyStudentId]],ISIR!$A$2:$X$1999,7,FALSE),"")</f>
        <v/>
      </c>
      <c r="AI102" s="170" t="str">
        <f>IF(Table1[[#This Row],[EFCRaw]]="","",IF(Table1[[#This Row],[EFCRaw]]="No EFC","No EFC",_xlfn.NUMBERVALUE(Table1[[#This Row],[EFCRaw]])))</f>
        <v/>
      </c>
      <c r="AJ102" s="167" t="str">
        <f>IFERROR(VLOOKUP(Table1[[#This Row],[SyStudentId]],ISIR!$A$2:$X$4999,19,FALSE),"")</f>
        <v/>
      </c>
      <c r="AK102" s="160" t="str">
        <f>IFERROR(VLOOKUP(Table1[[#This Row],[SyStudentId]],ISIR!$A$2:$X$4999,8,FALSE),"")</f>
        <v/>
      </c>
      <c r="AL102" s="171" t="str">
        <f>IF(Table1[[#This Row],[VerReq]]="N","n/a","")</f>
        <v/>
      </c>
      <c r="AM102" s="122"/>
      <c r="AN102" s="122"/>
      <c r="AO102" s="122"/>
      <c r="AP102" s="122"/>
      <c r="AQ102" s="122"/>
      <c r="AR102" s="122"/>
      <c r="AS102" s="122"/>
      <c r="AT102" s="122"/>
      <c r="AU102" s="122"/>
      <c r="AV102" s="122"/>
      <c r="AW102" s="122"/>
      <c r="AX102" s="122"/>
      <c r="AY102" s="122"/>
      <c r="AZ102" s="122"/>
      <c r="BA102" s="122"/>
      <c r="BB102" s="122"/>
      <c r="BC102" s="148"/>
      <c r="BD102" s="140" t="str">
        <f>IF(Table1[[#This Row],[VerReq]]="N","x","")</f>
        <v/>
      </c>
      <c r="BE102" s="140" t="str">
        <f>IF(Table1[[#This Row],[VerReq]]="N","x","")</f>
        <v/>
      </c>
      <c r="BF102" s="140" t="str">
        <f>IF(Table1[[#This Row],[VerReq]]="N","x","")</f>
        <v/>
      </c>
      <c r="BG102" s="140" t="str">
        <f>IF(Table1[[#This Row],[VerReq]]="N","x","")</f>
        <v/>
      </c>
      <c r="BH102" s="140" t="str">
        <f>IF(Table1[[#This Row],[VerReq]]="N","x","")</f>
        <v/>
      </c>
      <c r="BI102" s="140" t="str">
        <f>IF(Table1[[#This Row],[VerReq]]="N","x","")</f>
        <v/>
      </c>
      <c r="BJ102" s="181">
        <f>1-((COUNTBLANK(Table1[[#This Row],[ALESent]:[TaxTran]]))/(COUNT(Table1[[#This Row],[ALESent]:[TaxTran]])+COUNTBLANK(Table1[[#This Row],[ALESent]:[TaxTran]])))</f>
        <v>0</v>
      </c>
      <c r="BK102" s="216">
        <f>IF(VLOOKUP(Table1[[#This Row],[SyStudentId]],SSR!$A$2:$CC$4982,22,FALSE)=44109,44109,"Check Program")</f>
        <v>44109</v>
      </c>
      <c r="BL102" s="173">
        <f>IF(Table1[[#This Row],[AYStart]]=44109,44356,"Check Program")</f>
        <v>44356</v>
      </c>
      <c r="BM102" s="219">
        <v>8505</v>
      </c>
      <c r="BN102" s="219">
        <v>8505</v>
      </c>
      <c r="BO102" s="219">
        <v>8505</v>
      </c>
      <c r="BP102" s="220">
        <f t="shared" si="3"/>
        <v>25515</v>
      </c>
      <c r="BQ102" s="221">
        <v>3300</v>
      </c>
      <c r="BR102" s="219">
        <v>400</v>
      </c>
      <c r="BS102" s="219">
        <v>400</v>
      </c>
      <c r="BT102" s="222">
        <f t="shared" si="4"/>
        <v>4100</v>
      </c>
      <c r="BU102" s="219">
        <v>2100</v>
      </c>
      <c r="BV102" s="219">
        <v>2100</v>
      </c>
      <c r="BW102" s="219">
        <v>2100</v>
      </c>
      <c r="BX102" s="222">
        <f t="shared" si="5"/>
        <v>6300</v>
      </c>
      <c r="BY102" s="275">
        <v>1200</v>
      </c>
      <c r="BZ102" s="275">
        <v>1200</v>
      </c>
      <c r="CA102" s="275">
        <v>1200</v>
      </c>
      <c r="CB102" s="222">
        <f>SUM(Table1[[#This Row],[LEQ1]:[LEQ3]])</f>
        <v>3600</v>
      </c>
      <c r="CC102" s="276">
        <v>0</v>
      </c>
      <c r="CD102" s="276">
        <v>0</v>
      </c>
      <c r="CE102" s="276">
        <v>0</v>
      </c>
      <c r="CF102" s="222">
        <f>SUM(Table1[[#This Row],[OthCostQ1]:[OthCostQ3]])</f>
        <v>0</v>
      </c>
      <c r="CG102" s="222">
        <f>(Table1[[#This Row],[T&amp;FTot]]+Table1[[#This Row],[B&amp;STot]]+Table1[[#This Row],[HousTot]]+Table1[[#This Row],[LETot]]+Table1[[#This Row],[OthCostTot]])</f>
        <v>39515</v>
      </c>
      <c r="CH102" s="253">
        <v>0</v>
      </c>
      <c r="CI102" s="253">
        <v>0</v>
      </c>
      <c r="CJ102" s="253">
        <v>0</v>
      </c>
      <c r="CK102" s="254">
        <f>SUM(Table1[[#This Row],[SEOGQ1]:[SEOGQ3]])</f>
        <v>0</v>
      </c>
      <c r="CL102" s="253">
        <f>IFERROR(ROUNDUP(Table1[[#This Row],[PellTot]]/3,0),0)</f>
        <v>0</v>
      </c>
      <c r="CM102" s="253">
        <f>IFERROR(ROUND(Table1[[#This Row],[PellTot]]/3,0),0)</f>
        <v>0</v>
      </c>
      <c r="CN102" s="253">
        <f>IFERROR(ROUNDDOWN(Table1[[#This Row],[PellTot]]/3,0),0)</f>
        <v>0</v>
      </c>
      <c r="CO102" s="254">
        <f>IFERROR(LOOKUP(Table1[EFC],Pell_Table[#Data],Pell_Table[Pell Amt]),0)</f>
        <v>0</v>
      </c>
      <c r="CP102" s="253">
        <f>Table1[[#This Row],[AccessTot]]/3</f>
        <v>0</v>
      </c>
      <c r="CQ102" s="253">
        <f>Table1[[#This Row],[AccessTot]]/3</f>
        <v>0</v>
      </c>
      <c r="CR102" s="253">
        <f>Table1[[#This Row],[AccessTot]]/3</f>
        <v>0</v>
      </c>
      <c r="CS102" s="254">
        <f>IF(Table1[[#This Row],[PellTot]]&gt;0,1500,0)</f>
        <v>0</v>
      </c>
      <c r="CT102" s="253">
        <f>Table1[[#This Row],[AchiTot]]/3</f>
        <v>0</v>
      </c>
      <c r="CU102" s="253">
        <f>Table1[[#This Row],[AchiTot]]/3</f>
        <v>0</v>
      </c>
      <c r="CV102" s="253">
        <f>Table1[[#This Row],[AchiTot]]/3</f>
        <v>0</v>
      </c>
      <c r="CW102" s="255">
        <f>IF(Table1[[#This Row],[Rank]]="","",IF(Table1[[#This Row],[Rank]]=1,5100,IF(Table1[[#This Row],[Rank]]=2,4500,IF(Table1[[#This Row],[Rank]]=3,3900,IF(Table1[[#This Row],[Rank]]=4,3750,IF(Table1[[#This Row],[Rank]]=5,3000,IF(Table1[[#This Row],[Rank]]=6,2250,0)))))))</f>
        <v>0</v>
      </c>
      <c r="CX102" s="253">
        <f>Table1[[#This Row],[UTTot]]/3</f>
        <v>0</v>
      </c>
      <c r="CY102" s="253">
        <f>Table1[[#This Row],[UTTot]]/3</f>
        <v>0</v>
      </c>
      <c r="CZ102" s="253">
        <f>Table1[[#This Row],[UTTot]]/3</f>
        <v>0</v>
      </c>
      <c r="DA102" s="254">
        <f>IF(Table1[[#This Row],[State]]="UT",9000,0)</f>
        <v>0</v>
      </c>
      <c r="DB102" s="253">
        <f>Table1[[#This Row],[WITTot]]/3</f>
        <v>0</v>
      </c>
      <c r="DC102" s="253">
        <f>Table1[[#This Row],[WITTot]]/3</f>
        <v>0</v>
      </c>
      <c r="DD102" s="253">
        <f>Table1[[#This Row],[WITTot]]/3</f>
        <v>0</v>
      </c>
      <c r="DE102" s="254">
        <f>IF(Table1[[#This Row],[Gender]]="Female",3000,0)</f>
        <v>0</v>
      </c>
      <c r="DF102" s="253">
        <f>Table1[[#This Row],[SerTot]]/3</f>
        <v>0</v>
      </c>
      <c r="DG102" s="253">
        <f>Table1[[#This Row],[SerTot]]/3</f>
        <v>0</v>
      </c>
      <c r="DH102" s="253">
        <f>Table1[[#This Row],[SerTot]]/3</f>
        <v>0</v>
      </c>
      <c r="DI102" s="255">
        <v>0</v>
      </c>
      <c r="DJ102" s="253">
        <f>IFERROR(ROUNDUP(Table1[[#This Row],[TranTot]]/3,0),0)</f>
        <v>0</v>
      </c>
      <c r="DK102" s="253">
        <f>IFERROR(ROUND(Table1[[#This Row],[TranTot]]/3,0),0)</f>
        <v>0</v>
      </c>
      <c r="DL102" s="253">
        <f>IFERROR(ROUNDDOWN(Table1[[#This Row],[TranTot]]/3,0),0)</f>
        <v>0</v>
      </c>
      <c r="DM102" s="255">
        <v>0</v>
      </c>
      <c r="DN102" s="253">
        <f>Table1[[#This Row],[MatTot]]/3</f>
        <v>0</v>
      </c>
      <c r="DO102" s="253">
        <f>Table1[[#This Row],[MatTot]]/3</f>
        <v>0</v>
      </c>
      <c r="DP102" s="253">
        <f>Table1[[#This Row],[MatTot]]/3</f>
        <v>0</v>
      </c>
      <c r="DQ102" s="255">
        <v>0</v>
      </c>
      <c r="DR102" s="253">
        <f>Table1[[#This Row],[OutTot]]/3</f>
        <v>0</v>
      </c>
      <c r="DS102" s="253">
        <f>Table1[[#This Row],[OutTot]]/3</f>
        <v>0</v>
      </c>
      <c r="DT102" s="253">
        <f>Table1[[#This Row],[OutTot]]/3</f>
        <v>0</v>
      </c>
      <c r="DU102" s="255">
        <v>0</v>
      </c>
      <c r="DV102" s="253">
        <v>0</v>
      </c>
      <c r="DW102" s="253">
        <v>0</v>
      </c>
      <c r="DX102" s="253">
        <v>0</v>
      </c>
      <c r="DY102" s="255">
        <f>SUM(Table1[[#This Row],[VAQ1]:[VAQ3]])</f>
        <v>0</v>
      </c>
      <c r="DZ102" s="253">
        <v>0</v>
      </c>
      <c r="EA102" s="253">
        <v>0</v>
      </c>
      <c r="EB102" s="253">
        <v>0</v>
      </c>
      <c r="EC102" s="278">
        <f>SUM(Table1[[#This Row],[OthGrantQ1]:[OthGrantQ3]])</f>
        <v>0</v>
      </c>
      <c r="ED102" s="264">
        <f>Table1[[#This Row],[SEOGTot]]+Table1[[#This Row],[PellTot]]+Table1[[#This Row],[AccessTot]]+Table1[[#This Row],[AchiTot]]+Table1[[#This Row],[UTTot]]+Table1[[#This Row],[WITTot]]+Table1[[#This Row],[SerTot]]+Table1[[#This Row],[TranTot]]+Table1[[#This Row],[MatTot]]+Table1[[#This Row],[OutTot]]+Table1[[#This Row],[VATot]]+Table1[[#This Row],[OthGrantTot]]</f>
        <v>0</v>
      </c>
      <c r="EE102" s="226">
        <v>0</v>
      </c>
      <c r="EF102" s="227">
        <v>0</v>
      </c>
      <c r="EG102" s="227">
        <v>0</v>
      </c>
      <c r="EH102" s="228">
        <f>SUM(Table1[[#This Row],[CashQ1]]:Table1[[#This Row],[CashQ3]])</f>
        <v>0</v>
      </c>
      <c r="EI102" s="229">
        <f>ROUND((Table1[[#This Row],[SubTot]]/3)/1.01059,0)</f>
        <v>1154</v>
      </c>
      <c r="EJ102" s="230">
        <f>ROUND((Table1[[#This Row],[SubTot]]/3)/1.01059,0)</f>
        <v>1154</v>
      </c>
      <c r="EK102" s="230">
        <f>ROUNDUP((Table1[[#This Row],[SubTot]]/3)/1.01059,0)</f>
        <v>1155</v>
      </c>
      <c r="EL102" s="231">
        <v>3500</v>
      </c>
      <c r="EM102" s="233">
        <f>Table1[[#This Row],[SubTot]]*0.01059</f>
        <v>37.065000000000005</v>
      </c>
      <c r="EN102" s="230">
        <f>ROUND((Table1[[#This Row],[UnsubTot]]/3)/1.01062,0)</f>
        <v>660</v>
      </c>
      <c r="EO102" s="230">
        <f>ROUND((Table1[[#This Row],[UnsubTot]]/3)/1.01062,0)</f>
        <v>660</v>
      </c>
      <c r="EP102" s="230">
        <f>ROUNDDOWN((Table1[[#This Row],[UnsubTot]]/3)/1.01062,0)</f>
        <v>659</v>
      </c>
      <c r="EQ102" s="231">
        <f>IF(Table1[D/I]="I",6000,2000)</f>
        <v>2000</v>
      </c>
      <c r="ER102" s="233">
        <f>Table1[[#This Row],[UnsubTot]]*0.01059</f>
        <v>21.18</v>
      </c>
      <c r="ES102" s="230">
        <f>ROUND((Table1[[#This Row],[PLUSTot]]/3)/1.04236,0)</f>
        <v>0</v>
      </c>
      <c r="ET102" s="230">
        <f>ROUND((Table1[[#This Row],[PLUSTot]]/3)/1.04236,0)</f>
        <v>0</v>
      </c>
      <c r="EU102" s="230">
        <f>ROUND((Table1[[#This Row],[PLUSTot]]/3)/1.04236,0)</f>
        <v>0</v>
      </c>
      <c r="EV102" s="231">
        <v>0</v>
      </c>
      <c r="EW102" s="236">
        <f>Table1[[#This Row],[PLUSTot]]*0.04236</f>
        <v>0</v>
      </c>
      <c r="EX102" s="227"/>
      <c r="EY102" s="227"/>
      <c r="EZ102" s="227"/>
      <c r="FA102" s="228">
        <f>SUM(Table1[[#This Row],[PrivQ1]:[PrivQ3]])</f>
        <v>0</v>
      </c>
      <c r="FB102" s="227"/>
      <c r="FC102" s="227"/>
      <c r="FD102" s="227"/>
      <c r="FE102" s="228">
        <f>SUM(Table1[[#This Row],[TOQ1]:[TOQ3]])</f>
        <v>0</v>
      </c>
      <c r="FF102" s="227"/>
      <c r="FG102" s="227"/>
      <c r="FH102" s="227"/>
      <c r="FI102" s="228">
        <f>SUM(Table1[[#This Row],[OFundQ1]:[OFundQ3]])</f>
        <v>0</v>
      </c>
      <c r="FJ102" s="236">
        <f>(Table1[[#This Row],[SubTot]]-Table1[[#This Row],[SubFee]])+(Table1[[#This Row],[UnsubTot]]-Table1[[#This Row],[UnsubFee]])+(Table1[[#This Row],[PLUSTot]]-Table1[[#This Row],[PLUSFee]])+Table1[[#This Row],[PrivTot]]+Table1[[#This Row],[TOTot]]+Table1[[#This Row],[OFundTot]]</f>
        <v>5441.7550000000001</v>
      </c>
      <c r="FK102" s="159">
        <f>Table1[[#This Row],[CostTot]]-Table1[[#This Row],[GiftTot]]</f>
        <v>39515</v>
      </c>
      <c r="FL102" s="174">
        <f>Table1[[#This Row],[NetNeed]]/(1-0.04236)</f>
        <v>35580.43210392214</v>
      </c>
      <c r="FM102" s="176">
        <f>Table1[[#This Row],[NetCost]]-Table1[[#This Row],[CashTot]]-(Table1[[#This Row],[SubTot]]-Table1[[#This Row],[SubFee]])-(Table1[[#This Row],[UnsubTot]]-Table1[[#This Row],[UnsubFee]])-(Table1[[#This Row],[PLUSTot]]-Table1[[#This Row],[PLUSFee]])-Table1[[#This Row],[PrivTot]]-Table1[[#This Row],[TOTot]]-Table1[[#This Row],[OFundTot]]</f>
        <v>34073.245000000003</v>
      </c>
      <c r="FN102" s="217"/>
      <c r="FO102" s="162"/>
      <c r="FP102" s="162"/>
    </row>
    <row r="103" spans="1:172" ht="15" x14ac:dyDescent="0.25">
      <c r="A103" s="316">
        <v>198360</v>
      </c>
      <c r="B103" s="113" t="str">
        <f>VLOOKUP(Table1[[#This Row],[SyStudentId]],SSR!$A$2:$CC$4982,4,FALSE)</f>
        <v>Roberts</v>
      </c>
      <c r="C103" s="113" t="str">
        <f>VLOOKUP(Table1[[#This Row],[SyStudentId]],SSR!$A$2:$CC$4982,5,FALSE)</f>
        <v>Justin</v>
      </c>
      <c r="D103" s="113" t="str">
        <f>VLOOKUP(Table1[[#This Row],[SyStudentId]],SSR!$A$2:$CC$4982,6,FALSE)</f>
        <v>Roberts, Justin</v>
      </c>
      <c r="E103" s="113" t="str">
        <f>CONCATENATE(Table1[[#This Row],[FirstName]]," ",Table1[[#This Row],[LastName]])</f>
        <v>Justin Roberts</v>
      </c>
      <c r="F103" s="112">
        <v>1</v>
      </c>
      <c r="G103" s="114">
        <v>43780</v>
      </c>
      <c r="H103" s="114">
        <v>43782</v>
      </c>
      <c r="I103" s="114">
        <v>43782</v>
      </c>
      <c r="J103" s="115" t="s">
        <v>5312</v>
      </c>
      <c r="K103" s="116"/>
      <c r="L103" s="112" t="str">
        <f>IFERROR(VLOOKUP(Table1[[#This Row],[SyStudentId]],ISIR!$A$2:$X$999,11,FALSE),"")</f>
        <v>D</v>
      </c>
      <c r="M103" s="113" t="str">
        <f>VLOOKUP(Table1[[#This Row],[SyStudentId]],SSR!$A$2:$CC$4982,7,FALSE)</f>
        <v>temperary542@gmail.com</v>
      </c>
      <c r="N103" s="113" t="str">
        <f>VLOOKUP(Table1[[#This Row],[SyStudentId]],SSR!$A$2:$CC$4982,8,FALSE)</f>
        <v>17005 Perimeter Road</v>
      </c>
      <c r="O103" s="113" t="str">
        <f>VLOOKUP(Table1[[#This Row],[SyStudentId]],SSR!$A$2:$CC$4982,9,FALSE)</f>
        <v>Grass Valley</v>
      </c>
      <c r="P103" s="290" t="str">
        <f>VLOOKUP(Table1[[#This Row],[SyStudentId]],SSR!$A$2:$CC$4982,10,FALSE)</f>
        <v>CA</v>
      </c>
      <c r="Q103" s="117" t="str">
        <f>VLOOKUP(Table1[[#This Row],[SyStudentId]],SSR!$A$2:$CC$4982,11,FALSE)</f>
        <v xml:space="preserve">95949     </v>
      </c>
      <c r="R103" s="118">
        <f>VLOOKUP(Table1[[#This Row],[SyStudentId]],SSR!$A$2:$CC$4982,15,FALSE)</f>
        <v>4</v>
      </c>
      <c r="S103" s="119">
        <f>VLOOKUP(Table1[[#This Row],[SyStudentId]],SSR!$A$2:$CC$4982,22,FALSE)</f>
        <v>44109</v>
      </c>
      <c r="T103" s="113" t="str">
        <f>VLOOKUP(Table1[[#This Row],[SyStudentId]],SSR!$A$2:$CC$4982,24,FALSE)</f>
        <v>JT</v>
      </c>
      <c r="U103" s="113" t="str">
        <f>IF(VLOOKUP(Table1[[#This Row],[SyStudentId]],SSR!$A$2:$CC$4982,26,FALSE)=0,"Not Selected",VLOOKUP(Table1[[#This Row],[SyStudentId]],SSR!$A$2:$CC$4982,26,FALSE))</f>
        <v>Male</v>
      </c>
      <c r="V103" s="113" t="str">
        <f>VLOOKUP(Table1[[#This Row],[SyStudentId]],SSR!$A$2:$CC$4982,27,FALSE)</f>
        <v xml:space="preserve">HS2020  </v>
      </c>
      <c r="W103" s="113" t="str">
        <f>VLOOKUP(LEFT(Table1[[#This Row],[LastName]],1),Alpha!$A$1:$B$26,2,FALSE)</f>
        <v>Maureen Ranks</v>
      </c>
      <c r="X103" s="149" t="str">
        <f>VLOOKUP(Table1[[#This Row],[FAA]],Alpha!$B$1:$D$26,2,FALSE)</f>
        <v>mranks@neumont.edu</v>
      </c>
      <c r="Y103" s="113">
        <f>VLOOKUP(Table1[[#This Row],[FAA]],Alpha!$B$1:$D$26,3,FALSE)</f>
        <v>8883022894</v>
      </c>
      <c r="Z103" s="113" t="str">
        <f>VLOOKUP(Table1[[#This Row],[SyStudentId]],SSR!$A$2:$CC$4982,30,FALSE)</f>
        <v>16-Accepted</v>
      </c>
      <c r="AA103" s="113" t="str">
        <f>IF(VLOOKUP(Table1[[#This Row],[SyStudentId]],SSR!$A$2:$CC$4982,36,FALSE)="Bachelor of Science","BS Computer Science","Check Program")</f>
        <v>BS Computer Science</v>
      </c>
      <c r="AB103" s="113">
        <f>VLOOKUP(Table1[[#This Row],[SyStudentId]],SSR!$A$2:$CC$4982,37,FALSE)</f>
        <v>0</v>
      </c>
      <c r="AC103" s="113" t="str">
        <f>VLOOKUP(Table1[[#This Row],[SyStudentId]],SSR!$A$2:$CC$4982,42,FALSE)</f>
        <v xml:space="preserve">1310    </v>
      </c>
      <c r="AD103" s="113" t="str">
        <f>VLOOKUP(Table1[[#This Row],[SyStudentId]],SSR!$A$2:$CC$4982,46,FALSE)</f>
        <v>129</v>
      </c>
      <c r="AE103" s="113" t="str">
        <f>VLOOKUP(Table1[[#This Row],[SyStudentId]],SSR!$A$2:$CC$4982,65,FALSE)</f>
        <v>I</v>
      </c>
      <c r="AF10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03" s="113" t="str">
        <f>VLOOKUP(Table1[[#This Row],[SyStudentId]],SSR!$A$2:$CC$4982,66,FALSE)</f>
        <v>July-October</v>
      </c>
      <c r="AH103" s="113" t="str">
        <f>IFERROR(VLOOKUP(Table1[[#This Row],[SyStudentId]],ISIR!$A$2:$X$999,7,FALSE),"")</f>
        <v>052615</v>
      </c>
      <c r="AI103" s="121">
        <f>IF(Table1[[#This Row],[EFCRaw]]="","",IF(Table1[[#This Row],[EFCRaw]]="No EFC","No EFC",_xlfn.NUMBERVALUE(Table1[[#This Row],[EFCRaw]])))</f>
        <v>52615</v>
      </c>
      <c r="AJ103" s="119">
        <f>IFERROR(VLOOKUP(Table1[[#This Row],[SyStudentId]],ISIR!$A$2:$X$4999,19,FALSE),"")</f>
        <v>43774</v>
      </c>
      <c r="AK103" s="113" t="str">
        <f>IFERROR(VLOOKUP(Table1[[#This Row],[SyStudentId]],ISIR!$A$2:$X$4999,8,FALSE),"")</f>
        <v>N</v>
      </c>
      <c r="AL103" s="218" t="str">
        <f>IF(Table1[[#This Row],[VerReq]]="N","n/a","")</f>
        <v>n/a</v>
      </c>
      <c r="AM103" s="122">
        <v>43782</v>
      </c>
      <c r="AN103" s="122">
        <v>43782</v>
      </c>
      <c r="AO103" s="122">
        <v>43780</v>
      </c>
      <c r="AP103" s="122">
        <v>43780</v>
      </c>
      <c r="AQ103" s="122">
        <v>43780</v>
      </c>
      <c r="AR103" s="122"/>
      <c r="AS103" s="122"/>
      <c r="AT103" s="122"/>
      <c r="AU103" s="122"/>
      <c r="AV103" s="122"/>
      <c r="AW103" s="122"/>
      <c r="AX103" s="122"/>
      <c r="AY103" s="122"/>
      <c r="AZ103" s="122"/>
      <c r="BA103" s="122"/>
      <c r="BB103" s="122"/>
      <c r="BC103" s="148"/>
      <c r="BD103" s="140" t="str">
        <f>IF(Table1[[#This Row],[VerReq]]="N","x","")</f>
        <v>x</v>
      </c>
      <c r="BE103" s="140" t="str">
        <f>IF(Table1[[#This Row],[VerReq]]="N","x","")</f>
        <v>x</v>
      </c>
      <c r="BF103" s="140" t="str">
        <f>IF(Table1[[#This Row],[VerReq]]="N","x","")</f>
        <v>x</v>
      </c>
      <c r="BG103" s="140" t="str">
        <f>IF(Table1[[#This Row],[VerReq]]="N","x","")</f>
        <v>x</v>
      </c>
      <c r="BH103" s="140" t="str">
        <f>IF(Table1[[#This Row],[VerReq]]="N","x","")</f>
        <v>x</v>
      </c>
      <c r="BI103" s="140" t="str">
        <f>IF(Table1[[#This Row],[VerReq]]="N","x","")</f>
        <v>x</v>
      </c>
      <c r="BJ103" s="123">
        <f>1-((COUNTBLANK(Table1[[#This Row],[ALESent]:[TaxTran]]))/(COUNT(Table1[[#This Row],[ALESent]:[TaxTran]])+COUNTBLANK(Table1[[#This Row],[ALESent]:[TaxTran]])))</f>
        <v>0.29411764705882348</v>
      </c>
      <c r="BK103" s="150">
        <f>IF(VLOOKUP(Table1[[#This Row],[SyStudentId]],SSR!$A$2:$CC$4982,22,FALSE)=44109,44109,"Check Program")</f>
        <v>44109</v>
      </c>
      <c r="BL103" s="124">
        <f>IF(Table1[[#This Row],[AYStart]]=44109,44356,"Check Program")</f>
        <v>44356</v>
      </c>
      <c r="BM103" s="219">
        <v>8505</v>
      </c>
      <c r="BN103" s="219">
        <v>8505</v>
      </c>
      <c r="BO103" s="219">
        <v>8505</v>
      </c>
      <c r="BP103" s="220">
        <f t="shared" si="3"/>
        <v>25515</v>
      </c>
      <c r="BQ103" s="221">
        <v>3300</v>
      </c>
      <c r="BR103" s="219">
        <v>400</v>
      </c>
      <c r="BS103" s="219">
        <v>400</v>
      </c>
      <c r="BT103" s="220">
        <f t="shared" si="4"/>
        <v>4100</v>
      </c>
      <c r="BU103" s="219">
        <v>2100</v>
      </c>
      <c r="BV103" s="219">
        <v>2100</v>
      </c>
      <c r="BW103" s="219">
        <v>2100</v>
      </c>
      <c r="BX103" s="222">
        <f t="shared" si="5"/>
        <v>6300</v>
      </c>
      <c r="BY103" s="275">
        <v>1200</v>
      </c>
      <c r="BZ103" s="275">
        <v>1200</v>
      </c>
      <c r="CA103" s="275">
        <v>1200</v>
      </c>
      <c r="CB103" s="222">
        <f>SUM(Table1[[#This Row],[LEQ1]:[LEQ3]])</f>
        <v>3600</v>
      </c>
      <c r="CC103" s="276">
        <v>0</v>
      </c>
      <c r="CD103" s="276">
        <v>0</v>
      </c>
      <c r="CE103" s="276">
        <v>0</v>
      </c>
      <c r="CF103" s="222">
        <f>SUM(Table1[[#This Row],[OthCostQ1]:[OthCostQ3]])</f>
        <v>0</v>
      </c>
      <c r="CG103" s="220">
        <f>(Table1[[#This Row],[T&amp;FTot]]+Table1[[#This Row],[B&amp;STot]]+Table1[[#This Row],[HousTot]]+Table1[[#This Row],[LETot]]+Table1[[#This Row],[OthCostTot]])</f>
        <v>39515</v>
      </c>
      <c r="CH103" s="250">
        <v>0</v>
      </c>
      <c r="CI103" s="250">
        <v>0</v>
      </c>
      <c r="CJ103" s="250">
        <v>0</v>
      </c>
      <c r="CK103" s="251">
        <f>SUM(Table1[[#This Row],[SEOGQ1]:[SEOGQ3]])</f>
        <v>0</v>
      </c>
      <c r="CL103" s="250">
        <f>IFERROR(ROUNDUP(Table1[[#This Row],[PellTot]]/3,0),0)</f>
        <v>0</v>
      </c>
      <c r="CM103" s="250">
        <f>IFERROR(ROUND(Table1[[#This Row],[PellTot]]/3,0),0)</f>
        <v>0</v>
      </c>
      <c r="CN103" s="250">
        <f>IFERROR(ROUNDDOWN(Table1[[#This Row],[PellTot]]/3,0),0)</f>
        <v>0</v>
      </c>
      <c r="CO103" s="251">
        <f>IFERROR(LOOKUP(Table1[EFC],Pell_Table[#Data],Pell_Table[Pell Amt]),0)</f>
        <v>0</v>
      </c>
      <c r="CP103" s="250">
        <f>Table1[[#This Row],[AccessTot]]/3</f>
        <v>0</v>
      </c>
      <c r="CQ103" s="250">
        <f>Table1[[#This Row],[AccessTot]]/3</f>
        <v>0</v>
      </c>
      <c r="CR103" s="250">
        <f>Table1[[#This Row],[AccessTot]]/3</f>
        <v>0</v>
      </c>
      <c r="CS103" s="251">
        <f>IF(Table1[[#This Row],[PellTot]]&gt;0,1500,0)</f>
        <v>0</v>
      </c>
      <c r="CT103" s="250">
        <f>Table1[[#This Row],[AchiTot]]/3</f>
        <v>1700</v>
      </c>
      <c r="CU103" s="250">
        <f>Table1[[#This Row],[AchiTot]]/3</f>
        <v>1700</v>
      </c>
      <c r="CV103" s="250">
        <f>Table1[[#This Row],[AchiTot]]/3</f>
        <v>1700</v>
      </c>
      <c r="CW103" s="252">
        <f>IF(Table1[[#This Row],[Rank]]="","",IF(Table1[[#This Row],[Rank]]=1,5100,IF(Table1[[#This Row],[Rank]]=2,4500,IF(Table1[[#This Row],[Rank]]=3,3900,IF(Table1[[#This Row],[Rank]]=4,3750,IF(Table1[[#This Row],[Rank]]=5,3000,IF(Table1[[#This Row],[Rank]]=6,2250,0)))))))</f>
        <v>5100</v>
      </c>
      <c r="CX103" s="250">
        <f>Table1[[#This Row],[UTTot]]/3</f>
        <v>0</v>
      </c>
      <c r="CY103" s="250">
        <f>Table1[[#This Row],[UTTot]]/3</f>
        <v>0</v>
      </c>
      <c r="CZ103" s="250">
        <f>Table1[[#This Row],[UTTot]]/3</f>
        <v>0</v>
      </c>
      <c r="DA103" s="251">
        <f>IF(Table1[[#This Row],[State]]="UT",9000,0)</f>
        <v>0</v>
      </c>
      <c r="DB103" s="250">
        <f>Table1[[#This Row],[WITTot]]/3</f>
        <v>0</v>
      </c>
      <c r="DC103" s="250">
        <f>Table1[[#This Row],[WITTot]]/3</f>
        <v>0</v>
      </c>
      <c r="DD103" s="250">
        <f>Table1[[#This Row],[WITTot]]/3</f>
        <v>0</v>
      </c>
      <c r="DE103" s="251">
        <f>IF(Table1[[#This Row],[Gender]]="Female",3000,0)</f>
        <v>0</v>
      </c>
      <c r="DF103" s="250">
        <f>Table1[[#This Row],[SerTot]]/3</f>
        <v>0</v>
      </c>
      <c r="DG103" s="250">
        <f>Table1[[#This Row],[SerTot]]/3</f>
        <v>0</v>
      </c>
      <c r="DH103" s="250">
        <f>Table1[[#This Row],[SerTot]]/3</f>
        <v>0</v>
      </c>
      <c r="DI103" s="252"/>
      <c r="DJ103" s="250"/>
      <c r="DK103" s="250"/>
      <c r="DL103" s="250"/>
      <c r="DM103" s="252"/>
      <c r="DN103" s="253">
        <f>Table1[[#This Row],[MatTot]]/3</f>
        <v>0</v>
      </c>
      <c r="DO103" s="253">
        <f>Table1[[#This Row],[MatTot]]/3</f>
        <v>0</v>
      </c>
      <c r="DP103" s="253">
        <f>Table1[[#This Row],[MatTot]]/3</f>
        <v>0</v>
      </c>
      <c r="DQ103" s="255">
        <v>0</v>
      </c>
      <c r="DR103" s="253">
        <f>Table1[[#This Row],[OutTot]]/3</f>
        <v>0</v>
      </c>
      <c r="DS103" s="253">
        <f>Table1[[#This Row],[OutTot]]/3</f>
        <v>0</v>
      </c>
      <c r="DT103" s="253">
        <f>Table1[[#This Row],[OutTot]]/3</f>
        <v>0</v>
      </c>
      <c r="DU103" s="255">
        <v>0</v>
      </c>
      <c r="DV103" s="253">
        <v>0</v>
      </c>
      <c r="DW103" s="253">
        <v>0</v>
      </c>
      <c r="DX103" s="253">
        <v>0</v>
      </c>
      <c r="DY103" s="255">
        <f>SUM(Table1[[#This Row],[VAQ1]:[VAQ3]])</f>
        <v>0</v>
      </c>
      <c r="DZ103" s="253">
        <v>0</v>
      </c>
      <c r="EA103" s="253">
        <v>0</v>
      </c>
      <c r="EB103" s="253">
        <v>0</v>
      </c>
      <c r="EC103" s="278">
        <f>SUM(Table1[[#This Row],[OthGrantQ1]:[OthGrantQ3]])</f>
        <v>0</v>
      </c>
      <c r="ED103" s="263">
        <f>Table1[[#This Row],[SEOGTot]]+Table1[[#This Row],[PellTot]]+Table1[[#This Row],[AccessTot]]+Table1[[#This Row],[AchiTot]]+Table1[[#This Row],[UTTot]]+Table1[[#This Row],[WITTot]]+Table1[[#This Row],[SerTot]]+Table1[[#This Row],[TranTot]]+Table1[[#This Row],[MatTot]]+Table1[[#This Row],[OutTot]]+Table1[[#This Row],[VATot]]+Table1[[#This Row],[OthGrantTot]]</f>
        <v>5100</v>
      </c>
      <c r="EE103" s="226">
        <v>0</v>
      </c>
      <c r="EF103" s="227">
        <v>0</v>
      </c>
      <c r="EG103" s="227">
        <v>0</v>
      </c>
      <c r="EH103" s="228">
        <f>SUM(Table1[[#This Row],[CashQ1]]:Table1[[#This Row],[CashQ3]])</f>
        <v>0</v>
      </c>
      <c r="EI103" s="229">
        <f>ROUND((Table1[[#This Row],[SubTot]]/3)/1.01059,0)</f>
        <v>0</v>
      </c>
      <c r="EJ103" s="230">
        <f>ROUND((Table1[[#This Row],[SubTot]]/3)/1.01059,0)</f>
        <v>0</v>
      </c>
      <c r="EK103" s="230">
        <f>ROUNDUP((Table1[[#This Row],[SubTot]]/3)/1.01059,0)</f>
        <v>0</v>
      </c>
      <c r="EL103" s="231">
        <v>0</v>
      </c>
      <c r="EM103" s="240">
        <f>Table1[[#This Row],[SubTot]]*0.01059</f>
        <v>0</v>
      </c>
      <c r="EN103" s="230">
        <f>ROUND((Table1[[#This Row],[UnsubTot]]/3)/1.01062,0)</f>
        <v>1814</v>
      </c>
      <c r="EO103" s="230">
        <f>ROUND((Table1[[#This Row],[UnsubTot]]/3)/1.01062,0)</f>
        <v>1814</v>
      </c>
      <c r="EP103" s="230">
        <f>ROUNDDOWN((Table1[[#This Row],[UnsubTot]]/3)/1.01062,0)</f>
        <v>1814</v>
      </c>
      <c r="EQ103" s="231">
        <v>5500</v>
      </c>
      <c r="ER103" s="233">
        <f>Table1[[#This Row],[UnsubTot]]*0.01059</f>
        <v>58.245000000000005</v>
      </c>
      <c r="ES103" s="230">
        <f>ROUND((Table1[[#This Row],[PLUSTot]]/3)/1.04236,0)</f>
        <v>9676</v>
      </c>
      <c r="ET103" s="230">
        <f>ROUND((Table1[[#This Row],[PLUSTot]]/3)/1.04236,0)</f>
        <v>9676</v>
      </c>
      <c r="EU103" s="230">
        <f>ROUND((Table1[[#This Row],[PLUSTot]]/3)/1.04236,0)</f>
        <v>9676</v>
      </c>
      <c r="EV103" s="231">
        <v>30259</v>
      </c>
      <c r="EW103" s="239">
        <f>Table1[[#This Row],[PLUSTot]]*0.04248</f>
        <v>1285.4023199999999</v>
      </c>
      <c r="EX103" s="237"/>
      <c r="EY103" s="237"/>
      <c r="EZ103" s="237"/>
      <c r="FA103" s="232">
        <f>SUM(Table1[[#This Row],[PrivQ1]:[PrivQ3]])</f>
        <v>0</v>
      </c>
      <c r="FB103" s="237"/>
      <c r="FC103" s="237"/>
      <c r="FD103" s="237"/>
      <c r="FE103" s="232">
        <f>SUM(Table1[[#This Row],[TOQ1]:[TOQ3]])</f>
        <v>0</v>
      </c>
      <c r="FF103" s="237"/>
      <c r="FG103" s="237"/>
      <c r="FH103" s="237"/>
      <c r="FI103" s="232">
        <f>SUM(Table1[[#This Row],[OFundQ1]:[OFundQ3]])</f>
        <v>0</v>
      </c>
      <c r="FJ103" s="239">
        <f>(Table1[[#This Row],[SubTot]]-Table1[[#This Row],[SubFee]])+(Table1[[#This Row],[UnsubTot]]-Table1[[#This Row],[UnsubFee]])+(Table1[[#This Row],[PLUSTot]]-Table1[[#This Row],[PLUSFee]])+Table1[[#This Row],[PrivTot]]+Table1[[#This Row],[TOTot]]+Table1[[#This Row],[OFundTot]]</f>
        <v>34415.352679999996</v>
      </c>
      <c r="FK103" s="125">
        <f>Table1[[#This Row],[CostTot]]-Table1[[#This Row],[GiftTot]]</f>
        <v>34415</v>
      </c>
      <c r="FL103" s="130">
        <f>Table1[[#This Row],[NetNeed]]/(1-0.04248)</f>
        <v>-0.36832651015118628</v>
      </c>
      <c r="FM103" s="131">
        <f>Table1[[#This Row],[NetCost]]-Table1[[#This Row],[CashTot]]-(Table1[[#This Row],[SubTot]]-Table1[[#This Row],[SubFee]])-(Table1[[#This Row],[UnsubTot]]-Table1[[#This Row],[UnsubFee]])-(Table1[[#This Row],[PLUSTot]]-Table1[[#This Row],[PLUSFee]])-Table1[[#This Row],[PrivTot]]-Table1[[#This Row],[TOTot]]-Table1[[#This Row],[OFundTot]]</f>
        <v>-0.35267999999996391</v>
      </c>
      <c r="FN103" s="217"/>
      <c r="FO103" s="162"/>
      <c r="FP103" s="162"/>
    </row>
    <row r="104" spans="1:172" ht="15" x14ac:dyDescent="0.25">
      <c r="A104" s="311">
        <v>199501</v>
      </c>
      <c r="B104" s="113" t="str">
        <f>VLOOKUP(Table1[[#This Row],[SyStudentId]],SSR!$A$2:$CC$4982,4,FALSE)</f>
        <v>Roberts</v>
      </c>
      <c r="C104" s="113" t="str">
        <f>VLOOKUP(Table1[[#This Row],[SyStudentId]],SSR!$A$2:$CC$4982,5,FALSE)</f>
        <v>Nikolas</v>
      </c>
      <c r="D104" s="113" t="str">
        <f>VLOOKUP(Table1[[#This Row],[SyStudentId]],SSR!$A$2:$CC$4982,6,FALSE)</f>
        <v>Roberts, Nikolas</v>
      </c>
      <c r="E104" s="113" t="str">
        <f>CONCATENATE(Table1[[#This Row],[FirstName]]," ",Table1[[#This Row],[LastName]])</f>
        <v>Nikolas Roberts</v>
      </c>
      <c r="F104" s="112"/>
      <c r="G104" s="114"/>
      <c r="H104" s="114"/>
      <c r="I104" s="114"/>
      <c r="J104" s="115" t="s">
        <v>6041</v>
      </c>
      <c r="K104" s="116"/>
      <c r="L104" s="112" t="str">
        <f>IFERROR(VLOOKUP(Table1[[#This Row],[SyStudentId]],ISIR!$A$2:$X$999,11,FALSE),"")</f>
        <v/>
      </c>
      <c r="M104" s="113" t="str">
        <f>VLOOKUP(Table1[[#This Row],[SyStudentId]],SSR!$A$2:$CC$4982,7,FALSE)</f>
        <v>nikolasjroberts@gmail.com</v>
      </c>
      <c r="N104" s="113" t="str">
        <f>VLOOKUP(Table1[[#This Row],[SyStudentId]],SSR!$A$2:$CC$4982,8,FALSE)</f>
        <v>264 n state st, apt 10</v>
      </c>
      <c r="O104" s="113" t="str">
        <f>VLOOKUP(Table1[[#This Row],[SyStudentId]],SSR!$A$2:$CC$4982,9,FALSE)</f>
        <v>Salt Lake City</v>
      </c>
      <c r="P104" s="113" t="str">
        <f>VLOOKUP(Table1[[#This Row],[SyStudentId]],SSR!$A$2:$CC$4982,10,FALSE)</f>
        <v>UT</v>
      </c>
      <c r="Q104" s="117" t="str">
        <f>VLOOKUP(Table1[[#This Row],[SyStudentId]],SSR!$A$2:$CC$4982,11,FALSE)</f>
        <v xml:space="preserve">84103     </v>
      </c>
      <c r="R104" s="118">
        <f>VLOOKUP(Table1[[#This Row],[SyStudentId]],SSR!$A$2:$CC$4982,15,FALSE)</f>
        <v>2.0070000000000001</v>
      </c>
      <c r="S104" s="119">
        <f>VLOOKUP(Table1[[#This Row],[SyStudentId]],SSR!$A$2:$CC$4982,22,FALSE)</f>
        <v>44109</v>
      </c>
      <c r="T104" s="113" t="str">
        <f>VLOOKUP(Table1[[#This Row],[SyStudentId]],SSR!$A$2:$CC$4982,24,FALSE)</f>
        <v>MN</v>
      </c>
      <c r="U104" s="113" t="str">
        <f>IF(VLOOKUP(Table1[[#This Row],[SyStudentId]],SSR!$A$2:$CC$4982,26,FALSE)=0,"Not Selected",VLOOKUP(Table1[[#This Row],[SyStudentId]],SSR!$A$2:$CC$4982,26,FALSE))</f>
        <v>Male</v>
      </c>
      <c r="V104" s="113" t="str">
        <f>VLOOKUP(Table1[[#This Row],[SyStudentId]],SSR!$A$2:$CC$4982,27,FALSE)</f>
        <v xml:space="preserve">HS2014  </v>
      </c>
      <c r="W104" s="113" t="str">
        <f>VLOOKUP(LEFT(Table1[[#This Row],[LastName]],1),Alpha!$A$1:$B$26,2,FALSE)</f>
        <v>Maureen Ranks</v>
      </c>
      <c r="X104" s="149" t="str">
        <f>VLOOKUP(Table1[[#This Row],[FAA]],Alpha!$B$1:$D$26,2,FALSE)</f>
        <v>mranks@neumont.edu</v>
      </c>
      <c r="Y104" s="113">
        <f>VLOOKUP(Table1[[#This Row],[FAA]],Alpha!$B$1:$D$26,3,FALSE)</f>
        <v>8883022894</v>
      </c>
      <c r="Z104" s="113" t="str">
        <f>VLOOKUP(Table1[[#This Row],[SyStudentId]],SSR!$A$2:$CC$4982,30,FALSE)</f>
        <v>16-Accepted</v>
      </c>
      <c r="AA104" s="113" t="str">
        <f>IF(VLOOKUP(Table1[[#This Row],[SyStudentId]],SSR!$A$2:$CC$4982,36,FALSE)="Bachelor of Science","BS Computer Science","Check Program")</f>
        <v>BS Computer Science</v>
      </c>
      <c r="AB104" s="113" t="str">
        <f>VLOOKUP(Table1[[#This Row],[SyStudentId]],SSR!$A$2:$CC$4982,37,FALSE)</f>
        <v xml:space="preserve">22      </v>
      </c>
      <c r="AC104" s="113">
        <f>VLOOKUP(Table1[[#This Row],[SyStudentId]],SSR!$A$2:$CC$4982,42,FALSE)</f>
        <v>0</v>
      </c>
      <c r="AD104" s="113" t="str">
        <f>VLOOKUP(Table1[[#This Row],[SyStudentId]],SSR!$A$2:$CC$4982,46,FALSE)</f>
        <v>82</v>
      </c>
      <c r="AE104" s="113" t="str">
        <f>VLOOKUP(Table1[[#This Row],[SyStudentId]],SSR!$A$2:$CC$4982,65,FALSE)</f>
        <v>IX</v>
      </c>
      <c r="AF104"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104" s="113" t="str">
        <f>VLOOKUP(Table1[[#This Row],[SyStudentId]],SSR!$A$2:$CC$4982,66,FALSE)</f>
        <v>November</v>
      </c>
      <c r="AH104" s="113" t="str">
        <f>IFERROR(VLOOKUP(Table1[[#This Row],[SyStudentId]],ISIR!$A$2:$X$999,7,FALSE),"")</f>
        <v/>
      </c>
      <c r="AI104" s="121" t="str">
        <f>IF(Table1[[#This Row],[EFCRaw]]="","",IF(Table1[[#This Row],[EFCRaw]]="No EFC","No EFC",_xlfn.NUMBERVALUE(Table1[[#This Row],[EFCRaw]])))</f>
        <v/>
      </c>
      <c r="AJ104" s="119" t="str">
        <f>IFERROR(VLOOKUP(Table1[[#This Row],[SyStudentId]],ISIR!$A$2:$X$4999,19,FALSE),"")</f>
        <v/>
      </c>
      <c r="AK104" s="113" t="str">
        <f>IFERROR(VLOOKUP(Table1[[#This Row],[SyStudentId]],ISIR!$A$2:$X$4999,8,FALSE),"")</f>
        <v/>
      </c>
      <c r="AL104" s="132" t="str">
        <f>IF(Table1[[#This Row],[VerReq]]="N","n/a","")</f>
        <v/>
      </c>
      <c r="AM104" s="122"/>
      <c r="AN104" s="122"/>
      <c r="AO104" s="122"/>
      <c r="AP104" s="122"/>
      <c r="AQ104" s="122"/>
      <c r="AR104" s="122"/>
      <c r="AS104" s="122"/>
      <c r="AT104" s="122"/>
      <c r="AU104" s="122"/>
      <c r="AV104" s="122"/>
      <c r="AW104" s="122"/>
      <c r="AX104" s="122"/>
      <c r="AY104" s="122"/>
      <c r="AZ104" s="122"/>
      <c r="BA104" s="122"/>
      <c r="BB104" s="122"/>
      <c r="BC104" s="148"/>
      <c r="BD104" s="140" t="str">
        <f>IF(Table1[[#This Row],[VerReq]]="N","x","")</f>
        <v/>
      </c>
      <c r="BE104" s="140" t="str">
        <f>IF(Table1[[#This Row],[VerReq]]="N","x","")</f>
        <v/>
      </c>
      <c r="BF104" s="140" t="str">
        <f>IF(Table1[[#This Row],[VerReq]]="N","x","")</f>
        <v/>
      </c>
      <c r="BG104" s="140" t="str">
        <f>IF(Table1[[#This Row],[VerReq]]="N","x","")</f>
        <v/>
      </c>
      <c r="BH104" s="140" t="str">
        <f>IF(Table1[[#This Row],[VerReq]]="N","x","")</f>
        <v/>
      </c>
      <c r="BI104" s="140" t="str">
        <f>IF(Table1[[#This Row],[VerReq]]="N","x","")</f>
        <v/>
      </c>
      <c r="BJ104" s="123">
        <f>1-((COUNTBLANK(Table1[[#This Row],[ALESent]:[TaxTran]]))/(COUNT(Table1[[#This Row],[ALESent]:[TaxTran]])+COUNTBLANK(Table1[[#This Row],[ALESent]:[TaxTran]])))</f>
        <v>0</v>
      </c>
      <c r="BK104" s="150">
        <f>IF(VLOOKUP(Table1[[#This Row],[SyStudentId]],SSR!$A$2:$CC$4982,22,FALSE)=44109,44109,"Check Program")</f>
        <v>44109</v>
      </c>
      <c r="BL104" s="124">
        <f>IF(Table1[[#This Row],[AYStart]]=44109,44356,"Check Program")</f>
        <v>44356</v>
      </c>
      <c r="BM104" s="219"/>
      <c r="BN104" s="219"/>
      <c r="BO104" s="219"/>
      <c r="BP104" s="220">
        <f t="shared" si="3"/>
        <v>0</v>
      </c>
      <c r="BQ104" s="221"/>
      <c r="BR104" s="219"/>
      <c r="BS104" s="219"/>
      <c r="BT104" s="220">
        <f t="shared" si="4"/>
        <v>0</v>
      </c>
      <c r="BU104" s="219"/>
      <c r="BV104" s="219"/>
      <c r="BW104" s="219"/>
      <c r="BX104" s="220">
        <f t="shared" si="5"/>
        <v>0</v>
      </c>
      <c r="BY104" s="275"/>
      <c r="BZ104" s="275"/>
      <c r="CA104" s="275"/>
      <c r="CB104" s="220">
        <f>SUM(Table1[[#This Row],[LEQ1]:[LEQ3]])</f>
        <v>0</v>
      </c>
      <c r="CC104" s="269"/>
      <c r="CD104" s="269"/>
      <c r="CE104" s="269"/>
      <c r="CF104" s="220">
        <f>SUM(Table1[[#This Row],[OthCostQ1]:[OthCostQ3]])</f>
        <v>0</v>
      </c>
      <c r="CG104" s="220">
        <f>(Table1[[#This Row],[T&amp;FTot]]+Table1[[#This Row],[B&amp;STot]]+Table1[[#This Row],[HousTot]]+Table1[[#This Row],[LETot]]+Table1[[#This Row],[OthCostTot]])</f>
        <v>0</v>
      </c>
      <c r="CH104" s="250"/>
      <c r="CI104" s="250"/>
      <c r="CJ104" s="250"/>
      <c r="CK104" s="251">
        <f>SUM(Table1[[#This Row],[SEOGQ1]:[SEOGQ3]])</f>
        <v>0</v>
      </c>
      <c r="CL104" s="250">
        <f>IFERROR(ROUNDUP(Table1[[#This Row],[PellTot]]/3,0),0)</f>
        <v>0</v>
      </c>
      <c r="CM104" s="250">
        <f>IFERROR(ROUND(Table1[[#This Row],[PellTot]]/3,0),0)</f>
        <v>0</v>
      </c>
      <c r="CN104" s="250">
        <f>IFERROR(ROUNDDOWN(Table1[[#This Row],[PellTot]]/3,0),0)</f>
        <v>0</v>
      </c>
      <c r="CO104" s="251">
        <f>IFERROR(LOOKUP(Table1[EFC],Pell_Table[#Data],Pell_Table[Pell Amt]),0)</f>
        <v>0</v>
      </c>
      <c r="CP104" s="250">
        <f>Table1[[#This Row],[AccessTot]]/3</f>
        <v>0</v>
      </c>
      <c r="CQ104" s="250">
        <f>Table1[[#This Row],[AccessTot]]/3</f>
        <v>0</v>
      </c>
      <c r="CR104" s="250">
        <f>Table1[[#This Row],[AccessTot]]/3</f>
        <v>0</v>
      </c>
      <c r="CS104" s="251">
        <f>IF(Table1[[#This Row],[PellTot]]&gt;0,1500,0)</f>
        <v>0</v>
      </c>
      <c r="CT104" s="250">
        <f>Table1[[#This Row],[AchiTot]]/3</f>
        <v>0</v>
      </c>
      <c r="CU104" s="250">
        <f>Table1[[#This Row],[AchiTot]]/3</f>
        <v>0</v>
      </c>
      <c r="CV104" s="250">
        <f>Table1[[#This Row],[AchiTot]]/3</f>
        <v>0</v>
      </c>
      <c r="CW104" s="252">
        <f>IF(Table1[[#This Row],[Rank]]="","",IF(Table1[[#This Row],[Rank]]=1,5100,IF(Table1[[#This Row],[Rank]]=2,4500,IF(Table1[[#This Row],[Rank]]=3,3900,IF(Table1[[#This Row],[Rank]]=4,3750,IF(Table1[[#This Row],[Rank]]=5,3000,IF(Table1[[#This Row],[Rank]]=6,2250,0)))))))</f>
        <v>0</v>
      </c>
      <c r="CX104" s="250">
        <f>Table1[[#This Row],[UTTot]]/3</f>
        <v>3000</v>
      </c>
      <c r="CY104" s="250">
        <f>Table1[[#This Row],[UTTot]]/3</f>
        <v>3000</v>
      </c>
      <c r="CZ104" s="250">
        <f>Table1[[#This Row],[UTTot]]/3</f>
        <v>3000</v>
      </c>
      <c r="DA104" s="251">
        <f>IF(Table1[[#This Row],[State]]="UT",9000,0)</f>
        <v>9000</v>
      </c>
      <c r="DB104" s="250">
        <f>Table1[[#This Row],[WITTot]]/3</f>
        <v>0</v>
      </c>
      <c r="DC104" s="250">
        <f>Table1[[#This Row],[WITTot]]/3</f>
        <v>0</v>
      </c>
      <c r="DD104" s="250">
        <f>Table1[[#This Row],[WITTot]]/3</f>
        <v>0</v>
      </c>
      <c r="DE104" s="251">
        <f>IF(Table1[[#This Row],[Gender]]="Female",3000,0)</f>
        <v>0</v>
      </c>
      <c r="DF104" s="250">
        <f>Table1[[#This Row],[SerTot]]/3</f>
        <v>0</v>
      </c>
      <c r="DG104" s="250">
        <f>Table1[[#This Row],[SerTot]]/3</f>
        <v>0</v>
      </c>
      <c r="DH104" s="250">
        <f>Table1[[#This Row],[SerTot]]/3</f>
        <v>0</v>
      </c>
      <c r="DI104" s="252"/>
      <c r="DJ104" s="250"/>
      <c r="DK104" s="250"/>
      <c r="DL104" s="250"/>
      <c r="DM104" s="252"/>
      <c r="DN104" s="250">
        <f>Table1[[#This Row],[MatTot]]/3</f>
        <v>0</v>
      </c>
      <c r="DO104" s="250">
        <f>Table1[[#This Row],[MatTot]]/3</f>
        <v>0</v>
      </c>
      <c r="DP104" s="250">
        <f>Table1[[#This Row],[MatTot]]/3</f>
        <v>0</v>
      </c>
      <c r="DQ104" s="252"/>
      <c r="DR104" s="250">
        <f>Table1[[#This Row],[OutTot]]/3</f>
        <v>0</v>
      </c>
      <c r="DS104" s="250">
        <f>Table1[[#This Row],[OutTot]]/3</f>
        <v>0</v>
      </c>
      <c r="DT104" s="250">
        <f>Table1[[#This Row],[OutTot]]/3</f>
        <v>0</v>
      </c>
      <c r="DU104" s="252"/>
      <c r="DV104" s="250"/>
      <c r="DW104" s="250"/>
      <c r="DX104" s="250"/>
      <c r="DY104" s="252">
        <f>SUM(Table1[[#This Row],[VAQ1]:[VAQ3]])</f>
        <v>0</v>
      </c>
      <c r="DZ104" s="250"/>
      <c r="EA104" s="250"/>
      <c r="EB104" s="250"/>
      <c r="EC104" s="270">
        <f>SUM(Table1[[#This Row],[OthGrantQ1]:[OthGrantQ3]])</f>
        <v>0</v>
      </c>
      <c r="ED104" s="263">
        <f>Table1[[#This Row],[SEOGTot]]+Table1[[#This Row],[PellTot]]+Table1[[#This Row],[AccessTot]]+Table1[[#This Row],[AchiTot]]+Table1[[#This Row],[UTTot]]+Table1[[#This Row],[WITTot]]+Table1[[#This Row],[SerTot]]+Table1[[#This Row],[TranTot]]+Table1[[#This Row],[MatTot]]+Table1[[#This Row],[OutTot]]+Table1[[#This Row],[VATot]]+Table1[[#This Row],[OthGrantTot]]</f>
        <v>9000</v>
      </c>
      <c r="EE104" s="249"/>
      <c r="EF104" s="237"/>
      <c r="EG104" s="237"/>
      <c r="EH104" s="232">
        <f>SUM(Table1[[#This Row],[CashQ1]]:Table1[[#This Row],[CashQ3]])</f>
        <v>0</v>
      </c>
      <c r="EI104" s="271">
        <f>ROUND((Table1[[#This Row],[SubTot]]/3)/1.01059,0)</f>
        <v>0</v>
      </c>
      <c r="EJ104" s="234">
        <f>ROUND((Table1[[#This Row],[SubTot]]/3)/1.01059,0)</f>
        <v>0</v>
      </c>
      <c r="EK104" s="234">
        <f>ROUNDUP((Table1[[#This Row],[SubTot]]/3)/1.01059,0)</f>
        <v>0</v>
      </c>
      <c r="EL104" s="235"/>
      <c r="EM104" s="240">
        <f>Table1[[#This Row],[SubTot]]*0.01059</f>
        <v>0</v>
      </c>
      <c r="EN104" s="234">
        <f>ROUND((Table1[[#This Row],[UnsubTot]]/3)/1.01062,0)</f>
        <v>660</v>
      </c>
      <c r="EO104" s="234">
        <f>ROUND((Table1[[#This Row],[UnsubTot]]/3)/1.01062,0)</f>
        <v>660</v>
      </c>
      <c r="EP104" s="234">
        <f>ROUNDDOWN((Table1[[#This Row],[UnsubTot]]/3)/1.01062,0)</f>
        <v>659</v>
      </c>
      <c r="EQ104" s="235">
        <f>IF(Table1[D/I]="I",6000,2000)</f>
        <v>2000</v>
      </c>
      <c r="ER104" s="240">
        <f>Table1[[#This Row],[UnsubTot]]*0.01062</f>
        <v>21.24</v>
      </c>
      <c r="ES104" s="234">
        <f>ROUND((Table1[[#This Row],[PLUSTot]]/3)/1.04248,0)</f>
        <v>0</v>
      </c>
      <c r="ET104" s="234">
        <f>ROUND((Table1[[#This Row],[PLUSTot]]/3)/1.04248,0)</f>
        <v>0</v>
      </c>
      <c r="EU104" s="234">
        <f>ROUND((Table1[[#This Row],[PLUSTot]]/3)/1.04248,0)</f>
        <v>0</v>
      </c>
      <c r="EV104" s="235"/>
      <c r="EW104" s="239">
        <f>Table1[[#This Row],[PLUSTot]]*0.04248</f>
        <v>0</v>
      </c>
      <c r="EX104" s="237"/>
      <c r="EY104" s="237"/>
      <c r="EZ104" s="237"/>
      <c r="FA104" s="232">
        <f>SUM(Table1[[#This Row],[PrivQ1]:[PrivQ3]])</f>
        <v>0</v>
      </c>
      <c r="FB104" s="237"/>
      <c r="FC104" s="237"/>
      <c r="FD104" s="237"/>
      <c r="FE104" s="232">
        <f>SUM(Table1[[#This Row],[TOQ1]:[TOQ3]])</f>
        <v>0</v>
      </c>
      <c r="FF104" s="237"/>
      <c r="FG104" s="237"/>
      <c r="FH104" s="237"/>
      <c r="FI104" s="232">
        <f>SUM(Table1[[#This Row],[OFundQ1]:[OFundQ3]])</f>
        <v>0</v>
      </c>
      <c r="FJ104" s="239">
        <f>(Table1[[#This Row],[SubTot]]-Table1[[#This Row],[SubFee]])+(Table1[[#This Row],[UnsubTot]]-Table1[[#This Row],[UnsubFee]])+(Table1[[#This Row],[PLUSTot]]-Table1[[#This Row],[PLUSFee]])+Table1[[#This Row],[PrivTot]]+Table1[[#This Row],[TOTot]]+Table1[[#This Row],[OFundTot]]</f>
        <v>1978.76</v>
      </c>
      <c r="FK104" s="125">
        <f>Table1[[#This Row],[CostTot]]-Table1[[#This Row],[GiftTot]]</f>
        <v>-9000</v>
      </c>
      <c r="FL104" s="130">
        <f>Table1[[#This Row],[NetNeed]]/(1-0.04248)</f>
        <v>-11465.828390007518</v>
      </c>
      <c r="FM104" s="131">
        <f>Table1[[#This Row],[NetCost]]-Table1[[#This Row],[CashTot]]-(Table1[[#This Row],[SubTot]]-Table1[[#This Row],[SubFee]])-(Table1[[#This Row],[UnsubTot]]-Table1[[#This Row],[UnsubFee]])-(Table1[[#This Row],[PLUSTot]]-Table1[[#This Row],[PLUSFee]])-Table1[[#This Row],[PrivTot]]-Table1[[#This Row],[TOTot]]-Table1[[#This Row],[OFundTot]]</f>
        <v>-10978.76</v>
      </c>
      <c r="FN104" s="156"/>
      <c r="FO104" s="113"/>
      <c r="FP104" s="113"/>
    </row>
    <row r="105" spans="1:172" ht="15" x14ac:dyDescent="0.25">
      <c r="A105" s="267">
        <v>193001</v>
      </c>
      <c r="B105" s="113" t="str">
        <f>VLOOKUP(Table1[[#This Row],[SyStudentId]],SSR!$A$2:$CC$4982,4,FALSE)</f>
        <v>Robertson</v>
      </c>
      <c r="C105" s="113" t="str">
        <f>VLOOKUP(Table1[[#This Row],[SyStudentId]],SSR!$A$2:$CC$4982,5,FALSE)</f>
        <v>Hesston</v>
      </c>
      <c r="D105" s="113" t="str">
        <f>VLOOKUP(Table1[[#This Row],[SyStudentId]],SSR!$A$2:$CC$4982,6,FALSE)</f>
        <v>Robertson, Hesston</v>
      </c>
      <c r="E105" s="113" t="str">
        <f>CONCATENATE(Table1[[#This Row],[FirstName]]," ",Table1[[#This Row],[LastName]])</f>
        <v>Hesston Robertson</v>
      </c>
      <c r="F105" s="112"/>
      <c r="G105" s="114"/>
      <c r="H105" s="114"/>
      <c r="I105" s="114"/>
      <c r="J105" s="115" t="s">
        <v>6041</v>
      </c>
      <c r="K105" s="116"/>
      <c r="L105" s="112" t="str">
        <f>IFERROR(VLOOKUP(Table1[[#This Row],[SyStudentId]],ISIR!$A$2:$X$999,11,FALSE),"")</f>
        <v/>
      </c>
      <c r="M105" s="113" t="str">
        <f>VLOOKUP(Table1[[#This Row],[SyStudentId]],SSR!$A$2:$CC$4982,7,FALSE)</f>
        <v>hesston20000@yahoo.com</v>
      </c>
      <c r="N105" s="113" t="str">
        <f>VLOOKUP(Table1[[#This Row],[SyStudentId]],SSR!$A$2:$CC$4982,8,FALSE)</f>
        <v>1624 W MINNESOTA AVE</v>
      </c>
      <c r="O105" s="113" t="str">
        <f>VLOOKUP(Table1[[#This Row],[SyStudentId]],SSR!$A$2:$CC$4982,9,FALSE)</f>
        <v>CHICKASHA</v>
      </c>
      <c r="P105" s="292" t="str">
        <f>VLOOKUP(Table1[[#This Row],[SyStudentId]],SSR!$A$2:$CC$4982,10,FALSE)</f>
        <v>OK</v>
      </c>
      <c r="Q105" s="117" t="str">
        <f>VLOOKUP(Table1[[#This Row],[SyStudentId]],SSR!$A$2:$CC$4982,11,FALSE)</f>
        <v xml:space="preserve">73018     </v>
      </c>
      <c r="R105" s="118">
        <f>VLOOKUP(Table1[[#This Row],[SyStudentId]],SSR!$A$2:$CC$4982,15,FALSE)</f>
        <v>2.3477999999999999</v>
      </c>
      <c r="S105" s="119">
        <f>VLOOKUP(Table1[[#This Row],[SyStudentId]],SSR!$A$2:$CC$4982,22,FALSE)</f>
        <v>44109</v>
      </c>
      <c r="T105" s="113" t="str">
        <f>VLOOKUP(Table1[[#This Row],[SyStudentId]],SSR!$A$2:$CC$4982,24,FALSE)</f>
        <v>JT</v>
      </c>
      <c r="U105" s="113" t="str">
        <f>IF(VLOOKUP(Table1[[#This Row],[SyStudentId]],SSR!$A$2:$CC$4982,26,FALSE)=0,"Not Selected",VLOOKUP(Table1[[#This Row],[SyStudentId]],SSR!$A$2:$CC$4982,26,FALSE))</f>
        <v>Male</v>
      </c>
      <c r="V105" s="113" t="str">
        <f>VLOOKUP(Table1[[#This Row],[SyStudentId]],SSR!$A$2:$CC$4982,27,FALSE)</f>
        <v xml:space="preserve">HS2020  </v>
      </c>
      <c r="W105" s="113" t="str">
        <f>VLOOKUP(LEFT(Table1[[#This Row],[LastName]],1),Alpha!$A$1:$B$26,2,FALSE)</f>
        <v>Maureen Ranks</v>
      </c>
      <c r="X105" s="149" t="str">
        <f>VLOOKUP(Table1[[#This Row],[FAA]],Alpha!$B$1:$D$26,2,FALSE)</f>
        <v>mranks@neumont.edu</v>
      </c>
      <c r="Y105" s="113">
        <f>VLOOKUP(Table1[[#This Row],[FAA]],Alpha!$B$1:$D$26,3,FALSE)</f>
        <v>8883022894</v>
      </c>
      <c r="Z105" s="113" t="str">
        <f>VLOOKUP(Table1[[#This Row],[SyStudentId]],SSR!$A$2:$CC$4982,30,FALSE)</f>
        <v>16-Accepted</v>
      </c>
      <c r="AA105" s="113" t="str">
        <f>IF(VLOOKUP(Table1[[#This Row],[SyStudentId]],SSR!$A$2:$CC$4982,36,FALSE)="Bachelor of Science","BS Computer Science","Check Program")</f>
        <v>BS Computer Science</v>
      </c>
      <c r="AB105" s="113" t="str">
        <f>VLOOKUP(Table1[[#This Row],[SyStudentId]],SSR!$A$2:$CC$4982,37,FALSE)</f>
        <v xml:space="preserve">20      </v>
      </c>
      <c r="AC105" s="113">
        <f>VLOOKUP(Table1[[#This Row],[SyStudentId]],SSR!$A$2:$CC$4982,42,FALSE)</f>
        <v>0</v>
      </c>
      <c r="AD105" s="113" t="str">
        <f>VLOOKUP(Table1[[#This Row],[SyStudentId]],SSR!$A$2:$CC$4982,46,FALSE)</f>
        <v>85</v>
      </c>
      <c r="AE105" s="113" t="str">
        <f>VLOOKUP(Table1[[#This Row],[SyStudentId]],SSR!$A$2:$CC$4982,65,FALSE)</f>
        <v>X</v>
      </c>
      <c r="AF105"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10</v>
      </c>
      <c r="AG105" s="113" t="str">
        <f>VLOOKUP(Table1[[#This Row],[SyStudentId]],SSR!$A$2:$CC$4982,66,FALSE)</f>
        <v>November</v>
      </c>
      <c r="AH105" s="113" t="str">
        <f>IFERROR(VLOOKUP(Table1[[#This Row],[SyStudentId]],ISIR!$A$2:$X$999,7,FALSE),"")</f>
        <v/>
      </c>
      <c r="AI105" s="121" t="str">
        <f>IF(Table1[[#This Row],[EFCRaw]]="","",IF(Table1[[#This Row],[EFCRaw]]="No EFC","No EFC",_xlfn.NUMBERVALUE(Table1[[#This Row],[EFCRaw]])))</f>
        <v/>
      </c>
      <c r="AJ105" s="119" t="str">
        <f>IFERROR(VLOOKUP(Table1[[#This Row],[SyStudentId]],ISIR!$A$2:$X$4999,19,FALSE),"")</f>
        <v/>
      </c>
      <c r="AK105" s="113" t="str">
        <f>IFERROR(VLOOKUP(Table1[[#This Row],[SyStudentId]],ISIR!$A$2:$X$4999,8,FALSE),"")</f>
        <v/>
      </c>
      <c r="AL105" s="132" t="str">
        <f>IF(Table1[[#This Row],[VerReq]]="N","n/a","")</f>
        <v/>
      </c>
      <c r="AM105" s="122"/>
      <c r="AN105" s="122"/>
      <c r="AO105" s="122"/>
      <c r="AP105" s="122"/>
      <c r="AQ105" s="122"/>
      <c r="AR105" s="122"/>
      <c r="AS105" s="122"/>
      <c r="AT105" s="122"/>
      <c r="AU105" s="122"/>
      <c r="AV105" s="122"/>
      <c r="AW105" s="122"/>
      <c r="AX105" s="122"/>
      <c r="AY105" s="122"/>
      <c r="AZ105" s="122"/>
      <c r="BA105" s="122"/>
      <c r="BB105" s="122"/>
      <c r="BC105" s="148"/>
      <c r="BD105" s="140" t="str">
        <f>IF(Table1[[#This Row],[VerReq]]="N","x","")</f>
        <v/>
      </c>
      <c r="BE105" s="140" t="str">
        <f>IF(Table1[[#This Row],[VerReq]]="N","x","")</f>
        <v/>
      </c>
      <c r="BF105" s="140" t="str">
        <f>IF(Table1[[#This Row],[VerReq]]="N","x","")</f>
        <v/>
      </c>
      <c r="BG105" s="140" t="str">
        <f>IF(Table1[[#This Row],[VerReq]]="N","x","")</f>
        <v/>
      </c>
      <c r="BH105" s="140" t="str">
        <f>IF(Table1[[#This Row],[VerReq]]="N","x","")</f>
        <v/>
      </c>
      <c r="BI105" s="140" t="str">
        <f>IF(Table1[[#This Row],[VerReq]]="N","x","")</f>
        <v/>
      </c>
      <c r="BJ105" s="123">
        <f>1-((COUNTBLANK(Table1[[#This Row],[ALESent]:[TaxTran]]))/(COUNT(Table1[[#This Row],[ALESent]:[TaxTran]])+COUNTBLANK(Table1[[#This Row],[ALESent]:[TaxTran]])))</f>
        <v>0</v>
      </c>
      <c r="BK105" s="150">
        <f>IF(VLOOKUP(Table1[[#This Row],[SyStudentId]],SSR!$A$2:$CC$4982,22,FALSE)=44109,44109,"Check Program")</f>
        <v>44109</v>
      </c>
      <c r="BL105" s="124">
        <f>IF(Table1[[#This Row],[AYStart]]=44109,44356,"Check Program")</f>
        <v>44356</v>
      </c>
      <c r="BM105" s="219"/>
      <c r="BN105" s="219"/>
      <c r="BO105" s="219"/>
      <c r="BP105" s="220">
        <f t="shared" si="3"/>
        <v>0</v>
      </c>
      <c r="BQ105" s="221"/>
      <c r="BR105" s="219"/>
      <c r="BS105" s="219"/>
      <c r="BT105" s="220">
        <f t="shared" si="4"/>
        <v>0</v>
      </c>
      <c r="BU105" s="219"/>
      <c r="BV105" s="219"/>
      <c r="BW105" s="219"/>
      <c r="BX105" s="220">
        <f t="shared" si="5"/>
        <v>0</v>
      </c>
      <c r="BY105" s="275"/>
      <c r="BZ105" s="275"/>
      <c r="CA105" s="275"/>
      <c r="CB105" s="220">
        <f>SUM(Table1[[#This Row],[LEQ1]:[LEQ3]])</f>
        <v>0</v>
      </c>
      <c r="CC105" s="269"/>
      <c r="CD105" s="269"/>
      <c r="CE105" s="269"/>
      <c r="CF105" s="220">
        <f>SUM(Table1[[#This Row],[OthCostQ1]:[OthCostQ3]])</f>
        <v>0</v>
      </c>
      <c r="CG105" s="220">
        <f>(Table1[[#This Row],[T&amp;FTot]]+Table1[[#This Row],[B&amp;STot]]+Table1[[#This Row],[HousTot]]+Table1[[#This Row],[LETot]]+Table1[[#This Row],[OthCostTot]])</f>
        <v>0</v>
      </c>
      <c r="CH105" s="250"/>
      <c r="CI105" s="250"/>
      <c r="CJ105" s="250"/>
      <c r="CK105" s="251">
        <f>SUM(Table1[[#This Row],[SEOGQ1]:[SEOGQ3]])</f>
        <v>0</v>
      </c>
      <c r="CL105" s="250">
        <f>IFERROR(ROUNDUP(Table1[[#This Row],[PellTot]]/3,0),0)</f>
        <v>0</v>
      </c>
      <c r="CM105" s="250">
        <f>IFERROR(ROUND(Table1[[#This Row],[PellTot]]/3,0),0)</f>
        <v>0</v>
      </c>
      <c r="CN105" s="250">
        <f>IFERROR(ROUNDDOWN(Table1[[#This Row],[PellTot]]/3,0),0)</f>
        <v>0</v>
      </c>
      <c r="CO105" s="251">
        <f>IFERROR(LOOKUP(Table1[EFC],Pell_Table[#Data],Pell_Table[Pell Amt]),0)</f>
        <v>0</v>
      </c>
      <c r="CP105" s="250">
        <f>Table1[[#This Row],[AccessTot]]/3</f>
        <v>0</v>
      </c>
      <c r="CQ105" s="250">
        <f>Table1[[#This Row],[AccessTot]]/3</f>
        <v>0</v>
      </c>
      <c r="CR105" s="250">
        <f>Table1[[#This Row],[AccessTot]]/3</f>
        <v>0</v>
      </c>
      <c r="CS105" s="251">
        <f>IF(Table1[[#This Row],[PellTot]]&gt;0,1500,0)</f>
        <v>0</v>
      </c>
      <c r="CT105" s="250">
        <f>Table1[[#This Row],[AchiTot]]/3</f>
        <v>0</v>
      </c>
      <c r="CU105" s="250">
        <f>Table1[[#This Row],[AchiTot]]/3</f>
        <v>0</v>
      </c>
      <c r="CV105" s="250">
        <f>Table1[[#This Row],[AchiTot]]/3</f>
        <v>0</v>
      </c>
      <c r="CW105" s="252">
        <f>IF(Table1[[#This Row],[Rank]]="","",IF(Table1[[#This Row],[Rank]]=1,5100,IF(Table1[[#This Row],[Rank]]=2,4500,IF(Table1[[#This Row],[Rank]]=3,3900,IF(Table1[[#This Row],[Rank]]=4,3750,IF(Table1[[#This Row],[Rank]]=5,3000,IF(Table1[[#This Row],[Rank]]=6,2250,0)))))))</f>
        <v>0</v>
      </c>
      <c r="CX105" s="250">
        <f>Table1[[#This Row],[UTTot]]/3</f>
        <v>0</v>
      </c>
      <c r="CY105" s="250">
        <f>Table1[[#This Row],[UTTot]]/3</f>
        <v>0</v>
      </c>
      <c r="CZ105" s="250">
        <f>Table1[[#This Row],[UTTot]]/3</f>
        <v>0</v>
      </c>
      <c r="DA105" s="251">
        <f>IF(Table1[[#This Row],[State]]="UT",9000,0)</f>
        <v>0</v>
      </c>
      <c r="DB105" s="250">
        <f>Table1[[#This Row],[WITTot]]/3</f>
        <v>0</v>
      </c>
      <c r="DC105" s="250">
        <f>Table1[[#This Row],[WITTot]]/3</f>
        <v>0</v>
      </c>
      <c r="DD105" s="250">
        <f>Table1[[#This Row],[WITTot]]/3</f>
        <v>0</v>
      </c>
      <c r="DE105" s="251">
        <f>IF(Table1[[#This Row],[Gender]]="Female",3000,0)</f>
        <v>0</v>
      </c>
      <c r="DF105" s="250">
        <f>Table1[[#This Row],[SerTot]]/3</f>
        <v>0</v>
      </c>
      <c r="DG105" s="250">
        <f>Table1[[#This Row],[SerTot]]/3</f>
        <v>0</v>
      </c>
      <c r="DH105" s="250">
        <f>Table1[[#This Row],[SerTot]]/3</f>
        <v>0</v>
      </c>
      <c r="DI105" s="252"/>
      <c r="DJ105" s="250"/>
      <c r="DK105" s="250"/>
      <c r="DL105" s="250"/>
      <c r="DM105" s="252"/>
      <c r="DN105" s="250">
        <f>Table1[[#This Row],[MatTot]]/3</f>
        <v>0</v>
      </c>
      <c r="DO105" s="250">
        <f>Table1[[#This Row],[MatTot]]/3</f>
        <v>0</v>
      </c>
      <c r="DP105" s="250">
        <f>Table1[[#This Row],[MatTot]]/3</f>
        <v>0</v>
      </c>
      <c r="DQ105" s="252"/>
      <c r="DR105" s="250">
        <f>Table1[[#This Row],[OutTot]]/3</f>
        <v>0</v>
      </c>
      <c r="DS105" s="250">
        <f>Table1[[#This Row],[OutTot]]/3</f>
        <v>0</v>
      </c>
      <c r="DT105" s="250">
        <f>Table1[[#This Row],[OutTot]]/3</f>
        <v>0</v>
      </c>
      <c r="DU105" s="252"/>
      <c r="DV105" s="250"/>
      <c r="DW105" s="250"/>
      <c r="DX105" s="250"/>
      <c r="DY105" s="252">
        <f>SUM(Table1[[#This Row],[VAQ1]:[VAQ3]])</f>
        <v>0</v>
      </c>
      <c r="DZ105" s="250"/>
      <c r="EA105" s="250"/>
      <c r="EB105" s="250"/>
      <c r="EC105" s="270">
        <f>SUM(Table1[[#This Row],[OthGrantQ1]:[OthGrantQ3]])</f>
        <v>0</v>
      </c>
      <c r="ED105" s="263">
        <f>Table1[[#This Row],[SEOGTot]]+Table1[[#This Row],[PellTot]]+Table1[[#This Row],[AccessTot]]+Table1[[#This Row],[AchiTot]]+Table1[[#This Row],[UTTot]]+Table1[[#This Row],[WITTot]]+Table1[[#This Row],[SerTot]]+Table1[[#This Row],[TranTot]]+Table1[[#This Row],[MatTot]]+Table1[[#This Row],[OutTot]]+Table1[[#This Row],[VATot]]+Table1[[#This Row],[OthGrantTot]]</f>
        <v>0</v>
      </c>
      <c r="EE105" s="249"/>
      <c r="EF105" s="237"/>
      <c r="EG105" s="237"/>
      <c r="EH105" s="232">
        <f>SUM(Table1[[#This Row],[CashQ1]]:Table1[[#This Row],[CashQ3]])</f>
        <v>0</v>
      </c>
      <c r="EI105" s="271">
        <f>ROUND((Table1[[#This Row],[SubTot]]/3)/1.01059,0)</f>
        <v>0</v>
      </c>
      <c r="EJ105" s="234">
        <f>ROUND((Table1[[#This Row],[SubTot]]/3)/1.01059,0)</f>
        <v>0</v>
      </c>
      <c r="EK105" s="234">
        <f>ROUNDUP((Table1[[#This Row],[SubTot]]/3)/1.01059,0)</f>
        <v>0</v>
      </c>
      <c r="EL105" s="235"/>
      <c r="EM105" s="240">
        <f>Table1[[#This Row],[SubTot]]*0.01059</f>
        <v>0</v>
      </c>
      <c r="EN105" s="234">
        <f>ROUND((Table1[[#This Row],[UnsubTot]]/3)/1.01062,0)</f>
        <v>660</v>
      </c>
      <c r="EO105" s="234">
        <f>ROUND((Table1[[#This Row],[UnsubTot]]/3)/1.01062,0)</f>
        <v>660</v>
      </c>
      <c r="EP105" s="234">
        <f>ROUNDDOWN((Table1[[#This Row],[UnsubTot]]/3)/1.01062,0)</f>
        <v>659</v>
      </c>
      <c r="EQ105" s="235">
        <f>IF(Table1[D/I]="I",6000,2000)</f>
        <v>2000</v>
      </c>
      <c r="ER105" s="240">
        <f>Table1[[#This Row],[UnsubTot]]*0.01062</f>
        <v>21.24</v>
      </c>
      <c r="ES105" s="234">
        <f>ROUND((Table1[[#This Row],[PLUSTot]]/3)/1.04248,0)</f>
        <v>0</v>
      </c>
      <c r="ET105" s="234">
        <f>ROUND((Table1[[#This Row],[PLUSTot]]/3)/1.04248,0)</f>
        <v>0</v>
      </c>
      <c r="EU105" s="234">
        <f>ROUND((Table1[[#This Row],[PLUSTot]]/3)/1.04248,0)</f>
        <v>0</v>
      </c>
      <c r="EV105" s="235"/>
      <c r="EW105" s="239">
        <f>Table1[[#This Row],[PLUSTot]]*0.04248</f>
        <v>0</v>
      </c>
      <c r="EX105" s="237"/>
      <c r="EY105" s="237"/>
      <c r="EZ105" s="237"/>
      <c r="FA105" s="232">
        <f>SUM(Table1[[#This Row],[PrivQ1]:[PrivQ3]])</f>
        <v>0</v>
      </c>
      <c r="FB105" s="237"/>
      <c r="FC105" s="237"/>
      <c r="FD105" s="237"/>
      <c r="FE105" s="232">
        <f>SUM(Table1[[#This Row],[TOQ1]:[TOQ3]])</f>
        <v>0</v>
      </c>
      <c r="FF105" s="237"/>
      <c r="FG105" s="237"/>
      <c r="FH105" s="237"/>
      <c r="FI105" s="232">
        <f>SUM(Table1[[#This Row],[OFundQ1]:[OFundQ3]])</f>
        <v>0</v>
      </c>
      <c r="FJ105" s="239">
        <f>(Table1[[#This Row],[SubTot]]-Table1[[#This Row],[SubFee]])+(Table1[[#This Row],[UnsubTot]]-Table1[[#This Row],[UnsubFee]])+(Table1[[#This Row],[PLUSTot]]-Table1[[#This Row],[PLUSFee]])+Table1[[#This Row],[PrivTot]]+Table1[[#This Row],[TOTot]]+Table1[[#This Row],[OFundTot]]</f>
        <v>1978.76</v>
      </c>
      <c r="FK105" s="125">
        <f>Table1[[#This Row],[CostTot]]-Table1[[#This Row],[GiftTot]]</f>
        <v>0</v>
      </c>
      <c r="FL105" s="130">
        <f>Table1[[#This Row],[NetNeed]]/(1-0.04248)</f>
        <v>-2066.5469128582172</v>
      </c>
      <c r="FM105" s="131">
        <f>Table1[[#This Row],[NetCost]]-Table1[[#This Row],[CashTot]]-(Table1[[#This Row],[SubTot]]-Table1[[#This Row],[SubFee]])-(Table1[[#This Row],[UnsubTot]]-Table1[[#This Row],[UnsubFee]])-(Table1[[#This Row],[PLUSTot]]-Table1[[#This Row],[PLUSFee]])-Table1[[#This Row],[PrivTot]]-Table1[[#This Row],[TOTot]]-Table1[[#This Row],[OFundTot]]</f>
        <v>-1978.76</v>
      </c>
      <c r="FN105" s="156"/>
      <c r="FO105" s="113"/>
      <c r="FP105" s="113"/>
    </row>
    <row r="106" spans="1:172" ht="15" x14ac:dyDescent="0.25">
      <c r="A106" s="267">
        <v>197097</v>
      </c>
      <c r="B106" s="160" t="str">
        <f>VLOOKUP(Table1[[#This Row],[SyStudentId]],SSR!$A$2:$CC$4982,4,FALSE)</f>
        <v>Robinson</v>
      </c>
      <c r="C106" s="160" t="str">
        <f>VLOOKUP(Table1[[#This Row],[SyStudentId]],SSR!$A$2:$CC$4982,5,FALSE)</f>
        <v>Nakieyah</v>
      </c>
      <c r="D106" s="160" t="str">
        <f>VLOOKUP(Table1[[#This Row],[SyStudentId]],SSR!$A$2:$CC$4982,6,FALSE)</f>
        <v>Robinson, Nakieyah</v>
      </c>
      <c r="E106" s="113" t="str">
        <f>CONCATENATE(Table1[[#This Row],[FirstName]]," ",Table1[[#This Row],[LastName]])</f>
        <v>Nakieyah Robinson</v>
      </c>
      <c r="F106" s="158"/>
      <c r="G106" s="114"/>
      <c r="H106" s="114"/>
      <c r="I106" s="114"/>
      <c r="J106" s="200"/>
      <c r="K106" s="164"/>
      <c r="L106" s="158" t="str">
        <f>IFERROR(VLOOKUP(Table1[[#This Row],[SyStudentId]],ISIR!$A$2:$X$4999,11,FALSE),"")</f>
        <v/>
      </c>
      <c r="M106" s="160" t="str">
        <f>VLOOKUP(Table1[[#This Row],[SyStudentId]],SSR!$A$2:$CC$4982,7,FALSE)</f>
        <v>kieyah411@gmail.com</v>
      </c>
      <c r="N106" s="160" t="str">
        <f>VLOOKUP(Table1[[#This Row],[SyStudentId]],SSR!$A$2:$CC$4982,8,FALSE)</f>
        <v>112 Pondarosa Dr</v>
      </c>
      <c r="O106" s="160" t="str">
        <f>VLOOKUP(Table1[[#This Row],[SyStudentId]],SSR!$A$2:$CC$4982,9,FALSE)</f>
        <v>Atmore</v>
      </c>
      <c r="P106" s="160" t="str">
        <f>VLOOKUP(Table1[[#This Row],[SyStudentId]],SSR!$A$2:$CC$4982,10,FALSE)</f>
        <v>AL</v>
      </c>
      <c r="Q106" s="165" t="str">
        <f>VLOOKUP(Table1[[#This Row],[SyStudentId]],SSR!$A$2:$CC$4982,11,FALSE)</f>
        <v xml:space="preserve">36502     </v>
      </c>
      <c r="R106" s="166">
        <f>VLOOKUP(Table1[[#This Row],[SyStudentId]],SSR!$A$2:$CC$4982,15,FALSE)</f>
        <v>3.6</v>
      </c>
      <c r="S106" s="167">
        <f>VLOOKUP(Table1[[#This Row],[SyStudentId]],SSR!$A$2:$CC$4982,22,FALSE)</f>
        <v>44109</v>
      </c>
      <c r="T106" s="160" t="str">
        <f>VLOOKUP(Table1[[#This Row],[SyStudentId]],SSR!$A$2:$CC$4982,24,FALSE)</f>
        <v>GM</v>
      </c>
      <c r="U106" s="160" t="str">
        <f>IF(VLOOKUP(Table1[[#This Row],[SyStudentId]],SSR!$A$2:$CC$4982,26,FALSE)=0,"Not Selected",VLOOKUP(Table1[[#This Row],[SyStudentId]],SSR!$A$2:$CC$4982,26,FALSE))</f>
        <v>Female</v>
      </c>
      <c r="V106" s="160" t="str">
        <f>VLOOKUP(Table1[[#This Row],[SyStudentId]],SSR!$A$2:$CC$4982,27,FALSE)</f>
        <v xml:space="preserve">HS2020  </v>
      </c>
      <c r="W106" s="160" t="str">
        <f>VLOOKUP(LEFT(Table1[[#This Row],[LastName]],1),Alpha!$A$1:$B$26,2,FALSE)</f>
        <v>Maureen Ranks</v>
      </c>
      <c r="X106" s="168" t="str">
        <f>VLOOKUP(Table1[[#This Row],[FAA]],Alpha!$B$1:$D$26,2,FALSE)</f>
        <v>mranks@neumont.edu</v>
      </c>
      <c r="Y106" s="160">
        <f>VLOOKUP(Table1[[#This Row],[FAA]],Alpha!$B$1:$D$26,3,FALSE)</f>
        <v>8883022894</v>
      </c>
      <c r="Z106" s="160" t="str">
        <f>VLOOKUP(Table1[[#This Row],[SyStudentId]],SSR!$A$2:$CC$4982,30,FALSE)</f>
        <v>16-Accepted</v>
      </c>
      <c r="AA106" s="160" t="str">
        <f>IF(VLOOKUP(Table1[[#This Row],[SyStudentId]],SSR!$A$2:$CC$4982,36,FALSE)="Bachelor of Science","BS Computer Science","Check Program")</f>
        <v>BS Computer Science</v>
      </c>
      <c r="AB106" s="160" t="str">
        <f>VLOOKUP(Table1[[#This Row],[SyStudentId]],SSR!$A$2:$CC$4982,37,FALSE)</f>
        <v xml:space="preserve">25      </v>
      </c>
      <c r="AC106" s="160">
        <f>VLOOKUP(Table1[[#This Row],[SyStudentId]],SSR!$A$2:$CC$4982,42,FALSE)</f>
        <v>0</v>
      </c>
      <c r="AD106" s="160" t="str">
        <f>VLOOKUP(Table1[[#This Row],[SyStudentId]],SSR!$A$2:$CC$4982,46,FALSE)</f>
        <v>115</v>
      </c>
      <c r="AE106" s="160" t="str">
        <f>VLOOKUP(Table1[[#This Row],[SyStudentId]],SSR!$A$2:$CC$4982,65,FALSE)</f>
        <v>III</v>
      </c>
      <c r="AF106"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106" s="160" t="str">
        <f>VLOOKUP(Table1[[#This Row],[SyStudentId]],SSR!$A$2:$CC$4982,66,FALSE)</f>
        <v>July-October</v>
      </c>
      <c r="AH106" s="160" t="str">
        <f>IFERROR(VLOOKUP(Table1[[#This Row],[SyStudentId]],ISIR!$A$2:$X$1999,7,FALSE),"")</f>
        <v/>
      </c>
      <c r="AI106" s="170" t="str">
        <f>IF(Table1[[#This Row],[EFCRaw]]="","",IF(Table1[[#This Row],[EFCRaw]]="No EFC","No EFC",_xlfn.NUMBERVALUE(Table1[[#This Row],[EFCRaw]])))</f>
        <v/>
      </c>
      <c r="AJ106" s="167" t="str">
        <f>IFERROR(VLOOKUP(Table1[[#This Row],[SyStudentId]],ISIR!$A$2:$X$4999,19,FALSE),"")</f>
        <v/>
      </c>
      <c r="AK106" s="160" t="str">
        <f>IFERROR(VLOOKUP(Table1[[#This Row],[SyStudentId]],ISIR!$A$2:$X$4999,8,FALSE),"")</f>
        <v/>
      </c>
      <c r="AL106" s="178" t="str">
        <f>IF(Table1[[#This Row],[VerReq]]="N","n/a","")</f>
        <v/>
      </c>
      <c r="AM106" s="122"/>
      <c r="AN106" s="122"/>
      <c r="AO106" s="122"/>
      <c r="AP106" s="122"/>
      <c r="AQ106" s="122"/>
      <c r="AR106" s="122"/>
      <c r="AS106" s="122"/>
      <c r="AT106" s="122"/>
      <c r="AU106" s="122"/>
      <c r="AV106" s="122"/>
      <c r="AW106" s="122"/>
      <c r="AX106" s="122"/>
      <c r="AY106" s="122"/>
      <c r="AZ106" s="122"/>
      <c r="BA106" s="122"/>
      <c r="BB106" s="122"/>
      <c r="BC106" s="148"/>
      <c r="BD106" s="140" t="str">
        <f>IF(Table1[[#This Row],[VerReq]]="N","x","")</f>
        <v/>
      </c>
      <c r="BE106" s="140" t="str">
        <f>IF(Table1[[#This Row],[VerReq]]="N","x","")</f>
        <v/>
      </c>
      <c r="BF106" s="140" t="str">
        <f>IF(Table1[[#This Row],[VerReq]]="N","x","")</f>
        <v/>
      </c>
      <c r="BG106" s="140" t="str">
        <f>IF(Table1[[#This Row],[VerReq]]="N","x","")</f>
        <v/>
      </c>
      <c r="BH106" s="140" t="str">
        <f>IF(Table1[[#This Row],[VerReq]]="N","x","")</f>
        <v/>
      </c>
      <c r="BI106" s="140" t="str">
        <f>IF(Table1[[#This Row],[VerReq]]="N","x","")</f>
        <v/>
      </c>
      <c r="BJ106" s="181">
        <f>1-((COUNTBLANK(Table1[[#This Row],[ALESent]:[TaxTran]]))/(COUNT(Table1[[#This Row],[ALESent]:[TaxTran]])+COUNTBLANK(Table1[[#This Row],[ALESent]:[TaxTran]])))</f>
        <v>0</v>
      </c>
      <c r="BK106" s="216">
        <f>IF(VLOOKUP(Table1[[#This Row],[SyStudentId]],SSR!$A$2:$CC$4982,22,FALSE)=44109,44109,"Check Program")</f>
        <v>44109</v>
      </c>
      <c r="BL106" s="173">
        <f>IF(Table1[[#This Row],[AYStart]]=44109,44356,"Check Program")</f>
        <v>44356</v>
      </c>
      <c r="BM106" s="219">
        <v>8505</v>
      </c>
      <c r="BN106" s="219">
        <v>8505</v>
      </c>
      <c r="BO106" s="219">
        <v>8505</v>
      </c>
      <c r="BP106" s="220">
        <f t="shared" si="3"/>
        <v>25515</v>
      </c>
      <c r="BQ106" s="221">
        <v>3300</v>
      </c>
      <c r="BR106" s="219">
        <v>400</v>
      </c>
      <c r="BS106" s="219">
        <v>400</v>
      </c>
      <c r="BT106" s="222">
        <f t="shared" si="4"/>
        <v>4100</v>
      </c>
      <c r="BU106" s="219">
        <v>2100</v>
      </c>
      <c r="BV106" s="219">
        <v>2100</v>
      </c>
      <c r="BW106" s="219">
        <v>2100</v>
      </c>
      <c r="BX106" s="222">
        <f t="shared" si="5"/>
        <v>6300</v>
      </c>
      <c r="BY106" s="275">
        <v>1200</v>
      </c>
      <c r="BZ106" s="275">
        <v>1200</v>
      </c>
      <c r="CA106" s="275">
        <v>1200</v>
      </c>
      <c r="CB106" s="222">
        <f>SUM(Table1[[#This Row],[LEQ1]:[LEQ3]])</f>
        <v>3600</v>
      </c>
      <c r="CC106" s="276">
        <v>0</v>
      </c>
      <c r="CD106" s="276">
        <v>0</v>
      </c>
      <c r="CE106" s="276">
        <v>0</v>
      </c>
      <c r="CF106" s="222">
        <f>SUM(Table1[[#This Row],[OthCostQ1]:[OthCostQ3]])</f>
        <v>0</v>
      </c>
      <c r="CG106" s="222">
        <f>(Table1[[#This Row],[T&amp;FTot]]+Table1[[#This Row],[B&amp;STot]]+Table1[[#This Row],[HousTot]]+Table1[[#This Row],[LETot]]+Table1[[#This Row],[OthCostTot]])</f>
        <v>39515</v>
      </c>
      <c r="CH106" s="253">
        <v>0</v>
      </c>
      <c r="CI106" s="253">
        <v>0</v>
      </c>
      <c r="CJ106" s="253">
        <v>0</v>
      </c>
      <c r="CK106" s="254">
        <f>SUM(Table1[[#This Row],[SEOGQ1]:[SEOGQ3]])</f>
        <v>0</v>
      </c>
      <c r="CL106" s="253">
        <f>IFERROR(ROUNDUP(Table1[[#This Row],[PellTot]]/3,0),0)</f>
        <v>0</v>
      </c>
      <c r="CM106" s="253">
        <f>IFERROR(ROUND(Table1[[#This Row],[PellTot]]/3,0),0)</f>
        <v>0</v>
      </c>
      <c r="CN106" s="253">
        <f>IFERROR(ROUNDDOWN(Table1[[#This Row],[PellTot]]/3,0),0)</f>
        <v>0</v>
      </c>
      <c r="CO106" s="254">
        <f>IFERROR(LOOKUP(Table1[EFC],Pell_Table[#Data],Pell_Table[Pell Amt]),0)</f>
        <v>0</v>
      </c>
      <c r="CP106" s="253">
        <f>Table1[[#This Row],[AccessTot]]/3</f>
        <v>0</v>
      </c>
      <c r="CQ106" s="253">
        <f>Table1[[#This Row],[AccessTot]]/3</f>
        <v>0</v>
      </c>
      <c r="CR106" s="253">
        <f>Table1[[#This Row],[AccessTot]]/3</f>
        <v>0</v>
      </c>
      <c r="CS106" s="254">
        <f>IF(Table1[[#This Row],[PellTot]]&gt;0,1500,0)</f>
        <v>0</v>
      </c>
      <c r="CT106" s="253">
        <f>Table1[[#This Row],[AchiTot]]/3</f>
        <v>1300</v>
      </c>
      <c r="CU106" s="253">
        <f>Table1[[#This Row],[AchiTot]]/3</f>
        <v>1300</v>
      </c>
      <c r="CV106" s="253">
        <f>Table1[[#This Row],[AchiTot]]/3</f>
        <v>1300</v>
      </c>
      <c r="CW106" s="255">
        <f>IF(Table1[[#This Row],[Rank]]="","",IF(Table1[[#This Row],[Rank]]=1,5100,IF(Table1[[#This Row],[Rank]]=2,4500,IF(Table1[[#This Row],[Rank]]=3,3900,IF(Table1[[#This Row],[Rank]]=4,3750,IF(Table1[[#This Row],[Rank]]=5,3000,IF(Table1[[#This Row],[Rank]]=6,2250,0)))))))</f>
        <v>3900</v>
      </c>
      <c r="CX106" s="253">
        <f>Table1[[#This Row],[UTTot]]/3</f>
        <v>0</v>
      </c>
      <c r="CY106" s="253">
        <f>Table1[[#This Row],[UTTot]]/3</f>
        <v>0</v>
      </c>
      <c r="CZ106" s="253">
        <f>Table1[[#This Row],[UTTot]]/3</f>
        <v>0</v>
      </c>
      <c r="DA106" s="254">
        <f>IF(Table1[[#This Row],[State]]="UT",9000,0)</f>
        <v>0</v>
      </c>
      <c r="DB106" s="253">
        <f>Table1[[#This Row],[WITTot]]/3</f>
        <v>1000</v>
      </c>
      <c r="DC106" s="253">
        <f>Table1[[#This Row],[WITTot]]/3</f>
        <v>1000</v>
      </c>
      <c r="DD106" s="253">
        <f>Table1[[#This Row],[WITTot]]/3</f>
        <v>1000</v>
      </c>
      <c r="DE106" s="254">
        <f>IF(Table1[[#This Row],[Gender]]="Female",3000,0)</f>
        <v>3000</v>
      </c>
      <c r="DF106" s="253">
        <f>Table1[[#This Row],[SerTot]]/3</f>
        <v>0</v>
      </c>
      <c r="DG106" s="253">
        <f>Table1[[#This Row],[SerTot]]/3</f>
        <v>0</v>
      </c>
      <c r="DH106" s="253">
        <f>Table1[[#This Row],[SerTot]]/3</f>
        <v>0</v>
      </c>
      <c r="DI106" s="255">
        <v>0</v>
      </c>
      <c r="DJ106" s="253">
        <f>IFERROR(ROUNDUP(Table1[[#This Row],[TranTot]]/3,0),0)</f>
        <v>0</v>
      </c>
      <c r="DK106" s="253">
        <f>IFERROR(ROUND(Table1[[#This Row],[TranTot]]/3,0),0)</f>
        <v>0</v>
      </c>
      <c r="DL106" s="253">
        <f>IFERROR(ROUNDDOWN(Table1[[#This Row],[TranTot]]/3,0),0)</f>
        <v>0</v>
      </c>
      <c r="DM106" s="255">
        <v>0</v>
      </c>
      <c r="DN106" s="253">
        <f>Table1[[#This Row],[MatTot]]/3</f>
        <v>0</v>
      </c>
      <c r="DO106" s="253">
        <f>Table1[[#This Row],[MatTot]]/3</f>
        <v>0</v>
      </c>
      <c r="DP106" s="253">
        <f>Table1[[#This Row],[MatTot]]/3</f>
        <v>0</v>
      </c>
      <c r="DQ106" s="255">
        <v>0</v>
      </c>
      <c r="DR106" s="253">
        <f>Table1[[#This Row],[OutTot]]/3</f>
        <v>0</v>
      </c>
      <c r="DS106" s="253">
        <f>Table1[[#This Row],[OutTot]]/3</f>
        <v>0</v>
      </c>
      <c r="DT106" s="253">
        <f>Table1[[#This Row],[OutTot]]/3</f>
        <v>0</v>
      </c>
      <c r="DU106" s="255">
        <v>0</v>
      </c>
      <c r="DV106" s="253">
        <v>0</v>
      </c>
      <c r="DW106" s="253">
        <v>0</v>
      </c>
      <c r="DX106" s="253">
        <v>0</v>
      </c>
      <c r="DY106" s="255">
        <f>SUM(Table1[[#This Row],[VAQ1]:[VAQ3]])</f>
        <v>0</v>
      </c>
      <c r="DZ106" s="253">
        <v>0</v>
      </c>
      <c r="EA106" s="253">
        <v>0</v>
      </c>
      <c r="EB106" s="253">
        <v>0</v>
      </c>
      <c r="EC106" s="278">
        <f>SUM(Table1[[#This Row],[OthGrantQ1]:[OthGrantQ3]])</f>
        <v>0</v>
      </c>
      <c r="ED106" s="264">
        <f>Table1[[#This Row],[SEOGTot]]+Table1[[#This Row],[PellTot]]+Table1[[#This Row],[AccessTot]]+Table1[[#This Row],[AchiTot]]+Table1[[#This Row],[UTTot]]+Table1[[#This Row],[WITTot]]+Table1[[#This Row],[SerTot]]+Table1[[#This Row],[TranTot]]+Table1[[#This Row],[MatTot]]+Table1[[#This Row],[OutTot]]+Table1[[#This Row],[VATot]]+Table1[[#This Row],[OthGrantTot]]</f>
        <v>6900</v>
      </c>
      <c r="EE106" s="226">
        <v>0</v>
      </c>
      <c r="EF106" s="227">
        <v>0</v>
      </c>
      <c r="EG106" s="227">
        <v>0</v>
      </c>
      <c r="EH106" s="228">
        <f>SUM(Table1[[#This Row],[CashQ1]]:Table1[[#This Row],[CashQ3]])</f>
        <v>0</v>
      </c>
      <c r="EI106" s="229">
        <f>ROUND((Table1[[#This Row],[SubTot]]/3)/1.01059,0)</f>
        <v>1154</v>
      </c>
      <c r="EJ106" s="230">
        <f>ROUND((Table1[[#This Row],[SubTot]]/3)/1.01059,0)</f>
        <v>1154</v>
      </c>
      <c r="EK106" s="230">
        <f>ROUNDUP((Table1[[#This Row],[SubTot]]/3)/1.01059,0)</f>
        <v>1155</v>
      </c>
      <c r="EL106" s="231">
        <v>3500</v>
      </c>
      <c r="EM106" s="233">
        <f>Table1[[#This Row],[SubTot]]*0.01059</f>
        <v>37.065000000000005</v>
      </c>
      <c r="EN106" s="230">
        <f>ROUND((Table1[[#This Row],[UnsubTot]]/3)/1.01062,0)</f>
        <v>660</v>
      </c>
      <c r="EO106" s="230">
        <f>ROUND((Table1[[#This Row],[UnsubTot]]/3)/1.01062,0)</f>
        <v>660</v>
      </c>
      <c r="EP106" s="230">
        <f>ROUNDDOWN((Table1[[#This Row],[UnsubTot]]/3)/1.01062,0)</f>
        <v>659</v>
      </c>
      <c r="EQ106" s="231">
        <f>IF(Table1[D/I]="I",6000,2000)</f>
        <v>2000</v>
      </c>
      <c r="ER106" s="233">
        <f>Table1[[#This Row],[UnsubTot]]*0.01059</f>
        <v>21.18</v>
      </c>
      <c r="ES106" s="230">
        <f>ROUND((Table1[[#This Row],[PLUSTot]]/3)/1.04236,0)</f>
        <v>0</v>
      </c>
      <c r="ET106" s="230">
        <f>ROUND((Table1[[#This Row],[PLUSTot]]/3)/1.04236,0)</f>
        <v>0</v>
      </c>
      <c r="EU106" s="230">
        <f>ROUND((Table1[[#This Row],[PLUSTot]]/3)/1.04236,0)</f>
        <v>0</v>
      </c>
      <c r="EV106" s="231">
        <v>0</v>
      </c>
      <c r="EW106" s="236">
        <f>Table1[[#This Row],[PLUSTot]]*0.04236</f>
        <v>0</v>
      </c>
      <c r="EX106" s="227"/>
      <c r="EY106" s="227"/>
      <c r="EZ106" s="227"/>
      <c r="FA106" s="228">
        <f>SUM(Table1[[#This Row],[PrivQ1]:[PrivQ3]])</f>
        <v>0</v>
      </c>
      <c r="FB106" s="227"/>
      <c r="FC106" s="227"/>
      <c r="FD106" s="227"/>
      <c r="FE106" s="228">
        <f>SUM(Table1[[#This Row],[TOQ1]:[TOQ3]])</f>
        <v>0</v>
      </c>
      <c r="FF106" s="227"/>
      <c r="FG106" s="227"/>
      <c r="FH106" s="227"/>
      <c r="FI106" s="228">
        <f>SUM(Table1[[#This Row],[OFundQ1]:[OFundQ3]])</f>
        <v>0</v>
      </c>
      <c r="FJ106" s="236">
        <f>(Table1[[#This Row],[SubTot]]-Table1[[#This Row],[SubFee]])+(Table1[[#This Row],[UnsubTot]]-Table1[[#This Row],[UnsubFee]])+(Table1[[#This Row],[PLUSTot]]-Table1[[#This Row],[PLUSFee]])+Table1[[#This Row],[PrivTot]]+Table1[[#This Row],[TOTot]]+Table1[[#This Row],[OFundTot]]</f>
        <v>5441.7550000000001</v>
      </c>
      <c r="FK106" s="159">
        <f>Table1[[#This Row],[CostTot]]-Table1[[#This Row],[GiftTot]]</f>
        <v>32615</v>
      </c>
      <c r="FL106" s="174">
        <f>Table1[[#This Row],[NetNeed]]/(1-0.04236)</f>
        <v>28375.219289085668</v>
      </c>
      <c r="FM106" s="176">
        <f>Table1[[#This Row],[NetCost]]-Table1[[#This Row],[CashTot]]-(Table1[[#This Row],[SubTot]]-Table1[[#This Row],[SubFee]])-(Table1[[#This Row],[UnsubTot]]-Table1[[#This Row],[UnsubFee]])-(Table1[[#This Row],[PLUSTot]]-Table1[[#This Row],[PLUSFee]])-Table1[[#This Row],[PrivTot]]-Table1[[#This Row],[TOTot]]-Table1[[#This Row],[OFundTot]]</f>
        <v>27173.244999999999</v>
      </c>
      <c r="FN106" s="217"/>
      <c r="FO106" s="162"/>
      <c r="FP106" s="162"/>
    </row>
    <row r="107" spans="1:172" ht="15" x14ac:dyDescent="0.25">
      <c r="A107" s="267">
        <v>195816</v>
      </c>
      <c r="B107" s="160" t="str">
        <f>VLOOKUP(Table1[[#This Row],[SyStudentId]],SSR!$A$2:$CC$4982,4,FALSE)</f>
        <v>Rodriguez</v>
      </c>
      <c r="C107" s="160" t="str">
        <f>VLOOKUP(Table1[[#This Row],[SyStudentId]],SSR!$A$2:$CC$4982,5,FALSE)</f>
        <v>Luca</v>
      </c>
      <c r="D107" s="160" t="str">
        <f>VLOOKUP(Table1[[#This Row],[SyStudentId]],SSR!$A$2:$CC$4982,6,FALSE)</f>
        <v>Rodriguez, Luca</v>
      </c>
      <c r="E107" s="113" t="str">
        <f>CONCATENATE(Table1[[#This Row],[FirstName]]," ",Table1[[#This Row],[LastName]])</f>
        <v>Luca Rodriguez</v>
      </c>
      <c r="F107" s="158">
        <v>1</v>
      </c>
      <c r="G107" s="114">
        <v>43780</v>
      </c>
      <c r="H107" s="114">
        <v>43787</v>
      </c>
      <c r="I107" s="114">
        <v>43787</v>
      </c>
      <c r="J107" s="163" t="s">
        <v>5365</v>
      </c>
      <c r="K107" s="164"/>
      <c r="L107" s="158" t="str">
        <f>IFERROR(VLOOKUP(Table1[[#This Row],[SyStudentId]],ISIR!$A$2:$X$4999,11,FALSE),"")</f>
        <v>D</v>
      </c>
      <c r="M107" s="160" t="str">
        <f>VLOOKUP(Table1[[#This Row],[SyStudentId]],SSR!$A$2:$CC$4982,7,FALSE)</f>
        <v>what.time.is.it.3f@gmail.com</v>
      </c>
      <c r="N107" s="160" t="str">
        <f>VLOOKUP(Table1[[#This Row],[SyStudentId]],SSR!$A$2:$CC$4982,8,FALSE)</f>
        <v>5740 Sandstone Way</v>
      </c>
      <c r="O107" s="160" t="str">
        <f>VLOOKUP(Table1[[#This Row],[SyStudentId]],SSR!$A$2:$CC$4982,9,FALSE)</f>
        <v>Jacksonville</v>
      </c>
      <c r="P107" s="304" t="str">
        <f>VLOOKUP(Table1[[#This Row],[SyStudentId]],SSR!$A$2:$CC$4982,10,FALSE)</f>
        <v>FL</v>
      </c>
      <c r="Q107" s="165" t="str">
        <f>VLOOKUP(Table1[[#This Row],[SyStudentId]],SSR!$A$2:$CC$4982,11,FALSE)</f>
        <v xml:space="preserve">32258     </v>
      </c>
      <c r="R107" s="166">
        <f>VLOOKUP(Table1[[#This Row],[SyStudentId]],SSR!$A$2:$CC$4982,15,FALSE)</f>
        <v>3.2</v>
      </c>
      <c r="S107" s="167">
        <f>VLOOKUP(Table1[[#This Row],[SyStudentId]],SSR!$A$2:$CC$4982,22,FALSE)</f>
        <v>44109</v>
      </c>
      <c r="T107" s="160" t="str">
        <f>VLOOKUP(Table1[[#This Row],[SyStudentId]],SSR!$A$2:$CC$4982,24,FALSE)</f>
        <v>JT</v>
      </c>
      <c r="U107" s="160" t="str">
        <f>IF(VLOOKUP(Table1[[#This Row],[SyStudentId]],SSR!$A$2:$CC$4982,26,FALSE)=0,"Not Selected",VLOOKUP(Table1[[#This Row],[SyStudentId]],SSR!$A$2:$CC$4982,26,FALSE))</f>
        <v>Male</v>
      </c>
      <c r="V107" s="160" t="str">
        <f>VLOOKUP(Table1[[#This Row],[SyStudentId]],SSR!$A$2:$CC$4982,27,FALSE)</f>
        <v xml:space="preserve">HS2020  </v>
      </c>
      <c r="W107" s="160" t="str">
        <f>VLOOKUP(LEFT(Table1[[#This Row],[LastName]],1),Alpha!$A$1:$B$26,2,FALSE)</f>
        <v>Maureen Ranks</v>
      </c>
      <c r="X107" s="179" t="str">
        <f>VLOOKUP(Table1[[#This Row],[FAA]],Alpha!$B$1:$D$26,2,FALSE)</f>
        <v>mranks@neumont.edu</v>
      </c>
      <c r="Y107" s="160">
        <f>VLOOKUP(Table1[[#This Row],[FAA]],Alpha!$B$1:$D$26,3,FALSE)</f>
        <v>8883022894</v>
      </c>
      <c r="Z107" s="160" t="str">
        <f>VLOOKUP(Table1[[#This Row],[SyStudentId]],SSR!$A$2:$CC$4982,30,FALSE)</f>
        <v>16-Accepted</v>
      </c>
      <c r="AA107" s="160" t="str">
        <f>IF(VLOOKUP(Table1[[#This Row],[SyStudentId]],SSR!$A$2:$CC$4982,36,FALSE)="Bachelor of Science","BS Computer Science","Check Program")</f>
        <v>BS Computer Science</v>
      </c>
      <c r="AB107" s="160">
        <f>VLOOKUP(Table1[[#This Row],[SyStudentId]],SSR!$A$2:$CC$4982,37,FALSE)</f>
        <v>0</v>
      </c>
      <c r="AC107" s="160" t="str">
        <f>VLOOKUP(Table1[[#This Row],[SyStudentId]],SSR!$A$2:$CC$4982,42,FALSE)</f>
        <v xml:space="preserve">1190    </v>
      </c>
      <c r="AD107" s="160" t="str">
        <f>VLOOKUP(Table1[[#This Row],[SyStudentId]],SSR!$A$2:$CC$4982,46,FALSE)</f>
        <v>110</v>
      </c>
      <c r="AE107" s="160" t="str">
        <f>VLOOKUP(Table1[[#This Row],[SyStudentId]],SSR!$A$2:$CC$4982,65,FALSE)</f>
        <v>I</v>
      </c>
      <c r="AF107"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07" s="160" t="str">
        <f>VLOOKUP(Table1[[#This Row],[SyStudentId]],SSR!$A$2:$CC$4982,66,FALSE)</f>
        <v>July-October</v>
      </c>
      <c r="AH107" s="160" t="str">
        <f>IFERROR(VLOOKUP(Table1[[#This Row],[SyStudentId]],ISIR!$A$2:$X$1999,7,FALSE),"")</f>
        <v>016157</v>
      </c>
      <c r="AI107" s="170">
        <f>IF(Table1[[#This Row],[EFCRaw]]="","",IF(Table1[[#This Row],[EFCRaw]]="No EFC","No EFC",_xlfn.NUMBERVALUE(Table1[[#This Row],[EFCRaw]])))</f>
        <v>16157</v>
      </c>
      <c r="AJ107" s="167">
        <f>IFERROR(VLOOKUP(Table1[[#This Row],[SyStudentId]],ISIR!$A$2:$X$4999,19,FALSE),"")</f>
        <v>43776</v>
      </c>
      <c r="AK107" s="160" t="str">
        <f>IFERROR(VLOOKUP(Table1[[#This Row],[SyStudentId]],ISIR!$A$2:$X$4999,8,FALSE),"")</f>
        <v>N</v>
      </c>
      <c r="AL107" s="178" t="str">
        <f>IF(Table1[[#This Row],[VerReq]]="N","n/a","")</f>
        <v>n/a</v>
      </c>
      <c r="AM107" s="122">
        <v>43787</v>
      </c>
      <c r="AN107" s="122">
        <v>43787</v>
      </c>
      <c r="AO107" s="122">
        <v>43779</v>
      </c>
      <c r="AP107" s="122">
        <v>43779</v>
      </c>
      <c r="AQ107" s="122">
        <v>43779</v>
      </c>
      <c r="AR107" s="122"/>
      <c r="AS107" s="122"/>
      <c r="AT107" s="122"/>
      <c r="AU107" s="122"/>
      <c r="AV107" s="122"/>
      <c r="AW107" s="122"/>
      <c r="AX107" s="122"/>
      <c r="AY107" s="122"/>
      <c r="AZ107" s="122"/>
      <c r="BA107" s="122"/>
      <c r="BB107" s="122"/>
      <c r="BC107" s="148"/>
      <c r="BD107" s="140" t="str">
        <f>IF(Table1[[#This Row],[VerReq]]="N","x","")</f>
        <v>x</v>
      </c>
      <c r="BE107" s="140" t="str">
        <f>IF(Table1[[#This Row],[VerReq]]="N","x","")</f>
        <v>x</v>
      </c>
      <c r="BF107" s="140" t="str">
        <f>IF(Table1[[#This Row],[VerReq]]="N","x","")</f>
        <v>x</v>
      </c>
      <c r="BG107" s="140" t="str">
        <f>IF(Table1[[#This Row],[VerReq]]="N","x","")</f>
        <v>x</v>
      </c>
      <c r="BH107" s="140" t="str">
        <f>IF(Table1[[#This Row],[VerReq]]="N","x","")</f>
        <v>x</v>
      </c>
      <c r="BI107" s="140" t="str">
        <f>IF(Table1[[#This Row],[VerReq]]="N","x","")</f>
        <v>x</v>
      </c>
      <c r="BJ107" s="181">
        <f>1-((COUNTBLANK(Table1[[#This Row],[ALESent]:[TaxTran]]))/(COUNT(Table1[[#This Row],[ALESent]:[TaxTran]])+COUNTBLANK(Table1[[#This Row],[ALESent]:[TaxTran]])))</f>
        <v>0.29411764705882348</v>
      </c>
      <c r="BK107" s="216">
        <f>IF(VLOOKUP(Table1[[#This Row],[SyStudentId]],SSR!$A$2:$CC$4982,22,FALSE)=44109,44109,"Check Program")</f>
        <v>44109</v>
      </c>
      <c r="BL107" s="173">
        <f>IF(Table1[[#This Row],[AYStart]]=44109,44356,"Check Program")</f>
        <v>44356</v>
      </c>
      <c r="BM107" s="219">
        <v>8505</v>
      </c>
      <c r="BN107" s="219">
        <v>8505</v>
      </c>
      <c r="BO107" s="219">
        <v>8505</v>
      </c>
      <c r="BP107" s="220">
        <f t="shared" si="3"/>
        <v>25515</v>
      </c>
      <c r="BQ107" s="221">
        <v>3300</v>
      </c>
      <c r="BR107" s="219">
        <v>400</v>
      </c>
      <c r="BS107" s="219">
        <v>400</v>
      </c>
      <c r="BT107" s="222">
        <f t="shared" si="4"/>
        <v>4100</v>
      </c>
      <c r="BU107" s="219">
        <v>2100</v>
      </c>
      <c r="BV107" s="219">
        <v>2100</v>
      </c>
      <c r="BW107" s="219">
        <v>2100</v>
      </c>
      <c r="BX107" s="222">
        <f t="shared" si="5"/>
        <v>6300</v>
      </c>
      <c r="BY107" s="275">
        <v>1200</v>
      </c>
      <c r="BZ107" s="275">
        <v>1200</v>
      </c>
      <c r="CA107" s="275">
        <v>1200</v>
      </c>
      <c r="CB107" s="222">
        <f>SUM(Table1[[#This Row],[LEQ1]:[LEQ3]])</f>
        <v>3600</v>
      </c>
      <c r="CC107" s="276">
        <v>0</v>
      </c>
      <c r="CD107" s="276">
        <v>0</v>
      </c>
      <c r="CE107" s="276">
        <v>0</v>
      </c>
      <c r="CF107" s="222">
        <f>SUM(Table1[[#This Row],[OthCostQ1]:[OthCostQ3]])</f>
        <v>0</v>
      </c>
      <c r="CG107" s="222">
        <f>(Table1[[#This Row],[T&amp;FTot]]+Table1[[#This Row],[B&amp;STot]]+Table1[[#This Row],[HousTot]]+Table1[[#This Row],[LETot]]+Table1[[#This Row],[OthCostTot]])</f>
        <v>39515</v>
      </c>
      <c r="CH107" s="253">
        <v>0</v>
      </c>
      <c r="CI107" s="253">
        <v>0</v>
      </c>
      <c r="CJ107" s="253">
        <v>0</v>
      </c>
      <c r="CK107" s="254">
        <f>SUM(Table1[[#This Row],[SEOGQ1]:[SEOGQ3]])</f>
        <v>0</v>
      </c>
      <c r="CL107" s="253">
        <f>IFERROR(ROUNDUP(Table1[[#This Row],[PellTot]]/3,0),0)</f>
        <v>0</v>
      </c>
      <c r="CM107" s="253">
        <f>IFERROR(ROUND(Table1[[#This Row],[PellTot]]/3,0),0)</f>
        <v>0</v>
      </c>
      <c r="CN107" s="253">
        <f>IFERROR(ROUNDDOWN(Table1[[#This Row],[PellTot]]/3,0),0)</f>
        <v>0</v>
      </c>
      <c r="CO107" s="254">
        <f>IFERROR(LOOKUP(Table1[EFC],Pell_Table[#Data],Pell_Table[Pell Amt]),0)</f>
        <v>0</v>
      </c>
      <c r="CP107" s="253">
        <f>Table1[[#This Row],[AccessTot]]/3</f>
        <v>0</v>
      </c>
      <c r="CQ107" s="253">
        <f>Table1[[#This Row],[AccessTot]]/3</f>
        <v>0</v>
      </c>
      <c r="CR107" s="253">
        <f>Table1[[#This Row],[AccessTot]]/3</f>
        <v>0</v>
      </c>
      <c r="CS107" s="254">
        <f>IF(Table1[[#This Row],[PellTot]]&gt;0,1500,0)</f>
        <v>0</v>
      </c>
      <c r="CT107" s="253">
        <f>Table1[[#This Row],[AchiTot]]/3</f>
        <v>1700</v>
      </c>
      <c r="CU107" s="253">
        <f>Table1[[#This Row],[AchiTot]]/3</f>
        <v>1700</v>
      </c>
      <c r="CV107" s="253">
        <f>Table1[[#This Row],[AchiTot]]/3</f>
        <v>1700</v>
      </c>
      <c r="CW107" s="255">
        <f>IF(Table1[[#This Row],[Rank]]="","",IF(Table1[[#This Row],[Rank]]=1,5100,IF(Table1[[#This Row],[Rank]]=2,4500,IF(Table1[[#This Row],[Rank]]=3,3900,IF(Table1[[#This Row],[Rank]]=4,3750,IF(Table1[[#This Row],[Rank]]=5,3000,IF(Table1[[#This Row],[Rank]]=6,2250,0)))))))</f>
        <v>5100</v>
      </c>
      <c r="CX107" s="253">
        <f>Table1[[#This Row],[UTTot]]/3</f>
        <v>0</v>
      </c>
      <c r="CY107" s="253">
        <f>Table1[[#This Row],[UTTot]]/3</f>
        <v>0</v>
      </c>
      <c r="CZ107" s="253">
        <f>Table1[[#This Row],[UTTot]]/3</f>
        <v>0</v>
      </c>
      <c r="DA107" s="254">
        <f>IF(Table1[[#This Row],[State]]="UT",9000,0)</f>
        <v>0</v>
      </c>
      <c r="DB107" s="253">
        <f>Table1[[#This Row],[WITTot]]/3</f>
        <v>0</v>
      </c>
      <c r="DC107" s="253">
        <f>Table1[[#This Row],[WITTot]]/3</f>
        <v>0</v>
      </c>
      <c r="DD107" s="253">
        <f>Table1[[#This Row],[WITTot]]/3</f>
        <v>0</v>
      </c>
      <c r="DE107" s="254">
        <f>IF(Table1[[#This Row],[Gender]]="Female",3000,0)</f>
        <v>0</v>
      </c>
      <c r="DF107" s="253">
        <f>Table1[[#This Row],[SerTot]]/3</f>
        <v>0</v>
      </c>
      <c r="DG107" s="253">
        <f>Table1[[#This Row],[SerTot]]/3</f>
        <v>0</v>
      </c>
      <c r="DH107" s="253">
        <f>Table1[[#This Row],[SerTot]]/3</f>
        <v>0</v>
      </c>
      <c r="DI107" s="255">
        <v>0</v>
      </c>
      <c r="DJ107" s="253">
        <f>IFERROR(ROUNDUP(Table1[[#This Row],[TranTot]]/3,0),0)</f>
        <v>0</v>
      </c>
      <c r="DK107" s="253">
        <f>IFERROR(ROUND(Table1[[#This Row],[TranTot]]/3,0),0)</f>
        <v>0</v>
      </c>
      <c r="DL107" s="253">
        <f>IFERROR(ROUNDDOWN(Table1[[#This Row],[TranTot]]/3,0),0)</f>
        <v>0</v>
      </c>
      <c r="DM107" s="255">
        <v>0</v>
      </c>
      <c r="DN107" s="253">
        <f>Table1[[#This Row],[MatTot]]/3</f>
        <v>0</v>
      </c>
      <c r="DO107" s="253">
        <f>Table1[[#This Row],[MatTot]]/3</f>
        <v>0</v>
      </c>
      <c r="DP107" s="253">
        <f>Table1[[#This Row],[MatTot]]/3</f>
        <v>0</v>
      </c>
      <c r="DQ107" s="255">
        <v>0</v>
      </c>
      <c r="DR107" s="253">
        <f>Table1[[#This Row],[OutTot]]/3</f>
        <v>0</v>
      </c>
      <c r="DS107" s="253">
        <f>Table1[[#This Row],[OutTot]]/3</f>
        <v>0</v>
      </c>
      <c r="DT107" s="253">
        <f>Table1[[#This Row],[OutTot]]/3</f>
        <v>0</v>
      </c>
      <c r="DU107" s="255">
        <v>0</v>
      </c>
      <c r="DV107" s="253">
        <v>0</v>
      </c>
      <c r="DW107" s="253">
        <v>0</v>
      </c>
      <c r="DX107" s="253">
        <v>0</v>
      </c>
      <c r="DY107" s="255">
        <f>SUM(Table1[[#This Row],[VAQ1]:[VAQ3]])</f>
        <v>0</v>
      </c>
      <c r="DZ107" s="253">
        <v>0</v>
      </c>
      <c r="EA107" s="253">
        <v>0</v>
      </c>
      <c r="EB107" s="253">
        <v>0</v>
      </c>
      <c r="EC107" s="278">
        <f>SUM(Table1[[#This Row],[OthGrantQ1]:[OthGrantQ3]])</f>
        <v>0</v>
      </c>
      <c r="ED107" s="264">
        <f>Table1[[#This Row],[SEOGTot]]+Table1[[#This Row],[PellTot]]+Table1[[#This Row],[AccessTot]]+Table1[[#This Row],[AchiTot]]+Table1[[#This Row],[UTTot]]+Table1[[#This Row],[WITTot]]+Table1[[#This Row],[SerTot]]+Table1[[#This Row],[TranTot]]+Table1[[#This Row],[MatTot]]+Table1[[#This Row],[OutTot]]+Table1[[#This Row],[VATot]]+Table1[[#This Row],[OthGrantTot]]</f>
        <v>5100</v>
      </c>
      <c r="EE107" s="226">
        <v>0</v>
      </c>
      <c r="EF107" s="227">
        <v>0</v>
      </c>
      <c r="EG107" s="227">
        <v>0</v>
      </c>
      <c r="EH107" s="228">
        <f>SUM(Table1[[#This Row],[CashQ1]]:Table1[[#This Row],[CashQ3]])</f>
        <v>0</v>
      </c>
      <c r="EI107" s="229">
        <f>ROUND((Table1[[#This Row],[SubTot]]/3)/1.01059,0)</f>
        <v>1154</v>
      </c>
      <c r="EJ107" s="230">
        <f>ROUND((Table1[[#This Row],[SubTot]]/3)/1.01059,0)</f>
        <v>1154</v>
      </c>
      <c r="EK107" s="230">
        <f>ROUNDUP((Table1[[#This Row],[SubTot]]/3)/1.01059,0)</f>
        <v>1155</v>
      </c>
      <c r="EL107" s="231">
        <v>3500</v>
      </c>
      <c r="EM107" s="233">
        <f>Table1[[#This Row],[SubTot]]*0.01059</f>
        <v>37.065000000000005</v>
      </c>
      <c r="EN107" s="230">
        <f>ROUND((Table1[[#This Row],[UnsubTot]]/3)/1.01062,0)</f>
        <v>660</v>
      </c>
      <c r="EO107" s="230">
        <f>ROUND((Table1[[#This Row],[UnsubTot]]/3)/1.01062,0)</f>
        <v>660</v>
      </c>
      <c r="EP107" s="230">
        <f>ROUNDDOWN((Table1[[#This Row],[UnsubTot]]/3)/1.01062,0)</f>
        <v>659</v>
      </c>
      <c r="EQ107" s="231">
        <f>IF(Table1[D/I]="I",6000,2000)</f>
        <v>2000</v>
      </c>
      <c r="ER107" s="233">
        <f>Table1[[#This Row],[UnsubTot]]*0.01059</f>
        <v>21.18</v>
      </c>
      <c r="ES107" s="230">
        <f>ROUND((Table1[[#This Row],[PLUSTot]]/3)/1.04236,0)</f>
        <v>9675</v>
      </c>
      <c r="ET107" s="230">
        <f>ROUND((Table1[[#This Row],[PLUSTot]]/3)/1.04236,0)</f>
        <v>9675</v>
      </c>
      <c r="EU107" s="230">
        <f>ROUND((Table1[[#This Row],[PLUSTot]]/3)/1.04236,0)</f>
        <v>9675</v>
      </c>
      <c r="EV107" s="231">
        <v>30255</v>
      </c>
      <c r="EW107" s="236">
        <f>Table1[[#This Row],[PLUSTot]]*0.04236</f>
        <v>1281.6018000000001</v>
      </c>
      <c r="EX107" s="227"/>
      <c r="EY107" s="227"/>
      <c r="EZ107" s="227"/>
      <c r="FA107" s="228">
        <f>SUM(Table1[[#This Row],[PrivQ1]:[PrivQ3]])</f>
        <v>0</v>
      </c>
      <c r="FB107" s="227"/>
      <c r="FC107" s="227"/>
      <c r="FD107" s="227"/>
      <c r="FE107" s="228"/>
      <c r="FF107" s="227"/>
      <c r="FG107" s="227"/>
      <c r="FH107" s="227"/>
      <c r="FI107" s="228">
        <f>SUM(Table1[[#This Row],[OFundQ1]:[OFundQ3]])</f>
        <v>0</v>
      </c>
      <c r="FJ107" s="236">
        <f>(Table1[[#This Row],[SubTot]]-Table1[[#This Row],[SubFee]])+(Table1[[#This Row],[UnsubTot]]-Table1[[#This Row],[UnsubFee]])+(Table1[[#This Row],[PLUSTot]]-Table1[[#This Row],[PLUSFee]])+Table1[[#This Row],[PrivTot]]+Table1[[#This Row],[TOTot]]+Table1[[#This Row],[OFundTot]]</f>
        <v>34415.153200000001</v>
      </c>
      <c r="FK107" s="159">
        <f>Table1[[#This Row],[CostTot]]-Table1[[#This Row],[GiftTot]]</f>
        <v>34415</v>
      </c>
      <c r="FL107" s="174">
        <f>Table1[[#This Row],[NetNeed]]/(1-0.04236)</f>
        <v>-0.15997660916487608</v>
      </c>
      <c r="FM107" s="176">
        <f>Table1[[#This Row],[NetCost]]-Table1[[#This Row],[CashTot]]-(Table1[[#This Row],[SubTot]]-Table1[[#This Row],[SubFee]])-(Table1[[#This Row],[UnsubTot]]-Table1[[#This Row],[UnsubFee]])-(Table1[[#This Row],[PLUSTot]]-Table1[[#This Row],[PLUSFee]])-Table1[[#This Row],[PrivTot]]-Table1[[#This Row],[TOTot]]-Table1[[#This Row],[OFundTot]]</f>
        <v>-0.15320000000065193</v>
      </c>
      <c r="FN107" s="217"/>
      <c r="FO107" s="162"/>
      <c r="FP107" s="162"/>
    </row>
    <row r="108" spans="1:172" ht="15" x14ac:dyDescent="0.25">
      <c r="A108" s="267">
        <v>194179</v>
      </c>
      <c r="B108" s="160" t="str">
        <f>VLOOKUP(Table1[[#This Row],[SyStudentId]],SSR!$A$2:$CC$4982,4,FALSE)</f>
        <v>Roldan</v>
      </c>
      <c r="C108" s="160" t="str">
        <f>VLOOKUP(Table1[[#This Row],[SyStudentId]],SSR!$A$2:$CC$4982,5,FALSE)</f>
        <v>Margie</v>
      </c>
      <c r="D108" s="160" t="str">
        <f>VLOOKUP(Table1[[#This Row],[SyStudentId]],SSR!$A$2:$CC$4982,6,FALSE)</f>
        <v>Roldan, Margie</v>
      </c>
      <c r="E108" s="113" t="str">
        <f>CONCATENATE(Table1[[#This Row],[FirstName]]," ",Table1[[#This Row],[LastName]])</f>
        <v>Margie Roldan</v>
      </c>
      <c r="F108" s="158"/>
      <c r="G108" s="114"/>
      <c r="H108" s="114"/>
      <c r="I108" s="114"/>
      <c r="J108" s="163"/>
      <c r="K108" s="164"/>
      <c r="L108" s="158" t="str">
        <f>IFERROR(VLOOKUP(Table1[[#This Row],[SyStudentId]],ISIR!$A$2:$X$4999,11,FALSE),"")</f>
        <v/>
      </c>
      <c r="M108" s="160" t="str">
        <f>VLOOKUP(Table1[[#This Row],[SyStudentId]],SSR!$A$2:$CC$4982,7,FALSE)</f>
        <v>emilyroldan17@gmail.com</v>
      </c>
      <c r="N108" s="160" t="str">
        <f>VLOOKUP(Table1[[#This Row],[SyStudentId]],SSR!$A$2:$CC$4982,8,FALSE)</f>
        <v>1900 Walnut, #1310</v>
      </c>
      <c r="O108" s="160" t="str">
        <f>VLOOKUP(Table1[[#This Row],[SyStudentId]],SSR!$A$2:$CC$4982,9,FALSE)</f>
        <v>Bastrop</v>
      </c>
      <c r="P108" s="160" t="str">
        <f>VLOOKUP(Table1[[#This Row],[SyStudentId]],SSR!$A$2:$CC$4982,10,FALSE)</f>
        <v>TX</v>
      </c>
      <c r="Q108" s="165" t="str">
        <f>VLOOKUP(Table1[[#This Row],[SyStudentId]],SSR!$A$2:$CC$4982,11,FALSE)</f>
        <v xml:space="preserve">78602     </v>
      </c>
      <c r="R108" s="166">
        <f>VLOOKUP(Table1[[#This Row],[SyStudentId]],SSR!$A$2:$CC$4982,15,FALSE)</f>
        <v>3.2</v>
      </c>
      <c r="S108" s="167">
        <f>VLOOKUP(Table1[[#This Row],[SyStudentId]],SSR!$A$2:$CC$4982,22,FALSE)</f>
        <v>44109</v>
      </c>
      <c r="T108" s="160" t="str">
        <f>VLOOKUP(Table1[[#This Row],[SyStudentId]],SSR!$A$2:$CC$4982,24,FALSE)</f>
        <v>JT</v>
      </c>
      <c r="U108" s="160" t="str">
        <f>IF(VLOOKUP(Table1[[#This Row],[SyStudentId]],SSR!$A$2:$CC$4982,26,FALSE)=0,"Not Selected",VLOOKUP(Table1[[#This Row],[SyStudentId]],SSR!$A$2:$CC$4982,26,FALSE))</f>
        <v>Female</v>
      </c>
      <c r="V108" s="160" t="str">
        <f>VLOOKUP(Table1[[#This Row],[SyStudentId]],SSR!$A$2:$CC$4982,27,FALSE)</f>
        <v xml:space="preserve">HS2020  </v>
      </c>
      <c r="W108" s="160" t="str">
        <f>VLOOKUP(LEFT(Table1[[#This Row],[LastName]],1),Alpha!$A$1:$B$26,2,FALSE)</f>
        <v>Maureen Ranks</v>
      </c>
      <c r="X108" s="168" t="str">
        <f>VLOOKUP(Table1[[#This Row],[FAA]],Alpha!$B$1:$D$26,2,FALSE)</f>
        <v>mranks@neumont.edu</v>
      </c>
      <c r="Y108" s="160">
        <f>VLOOKUP(Table1[[#This Row],[FAA]],Alpha!$B$1:$D$26,3,FALSE)</f>
        <v>8883022894</v>
      </c>
      <c r="Z108" s="160" t="str">
        <f>VLOOKUP(Table1[[#This Row],[SyStudentId]],SSR!$A$2:$CC$4982,30,FALSE)</f>
        <v>16-Accepted</v>
      </c>
      <c r="AA108" s="160" t="str">
        <f>IF(VLOOKUP(Table1[[#This Row],[SyStudentId]],SSR!$A$2:$CC$4982,36,FALSE)="Bachelor of Science","BS Computer Science","Check Program")</f>
        <v>BS Computer Science</v>
      </c>
      <c r="AB108" s="160">
        <f>VLOOKUP(Table1[[#This Row],[SyStudentId]],SSR!$A$2:$CC$4982,37,FALSE)</f>
        <v>0</v>
      </c>
      <c r="AC108" s="160">
        <f>VLOOKUP(Table1[[#This Row],[SyStudentId]],SSR!$A$2:$CC$4982,42,FALSE)</f>
        <v>0</v>
      </c>
      <c r="AD108" s="160" t="str">
        <f>VLOOKUP(Table1[[#This Row],[SyStudentId]],SSR!$A$2:$CC$4982,46,FALSE)</f>
        <v>0</v>
      </c>
      <c r="AE108" s="160" t="str">
        <f>VLOOKUP(Table1[[#This Row],[SyStudentId]],SSR!$A$2:$CC$4982,65,FALSE)</f>
        <v>VIII</v>
      </c>
      <c r="AF108"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108" s="160" t="str">
        <f>VLOOKUP(Table1[[#This Row],[SyStudentId]],SSR!$A$2:$CC$4982,66,FALSE)</f>
        <v>July-October</v>
      </c>
      <c r="AH108" s="160" t="str">
        <f>IFERROR(VLOOKUP(Table1[[#This Row],[SyStudentId]],ISIR!$A$2:$X$1999,7,FALSE),"")</f>
        <v/>
      </c>
      <c r="AI108" s="170" t="str">
        <f>IF(Table1[[#This Row],[EFCRaw]]="","",IF(Table1[[#This Row],[EFCRaw]]="No EFC","No EFC",_xlfn.NUMBERVALUE(Table1[[#This Row],[EFCRaw]])))</f>
        <v/>
      </c>
      <c r="AJ108" s="167" t="str">
        <f>IFERROR(VLOOKUP(Table1[[#This Row],[SyStudentId]],ISIR!$A$2:$X$4999,19,FALSE),"")</f>
        <v/>
      </c>
      <c r="AK108" s="160" t="str">
        <f>IFERROR(VLOOKUP(Table1[[#This Row],[SyStudentId]],ISIR!$A$2:$X$4999,8,FALSE),"")</f>
        <v/>
      </c>
      <c r="AL108" s="171" t="str">
        <f>IF(Table1[[#This Row],[VerReq]]="N","n/a","")</f>
        <v/>
      </c>
      <c r="AM108" s="122"/>
      <c r="AN108" s="122"/>
      <c r="AO108" s="122"/>
      <c r="AP108" s="122"/>
      <c r="AQ108" s="122"/>
      <c r="AR108" s="122"/>
      <c r="AS108" s="122"/>
      <c r="AT108" s="122"/>
      <c r="AU108" s="122"/>
      <c r="AV108" s="122"/>
      <c r="AW108" s="122"/>
      <c r="AX108" s="122"/>
      <c r="AY108" s="122"/>
      <c r="AZ108" s="122"/>
      <c r="BA108" s="122"/>
      <c r="BB108" s="122"/>
      <c r="BC108" s="148"/>
      <c r="BD108" s="140" t="str">
        <f>IF(Table1[[#This Row],[VerReq]]="N","x","")</f>
        <v/>
      </c>
      <c r="BE108" s="140" t="str">
        <f>IF(Table1[[#This Row],[VerReq]]="N","x","")</f>
        <v/>
      </c>
      <c r="BF108" s="140" t="str">
        <f>IF(Table1[[#This Row],[VerReq]]="N","x","")</f>
        <v/>
      </c>
      <c r="BG108" s="140" t="str">
        <f>IF(Table1[[#This Row],[VerReq]]="N","x","")</f>
        <v/>
      </c>
      <c r="BH108" s="140" t="str">
        <f>IF(Table1[[#This Row],[VerReq]]="N","x","")</f>
        <v/>
      </c>
      <c r="BI108" s="140" t="str">
        <f>IF(Table1[[#This Row],[VerReq]]="N","x","")</f>
        <v/>
      </c>
      <c r="BJ108" s="181">
        <f>1-((COUNTBLANK(Table1[[#This Row],[ALESent]:[TaxTran]]))/(COUNT(Table1[[#This Row],[ALESent]:[TaxTran]])+COUNTBLANK(Table1[[#This Row],[ALESent]:[TaxTran]])))</f>
        <v>0</v>
      </c>
      <c r="BK108" s="216">
        <f>IF(VLOOKUP(Table1[[#This Row],[SyStudentId]],SSR!$A$2:$CC$4982,22,FALSE)=44109,44109,"Check Program")</f>
        <v>44109</v>
      </c>
      <c r="BL108" s="173">
        <f>IF(Table1[[#This Row],[AYStart]]=44109,44356,"Check Program")</f>
        <v>44356</v>
      </c>
      <c r="BM108" s="219">
        <v>8505</v>
      </c>
      <c r="BN108" s="219">
        <v>8505</v>
      </c>
      <c r="BO108" s="219">
        <v>8505</v>
      </c>
      <c r="BP108" s="220">
        <f t="shared" si="3"/>
        <v>25515</v>
      </c>
      <c r="BQ108" s="221">
        <v>3300</v>
      </c>
      <c r="BR108" s="219">
        <v>400</v>
      </c>
      <c r="BS108" s="219">
        <v>400</v>
      </c>
      <c r="BT108" s="222">
        <f t="shared" si="4"/>
        <v>4100</v>
      </c>
      <c r="BU108" s="219">
        <v>2100</v>
      </c>
      <c r="BV108" s="219">
        <v>2100</v>
      </c>
      <c r="BW108" s="219">
        <v>2100</v>
      </c>
      <c r="BX108" s="222">
        <f t="shared" si="5"/>
        <v>6300</v>
      </c>
      <c r="BY108" s="275">
        <v>1200</v>
      </c>
      <c r="BZ108" s="275">
        <v>1200</v>
      </c>
      <c r="CA108" s="275">
        <v>1200</v>
      </c>
      <c r="CB108" s="222">
        <f>SUM(Table1[[#This Row],[LEQ1]:[LEQ3]])</f>
        <v>3600</v>
      </c>
      <c r="CC108" s="276">
        <v>0</v>
      </c>
      <c r="CD108" s="276">
        <v>0</v>
      </c>
      <c r="CE108" s="276">
        <v>0</v>
      </c>
      <c r="CF108" s="222">
        <f>SUM(Table1[[#This Row],[OthCostQ1]:[OthCostQ3]])</f>
        <v>0</v>
      </c>
      <c r="CG108" s="222">
        <f>(Table1[[#This Row],[T&amp;FTot]]+Table1[[#This Row],[B&amp;STot]]+Table1[[#This Row],[HousTot]]+Table1[[#This Row],[LETot]]+Table1[[#This Row],[OthCostTot]])</f>
        <v>39515</v>
      </c>
      <c r="CH108" s="253">
        <v>0</v>
      </c>
      <c r="CI108" s="253">
        <v>0</v>
      </c>
      <c r="CJ108" s="253">
        <v>0</v>
      </c>
      <c r="CK108" s="254">
        <f>SUM(Table1[[#This Row],[SEOGQ1]:[SEOGQ3]])</f>
        <v>0</v>
      </c>
      <c r="CL108" s="253">
        <f>IFERROR(ROUNDUP(Table1[[#This Row],[PellTot]]/3,0),0)</f>
        <v>0</v>
      </c>
      <c r="CM108" s="253">
        <f>IFERROR(ROUND(Table1[[#This Row],[PellTot]]/3,0),0)</f>
        <v>0</v>
      </c>
      <c r="CN108" s="253">
        <f>IFERROR(ROUNDDOWN(Table1[[#This Row],[PellTot]]/3,0),0)</f>
        <v>0</v>
      </c>
      <c r="CO108" s="254">
        <f>IFERROR(LOOKUP(Table1[EFC],Pell_Table[#Data],Pell_Table[Pell Amt]),0)</f>
        <v>0</v>
      </c>
      <c r="CP108" s="253">
        <f>Table1[[#This Row],[AccessTot]]/3</f>
        <v>0</v>
      </c>
      <c r="CQ108" s="253">
        <f>Table1[[#This Row],[AccessTot]]/3</f>
        <v>0</v>
      </c>
      <c r="CR108" s="253">
        <f>Table1[[#This Row],[AccessTot]]/3</f>
        <v>0</v>
      </c>
      <c r="CS108" s="254">
        <f>IF(Table1[[#This Row],[PellTot]]&gt;0,1500,0)</f>
        <v>0</v>
      </c>
      <c r="CT108" s="253">
        <f>Table1[[#This Row],[AchiTot]]/3</f>
        <v>0</v>
      </c>
      <c r="CU108" s="253">
        <f>Table1[[#This Row],[AchiTot]]/3</f>
        <v>0</v>
      </c>
      <c r="CV108" s="253">
        <f>Table1[[#This Row],[AchiTot]]/3</f>
        <v>0</v>
      </c>
      <c r="CW108" s="255">
        <f>IF(Table1[[#This Row],[Rank]]="","",IF(Table1[[#This Row],[Rank]]=1,5100,IF(Table1[[#This Row],[Rank]]=2,4500,IF(Table1[[#This Row],[Rank]]=3,3900,IF(Table1[[#This Row],[Rank]]=4,3750,IF(Table1[[#This Row],[Rank]]=5,3000,IF(Table1[[#This Row],[Rank]]=6,2250,0)))))))</f>
        <v>0</v>
      </c>
      <c r="CX108" s="253">
        <f>Table1[[#This Row],[UTTot]]/3</f>
        <v>0</v>
      </c>
      <c r="CY108" s="253">
        <f>Table1[[#This Row],[UTTot]]/3</f>
        <v>0</v>
      </c>
      <c r="CZ108" s="253">
        <f>Table1[[#This Row],[UTTot]]/3</f>
        <v>0</v>
      </c>
      <c r="DA108" s="254">
        <f>IF(Table1[[#This Row],[State]]="UT",9000,0)</f>
        <v>0</v>
      </c>
      <c r="DB108" s="253">
        <f>Table1[[#This Row],[WITTot]]/3</f>
        <v>1000</v>
      </c>
      <c r="DC108" s="253">
        <f>Table1[[#This Row],[WITTot]]/3</f>
        <v>1000</v>
      </c>
      <c r="DD108" s="253">
        <f>Table1[[#This Row],[WITTot]]/3</f>
        <v>1000</v>
      </c>
      <c r="DE108" s="254">
        <f>IF(Table1[[#This Row],[Gender]]="Female",3000,0)</f>
        <v>3000</v>
      </c>
      <c r="DF108" s="253">
        <f>Table1[[#This Row],[SerTot]]/3</f>
        <v>0</v>
      </c>
      <c r="DG108" s="253">
        <f>Table1[[#This Row],[SerTot]]/3</f>
        <v>0</v>
      </c>
      <c r="DH108" s="253">
        <f>Table1[[#This Row],[SerTot]]/3</f>
        <v>0</v>
      </c>
      <c r="DI108" s="255">
        <v>0</v>
      </c>
      <c r="DJ108" s="253">
        <f>IFERROR(ROUNDUP(Table1[[#This Row],[TranTot]]/3,0),0)</f>
        <v>0</v>
      </c>
      <c r="DK108" s="253">
        <f>IFERROR(ROUND(Table1[[#This Row],[TranTot]]/3,0),0)</f>
        <v>0</v>
      </c>
      <c r="DL108" s="253">
        <f>IFERROR(ROUNDDOWN(Table1[[#This Row],[TranTot]]/3,0),0)</f>
        <v>0</v>
      </c>
      <c r="DM108" s="255">
        <v>0</v>
      </c>
      <c r="DN108" s="253">
        <f>Table1[[#This Row],[MatTot]]/3</f>
        <v>0</v>
      </c>
      <c r="DO108" s="253">
        <f>Table1[[#This Row],[MatTot]]/3</f>
        <v>0</v>
      </c>
      <c r="DP108" s="253">
        <f>Table1[[#This Row],[MatTot]]/3</f>
        <v>0</v>
      </c>
      <c r="DQ108" s="255">
        <v>0</v>
      </c>
      <c r="DR108" s="253">
        <f>Table1[[#This Row],[OutTot]]/3</f>
        <v>0</v>
      </c>
      <c r="DS108" s="253">
        <f>Table1[[#This Row],[OutTot]]/3</f>
        <v>0</v>
      </c>
      <c r="DT108" s="253">
        <f>Table1[[#This Row],[OutTot]]/3</f>
        <v>0</v>
      </c>
      <c r="DU108" s="255">
        <v>0</v>
      </c>
      <c r="DV108" s="253">
        <v>0</v>
      </c>
      <c r="DW108" s="253">
        <v>0</v>
      </c>
      <c r="DX108" s="253">
        <v>0</v>
      </c>
      <c r="DY108" s="255">
        <f>SUM(Table1[[#This Row],[VAQ1]:[VAQ3]])</f>
        <v>0</v>
      </c>
      <c r="DZ108" s="253">
        <v>0</v>
      </c>
      <c r="EA108" s="253">
        <v>0</v>
      </c>
      <c r="EB108" s="253">
        <v>0</v>
      </c>
      <c r="EC108" s="278">
        <f>SUM(Table1[[#This Row],[OthGrantQ1]:[OthGrantQ3]])</f>
        <v>0</v>
      </c>
      <c r="ED108" s="264">
        <f>Table1[[#This Row],[SEOGTot]]+Table1[[#This Row],[PellTot]]+Table1[[#This Row],[AccessTot]]+Table1[[#This Row],[AchiTot]]+Table1[[#This Row],[UTTot]]+Table1[[#This Row],[WITTot]]+Table1[[#This Row],[SerTot]]+Table1[[#This Row],[TranTot]]+Table1[[#This Row],[MatTot]]+Table1[[#This Row],[OutTot]]+Table1[[#This Row],[VATot]]+Table1[[#This Row],[OthGrantTot]]</f>
        <v>3000</v>
      </c>
      <c r="EE108" s="226">
        <v>0</v>
      </c>
      <c r="EF108" s="227">
        <v>0</v>
      </c>
      <c r="EG108" s="227">
        <v>0</v>
      </c>
      <c r="EH108" s="228">
        <f>SUM(Table1[[#This Row],[CashQ1]]:Table1[[#This Row],[CashQ3]])</f>
        <v>0</v>
      </c>
      <c r="EI108" s="229">
        <f>ROUND((Table1[[#This Row],[SubTot]]/3)/1.01059,0)</f>
        <v>1154</v>
      </c>
      <c r="EJ108" s="230">
        <f>ROUND((Table1[[#This Row],[SubTot]]/3)/1.01059,0)</f>
        <v>1154</v>
      </c>
      <c r="EK108" s="230">
        <f>ROUNDUP((Table1[[#This Row],[SubTot]]/3)/1.01059,0)</f>
        <v>1155</v>
      </c>
      <c r="EL108" s="231">
        <v>3500</v>
      </c>
      <c r="EM108" s="233">
        <f>Table1[[#This Row],[SubTot]]*0.01059</f>
        <v>37.065000000000005</v>
      </c>
      <c r="EN108" s="230">
        <f>ROUND((Table1[[#This Row],[UnsubTot]]/3)/1.01062,0)</f>
        <v>660</v>
      </c>
      <c r="EO108" s="230">
        <f>ROUND((Table1[[#This Row],[UnsubTot]]/3)/1.01062,0)</f>
        <v>660</v>
      </c>
      <c r="EP108" s="230">
        <f>ROUNDDOWN((Table1[[#This Row],[UnsubTot]]/3)/1.01062,0)</f>
        <v>659</v>
      </c>
      <c r="EQ108" s="231">
        <f>IF(Table1[D/I]="I",6000,2000)</f>
        <v>2000</v>
      </c>
      <c r="ER108" s="233">
        <f>Table1[[#This Row],[UnsubTot]]*0.01059</f>
        <v>21.18</v>
      </c>
      <c r="ES108" s="230">
        <f>ROUND((Table1[[#This Row],[PLUSTot]]/3)/1.04236,0)</f>
        <v>0</v>
      </c>
      <c r="ET108" s="230">
        <f>ROUND((Table1[[#This Row],[PLUSTot]]/3)/1.04236,0)</f>
        <v>0</v>
      </c>
      <c r="EU108" s="230">
        <f>ROUND((Table1[[#This Row],[PLUSTot]]/3)/1.04236,0)</f>
        <v>0</v>
      </c>
      <c r="EV108" s="231">
        <v>0</v>
      </c>
      <c r="EW108" s="236">
        <f>Table1[[#This Row],[PLUSTot]]*0.04236</f>
        <v>0</v>
      </c>
      <c r="EX108" s="227"/>
      <c r="EY108" s="227"/>
      <c r="EZ108" s="227"/>
      <c r="FA108" s="228">
        <f>SUM(Table1[[#This Row],[PrivQ1]:[PrivQ3]])</f>
        <v>0</v>
      </c>
      <c r="FB108" s="227"/>
      <c r="FC108" s="227"/>
      <c r="FD108" s="227"/>
      <c r="FE108" s="228">
        <f>SUM(Table1[[#This Row],[TOQ1]:[TOQ3]])</f>
        <v>0</v>
      </c>
      <c r="FF108" s="227"/>
      <c r="FG108" s="227"/>
      <c r="FH108" s="227"/>
      <c r="FI108" s="228">
        <f>SUM(Table1[[#This Row],[OFundQ1]:[OFundQ3]])</f>
        <v>0</v>
      </c>
      <c r="FJ108" s="236">
        <f>(Table1[[#This Row],[SubTot]]-Table1[[#This Row],[SubFee]])+(Table1[[#This Row],[UnsubTot]]-Table1[[#This Row],[UnsubFee]])+(Table1[[#This Row],[PLUSTot]]-Table1[[#This Row],[PLUSFee]])+Table1[[#This Row],[PrivTot]]+Table1[[#This Row],[TOTot]]+Table1[[#This Row],[OFundTot]]</f>
        <v>5441.7550000000001</v>
      </c>
      <c r="FK108" s="159">
        <f>Table1[[#This Row],[CostTot]]-Table1[[#This Row],[GiftTot]]</f>
        <v>36515</v>
      </c>
      <c r="FL108" s="174">
        <f>Table1[[#This Row],[NetNeed]]/(1-0.04236)</f>
        <v>32447.730880080198</v>
      </c>
      <c r="FM108" s="176">
        <f>Table1[[#This Row],[NetCost]]-Table1[[#This Row],[CashTot]]-(Table1[[#This Row],[SubTot]]-Table1[[#This Row],[SubFee]])-(Table1[[#This Row],[UnsubTot]]-Table1[[#This Row],[UnsubFee]])-(Table1[[#This Row],[PLUSTot]]-Table1[[#This Row],[PLUSFee]])-Table1[[#This Row],[PrivTot]]-Table1[[#This Row],[TOTot]]-Table1[[#This Row],[OFundTot]]</f>
        <v>31073.245000000003</v>
      </c>
      <c r="FN108" s="217"/>
      <c r="FO108" s="162"/>
      <c r="FP108" s="162"/>
    </row>
    <row r="109" spans="1:172" ht="15" x14ac:dyDescent="0.25">
      <c r="A109" s="267">
        <v>198197</v>
      </c>
      <c r="B109" s="160" t="str">
        <f>VLOOKUP(Table1[[#This Row],[SyStudentId]],SSR!$A$2:$CC$4982,4,FALSE)</f>
        <v>Romero</v>
      </c>
      <c r="C109" s="160" t="str">
        <f>VLOOKUP(Table1[[#This Row],[SyStudentId]],SSR!$A$2:$CC$4982,5,FALSE)</f>
        <v>Bryan</v>
      </c>
      <c r="D109" s="160" t="str">
        <f>VLOOKUP(Table1[[#This Row],[SyStudentId]],SSR!$A$2:$CC$4982,6,FALSE)</f>
        <v>Romero, Bryan</v>
      </c>
      <c r="E109" s="113" t="str">
        <f>CONCATENATE(Table1[[#This Row],[FirstName]]," ",Table1[[#This Row],[LastName]])</f>
        <v>Bryan Romero</v>
      </c>
      <c r="F109" s="158">
        <v>1</v>
      </c>
      <c r="G109" s="114"/>
      <c r="H109" s="114"/>
      <c r="I109" s="114">
        <v>43803</v>
      </c>
      <c r="J109" s="163"/>
      <c r="K109" s="164"/>
      <c r="L109" s="158" t="str">
        <f>IFERROR(VLOOKUP(Table1[[#This Row],[SyStudentId]],ISIR!$A$2:$X$4999,11,FALSE),"")</f>
        <v>D</v>
      </c>
      <c r="M109" s="160" t="str">
        <f>VLOOKUP(Table1[[#This Row],[SyStudentId]],SSR!$A$2:$CC$4982,7,FALSE)</f>
        <v>bryan.romerox187@gmail.com</v>
      </c>
      <c r="N109" s="160" t="str">
        <f>VLOOKUP(Table1[[#This Row],[SyStudentId]],SSR!$A$2:$CC$4982,8,FALSE)</f>
        <v>1808 W 48th st</v>
      </c>
      <c r="O109" s="160" t="str">
        <f>VLOOKUP(Table1[[#This Row],[SyStudentId]],SSR!$A$2:$CC$4982,9,FALSE)</f>
        <v>Los Angeles</v>
      </c>
      <c r="P109" s="300" t="str">
        <f>VLOOKUP(Table1[[#This Row],[SyStudentId]],SSR!$A$2:$CC$4982,10,FALSE)</f>
        <v>CA</v>
      </c>
      <c r="Q109" s="165" t="str">
        <f>VLOOKUP(Table1[[#This Row],[SyStudentId]],SSR!$A$2:$CC$4982,11,FALSE)</f>
        <v xml:space="preserve">90062     </v>
      </c>
      <c r="R109" s="166">
        <f>VLOOKUP(Table1[[#This Row],[SyStudentId]],SSR!$A$2:$CC$4982,15,FALSE)</f>
        <v>3.85</v>
      </c>
      <c r="S109" s="167">
        <f>VLOOKUP(Table1[[#This Row],[SyStudentId]],SSR!$A$2:$CC$4982,22,FALSE)</f>
        <v>44109</v>
      </c>
      <c r="T109" s="160" t="str">
        <f>VLOOKUP(Table1[[#This Row],[SyStudentId]],SSR!$A$2:$CC$4982,24,FALSE)</f>
        <v>JT</v>
      </c>
      <c r="U109" s="160" t="str">
        <f>IF(VLOOKUP(Table1[[#This Row],[SyStudentId]],SSR!$A$2:$CC$4982,26,FALSE)=0,"Not Selected",VLOOKUP(Table1[[#This Row],[SyStudentId]],SSR!$A$2:$CC$4982,26,FALSE))</f>
        <v>Male</v>
      </c>
      <c r="V109" s="160" t="str">
        <f>VLOOKUP(Table1[[#This Row],[SyStudentId]],SSR!$A$2:$CC$4982,27,FALSE)</f>
        <v xml:space="preserve">HS2020  </v>
      </c>
      <c r="W109" s="160" t="str">
        <f>VLOOKUP(LEFT(Table1[[#This Row],[LastName]],1),Alpha!$A$1:$B$26,2,FALSE)</f>
        <v>Maureen Ranks</v>
      </c>
      <c r="X109" s="179" t="str">
        <f>VLOOKUP(Table1[[#This Row],[FAA]],Alpha!$B$1:$D$26,2,FALSE)</f>
        <v>mranks@neumont.edu</v>
      </c>
      <c r="Y109" s="160">
        <f>VLOOKUP(Table1[[#This Row],[FAA]],Alpha!$B$1:$D$26,3,FALSE)</f>
        <v>8883022894</v>
      </c>
      <c r="Z109" s="160" t="str">
        <f>VLOOKUP(Table1[[#This Row],[SyStudentId]],SSR!$A$2:$CC$4982,30,FALSE)</f>
        <v>16-Accepted</v>
      </c>
      <c r="AA109" s="160" t="str">
        <f>IF(VLOOKUP(Table1[[#This Row],[SyStudentId]],SSR!$A$2:$CC$4982,36,FALSE)="Bachelor of Science","BS Computer Science","Check Program")</f>
        <v>BS Computer Science</v>
      </c>
      <c r="AB109" s="160">
        <f>VLOOKUP(Table1[[#This Row],[SyStudentId]],SSR!$A$2:$CC$4982,37,FALSE)</f>
        <v>0</v>
      </c>
      <c r="AC109" s="160" t="str">
        <f>VLOOKUP(Table1[[#This Row],[SyStudentId]],SSR!$A$2:$CC$4982,42,FALSE)</f>
        <v xml:space="preserve">1120    </v>
      </c>
      <c r="AD109" s="160" t="str">
        <f>VLOOKUP(Table1[[#This Row],[SyStudentId]],SSR!$A$2:$CC$4982,46,FALSE)</f>
        <v>118</v>
      </c>
      <c r="AE109" s="160" t="str">
        <f>VLOOKUP(Table1[[#This Row],[SyStudentId]],SSR!$A$2:$CC$4982,65,FALSE)</f>
        <v>I</v>
      </c>
      <c r="AF109"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09" s="160" t="str">
        <f>VLOOKUP(Table1[[#This Row],[SyStudentId]],SSR!$A$2:$CC$4982,66,FALSE)</f>
        <v>July-October</v>
      </c>
      <c r="AH109" s="160" t="str">
        <f>IFERROR(VLOOKUP(Table1[[#This Row],[SyStudentId]],ISIR!$A$2:$X$1999,7,FALSE),"")</f>
        <v>000364</v>
      </c>
      <c r="AI109" s="170">
        <f>IF(Table1[[#This Row],[EFCRaw]]="","",IF(Table1[[#This Row],[EFCRaw]]="No EFC","No EFC",_xlfn.NUMBERVALUE(Table1[[#This Row],[EFCRaw]])))</f>
        <v>364</v>
      </c>
      <c r="AJ109" s="167">
        <f>IFERROR(VLOOKUP(Table1[[#This Row],[SyStudentId]],ISIR!$A$2:$X$4999,19,FALSE),"")</f>
        <v>43783</v>
      </c>
      <c r="AK109" s="160" t="str">
        <f>IFERROR(VLOOKUP(Table1[[#This Row],[SyStudentId]],ISIR!$A$2:$X$4999,8,FALSE),"")</f>
        <v>Y</v>
      </c>
      <c r="AL109" s="171" t="str">
        <f>IF(Table1[[#This Row],[VerReq]]="N","n/a","")</f>
        <v/>
      </c>
      <c r="AM109" s="122"/>
      <c r="AN109" s="122"/>
      <c r="AO109" s="122"/>
      <c r="AP109" s="122"/>
      <c r="AQ109" s="122"/>
      <c r="AR109" s="122"/>
      <c r="AS109" s="122"/>
      <c r="AT109" s="122"/>
      <c r="AU109" s="122"/>
      <c r="AV109" s="122"/>
      <c r="AW109" s="122"/>
      <c r="AX109" s="122"/>
      <c r="AY109" s="122"/>
      <c r="AZ109" s="122"/>
      <c r="BA109" s="122"/>
      <c r="BB109" s="122"/>
      <c r="BC109" s="148"/>
      <c r="BD109" s="140" t="str">
        <f>IF(Table1[[#This Row],[VerReq]]="N","x","")</f>
        <v/>
      </c>
      <c r="BE109" s="140" t="str">
        <f>IF(Table1[[#This Row],[VerReq]]="N","x","")</f>
        <v/>
      </c>
      <c r="BF109" s="140" t="str">
        <f>IF(Table1[[#This Row],[VerReq]]="N","x","")</f>
        <v/>
      </c>
      <c r="BG109" s="140" t="str">
        <f>IF(Table1[[#This Row],[VerReq]]="N","x","")</f>
        <v/>
      </c>
      <c r="BH109" s="140" t="str">
        <f>IF(Table1[[#This Row],[VerReq]]="N","x","")</f>
        <v/>
      </c>
      <c r="BI109" s="140" t="str">
        <f>IF(Table1[[#This Row],[VerReq]]="N","x","")</f>
        <v/>
      </c>
      <c r="BJ109" s="181">
        <f>1-((COUNTBLANK(Table1[[#This Row],[ALESent]:[TaxTran]]))/(COUNT(Table1[[#This Row],[ALESent]:[TaxTran]])+COUNTBLANK(Table1[[#This Row],[ALESent]:[TaxTran]])))</f>
        <v>0</v>
      </c>
      <c r="BK109" s="216">
        <f>IF(VLOOKUP(Table1[[#This Row],[SyStudentId]],SSR!$A$2:$CC$4982,22,FALSE)=44109,44109,"Check Program")</f>
        <v>44109</v>
      </c>
      <c r="BL109" s="173">
        <f>IF(Table1[[#This Row],[AYStart]]=44109,44356,"Check Program")</f>
        <v>44356</v>
      </c>
      <c r="BM109" s="219">
        <v>8505</v>
      </c>
      <c r="BN109" s="219">
        <v>8505</v>
      </c>
      <c r="BO109" s="219">
        <v>8505</v>
      </c>
      <c r="BP109" s="220">
        <f t="shared" si="3"/>
        <v>25515</v>
      </c>
      <c r="BQ109" s="221">
        <v>3300</v>
      </c>
      <c r="BR109" s="219">
        <v>400</v>
      </c>
      <c r="BS109" s="219">
        <v>400</v>
      </c>
      <c r="BT109" s="222">
        <f t="shared" si="4"/>
        <v>4100</v>
      </c>
      <c r="BU109" s="219">
        <v>2100</v>
      </c>
      <c r="BV109" s="219">
        <v>2100</v>
      </c>
      <c r="BW109" s="219">
        <v>2100</v>
      </c>
      <c r="BX109" s="222">
        <f t="shared" si="5"/>
        <v>6300</v>
      </c>
      <c r="BY109" s="275">
        <v>1200</v>
      </c>
      <c r="BZ109" s="275">
        <v>1200</v>
      </c>
      <c r="CA109" s="275">
        <v>1200</v>
      </c>
      <c r="CB109" s="222">
        <f>SUM(Table1[[#This Row],[LEQ1]:[LEQ3]])</f>
        <v>3600</v>
      </c>
      <c r="CC109" s="276">
        <v>0</v>
      </c>
      <c r="CD109" s="276">
        <v>0</v>
      </c>
      <c r="CE109" s="276">
        <v>0</v>
      </c>
      <c r="CF109" s="222">
        <f>SUM(Table1[[#This Row],[OthCostQ1]:[OthCostQ3]])</f>
        <v>0</v>
      </c>
      <c r="CG109" s="222">
        <f>(Table1[[#This Row],[T&amp;FTot]]+Table1[[#This Row],[B&amp;STot]]+Table1[[#This Row],[HousTot]]+Table1[[#This Row],[LETot]]+Table1[[#This Row],[OthCostTot]])</f>
        <v>39515</v>
      </c>
      <c r="CH109" s="253">
        <v>0</v>
      </c>
      <c r="CI109" s="253">
        <v>0</v>
      </c>
      <c r="CJ109" s="253">
        <v>0</v>
      </c>
      <c r="CK109" s="254">
        <f>SUM(Table1[[#This Row],[SEOGQ1]:[SEOGQ3]])</f>
        <v>0</v>
      </c>
      <c r="CL109" s="253">
        <f>IFERROR(ROUNDUP(Table1[[#This Row],[PellTot]]/3,0),0)</f>
        <v>1949</v>
      </c>
      <c r="CM109" s="253">
        <f>IFERROR(ROUND(Table1[[#This Row],[PellTot]]/3,0),0)</f>
        <v>1948</v>
      </c>
      <c r="CN109" s="253">
        <f>IFERROR(ROUNDDOWN(Table1[[#This Row],[PellTot]]/3,0),0)</f>
        <v>1948</v>
      </c>
      <c r="CO109" s="254">
        <f>IFERROR(LOOKUP(Table1[EFC],Pell_Table[#Data],Pell_Table[Pell Amt]),0)</f>
        <v>5845</v>
      </c>
      <c r="CP109" s="253">
        <f>Table1[[#This Row],[AccessTot]]/3</f>
        <v>500</v>
      </c>
      <c r="CQ109" s="253">
        <f>Table1[[#This Row],[AccessTot]]/3</f>
        <v>500</v>
      </c>
      <c r="CR109" s="253">
        <f>Table1[[#This Row],[AccessTot]]/3</f>
        <v>500</v>
      </c>
      <c r="CS109" s="254">
        <f>IF(Table1[[#This Row],[PellTot]]&gt;0,1500,0)</f>
        <v>1500</v>
      </c>
      <c r="CT109" s="253">
        <f>Table1[[#This Row],[AchiTot]]/3</f>
        <v>1700</v>
      </c>
      <c r="CU109" s="253">
        <f>Table1[[#This Row],[AchiTot]]/3</f>
        <v>1700</v>
      </c>
      <c r="CV109" s="253">
        <f>Table1[[#This Row],[AchiTot]]/3</f>
        <v>1700</v>
      </c>
      <c r="CW109" s="255">
        <f>IF(Table1[[#This Row],[Rank]]="","",IF(Table1[[#This Row],[Rank]]=1,5100,IF(Table1[[#This Row],[Rank]]=2,4500,IF(Table1[[#This Row],[Rank]]=3,3900,IF(Table1[[#This Row],[Rank]]=4,3750,IF(Table1[[#This Row],[Rank]]=5,3000,IF(Table1[[#This Row],[Rank]]=6,2250,0)))))))</f>
        <v>5100</v>
      </c>
      <c r="CX109" s="253">
        <f>Table1[[#This Row],[UTTot]]/3</f>
        <v>0</v>
      </c>
      <c r="CY109" s="253">
        <f>Table1[[#This Row],[UTTot]]/3</f>
        <v>0</v>
      </c>
      <c r="CZ109" s="253">
        <f>Table1[[#This Row],[UTTot]]/3</f>
        <v>0</v>
      </c>
      <c r="DA109" s="254">
        <f>IF(Table1[[#This Row],[State]]="UT",9000,0)</f>
        <v>0</v>
      </c>
      <c r="DB109" s="253">
        <f>Table1[[#This Row],[WITTot]]/3</f>
        <v>0</v>
      </c>
      <c r="DC109" s="253">
        <f>Table1[[#This Row],[WITTot]]/3</f>
        <v>0</v>
      </c>
      <c r="DD109" s="253">
        <f>Table1[[#This Row],[WITTot]]/3</f>
        <v>0</v>
      </c>
      <c r="DE109" s="254">
        <f>IF(Table1[[#This Row],[Gender]]="Female",3000,0)</f>
        <v>0</v>
      </c>
      <c r="DF109" s="253">
        <f>Table1[[#This Row],[SerTot]]/3</f>
        <v>0</v>
      </c>
      <c r="DG109" s="253">
        <f>Table1[[#This Row],[SerTot]]/3</f>
        <v>0</v>
      </c>
      <c r="DH109" s="253">
        <f>Table1[[#This Row],[SerTot]]/3</f>
        <v>0</v>
      </c>
      <c r="DI109" s="255">
        <v>0</v>
      </c>
      <c r="DJ109" s="253">
        <f>IFERROR(ROUNDUP(Table1[[#This Row],[TranTot]]/3,0),0)</f>
        <v>0</v>
      </c>
      <c r="DK109" s="253">
        <f>IFERROR(ROUND(Table1[[#This Row],[TranTot]]/3,0),0)</f>
        <v>0</v>
      </c>
      <c r="DL109" s="253">
        <f>IFERROR(ROUNDDOWN(Table1[[#This Row],[TranTot]]/3,0),0)</f>
        <v>0</v>
      </c>
      <c r="DM109" s="255">
        <v>0</v>
      </c>
      <c r="DN109" s="253">
        <f>Table1[[#This Row],[MatTot]]/3</f>
        <v>0</v>
      </c>
      <c r="DO109" s="253">
        <f>Table1[[#This Row],[MatTot]]/3</f>
        <v>0</v>
      </c>
      <c r="DP109" s="253">
        <f>Table1[[#This Row],[MatTot]]/3</f>
        <v>0</v>
      </c>
      <c r="DQ109" s="255">
        <v>0</v>
      </c>
      <c r="DR109" s="253">
        <f>Table1[[#This Row],[OutTot]]/3</f>
        <v>0</v>
      </c>
      <c r="DS109" s="253">
        <f>Table1[[#This Row],[OutTot]]/3</f>
        <v>0</v>
      </c>
      <c r="DT109" s="253">
        <f>Table1[[#This Row],[OutTot]]/3</f>
        <v>0</v>
      </c>
      <c r="DU109" s="255">
        <v>0</v>
      </c>
      <c r="DV109" s="253">
        <v>0</v>
      </c>
      <c r="DW109" s="253">
        <v>0</v>
      </c>
      <c r="DX109" s="253">
        <v>0</v>
      </c>
      <c r="DY109" s="255">
        <f>SUM(Table1[[#This Row],[VAQ1]:[VAQ3]])</f>
        <v>0</v>
      </c>
      <c r="DZ109" s="253">
        <v>0</v>
      </c>
      <c r="EA109" s="253">
        <v>0</v>
      </c>
      <c r="EB109" s="253">
        <v>0</v>
      </c>
      <c r="EC109" s="278">
        <f>SUM(Table1[[#This Row],[OthGrantQ1]:[OthGrantQ3]])</f>
        <v>0</v>
      </c>
      <c r="ED109" s="264">
        <f>Table1[[#This Row],[SEOGTot]]+Table1[[#This Row],[PellTot]]+Table1[[#This Row],[AccessTot]]+Table1[[#This Row],[AchiTot]]+Table1[[#This Row],[UTTot]]+Table1[[#This Row],[WITTot]]+Table1[[#This Row],[SerTot]]+Table1[[#This Row],[TranTot]]+Table1[[#This Row],[MatTot]]+Table1[[#This Row],[OutTot]]+Table1[[#This Row],[VATot]]+Table1[[#This Row],[OthGrantTot]]</f>
        <v>12445</v>
      </c>
      <c r="EE109" s="226">
        <v>0</v>
      </c>
      <c r="EF109" s="227">
        <v>0</v>
      </c>
      <c r="EG109" s="227">
        <v>0</v>
      </c>
      <c r="EH109" s="228">
        <f>SUM(Table1[[#This Row],[CashQ1]]:Table1[[#This Row],[CashQ3]])</f>
        <v>0</v>
      </c>
      <c r="EI109" s="229">
        <f>ROUND((Table1[[#This Row],[SubTot]]/3)/1.01059,0)</f>
        <v>1154</v>
      </c>
      <c r="EJ109" s="230">
        <f>ROUND((Table1[[#This Row],[SubTot]]/3)/1.01059,0)</f>
        <v>1154</v>
      </c>
      <c r="EK109" s="230">
        <f>ROUNDUP((Table1[[#This Row],[SubTot]]/3)/1.01059,0)</f>
        <v>1155</v>
      </c>
      <c r="EL109" s="231">
        <v>3500</v>
      </c>
      <c r="EM109" s="233">
        <f>Table1[[#This Row],[SubTot]]*0.01059</f>
        <v>37.065000000000005</v>
      </c>
      <c r="EN109" s="230">
        <f>ROUND((Table1[[#This Row],[UnsubTot]]/3)/1.01062,0)</f>
        <v>660</v>
      </c>
      <c r="EO109" s="230">
        <f>ROUND((Table1[[#This Row],[UnsubTot]]/3)/1.01062,0)</f>
        <v>660</v>
      </c>
      <c r="EP109" s="230">
        <f>ROUNDDOWN((Table1[[#This Row],[UnsubTot]]/3)/1.01062,0)</f>
        <v>659</v>
      </c>
      <c r="EQ109" s="231">
        <f>IF(Table1[D/I]="I",6000,2000)</f>
        <v>2000</v>
      </c>
      <c r="ER109" s="233">
        <f>Table1[[#This Row],[UnsubTot]]*0.01059</f>
        <v>21.18</v>
      </c>
      <c r="ES109" s="230">
        <f>ROUND((Table1[[#This Row],[PLUSTot]]/3)/1.04236,0)</f>
        <v>0</v>
      </c>
      <c r="ET109" s="230">
        <f>ROUND((Table1[[#This Row],[PLUSTot]]/3)/1.04236,0)</f>
        <v>0</v>
      </c>
      <c r="EU109" s="230">
        <f>ROUND((Table1[[#This Row],[PLUSTot]]/3)/1.04236,0)</f>
        <v>0</v>
      </c>
      <c r="EV109" s="231">
        <v>0</v>
      </c>
      <c r="EW109" s="236">
        <f>Table1[[#This Row],[PLUSTot]]*0.04236</f>
        <v>0</v>
      </c>
      <c r="EX109" s="227"/>
      <c r="EY109" s="227"/>
      <c r="EZ109" s="227"/>
      <c r="FA109" s="228">
        <f>SUM(Table1[[#This Row],[PrivQ1]:[PrivQ3]])</f>
        <v>0</v>
      </c>
      <c r="FB109" s="227"/>
      <c r="FC109" s="227"/>
      <c r="FD109" s="227"/>
      <c r="FE109" s="228">
        <f>SUM(Table1[[#This Row],[TOQ1]:[TOQ3]])</f>
        <v>0</v>
      </c>
      <c r="FF109" s="227"/>
      <c r="FG109" s="227"/>
      <c r="FH109" s="227"/>
      <c r="FI109" s="228">
        <f>SUM(Table1[[#This Row],[OFundQ1]:[OFundQ3]])</f>
        <v>0</v>
      </c>
      <c r="FJ109" s="236">
        <f>(Table1[[#This Row],[SubTot]]-Table1[[#This Row],[SubFee]])+(Table1[[#This Row],[UnsubTot]]-Table1[[#This Row],[UnsubFee]])+(Table1[[#This Row],[PLUSTot]]-Table1[[#This Row],[PLUSFee]])+Table1[[#This Row],[PrivTot]]+Table1[[#This Row],[TOTot]]+Table1[[#This Row],[OFundTot]]</f>
        <v>5441.7550000000001</v>
      </c>
      <c r="FK109" s="159">
        <f>Table1[[#This Row],[CostTot]]-Table1[[#This Row],[GiftTot]]</f>
        <v>27070</v>
      </c>
      <c r="FL109" s="174">
        <f>Table1[[#This Row],[NetNeed]]/(1-0.04236)</f>
        <v>22584.943193684474</v>
      </c>
      <c r="FM109" s="176">
        <f>Table1[[#This Row],[NetCost]]-Table1[[#This Row],[CashTot]]-(Table1[[#This Row],[SubTot]]-Table1[[#This Row],[SubFee]])-(Table1[[#This Row],[UnsubTot]]-Table1[[#This Row],[UnsubFee]])-(Table1[[#This Row],[PLUSTot]]-Table1[[#This Row],[PLUSFee]])-Table1[[#This Row],[PrivTot]]-Table1[[#This Row],[TOTot]]-Table1[[#This Row],[OFundTot]]</f>
        <v>21628.244999999999</v>
      </c>
      <c r="FN109" s="217"/>
      <c r="FO109" s="162"/>
      <c r="FP109" s="162"/>
    </row>
    <row r="110" spans="1:172" ht="15" x14ac:dyDescent="0.25">
      <c r="A110" s="267">
        <v>196812</v>
      </c>
      <c r="B110" s="160" t="str">
        <f>VLOOKUP(Table1[[#This Row],[SyStudentId]],SSR!$A$2:$CC$4982,4,FALSE)</f>
        <v>Ross Jr</v>
      </c>
      <c r="C110" s="160" t="str">
        <f>VLOOKUP(Table1[[#This Row],[SyStudentId]],SSR!$A$2:$CC$4982,5,FALSE)</f>
        <v>Micheal</v>
      </c>
      <c r="D110" s="160" t="str">
        <f>VLOOKUP(Table1[[#This Row],[SyStudentId]],SSR!$A$2:$CC$4982,6,FALSE)</f>
        <v>Ross Jr, Micheal</v>
      </c>
      <c r="E110" s="113" t="str">
        <f>CONCATENATE(Table1[[#This Row],[FirstName]]," ",Table1[[#This Row],[LastName]])</f>
        <v>Micheal Ross Jr</v>
      </c>
      <c r="F110" s="158"/>
      <c r="G110" s="114"/>
      <c r="H110" s="114"/>
      <c r="I110" s="114"/>
      <c r="J110" s="163"/>
      <c r="K110" s="164"/>
      <c r="L110" s="158" t="str">
        <f>IFERROR(VLOOKUP(Table1[[#This Row],[SyStudentId]],ISIR!$A$2:$X$4999,11,FALSE),"")</f>
        <v/>
      </c>
      <c r="M110" s="160" t="str">
        <f>VLOOKUP(Table1[[#This Row],[SyStudentId]],SSR!$A$2:$CC$4982,7,FALSE)</f>
        <v>ross.family44@yahoo.com</v>
      </c>
      <c r="N110" s="160" t="str">
        <f>VLOOKUP(Table1[[#This Row],[SyStudentId]],SSR!$A$2:$CC$4982,8,FALSE)</f>
        <v>107 Catalba Ct</v>
      </c>
      <c r="O110" s="160" t="str">
        <f>VLOOKUP(Table1[[#This Row],[SyStudentId]],SSR!$A$2:$CC$4982,9,FALSE)</f>
        <v>Peachtree City</v>
      </c>
      <c r="P110" s="304" t="str">
        <f>VLOOKUP(Table1[[#This Row],[SyStudentId]],SSR!$A$2:$CC$4982,10,FALSE)</f>
        <v>GA</v>
      </c>
      <c r="Q110" s="165" t="str">
        <f>VLOOKUP(Table1[[#This Row],[SyStudentId]],SSR!$A$2:$CC$4982,11,FALSE)</f>
        <v>30269-2008</v>
      </c>
      <c r="R110" s="166">
        <f>VLOOKUP(Table1[[#This Row],[SyStudentId]],SSR!$A$2:$CC$4982,15,FALSE)</f>
        <v>3.3</v>
      </c>
      <c r="S110" s="167">
        <f>VLOOKUP(Table1[[#This Row],[SyStudentId]],SSR!$A$2:$CC$4982,22,FALSE)</f>
        <v>44109</v>
      </c>
      <c r="T110" s="160" t="str">
        <f>VLOOKUP(Table1[[#This Row],[SyStudentId]],SSR!$A$2:$CC$4982,24,FALSE)</f>
        <v>GM</v>
      </c>
      <c r="U110" s="160" t="str">
        <f>IF(VLOOKUP(Table1[[#This Row],[SyStudentId]],SSR!$A$2:$CC$4982,26,FALSE)=0,"Not Selected",VLOOKUP(Table1[[#This Row],[SyStudentId]],SSR!$A$2:$CC$4982,26,FALSE))</f>
        <v>Male</v>
      </c>
      <c r="V110" s="160" t="str">
        <f>VLOOKUP(Table1[[#This Row],[SyStudentId]],SSR!$A$2:$CC$4982,27,FALSE)</f>
        <v xml:space="preserve">HS2020  </v>
      </c>
      <c r="W110" s="160" t="str">
        <f>VLOOKUP(LEFT(Table1[[#This Row],[LastName]],1),Alpha!$A$1:$B$26,2,FALSE)</f>
        <v>Maureen Ranks</v>
      </c>
      <c r="X110" s="179" t="str">
        <f>VLOOKUP(Table1[[#This Row],[FAA]],Alpha!$B$1:$D$26,2,FALSE)</f>
        <v>mranks@neumont.edu</v>
      </c>
      <c r="Y110" s="160">
        <f>VLOOKUP(Table1[[#This Row],[FAA]],Alpha!$B$1:$D$26,3,FALSE)</f>
        <v>8883022894</v>
      </c>
      <c r="Z110" s="160" t="str">
        <f>VLOOKUP(Table1[[#This Row],[SyStudentId]],SSR!$A$2:$CC$4982,30,FALSE)</f>
        <v>16-Accepted</v>
      </c>
      <c r="AA110" s="160" t="str">
        <f>IF(VLOOKUP(Table1[[#This Row],[SyStudentId]],SSR!$A$2:$CC$4982,36,FALSE)="Bachelor of Science","BS Computer Science","Check Program")</f>
        <v>BS Computer Science</v>
      </c>
      <c r="AB110" s="160">
        <f>VLOOKUP(Table1[[#This Row],[SyStudentId]],SSR!$A$2:$CC$4982,37,FALSE)</f>
        <v>0</v>
      </c>
      <c r="AC110" s="160">
        <f>VLOOKUP(Table1[[#This Row],[SyStudentId]],SSR!$A$2:$CC$4982,42,FALSE)</f>
        <v>0</v>
      </c>
      <c r="AD110" s="160" t="str">
        <f>VLOOKUP(Table1[[#This Row],[SyStudentId]],SSR!$A$2:$CC$4982,46,FALSE)</f>
        <v>0</v>
      </c>
      <c r="AE110" s="160" t="str">
        <f>VLOOKUP(Table1[[#This Row],[SyStudentId]],SSR!$A$2:$CC$4982,65,FALSE)</f>
        <v>IX</v>
      </c>
      <c r="AF110"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110" s="160" t="str">
        <f>VLOOKUP(Table1[[#This Row],[SyStudentId]],SSR!$A$2:$CC$4982,66,FALSE)</f>
        <v>July-October</v>
      </c>
      <c r="AH110" s="160" t="str">
        <f>IFERROR(VLOOKUP(Table1[[#This Row],[SyStudentId]],ISIR!$A$2:$X$1999,7,FALSE),"")</f>
        <v/>
      </c>
      <c r="AI110" s="170" t="str">
        <f>IF(Table1[[#This Row],[EFCRaw]]="","",IF(Table1[[#This Row],[EFCRaw]]="No EFC","No EFC",_xlfn.NUMBERVALUE(Table1[[#This Row],[EFCRaw]])))</f>
        <v/>
      </c>
      <c r="AJ110" s="167" t="str">
        <f>IFERROR(VLOOKUP(Table1[[#This Row],[SyStudentId]],ISIR!$A$2:$X$4999,19,FALSE),"")</f>
        <v/>
      </c>
      <c r="AK110" s="160" t="str">
        <f>IFERROR(VLOOKUP(Table1[[#This Row],[SyStudentId]],ISIR!$A$2:$X$4999,8,FALSE),"")</f>
        <v/>
      </c>
      <c r="AL110" s="171" t="str">
        <f>IF(Table1[[#This Row],[VerReq]]="N","n/a","")</f>
        <v/>
      </c>
      <c r="AM110" s="122"/>
      <c r="AN110" s="122"/>
      <c r="AO110" s="122"/>
      <c r="AP110" s="122"/>
      <c r="AQ110" s="122"/>
      <c r="AR110" s="122"/>
      <c r="AS110" s="122"/>
      <c r="AT110" s="122"/>
      <c r="AU110" s="122"/>
      <c r="AV110" s="122"/>
      <c r="AW110" s="122"/>
      <c r="AX110" s="122"/>
      <c r="AY110" s="122"/>
      <c r="AZ110" s="122"/>
      <c r="BA110" s="122"/>
      <c r="BB110" s="122"/>
      <c r="BC110" s="148"/>
      <c r="BD110" s="140" t="str">
        <f>IF(Table1[[#This Row],[VerReq]]="N","x","")</f>
        <v/>
      </c>
      <c r="BE110" s="140" t="str">
        <f>IF(Table1[[#This Row],[VerReq]]="N","x","")</f>
        <v/>
      </c>
      <c r="BF110" s="140" t="str">
        <f>IF(Table1[[#This Row],[VerReq]]="N","x","")</f>
        <v/>
      </c>
      <c r="BG110" s="140" t="str">
        <f>IF(Table1[[#This Row],[VerReq]]="N","x","")</f>
        <v/>
      </c>
      <c r="BH110" s="140" t="str">
        <f>IF(Table1[[#This Row],[VerReq]]="N","x","")</f>
        <v/>
      </c>
      <c r="BI110" s="140" t="str">
        <f>IF(Table1[[#This Row],[VerReq]]="N","x","")</f>
        <v/>
      </c>
      <c r="BJ110" s="181">
        <f>1-((COUNTBLANK(Table1[[#This Row],[ALESent]:[TaxTran]]))/(COUNT(Table1[[#This Row],[ALESent]:[TaxTran]])+COUNTBLANK(Table1[[#This Row],[ALESent]:[TaxTran]])))</f>
        <v>0</v>
      </c>
      <c r="BK110" s="216">
        <f>IF(VLOOKUP(Table1[[#This Row],[SyStudentId]],SSR!$A$2:$CC$4982,22,FALSE)=44109,44109,"Check Program")</f>
        <v>44109</v>
      </c>
      <c r="BL110" s="173">
        <f>IF(Table1[[#This Row],[AYStart]]=44109,44356,"Check Program")</f>
        <v>44356</v>
      </c>
      <c r="BM110" s="219">
        <v>8505</v>
      </c>
      <c r="BN110" s="219">
        <v>8505</v>
      </c>
      <c r="BO110" s="219">
        <v>8505</v>
      </c>
      <c r="BP110" s="220">
        <f t="shared" si="3"/>
        <v>25515</v>
      </c>
      <c r="BQ110" s="221">
        <v>3300</v>
      </c>
      <c r="BR110" s="219">
        <v>400</v>
      </c>
      <c r="BS110" s="219">
        <v>400</v>
      </c>
      <c r="BT110" s="222">
        <f t="shared" si="4"/>
        <v>4100</v>
      </c>
      <c r="BU110" s="219">
        <v>2100</v>
      </c>
      <c r="BV110" s="219">
        <v>2100</v>
      </c>
      <c r="BW110" s="219">
        <v>2100</v>
      </c>
      <c r="BX110" s="222">
        <f t="shared" si="5"/>
        <v>6300</v>
      </c>
      <c r="BY110" s="275">
        <v>1200</v>
      </c>
      <c r="BZ110" s="275">
        <v>1200</v>
      </c>
      <c r="CA110" s="275">
        <v>1200</v>
      </c>
      <c r="CB110" s="222">
        <f>SUM(Table1[[#This Row],[LEQ1]:[LEQ3]])</f>
        <v>3600</v>
      </c>
      <c r="CC110" s="276">
        <v>0</v>
      </c>
      <c r="CD110" s="276">
        <v>0</v>
      </c>
      <c r="CE110" s="276">
        <v>0</v>
      </c>
      <c r="CF110" s="222">
        <f>SUM(Table1[[#This Row],[OthCostQ1]:[OthCostQ3]])</f>
        <v>0</v>
      </c>
      <c r="CG110" s="222">
        <f>(Table1[[#This Row],[T&amp;FTot]]+Table1[[#This Row],[B&amp;STot]]+Table1[[#This Row],[HousTot]]+Table1[[#This Row],[LETot]]+Table1[[#This Row],[OthCostTot]])</f>
        <v>39515</v>
      </c>
      <c r="CH110" s="253">
        <v>0</v>
      </c>
      <c r="CI110" s="253">
        <v>0</v>
      </c>
      <c r="CJ110" s="253">
        <v>0</v>
      </c>
      <c r="CK110" s="254">
        <f>SUM(Table1[[#This Row],[SEOGQ1]:[SEOGQ3]])</f>
        <v>0</v>
      </c>
      <c r="CL110" s="253">
        <f>IFERROR(ROUNDUP(Table1[[#This Row],[PellTot]]/3,0),0)</f>
        <v>0</v>
      </c>
      <c r="CM110" s="253">
        <f>IFERROR(ROUND(Table1[[#This Row],[PellTot]]/3,0),0)</f>
        <v>0</v>
      </c>
      <c r="CN110" s="253">
        <f>IFERROR(ROUNDDOWN(Table1[[#This Row],[PellTot]]/3,0),0)</f>
        <v>0</v>
      </c>
      <c r="CO110" s="254">
        <f>IFERROR(LOOKUP(Table1[EFC],Pell_Table[#Data],Pell_Table[Pell Amt]),0)</f>
        <v>0</v>
      </c>
      <c r="CP110" s="253">
        <f>Table1[[#This Row],[AccessTot]]/3</f>
        <v>0</v>
      </c>
      <c r="CQ110" s="253">
        <f>Table1[[#This Row],[AccessTot]]/3</f>
        <v>0</v>
      </c>
      <c r="CR110" s="253">
        <f>Table1[[#This Row],[AccessTot]]/3</f>
        <v>0</v>
      </c>
      <c r="CS110" s="254">
        <f>IF(Table1[[#This Row],[PellTot]]&gt;0,1500,0)</f>
        <v>0</v>
      </c>
      <c r="CT110" s="253">
        <f>Table1[[#This Row],[AchiTot]]/3</f>
        <v>0</v>
      </c>
      <c r="CU110" s="253">
        <f>Table1[[#This Row],[AchiTot]]/3</f>
        <v>0</v>
      </c>
      <c r="CV110" s="253">
        <f>Table1[[#This Row],[AchiTot]]/3</f>
        <v>0</v>
      </c>
      <c r="CW110" s="255">
        <f>IF(Table1[[#This Row],[Rank]]="","",IF(Table1[[#This Row],[Rank]]=1,5100,IF(Table1[[#This Row],[Rank]]=2,4500,IF(Table1[[#This Row],[Rank]]=3,3900,IF(Table1[[#This Row],[Rank]]=4,3750,IF(Table1[[#This Row],[Rank]]=5,3000,IF(Table1[[#This Row],[Rank]]=6,2250,0)))))))</f>
        <v>0</v>
      </c>
      <c r="CX110" s="253">
        <f>Table1[[#This Row],[UTTot]]/3</f>
        <v>0</v>
      </c>
      <c r="CY110" s="253">
        <f>Table1[[#This Row],[UTTot]]/3</f>
        <v>0</v>
      </c>
      <c r="CZ110" s="253">
        <f>Table1[[#This Row],[UTTot]]/3</f>
        <v>0</v>
      </c>
      <c r="DA110" s="254">
        <f>IF(Table1[[#This Row],[State]]="UT",9000,0)</f>
        <v>0</v>
      </c>
      <c r="DB110" s="253">
        <f>Table1[[#This Row],[WITTot]]/3</f>
        <v>0</v>
      </c>
      <c r="DC110" s="253">
        <f>Table1[[#This Row],[WITTot]]/3</f>
        <v>0</v>
      </c>
      <c r="DD110" s="253">
        <f>Table1[[#This Row],[WITTot]]/3</f>
        <v>0</v>
      </c>
      <c r="DE110" s="254">
        <f>IF(Table1[[#This Row],[Gender]]="Female",3000,0)</f>
        <v>0</v>
      </c>
      <c r="DF110" s="253">
        <f>Table1[[#This Row],[SerTot]]/3</f>
        <v>0</v>
      </c>
      <c r="DG110" s="253">
        <f>Table1[[#This Row],[SerTot]]/3</f>
        <v>0</v>
      </c>
      <c r="DH110" s="253">
        <f>Table1[[#This Row],[SerTot]]/3</f>
        <v>0</v>
      </c>
      <c r="DI110" s="255">
        <v>0</v>
      </c>
      <c r="DJ110" s="253">
        <f>IFERROR(ROUNDUP(Table1[[#This Row],[TranTot]]/3,0),0)</f>
        <v>0</v>
      </c>
      <c r="DK110" s="253">
        <f>IFERROR(ROUND(Table1[[#This Row],[TranTot]]/3,0),0)</f>
        <v>0</v>
      </c>
      <c r="DL110" s="253">
        <f>IFERROR(ROUNDDOWN(Table1[[#This Row],[TranTot]]/3,0),0)</f>
        <v>0</v>
      </c>
      <c r="DM110" s="255">
        <v>0</v>
      </c>
      <c r="DN110" s="253">
        <f>Table1[[#This Row],[MatTot]]/3</f>
        <v>0</v>
      </c>
      <c r="DO110" s="253">
        <f>Table1[[#This Row],[MatTot]]/3</f>
        <v>0</v>
      </c>
      <c r="DP110" s="253">
        <f>Table1[[#This Row],[MatTot]]/3</f>
        <v>0</v>
      </c>
      <c r="DQ110" s="255">
        <v>0</v>
      </c>
      <c r="DR110" s="253">
        <f>Table1[[#This Row],[OutTot]]/3</f>
        <v>0</v>
      </c>
      <c r="DS110" s="253">
        <f>Table1[[#This Row],[OutTot]]/3</f>
        <v>0</v>
      </c>
      <c r="DT110" s="253">
        <f>Table1[[#This Row],[OutTot]]/3</f>
        <v>0</v>
      </c>
      <c r="DU110" s="255">
        <v>0</v>
      </c>
      <c r="DV110" s="253">
        <v>0</v>
      </c>
      <c r="DW110" s="253">
        <v>0</v>
      </c>
      <c r="DX110" s="253">
        <v>0</v>
      </c>
      <c r="DY110" s="255">
        <f>SUM(Table1[[#This Row],[VAQ1]:[VAQ3]])</f>
        <v>0</v>
      </c>
      <c r="DZ110" s="253">
        <v>0</v>
      </c>
      <c r="EA110" s="253">
        <v>0</v>
      </c>
      <c r="EB110" s="253">
        <v>0</v>
      </c>
      <c r="EC110" s="278">
        <f>SUM(Table1[[#This Row],[OthGrantQ1]:[OthGrantQ3]])</f>
        <v>0</v>
      </c>
      <c r="ED110" s="264">
        <f>Table1[[#This Row],[SEOGTot]]+Table1[[#This Row],[PellTot]]+Table1[[#This Row],[AccessTot]]+Table1[[#This Row],[AchiTot]]+Table1[[#This Row],[UTTot]]+Table1[[#This Row],[WITTot]]+Table1[[#This Row],[SerTot]]+Table1[[#This Row],[TranTot]]+Table1[[#This Row],[MatTot]]+Table1[[#This Row],[OutTot]]+Table1[[#This Row],[VATot]]+Table1[[#This Row],[OthGrantTot]]</f>
        <v>0</v>
      </c>
      <c r="EE110" s="226">
        <v>0</v>
      </c>
      <c r="EF110" s="227">
        <v>0</v>
      </c>
      <c r="EG110" s="227">
        <v>0</v>
      </c>
      <c r="EH110" s="228">
        <f>SUM(Table1[[#This Row],[CashQ1]]:Table1[[#This Row],[CashQ3]])</f>
        <v>0</v>
      </c>
      <c r="EI110" s="229">
        <f>ROUND((Table1[[#This Row],[SubTot]]/3)/1.01059,0)</f>
        <v>1154</v>
      </c>
      <c r="EJ110" s="230">
        <f>ROUND((Table1[[#This Row],[SubTot]]/3)/1.01059,0)</f>
        <v>1154</v>
      </c>
      <c r="EK110" s="230">
        <f>ROUNDUP((Table1[[#This Row],[SubTot]]/3)/1.01059,0)</f>
        <v>1155</v>
      </c>
      <c r="EL110" s="231">
        <v>3500</v>
      </c>
      <c r="EM110" s="233">
        <f>Table1[[#This Row],[SubTot]]*0.01059</f>
        <v>37.065000000000005</v>
      </c>
      <c r="EN110" s="230">
        <f>ROUND((Table1[[#This Row],[UnsubTot]]/3)/1.01062,0)</f>
        <v>660</v>
      </c>
      <c r="EO110" s="230">
        <f>ROUND((Table1[[#This Row],[UnsubTot]]/3)/1.01062,0)</f>
        <v>660</v>
      </c>
      <c r="EP110" s="230">
        <f>ROUNDDOWN((Table1[[#This Row],[UnsubTot]]/3)/1.01062,0)</f>
        <v>659</v>
      </c>
      <c r="EQ110" s="231">
        <f>IF(Table1[D/I]="I",6000,2000)</f>
        <v>2000</v>
      </c>
      <c r="ER110" s="233">
        <f>Table1[[#This Row],[UnsubTot]]*0.01059</f>
        <v>21.18</v>
      </c>
      <c r="ES110" s="230">
        <f>ROUND((Table1[[#This Row],[PLUSTot]]/3)/1.04236,0)</f>
        <v>0</v>
      </c>
      <c r="ET110" s="230">
        <f>ROUND((Table1[[#This Row],[PLUSTot]]/3)/1.04236,0)</f>
        <v>0</v>
      </c>
      <c r="EU110" s="230">
        <f>ROUND((Table1[[#This Row],[PLUSTot]]/3)/1.04236,0)</f>
        <v>0</v>
      </c>
      <c r="EV110" s="231">
        <v>0</v>
      </c>
      <c r="EW110" s="236">
        <f>Table1[[#This Row],[PLUSTot]]*0.04236</f>
        <v>0</v>
      </c>
      <c r="EX110" s="227"/>
      <c r="EY110" s="227"/>
      <c r="EZ110" s="227"/>
      <c r="FA110" s="228">
        <f>SUM(Table1[[#This Row],[PrivQ1]:[PrivQ3]])</f>
        <v>0</v>
      </c>
      <c r="FB110" s="227"/>
      <c r="FC110" s="227"/>
      <c r="FD110" s="227"/>
      <c r="FE110" s="228">
        <f>SUM(Table1[[#This Row],[TOQ1]:[TOQ3]])</f>
        <v>0</v>
      </c>
      <c r="FF110" s="227"/>
      <c r="FG110" s="227"/>
      <c r="FH110" s="227"/>
      <c r="FI110" s="228">
        <f>SUM(Table1[[#This Row],[OFundQ1]:[OFundQ3]])</f>
        <v>0</v>
      </c>
      <c r="FJ110" s="236">
        <f>(Table1[[#This Row],[SubTot]]-Table1[[#This Row],[SubFee]])+(Table1[[#This Row],[UnsubTot]]-Table1[[#This Row],[UnsubFee]])+(Table1[[#This Row],[PLUSTot]]-Table1[[#This Row],[PLUSFee]])+Table1[[#This Row],[PrivTot]]+Table1[[#This Row],[TOTot]]+Table1[[#This Row],[OFundTot]]</f>
        <v>5441.7550000000001</v>
      </c>
      <c r="FK110" s="159">
        <f>Table1[[#This Row],[CostTot]]-Table1[[#This Row],[GiftTot]]</f>
        <v>39515</v>
      </c>
      <c r="FL110" s="174">
        <f>Table1[[#This Row],[NetNeed]]/(1-0.04236)</f>
        <v>35580.43210392214</v>
      </c>
      <c r="FM110" s="176">
        <f>Table1[[#This Row],[NetCost]]-Table1[[#This Row],[CashTot]]-(Table1[[#This Row],[SubTot]]-Table1[[#This Row],[SubFee]])-(Table1[[#This Row],[UnsubTot]]-Table1[[#This Row],[UnsubFee]])-(Table1[[#This Row],[PLUSTot]]-Table1[[#This Row],[PLUSFee]])-Table1[[#This Row],[PrivTot]]-Table1[[#This Row],[TOTot]]-Table1[[#This Row],[OFundTot]]</f>
        <v>34073.245000000003</v>
      </c>
      <c r="FN110" s="217"/>
      <c r="FO110" s="162"/>
      <c r="FP110" s="162"/>
    </row>
    <row r="111" spans="1:172" ht="15" x14ac:dyDescent="0.25">
      <c r="A111" s="267">
        <v>197704</v>
      </c>
      <c r="B111" s="160" t="str">
        <f>VLOOKUP(Table1[[#This Row],[SyStudentId]],SSR!$A$2:$CC$4982,4,FALSE)</f>
        <v>Rouse</v>
      </c>
      <c r="C111" s="160" t="str">
        <f>VLOOKUP(Table1[[#This Row],[SyStudentId]],SSR!$A$2:$CC$4982,5,FALSE)</f>
        <v>Johnathan</v>
      </c>
      <c r="D111" s="160" t="str">
        <f>VLOOKUP(Table1[[#This Row],[SyStudentId]],SSR!$A$2:$CC$4982,6,FALSE)</f>
        <v>Rouse, Johnathan</v>
      </c>
      <c r="E111" s="113" t="str">
        <f>CONCATENATE(Table1[[#This Row],[FirstName]]," ",Table1[[#This Row],[LastName]])</f>
        <v>Johnathan Rouse</v>
      </c>
      <c r="F111" s="158">
        <v>1</v>
      </c>
      <c r="G111" s="114">
        <v>43767</v>
      </c>
      <c r="H111" s="114">
        <v>43776</v>
      </c>
      <c r="I111" s="114">
        <v>43776</v>
      </c>
      <c r="J111" s="163"/>
      <c r="K111" s="164" t="s">
        <v>605</v>
      </c>
      <c r="L111" s="158" t="str">
        <f>IFERROR(VLOOKUP(Table1[[#This Row],[SyStudentId]],ISIR!$A$2:$X$4999,11,FALSE),"")</f>
        <v>D</v>
      </c>
      <c r="M111" s="160" t="str">
        <f>VLOOKUP(Table1[[#This Row],[SyStudentId]],SSR!$A$2:$CC$4982,7,FALSE)</f>
        <v>johnathanlrouse@gmail.com</v>
      </c>
      <c r="N111" s="160" t="str">
        <f>VLOOKUP(Table1[[#This Row],[SyStudentId]],SSR!$A$2:$CC$4982,8,FALSE)</f>
        <v>10810 Estelle Circle</v>
      </c>
      <c r="O111" s="160" t="str">
        <f>VLOOKUP(Table1[[#This Row],[SyStudentId]],SSR!$A$2:$CC$4982,9,FALSE)</f>
        <v>Montgomery</v>
      </c>
      <c r="P111" s="294" t="str">
        <f>VLOOKUP(Table1[[#This Row],[SyStudentId]],SSR!$A$2:$CC$4982,10,FALSE)</f>
        <v>TX</v>
      </c>
      <c r="Q111" s="165" t="str">
        <f>VLOOKUP(Table1[[#This Row],[SyStudentId]],SSR!$A$2:$CC$4982,11,FALSE)</f>
        <v xml:space="preserve">77356     </v>
      </c>
      <c r="R111" s="166">
        <f>VLOOKUP(Table1[[#This Row],[SyStudentId]],SSR!$A$2:$CC$4982,15,FALSE)</f>
        <v>2.89</v>
      </c>
      <c r="S111" s="167">
        <f>VLOOKUP(Table1[[#This Row],[SyStudentId]],SSR!$A$2:$CC$4982,22,FALSE)</f>
        <v>44109</v>
      </c>
      <c r="T111" s="160" t="str">
        <f>VLOOKUP(Table1[[#This Row],[SyStudentId]],SSR!$A$2:$CC$4982,24,FALSE)</f>
        <v>JT</v>
      </c>
      <c r="U111" s="160" t="str">
        <f>IF(VLOOKUP(Table1[[#This Row],[SyStudentId]],SSR!$A$2:$CC$4982,26,FALSE)=0,"Not Selected",VLOOKUP(Table1[[#This Row],[SyStudentId]],SSR!$A$2:$CC$4982,26,FALSE))</f>
        <v>Male</v>
      </c>
      <c r="V111" s="160" t="str">
        <f>VLOOKUP(Table1[[#This Row],[SyStudentId]],SSR!$A$2:$CC$4982,27,FALSE)</f>
        <v xml:space="preserve">HS2020  </v>
      </c>
      <c r="W111" s="160" t="str">
        <f>VLOOKUP(LEFT(Table1[[#This Row],[LastName]],1),Alpha!$A$1:$B$26,2,FALSE)</f>
        <v>Maureen Ranks</v>
      </c>
      <c r="X111" s="168" t="str">
        <f>VLOOKUP(Table1[[#This Row],[FAA]],Alpha!$B$1:$D$26,2,FALSE)</f>
        <v>mranks@neumont.edu</v>
      </c>
      <c r="Y111" s="160">
        <f>VLOOKUP(Table1[[#This Row],[FAA]],Alpha!$B$1:$D$26,3,FALSE)</f>
        <v>8883022894</v>
      </c>
      <c r="Z111" s="160" t="str">
        <f>VLOOKUP(Table1[[#This Row],[SyStudentId]],SSR!$A$2:$CC$4982,30,FALSE)</f>
        <v>18-Pending Enrollment</v>
      </c>
      <c r="AA111" s="160" t="str">
        <f>IF(VLOOKUP(Table1[[#This Row],[SyStudentId]],SSR!$A$2:$CC$4982,36,FALSE)="Bachelor of Science","BS Computer Science","Check Program")</f>
        <v>BS Computer Science</v>
      </c>
      <c r="AB111" s="160">
        <f>VLOOKUP(Table1[[#This Row],[SyStudentId]],SSR!$A$2:$CC$4982,37,FALSE)</f>
        <v>0</v>
      </c>
      <c r="AC111" s="160" t="str">
        <f>VLOOKUP(Table1[[#This Row],[SyStudentId]],SSR!$A$2:$CC$4982,42,FALSE)</f>
        <v xml:space="preserve">1160    </v>
      </c>
      <c r="AD111" s="160" t="str">
        <f>VLOOKUP(Table1[[#This Row],[SyStudentId]],SSR!$A$2:$CC$4982,46,FALSE)</f>
        <v>103</v>
      </c>
      <c r="AE111" s="160" t="str">
        <f>VLOOKUP(Table1[[#This Row],[SyStudentId]],SSR!$A$2:$CC$4982,65,FALSE)</f>
        <v>II</v>
      </c>
      <c r="AF111"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2</v>
      </c>
      <c r="AG111" s="160" t="str">
        <f>VLOOKUP(Table1[[#This Row],[SyStudentId]],SSR!$A$2:$CC$4982,66,FALSE)</f>
        <v>July-October</v>
      </c>
      <c r="AH111" s="160" t="str">
        <f>IFERROR(VLOOKUP(Table1[[#This Row],[SyStudentId]],ISIR!$A$2:$X$1999,7,FALSE),"")</f>
        <v>000000</v>
      </c>
      <c r="AI111" s="170">
        <f>IF(Table1[[#This Row],[EFCRaw]]="","",IF(Table1[[#This Row],[EFCRaw]]="No EFC","No EFC",_xlfn.NUMBERVALUE(Table1[[#This Row],[EFCRaw]])))</f>
        <v>0</v>
      </c>
      <c r="AJ111" s="167">
        <f>IFERROR(VLOOKUP(Table1[[#This Row],[SyStudentId]],ISIR!$A$2:$X$4999,19,FALSE),"")</f>
        <v>43774</v>
      </c>
      <c r="AK111" s="160" t="str">
        <f>IFERROR(VLOOKUP(Table1[[#This Row],[SyStudentId]],ISIR!$A$2:$X$4999,8,FALSE),"")</f>
        <v>N</v>
      </c>
      <c r="AL111" s="171" t="str">
        <f>IF(Table1[[#This Row],[VerReq]]="N","n/a","")</f>
        <v>n/a</v>
      </c>
      <c r="AM111" s="122"/>
      <c r="AN111" s="122"/>
      <c r="AO111" s="122">
        <v>43760</v>
      </c>
      <c r="AP111" s="122">
        <v>43767</v>
      </c>
      <c r="AQ111" s="122">
        <v>43767</v>
      </c>
      <c r="AR111" s="122"/>
      <c r="AS111" s="122"/>
      <c r="AT111" s="122"/>
      <c r="AU111" s="122"/>
      <c r="AV111" s="122"/>
      <c r="AW111" s="122"/>
      <c r="AX111" s="122"/>
      <c r="AY111" s="122"/>
      <c r="AZ111" s="122"/>
      <c r="BA111" s="122"/>
      <c r="BB111" s="122"/>
      <c r="BC111" s="148"/>
      <c r="BD111" s="140" t="str">
        <f>IF(Table1[[#This Row],[VerReq]]="N","x","")</f>
        <v>x</v>
      </c>
      <c r="BE111" s="140" t="str">
        <f>IF(Table1[[#This Row],[VerReq]]="N","x","")</f>
        <v>x</v>
      </c>
      <c r="BF111" s="140" t="str">
        <f>IF(Table1[[#This Row],[VerReq]]="N","x","")</f>
        <v>x</v>
      </c>
      <c r="BG111" s="140" t="str">
        <f>IF(Table1[[#This Row],[VerReq]]="N","x","")</f>
        <v>x</v>
      </c>
      <c r="BH111" s="140" t="str">
        <f>IF(Table1[[#This Row],[VerReq]]="N","x","")</f>
        <v>x</v>
      </c>
      <c r="BI111" s="140" t="str">
        <f>IF(Table1[[#This Row],[VerReq]]="N","x","")</f>
        <v>x</v>
      </c>
      <c r="BJ111" s="181">
        <f>1-((COUNTBLANK(Table1[[#This Row],[ALESent]:[TaxTran]]))/(COUNT(Table1[[#This Row],[ALESent]:[TaxTran]])+COUNTBLANK(Table1[[#This Row],[ALESent]:[TaxTran]])))</f>
        <v>0.17647058823529416</v>
      </c>
      <c r="BK111" s="216">
        <f>IF(VLOOKUP(Table1[[#This Row],[SyStudentId]],SSR!$A$2:$CC$4982,22,FALSE)=44109,44109,"Check Program")</f>
        <v>44109</v>
      </c>
      <c r="BL111" s="173">
        <f>IF(Table1[[#This Row],[AYStart]]=44109,44356,"Check Program")</f>
        <v>44356</v>
      </c>
      <c r="BM111" s="219">
        <v>8505</v>
      </c>
      <c r="BN111" s="219">
        <v>8505</v>
      </c>
      <c r="BO111" s="219">
        <v>8505</v>
      </c>
      <c r="BP111" s="220">
        <f t="shared" si="3"/>
        <v>25515</v>
      </c>
      <c r="BQ111" s="221">
        <v>3300</v>
      </c>
      <c r="BR111" s="219">
        <v>400</v>
      </c>
      <c r="BS111" s="219">
        <v>400</v>
      </c>
      <c r="BT111" s="222">
        <f t="shared" si="4"/>
        <v>4100</v>
      </c>
      <c r="BU111" s="219">
        <v>2100</v>
      </c>
      <c r="BV111" s="219">
        <v>2100</v>
      </c>
      <c r="BW111" s="219">
        <v>2100</v>
      </c>
      <c r="BX111" s="222">
        <f t="shared" si="5"/>
        <v>6300</v>
      </c>
      <c r="BY111" s="275">
        <v>1200</v>
      </c>
      <c r="BZ111" s="275">
        <v>1200</v>
      </c>
      <c r="CA111" s="275">
        <v>1200</v>
      </c>
      <c r="CB111" s="222">
        <f>SUM(Table1[[#This Row],[LEQ1]:[LEQ3]])</f>
        <v>3600</v>
      </c>
      <c r="CC111" s="276">
        <v>0</v>
      </c>
      <c r="CD111" s="276">
        <v>0</v>
      </c>
      <c r="CE111" s="276">
        <v>0</v>
      </c>
      <c r="CF111" s="222">
        <f>SUM(Table1[[#This Row],[OthCostQ1]:[OthCostQ3]])</f>
        <v>0</v>
      </c>
      <c r="CG111" s="222">
        <f>(Table1[[#This Row],[T&amp;FTot]]+Table1[[#This Row],[B&amp;STot]]+Table1[[#This Row],[HousTot]]+Table1[[#This Row],[LETot]]+Table1[[#This Row],[OthCostTot]])</f>
        <v>39515</v>
      </c>
      <c r="CH111" s="253">
        <v>0</v>
      </c>
      <c r="CI111" s="253">
        <v>0</v>
      </c>
      <c r="CJ111" s="253">
        <v>0</v>
      </c>
      <c r="CK111" s="254">
        <f>SUM(Table1[[#This Row],[SEOGQ1]:[SEOGQ3]])</f>
        <v>0</v>
      </c>
      <c r="CL111" s="253">
        <f>IFERROR(ROUNDUP(Table1[[#This Row],[PellTot]]/3,0),0)</f>
        <v>2065</v>
      </c>
      <c r="CM111" s="253">
        <f>IFERROR(ROUND(Table1[[#This Row],[PellTot]]/3,0),0)</f>
        <v>2065</v>
      </c>
      <c r="CN111" s="253">
        <f>IFERROR(ROUNDDOWN(Table1[[#This Row],[PellTot]]/3,0),0)</f>
        <v>2065</v>
      </c>
      <c r="CO111" s="254">
        <f>IFERROR(LOOKUP(Table1[EFC],Pell_Table[#Data],Pell_Table[Pell Amt]),0)</f>
        <v>6195</v>
      </c>
      <c r="CP111" s="253">
        <f>Table1[[#This Row],[AccessTot]]/3</f>
        <v>500</v>
      </c>
      <c r="CQ111" s="253">
        <f>Table1[[#This Row],[AccessTot]]/3</f>
        <v>500</v>
      </c>
      <c r="CR111" s="253">
        <f>Table1[[#This Row],[AccessTot]]/3</f>
        <v>500</v>
      </c>
      <c r="CS111" s="254">
        <f>IF(Table1[[#This Row],[PellTot]]&gt;0,1500,0)</f>
        <v>1500</v>
      </c>
      <c r="CT111" s="253">
        <f>Table1[[#This Row],[AchiTot]]/3</f>
        <v>1500</v>
      </c>
      <c r="CU111" s="253">
        <f>Table1[[#This Row],[AchiTot]]/3</f>
        <v>1500</v>
      </c>
      <c r="CV111" s="253">
        <f>Table1[[#This Row],[AchiTot]]/3</f>
        <v>1500</v>
      </c>
      <c r="CW111" s="252">
        <f>IF(Table1[[#This Row],[Rank]]="","",IF(Table1[[#This Row],[Rank]]=1,5100,IF(Table1[[#This Row],[Rank]]=2,4500,IF(Table1[[#This Row],[Rank]]=3,3900,IF(Table1[[#This Row],[Rank]]=4,3750,IF(Table1[[#This Row],[Rank]]=5,3000,IF(Table1[[#This Row],[Rank]]=6,2250,0)))))))</f>
        <v>4500</v>
      </c>
      <c r="CX111" s="253">
        <f>Table1[[#This Row],[UTTot]]/3</f>
        <v>0</v>
      </c>
      <c r="CY111" s="253">
        <f>Table1[[#This Row],[UTTot]]/3</f>
        <v>0</v>
      </c>
      <c r="CZ111" s="253">
        <f>Table1[[#This Row],[UTTot]]/3</f>
        <v>0</v>
      </c>
      <c r="DA111" s="254">
        <f>IF(Table1[[#This Row],[State]]="UT",9000,0)</f>
        <v>0</v>
      </c>
      <c r="DB111" s="253">
        <f>Table1[[#This Row],[WITTot]]/3</f>
        <v>0</v>
      </c>
      <c r="DC111" s="253">
        <f>Table1[[#This Row],[WITTot]]/3</f>
        <v>0</v>
      </c>
      <c r="DD111" s="253">
        <f>Table1[[#This Row],[WITTot]]/3</f>
        <v>0</v>
      </c>
      <c r="DE111" s="254">
        <f>IF(Table1[[#This Row],[Gender]]="Female",3000,0)</f>
        <v>0</v>
      </c>
      <c r="DF111" s="253">
        <f>Table1[[#This Row],[SerTot]]/3</f>
        <v>0</v>
      </c>
      <c r="DG111" s="253">
        <f>Table1[[#This Row],[SerTot]]/3</f>
        <v>0</v>
      </c>
      <c r="DH111" s="253">
        <f>Table1[[#This Row],[SerTot]]/3</f>
        <v>0</v>
      </c>
      <c r="DI111" s="255">
        <v>0</v>
      </c>
      <c r="DJ111" s="253">
        <f>IFERROR(ROUNDUP(Table1[[#This Row],[TranTot]]/3,0),0)</f>
        <v>0</v>
      </c>
      <c r="DK111" s="253">
        <f>IFERROR(ROUND(Table1[[#This Row],[TranTot]]/3,0),0)</f>
        <v>0</v>
      </c>
      <c r="DL111" s="253">
        <f>IFERROR(ROUNDDOWN(Table1[[#This Row],[TranTot]]/3,0),0)</f>
        <v>0</v>
      </c>
      <c r="DM111" s="255">
        <v>0</v>
      </c>
      <c r="DN111" s="253">
        <f>Table1[[#This Row],[MatTot]]/3</f>
        <v>0</v>
      </c>
      <c r="DO111" s="253">
        <f>Table1[[#This Row],[MatTot]]/3</f>
        <v>0</v>
      </c>
      <c r="DP111" s="253">
        <f>Table1[[#This Row],[MatTot]]/3</f>
        <v>0</v>
      </c>
      <c r="DQ111" s="255">
        <v>0</v>
      </c>
      <c r="DR111" s="253">
        <f>Table1[[#This Row],[OutTot]]/3</f>
        <v>0</v>
      </c>
      <c r="DS111" s="253">
        <f>Table1[[#This Row],[OutTot]]/3</f>
        <v>0</v>
      </c>
      <c r="DT111" s="253">
        <f>Table1[[#This Row],[OutTot]]/3</f>
        <v>0</v>
      </c>
      <c r="DU111" s="255">
        <v>0</v>
      </c>
      <c r="DV111" s="253">
        <v>0</v>
      </c>
      <c r="DW111" s="253">
        <v>0</v>
      </c>
      <c r="DX111" s="253">
        <v>0</v>
      </c>
      <c r="DY111" s="255">
        <f>SUM(Table1[[#This Row],[VAQ1]:[VAQ3]])</f>
        <v>0</v>
      </c>
      <c r="DZ111" s="253">
        <v>0</v>
      </c>
      <c r="EA111" s="253">
        <v>0</v>
      </c>
      <c r="EB111" s="253">
        <v>0</v>
      </c>
      <c r="EC111" s="278">
        <f>SUM(Table1[[#This Row],[OthGrantQ1]:[OthGrantQ3]])</f>
        <v>0</v>
      </c>
      <c r="ED111" s="264">
        <f>Table1[[#This Row],[SEOGTot]]+Table1[[#This Row],[PellTot]]+Table1[[#This Row],[AccessTot]]+Table1[[#This Row],[AchiTot]]+Table1[[#This Row],[UTTot]]+Table1[[#This Row],[WITTot]]+Table1[[#This Row],[SerTot]]+Table1[[#This Row],[TranTot]]+Table1[[#This Row],[MatTot]]+Table1[[#This Row],[OutTot]]+Table1[[#This Row],[VATot]]+Table1[[#This Row],[OthGrantTot]]</f>
        <v>12195</v>
      </c>
      <c r="EE111" s="226">
        <v>0</v>
      </c>
      <c r="EF111" s="227">
        <v>0</v>
      </c>
      <c r="EG111" s="227">
        <v>0</v>
      </c>
      <c r="EH111" s="228">
        <f>SUM(Table1[[#This Row],[CashQ1]]:Table1[[#This Row],[CashQ3]])</f>
        <v>0</v>
      </c>
      <c r="EI111" s="229">
        <f>ROUND((Table1[[#This Row],[SubTot]]/3)/1.01059,0)</f>
        <v>1154</v>
      </c>
      <c r="EJ111" s="230">
        <f>ROUND((Table1[[#This Row],[SubTot]]/3)/1.01059,0)</f>
        <v>1154</v>
      </c>
      <c r="EK111" s="230">
        <f>ROUNDUP((Table1[[#This Row],[SubTot]]/3)/1.01059,0)</f>
        <v>1155</v>
      </c>
      <c r="EL111" s="231">
        <v>3500</v>
      </c>
      <c r="EM111" s="233">
        <f>Table1[[#This Row],[SubTot]]*0.01059</f>
        <v>37.065000000000005</v>
      </c>
      <c r="EN111" s="230">
        <f>ROUND((Table1[[#This Row],[UnsubTot]]/3)/1.01062,0)</f>
        <v>660</v>
      </c>
      <c r="EO111" s="230">
        <f>ROUND((Table1[[#This Row],[UnsubTot]]/3)/1.01062,0)</f>
        <v>660</v>
      </c>
      <c r="EP111" s="230">
        <f>ROUNDDOWN((Table1[[#This Row],[UnsubTot]]/3)/1.01062,0)</f>
        <v>659</v>
      </c>
      <c r="EQ111" s="231">
        <f>IF(Table1[D/I]="I",6000,2000)</f>
        <v>2000</v>
      </c>
      <c r="ER111" s="233">
        <f>Table1[[#This Row],[UnsubTot]]*0.01059</f>
        <v>21.18</v>
      </c>
      <c r="ES111" s="230">
        <f>ROUND((Table1[[#This Row],[PLUSTot]]/3)/1.04236,0)</f>
        <v>0</v>
      </c>
      <c r="ET111" s="230">
        <f>ROUND((Table1[[#This Row],[PLUSTot]]/3)/1.04236,0)</f>
        <v>0</v>
      </c>
      <c r="EU111" s="230">
        <f>ROUND((Table1[[#This Row],[PLUSTot]]/3)/1.04236,0)</f>
        <v>0</v>
      </c>
      <c r="EV111" s="231">
        <v>0</v>
      </c>
      <c r="EW111" s="236">
        <f>Table1[[#This Row],[PLUSTot]]*0.04236</f>
        <v>0</v>
      </c>
      <c r="EX111" s="227"/>
      <c r="EY111" s="227"/>
      <c r="EZ111" s="227"/>
      <c r="FA111" s="228">
        <f>SUM(Table1[[#This Row],[PrivQ1]:[PrivQ3]])</f>
        <v>0</v>
      </c>
      <c r="FB111" s="227"/>
      <c r="FC111" s="227"/>
      <c r="FD111" s="227"/>
      <c r="FE111" s="228">
        <f>SUM(Table1[[#This Row],[TOQ1]:[TOQ3]])</f>
        <v>0</v>
      </c>
      <c r="FF111" s="227"/>
      <c r="FG111" s="227"/>
      <c r="FH111" s="227"/>
      <c r="FI111" s="228">
        <f>SUM(Table1[[#This Row],[OFundQ1]:[OFundQ3]])</f>
        <v>0</v>
      </c>
      <c r="FJ111" s="236">
        <f>(Table1[[#This Row],[SubTot]]-Table1[[#This Row],[SubFee]])+(Table1[[#This Row],[UnsubTot]]-Table1[[#This Row],[UnsubFee]])+(Table1[[#This Row],[PLUSTot]]-Table1[[#This Row],[PLUSFee]])+Table1[[#This Row],[PrivTot]]+Table1[[#This Row],[TOTot]]+Table1[[#This Row],[OFundTot]]</f>
        <v>5441.7550000000001</v>
      </c>
      <c r="FK111" s="159">
        <f>Table1[[#This Row],[CostTot]]-Table1[[#This Row],[GiftTot]]</f>
        <v>27320</v>
      </c>
      <c r="FL111" s="174">
        <f>Table1[[#This Row],[NetNeed]]/(1-0.04236)</f>
        <v>22846.001629004633</v>
      </c>
      <c r="FM111" s="176">
        <f>Table1[[#This Row],[NetCost]]-Table1[[#This Row],[CashTot]]-(Table1[[#This Row],[SubTot]]-Table1[[#This Row],[SubFee]])-(Table1[[#This Row],[UnsubTot]]-Table1[[#This Row],[UnsubFee]])-(Table1[[#This Row],[PLUSTot]]-Table1[[#This Row],[PLUSFee]])-Table1[[#This Row],[PrivTot]]-Table1[[#This Row],[TOTot]]-Table1[[#This Row],[OFundTot]]</f>
        <v>21878.244999999999</v>
      </c>
      <c r="FN111" s="217"/>
      <c r="FO111" s="162"/>
      <c r="FP111" s="162"/>
    </row>
    <row r="112" spans="1:172" ht="15" x14ac:dyDescent="0.25">
      <c r="A112" s="267">
        <v>197889</v>
      </c>
      <c r="B112" s="113" t="str">
        <f>VLOOKUP(Table1[[#This Row],[SyStudentId]],SSR!$A$2:$CC$4982,4,FALSE)</f>
        <v>Rowe</v>
      </c>
      <c r="C112" s="113" t="str">
        <f>VLOOKUP(Table1[[#This Row],[SyStudentId]],SSR!$A$2:$CC$4982,5,FALSE)</f>
        <v>Darius</v>
      </c>
      <c r="D112" s="113" t="str">
        <f>VLOOKUP(Table1[[#This Row],[SyStudentId]],SSR!$A$2:$CC$4982,6,FALSE)</f>
        <v>Rowe, Darius</v>
      </c>
      <c r="E112" s="113" t="str">
        <f>CONCATENATE(Table1[[#This Row],[FirstName]]," ",Table1[[#This Row],[LastName]])</f>
        <v>Darius Rowe</v>
      </c>
      <c r="F112" s="112">
        <v>2</v>
      </c>
      <c r="G112" s="114">
        <v>43787</v>
      </c>
      <c r="H112" s="114">
        <v>43787</v>
      </c>
      <c r="I112" s="114">
        <v>43787</v>
      </c>
      <c r="J112" s="115" t="s">
        <v>5363</v>
      </c>
      <c r="K112" s="116"/>
      <c r="L112" s="112" t="str">
        <f>IFERROR(VLOOKUP(Table1[[#This Row],[SyStudentId]],ISIR!$A$2:$X$999,11,FALSE),"")</f>
        <v>D</v>
      </c>
      <c r="M112" s="113" t="str">
        <f>VLOOKUP(Table1[[#This Row],[SyStudentId]],SSR!$A$2:$CC$4982,7,FALSE)</f>
        <v>Darius.rowe22@gmail.com</v>
      </c>
      <c r="N112" s="113" t="str">
        <f>VLOOKUP(Table1[[#This Row],[SyStudentId]],SSR!$A$2:$CC$4982,8,FALSE)</f>
        <v>39 KINGSBURY WAY</v>
      </c>
      <c r="O112" s="113" t="str">
        <f>VLOOKUP(Table1[[#This Row],[SyStudentId]],SSR!$A$2:$CC$4982,9,FALSE)</f>
        <v>HAMPTON</v>
      </c>
      <c r="P112" s="303" t="str">
        <f>VLOOKUP(Table1[[#This Row],[SyStudentId]],SSR!$A$2:$CC$4982,10,FALSE)</f>
        <v>VA</v>
      </c>
      <c r="Q112" s="117" t="str">
        <f>VLOOKUP(Table1[[#This Row],[SyStudentId]],SSR!$A$2:$CC$4982,11,FALSE)</f>
        <v xml:space="preserve">23666     </v>
      </c>
      <c r="R112" s="118">
        <f>VLOOKUP(Table1[[#This Row],[SyStudentId]],SSR!$A$2:$CC$4982,15,FALSE)</f>
        <v>3.39</v>
      </c>
      <c r="S112" s="119">
        <f>VLOOKUP(Table1[[#This Row],[SyStudentId]],SSR!$A$2:$CC$4982,22,FALSE)</f>
        <v>44109</v>
      </c>
      <c r="T112" s="113" t="str">
        <f>VLOOKUP(Table1[[#This Row],[SyStudentId]],SSR!$A$2:$CC$4982,24,FALSE)</f>
        <v>MN</v>
      </c>
      <c r="U112" s="113" t="str">
        <f>IF(VLOOKUP(Table1[[#This Row],[SyStudentId]],SSR!$A$2:$CC$4982,26,FALSE)=0,"Not Selected",VLOOKUP(Table1[[#This Row],[SyStudentId]],SSR!$A$2:$CC$4982,26,FALSE))</f>
        <v>Male</v>
      </c>
      <c r="V112" s="113" t="str">
        <f>VLOOKUP(Table1[[#This Row],[SyStudentId]],SSR!$A$2:$CC$4982,27,FALSE)</f>
        <v xml:space="preserve">HS2020  </v>
      </c>
      <c r="W112" s="113" t="str">
        <f>VLOOKUP(LEFT(Table1[[#This Row],[LastName]],1),Alpha!$A$1:$B$26,2,FALSE)</f>
        <v>Maureen Ranks</v>
      </c>
      <c r="X112" s="149" t="str">
        <f>VLOOKUP(Table1[[#This Row],[FAA]],Alpha!$B$1:$D$26,2,FALSE)</f>
        <v>mranks@neumont.edu</v>
      </c>
      <c r="Y112" s="113">
        <f>VLOOKUP(Table1[[#This Row],[FAA]],Alpha!$B$1:$D$26,3,FALSE)</f>
        <v>8883022894</v>
      </c>
      <c r="Z112" s="113" t="str">
        <f>VLOOKUP(Table1[[#This Row],[SyStudentId]],SSR!$A$2:$CC$4982,30,FALSE)</f>
        <v>16-Accepted</v>
      </c>
      <c r="AA112" s="113" t="str">
        <f>IF(VLOOKUP(Table1[[#This Row],[SyStudentId]],SSR!$A$2:$CC$4982,36,FALSE)="Bachelor of Science","BS Computer Science","Check Program")</f>
        <v>BS Computer Science</v>
      </c>
      <c r="AB112" s="113">
        <f>VLOOKUP(Table1[[#This Row],[SyStudentId]],SSR!$A$2:$CC$4982,37,FALSE)</f>
        <v>0</v>
      </c>
      <c r="AC112" s="113" t="str">
        <f>VLOOKUP(Table1[[#This Row],[SyStudentId]],SSR!$A$2:$CC$4982,42,FALSE)</f>
        <v xml:space="preserve">1190    </v>
      </c>
      <c r="AD112" s="113" t="str">
        <f>VLOOKUP(Table1[[#This Row],[SyStudentId]],SSR!$A$2:$CC$4982,46,FALSE)</f>
        <v>114</v>
      </c>
      <c r="AE112" s="113" t="str">
        <f>VLOOKUP(Table1[[#This Row],[SyStudentId]],SSR!$A$2:$CC$4982,65,FALSE)</f>
        <v>II</v>
      </c>
      <c r="AF112"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2</v>
      </c>
      <c r="AG112" s="113" t="str">
        <f>VLOOKUP(Table1[[#This Row],[SyStudentId]],SSR!$A$2:$CC$4982,66,FALSE)</f>
        <v>October</v>
      </c>
      <c r="AH112" s="113" t="str">
        <f>IFERROR(VLOOKUP(Table1[[#This Row],[SyStudentId]],ISIR!$A$2:$X$999,7,FALSE),"")</f>
        <v>000000</v>
      </c>
      <c r="AI112" s="121">
        <f>IF(Table1[[#This Row],[EFCRaw]]="","",IF(Table1[[#This Row],[EFCRaw]]="No EFC","No EFC",_xlfn.NUMBERVALUE(Table1[[#This Row],[EFCRaw]])))</f>
        <v>0</v>
      </c>
      <c r="AJ112" s="119">
        <f>IFERROR(VLOOKUP(Table1[[#This Row],[SyStudentId]],ISIR!$A$2:$X$4999,19,FALSE),"")</f>
        <v>43774</v>
      </c>
      <c r="AK112" s="113" t="str">
        <f>IFERROR(VLOOKUP(Table1[[#This Row],[SyStudentId]],ISIR!$A$2:$X$4999,8,FALSE),"")</f>
        <v>N</v>
      </c>
      <c r="AL112" s="132" t="str">
        <f>IF(Table1[[#This Row],[VerReq]]="N","n/a","")</f>
        <v>n/a</v>
      </c>
      <c r="AM112" s="122"/>
      <c r="AN112" s="122"/>
      <c r="AO112" s="122"/>
      <c r="AP112" s="122"/>
      <c r="AQ112" s="122"/>
      <c r="AR112" s="122"/>
      <c r="AS112" s="122"/>
      <c r="AT112" s="122"/>
      <c r="AU112" s="122"/>
      <c r="AV112" s="122"/>
      <c r="AW112" s="122"/>
      <c r="AX112" s="122"/>
      <c r="AY112" s="122"/>
      <c r="AZ112" s="122"/>
      <c r="BA112" s="122"/>
      <c r="BB112" s="122"/>
      <c r="BC112" s="148"/>
      <c r="BD112" s="140" t="str">
        <f>IF(Table1[[#This Row],[VerReq]]="N","x","")</f>
        <v>x</v>
      </c>
      <c r="BE112" s="140" t="str">
        <f>IF(Table1[[#This Row],[VerReq]]="N","x","")</f>
        <v>x</v>
      </c>
      <c r="BF112" s="140" t="str">
        <f>IF(Table1[[#This Row],[VerReq]]="N","x","")</f>
        <v>x</v>
      </c>
      <c r="BG112" s="140" t="str">
        <f>IF(Table1[[#This Row],[VerReq]]="N","x","")</f>
        <v>x</v>
      </c>
      <c r="BH112" s="140" t="str">
        <f>IF(Table1[[#This Row],[VerReq]]="N","x","")</f>
        <v>x</v>
      </c>
      <c r="BI112" s="140" t="str">
        <f>IF(Table1[[#This Row],[VerReq]]="N","x","")</f>
        <v>x</v>
      </c>
      <c r="BJ112" s="123">
        <f>1-((COUNTBLANK(Table1[[#This Row],[ALESent]:[TaxTran]]))/(COUNT(Table1[[#This Row],[ALESent]:[TaxTran]])+COUNTBLANK(Table1[[#This Row],[ALESent]:[TaxTran]])))</f>
        <v>0</v>
      </c>
      <c r="BK112" s="150">
        <f>IF(VLOOKUP(Table1[[#This Row],[SyStudentId]],SSR!$A$2:$CC$4982,22,FALSE)=44109,44109,"Check Program")</f>
        <v>44109</v>
      </c>
      <c r="BL112" s="124">
        <f>IF(Table1[[#This Row],[AYStart]]=44109,44356,"Check Program")</f>
        <v>44356</v>
      </c>
      <c r="BM112" s="219">
        <v>8505</v>
      </c>
      <c r="BN112" s="219">
        <v>8505</v>
      </c>
      <c r="BO112" s="219">
        <v>8505</v>
      </c>
      <c r="BP112" s="220">
        <f t="shared" si="3"/>
        <v>25515</v>
      </c>
      <c r="BQ112" s="221">
        <v>3300</v>
      </c>
      <c r="BR112" s="219">
        <v>400</v>
      </c>
      <c r="BS112" s="219">
        <v>400</v>
      </c>
      <c r="BT112" s="220">
        <f t="shared" si="4"/>
        <v>4100</v>
      </c>
      <c r="BU112" s="219">
        <v>2100</v>
      </c>
      <c r="BV112" s="219">
        <v>2100</v>
      </c>
      <c r="BW112" s="219">
        <v>2100</v>
      </c>
      <c r="BX112" s="220">
        <f t="shared" si="5"/>
        <v>6300</v>
      </c>
      <c r="BY112" s="275">
        <v>1200</v>
      </c>
      <c r="BZ112" s="275">
        <v>1200</v>
      </c>
      <c r="CA112" s="275">
        <v>1200</v>
      </c>
      <c r="CB112" s="220">
        <f>SUM(Table1[[#This Row],[LEQ1]:[LEQ3]])</f>
        <v>3600</v>
      </c>
      <c r="CC112" s="269"/>
      <c r="CD112" s="269"/>
      <c r="CE112" s="269"/>
      <c r="CF112" s="220">
        <f>SUM(Table1[[#This Row],[OthCostQ1]:[OthCostQ3]])</f>
        <v>0</v>
      </c>
      <c r="CG112" s="220">
        <f>(Table1[[#This Row],[T&amp;FTot]]+Table1[[#This Row],[B&amp;STot]]+Table1[[#This Row],[HousTot]]+Table1[[#This Row],[LETot]]+Table1[[#This Row],[OthCostTot]])</f>
        <v>39515</v>
      </c>
      <c r="CH112" s="250"/>
      <c r="CI112" s="250"/>
      <c r="CJ112" s="250"/>
      <c r="CK112" s="251">
        <f>SUM(Table1[[#This Row],[SEOGQ1]:[SEOGQ3]])</f>
        <v>0</v>
      </c>
      <c r="CL112" s="250">
        <f>IFERROR(ROUNDUP(Table1[[#This Row],[PellTot]]/3,0),0)</f>
        <v>2065</v>
      </c>
      <c r="CM112" s="250">
        <f>IFERROR(ROUND(Table1[[#This Row],[PellTot]]/3,0),0)</f>
        <v>2065</v>
      </c>
      <c r="CN112" s="250">
        <f>IFERROR(ROUNDDOWN(Table1[[#This Row],[PellTot]]/3,0),0)</f>
        <v>2065</v>
      </c>
      <c r="CO112" s="251">
        <f>IFERROR(LOOKUP(Table1[EFC],Pell_Table[#Data],Pell_Table[Pell Amt]),0)</f>
        <v>6195</v>
      </c>
      <c r="CP112" s="250">
        <f>Table1[[#This Row],[AccessTot]]/3</f>
        <v>500</v>
      </c>
      <c r="CQ112" s="250">
        <f>Table1[[#This Row],[AccessTot]]/3</f>
        <v>500</v>
      </c>
      <c r="CR112" s="250">
        <f>Table1[[#This Row],[AccessTot]]/3</f>
        <v>500</v>
      </c>
      <c r="CS112" s="251">
        <f>IF(Table1[[#This Row],[PellTot]]&gt;0,1500,0)</f>
        <v>1500</v>
      </c>
      <c r="CT112" s="250">
        <f>Table1[[#This Row],[AchiTot]]/3</f>
        <v>1500</v>
      </c>
      <c r="CU112" s="250">
        <f>Table1[[#This Row],[AchiTot]]/3</f>
        <v>1500</v>
      </c>
      <c r="CV112" s="250">
        <f>Table1[[#This Row],[AchiTot]]/3</f>
        <v>1500</v>
      </c>
      <c r="CW112" s="252">
        <f>IF(Table1[[#This Row],[Rank]]="","",IF(Table1[[#This Row],[Rank]]=1,5100,IF(Table1[[#This Row],[Rank]]=2,4500,IF(Table1[[#This Row],[Rank]]=3,3900,IF(Table1[[#This Row],[Rank]]=4,3750,IF(Table1[[#This Row],[Rank]]=5,3000,IF(Table1[[#This Row],[Rank]]=6,2250,0)))))))</f>
        <v>4500</v>
      </c>
      <c r="CX112" s="250">
        <f>Table1[[#This Row],[UTTot]]/3</f>
        <v>0</v>
      </c>
      <c r="CY112" s="250">
        <f>Table1[[#This Row],[UTTot]]/3</f>
        <v>0</v>
      </c>
      <c r="CZ112" s="250">
        <f>Table1[[#This Row],[UTTot]]/3</f>
        <v>0</v>
      </c>
      <c r="DA112" s="251">
        <f>IF(Table1[[#This Row],[State]]="UT",9000,0)</f>
        <v>0</v>
      </c>
      <c r="DB112" s="250">
        <f>Table1[[#This Row],[WITTot]]/3</f>
        <v>0</v>
      </c>
      <c r="DC112" s="250">
        <f>Table1[[#This Row],[WITTot]]/3</f>
        <v>0</v>
      </c>
      <c r="DD112" s="250">
        <f>Table1[[#This Row],[WITTot]]/3</f>
        <v>0</v>
      </c>
      <c r="DE112" s="251">
        <f>IF(Table1[[#This Row],[Gender]]="Female",3000,0)</f>
        <v>0</v>
      </c>
      <c r="DF112" s="250">
        <f>Table1[[#This Row],[SerTot]]/3</f>
        <v>0</v>
      </c>
      <c r="DG112" s="250">
        <f>Table1[[#This Row],[SerTot]]/3</f>
        <v>0</v>
      </c>
      <c r="DH112" s="250">
        <f>Table1[[#This Row],[SerTot]]/3</f>
        <v>0</v>
      </c>
      <c r="DI112" s="252"/>
      <c r="DJ112" s="250"/>
      <c r="DK112" s="250"/>
      <c r="DL112" s="250"/>
      <c r="DM112" s="252"/>
      <c r="DN112" s="250">
        <f>Table1[[#This Row],[MatTot]]/3</f>
        <v>0</v>
      </c>
      <c r="DO112" s="250">
        <f>Table1[[#This Row],[MatTot]]/3</f>
        <v>0</v>
      </c>
      <c r="DP112" s="250">
        <f>Table1[[#This Row],[MatTot]]/3</f>
        <v>0</v>
      </c>
      <c r="DQ112" s="252"/>
      <c r="DR112" s="250">
        <f>Table1[[#This Row],[OutTot]]/3</f>
        <v>0</v>
      </c>
      <c r="DS112" s="250">
        <f>Table1[[#This Row],[OutTot]]/3</f>
        <v>0</v>
      </c>
      <c r="DT112" s="250">
        <f>Table1[[#This Row],[OutTot]]/3</f>
        <v>0</v>
      </c>
      <c r="DU112" s="252"/>
      <c r="DV112" s="250"/>
      <c r="DW112" s="250"/>
      <c r="DX112" s="250"/>
      <c r="DY112" s="252">
        <f>SUM(Table1[[#This Row],[VAQ1]:[VAQ3]])</f>
        <v>0</v>
      </c>
      <c r="DZ112" s="250"/>
      <c r="EA112" s="250"/>
      <c r="EB112" s="250"/>
      <c r="EC112" s="270">
        <f>SUM(Table1[[#This Row],[OthGrantQ1]:[OthGrantQ3]])</f>
        <v>0</v>
      </c>
      <c r="ED112" s="263">
        <f>Table1[[#This Row],[SEOGTot]]+Table1[[#This Row],[PellTot]]+Table1[[#This Row],[AccessTot]]+Table1[[#This Row],[AchiTot]]+Table1[[#This Row],[UTTot]]+Table1[[#This Row],[WITTot]]+Table1[[#This Row],[SerTot]]+Table1[[#This Row],[TranTot]]+Table1[[#This Row],[MatTot]]+Table1[[#This Row],[OutTot]]+Table1[[#This Row],[VATot]]+Table1[[#This Row],[OthGrantTot]]</f>
        <v>12195</v>
      </c>
      <c r="EE112" s="249"/>
      <c r="EF112" s="237"/>
      <c r="EG112" s="237"/>
      <c r="EH112" s="232">
        <f>SUM(Table1[[#This Row],[CashQ1]]:Table1[[#This Row],[CashQ3]])</f>
        <v>0</v>
      </c>
      <c r="EI112" s="271">
        <f>ROUND((Table1[[#This Row],[SubTot]]/3)/1.01059,0)</f>
        <v>0</v>
      </c>
      <c r="EJ112" s="234">
        <f>ROUND((Table1[[#This Row],[SubTot]]/3)/1.01059,0)</f>
        <v>0</v>
      </c>
      <c r="EK112" s="234">
        <f>ROUNDUP((Table1[[#This Row],[SubTot]]/3)/1.01059,0)</f>
        <v>0</v>
      </c>
      <c r="EL112" s="235"/>
      <c r="EM112" s="240">
        <f>Table1[[#This Row],[SubTot]]*0.01059</f>
        <v>0</v>
      </c>
      <c r="EN112" s="234">
        <f>ROUND((Table1[[#This Row],[UnsubTot]]/3)/1.01062,0)</f>
        <v>660</v>
      </c>
      <c r="EO112" s="234">
        <f>ROUND((Table1[[#This Row],[UnsubTot]]/3)/1.01062,0)</f>
        <v>660</v>
      </c>
      <c r="EP112" s="234">
        <f>ROUNDDOWN((Table1[[#This Row],[UnsubTot]]/3)/1.01062,0)</f>
        <v>659</v>
      </c>
      <c r="EQ112" s="235">
        <f>IF(Table1[D/I]="I",6000,2000)</f>
        <v>2000</v>
      </c>
      <c r="ER112" s="240">
        <f>Table1[[#This Row],[UnsubTot]]*0.01062</f>
        <v>21.24</v>
      </c>
      <c r="ES112" s="234">
        <f>ROUND((Table1[[#This Row],[PLUSTot]]/3)/1.04248,0)</f>
        <v>0</v>
      </c>
      <c r="ET112" s="234">
        <f>ROUND((Table1[[#This Row],[PLUSTot]]/3)/1.04248,0)</f>
        <v>0</v>
      </c>
      <c r="EU112" s="234">
        <f>ROUND((Table1[[#This Row],[PLUSTot]]/3)/1.04248,0)</f>
        <v>0</v>
      </c>
      <c r="EV112" s="235"/>
      <c r="EW112" s="239">
        <f>Table1[[#This Row],[PLUSTot]]*0.04248</f>
        <v>0</v>
      </c>
      <c r="EX112" s="237"/>
      <c r="EY112" s="237"/>
      <c r="EZ112" s="237"/>
      <c r="FA112" s="232">
        <f>SUM(Table1[[#This Row],[PrivQ1]:[PrivQ3]])</f>
        <v>0</v>
      </c>
      <c r="FB112" s="237"/>
      <c r="FC112" s="237"/>
      <c r="FD112" s="237"/>
      <c r="FE112" s="232">
        <f>SUM(Table1[[#This Row],[TOQ1]:[TOQ3]])</f>
        <v>0</v>
      </c>
      <c r="FF112" s="237"/>
      <c r="FG112" s="237"/>
      <c r="FH112" s="237"/>
      <c r="FI112" s="232">
        <f>SUM(Table1[[#This Row],[OFundQ1]:[OFundQ3]])</f>
        <v>0</v>
      </c>
      <c r="FJ112" s="239">
        <f>(Table1[[#This Row],[SubTot]]-Table1[[#This Row],[SubFee]])+(Table1[[#This Row],[UnsubTot]]-Table1[[#This Row],[UnsubFee]])+(Table1[[#This Row],[PLUSTot]]-Table1[[#This Row],[PLUSFee]])+Table1[[#This Row],[PrivTot]]+Table1[[#This Row],[TOTot]]+Table1[[#This Row],[OFundTot]]</f>
        <v>1978.76</v>
      </c>
      <c r="FK112" s="125">
        <f>Table1[[#This Row],[CostTot]]-Table1[[#This Row],[GiftTot]]</f>
        <v>27320</v>
      </c>
      <c r="FL112" s="130">
        <f>Table1[[#This Row],[NetNeed]]/(1-0.04248)</f>
        <v>26465.494193332775</v>
      </c>
      <c r="FM112" s="131">
        <f>Table1[[#This Row],[NetCost]]-Table1[[#This Row],[CashTot]]-(Table1[[#This Row],[SubTot]]-Table1[[#This Row],[SubFee]])-(Table1[[#This Row],[UnsubTot]]-Table1[[#This Row],[UnsubFee]])-(Table1[[#This Row],[PLUSTot]]-Table1[[#This Row],[PLUSFee]])-Table1[[#This Row],[PrivTot]]-Table1[[#This Row],[TOTot]]-Table1[[#This Row],[OFundTot]]</f>
        <v>25341.24</v>
      </c>
      <c r="FN112" s="156"/>
      <c r="FO112" s="113"/>
      <c r="FP112" s="113"/>
    </row>
    <row r="113" spans="1:172" ht="15" x14ac:dyDescent="0.25">
      <c r="A113" s="267">
        <v>197876</v>
      </c>
      <c r="B113" s="113" t="str">
        <f>VLOOKUP(Table1[[#This Row],[SyStudentId]],SSR!$A$2:$CC$4982,4,FALSE)</f>
        <v>Ruiz</v>
      </c>
      <c r="C113" s="113" t="str">
        <f>VLOOKUP(Table1[[#This Row],[SyStudentId]],SSR!$A$2:$CC$4982,5,FALSE)</f>
        <v>Hector</v>
      </c>
      <c r="D113" s="113" t="str">
        <f>VLOOKUP(Table1[[#This Row],[SyStudentId]],SSR!$A$2:$CC$4982,6,FALSE)</f>
        <v>Ruiz, Hector</v>
      </c>
      <c r="E113" s="113" t="str">
        <f>CONCATENATE(Table1[[#This Row],[FirstName]]," ",Table1[[#This Row],[LastName]])</f>
        <v>Hector Ruiz</v>
      </c>
      <c r="F113" s="112"/>
      <c r="G113" s="114"/>
      <c r="H113" s="114"/>
      <c r="I113" s="114"/>
      <c r="J113" s="115"/>
      <c r="K113" s="116"/>
      <c r="L113" s="112" t="str">
        <f>IFERROR(VLOOKUP(Table1[[#This Row],[SyStudentId]],ISIR!$A$2:$X$999,11,FALSE),"")</f>
        <v/>
      </c>
      <c r="M113" s="113" t="str">
        <f>VLOOKUP(Table1[[#This Row],[SyStudentId]],SSR!$A$2:$CC$4982,7,FALSE)</f>
        <v>hruiz0488@gmail.com</v>
      </c>
      <c r="N113" s="113" t="str">
        <f>VLOOKUP(Table1[[#This Row],[SyStudentId]],SSR!$A$2:$CC$4982,8,FALSE)</f>
        <v>458 E Madison St</v>
      </c>
      <c r="O113" s="113" t="str">
        <f>VLOOKUP(Table1[[#This Row],[SyStudentId]],SSR!$A$2:$CC$4982,9,FALSE)</f>
        <v>Arcola</v>
      </c>
      <c r="P113" s="292" t="str">
        <f>VLOOKUP(Table1[[#This Row],[SyStudentId]],SSR!$A$2:$CC$4982,10,FALSE)</f>
        <v>IL</v>
      </c>
      <c r="Q113" s="117" t="str">
        <f>VLOOKUP(Table1[[#This Row],[SyStudentId]],SSR!$A$2:$CC$4982,11,FALSE)</f>
        <v xml:space="preserve">61910     </v>
      </c>
      <c r="R113" s="118">
        <f>VLOOKUP(Table1[[#This Row],[SyStudentId]],SSR!$A$2:$CC$4982,15,FALSE)</f>
        <v>3.1</v>
      </c>
      <c r="S113" s="119">
        <f>VLOOKUP(Table1[[#This Row],[SyStudentId]],SSR!$A$2:$CC$4982,22,FALSE)</f>
        <v>44109</v>
      </c>
      <c r="T113" s="113" t="str">
        <f>VLOOKUP(Table1[[#This Row],[SyStudentId]],SSR!$A$2:$CC$4982,24,FALSE)</f>
        <v>GM</v>
      </c>
      <c r="U113" s="113" t="str">
        <f>IF(VLOOKUP(Table1[[#This Row],[SyStudentId]],SSR!$A$2:$CC$4982,26,FALSE)=0,"Not Selected",VLOOKUP(Table1[[#This Row],[SyStudentId]],SSR!$A$2:$CC$4982,26,FALSE))</f>
        <v>Male</v>
      </c>
      <c r="V113" s="113" t="str">
        <f>VLOOKUP(Table1[[#This Row],[SyStudentId]],SSR!$A$2:$CC$4982,27,FALSE)</f>
        <v xml:space="preserve">UNKNOWN </v>
      </c>
      <c r="W113" s="113" t="str">
        <f>VLOOKUP(LEFT(Table1[[#This Row],[LastName]],1),Alpha!$A$1:$B$26,2,FALSE)</f>
        <v>Maureen Ranks</v>
      </c>
      <c r="X113" s="149" t="str">
        <f>VLOOKUP(Table1[[#This Row],[FAA]],Alpha!$B$1:$D$26,2,FALSE)</f>
        <v>mranks@neumont.edu</v>
      </c>
      <c r="Y113" s="113">
        <f>VLOOKUP(Table1[[#This Row],[FAA]],Alpha!$B$1:$D$26,3,FALSE)</f>
        <v>8883022894</v>
      </c>
      <c r="Z113" s="113" t="str">
        <f>VLOOKUP(Table1[[#This Row],[SyStudentId]],SSR!$A$2:$CC$4982,30,FALSE)</f>
        <v>16-Accepted</v>
      </c>
      <c r="AA113" s="113" t="str">
        <f>IF(VLOOKUP(Table1[[#This Row],[SyStudentId]],SSR!$A$2:$CC$4982,36,FALSE)="Bachelor of Science","BS Computer Science","Check Program")</f>
        <v>BS Computer Science</v>
      </c>
      <c r="AB113" s="113">
        <f>VLOOKUP(Table1[[#This Row],[SyStudentId]],SSR!$A$2:$CC$4982,37,FALSE)</f>
        <v>0</v>
      </c>
      <c r="AC113" s="113" t="str">
        <f>VLOOKUP(Table1[[#This Row],[SyStudentId]],SSR!$A$2:$CC$4982,42,FALSE)</f>
        <v xml:space="preserve">880     </v>
      </c>
      <c r="AD113" s="113" t="str">
        <f>VLOOKUP(Table1[[#This Row],[SyStudentId]],SSR!$A$2:$CC$4982,46,FALSE)</f>
        <v>93</v>
      </c>
      <c r="AE113" s="113" t="str">
        <f>VLOOKUP(Table1[[#This Row],[SyStudentId]],SSR!$A$2:$CC$4982,65,FALSE)</f>
        <v>VIII</v>
      </c>
      <c r="AF11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113" s="113" t="str">
        <f>VLOOKUP(Table1[[#This Row],[SyStudentId]],SSR!$A$2:$CC$4982,66,FALSE)</f>
        <v>October</v>
      </c>
      <c r="AH113" s="113" t="str">
        <f>IFERROR(VLOOKUP(Table1[[#This Row],[SyStudentId]],ISIR!$A$2:$X$999,7,FALSE),"")</f>
        <v/>
      </c>
      <c r="AI113" s="121" t="str">
        <f>IF(Table1[[#This Row],[EFCRaw]]="","",IF(Table1[[#This Row],[EFCRaw]]="No EFC","No EFC",_xlfn.NUMBERVALUE(Table1[[#This Row],[EFCRaw]])))</f>
        <v/>
      </c>
      <c r="AJ113" s="119" t="str">
        <f>IFERROR(VLOOKUP(Table1[[#This Row],[SyStudentId]],ISIR!$A$2:$X$4999,19,FALSE),"")</f>
        <v/>
      </c>
      <c r="AK113" s="113" t="str">
        <f>IFERROR(VLOOKUP(Table1[[#This Row],[SyStudentId]],ISIR!$A$2:$X$4999,8,FALSE),"")</f>
        <v/>
      </c>
      <c r="AL113" s="132" t="str">
        <f>IF(Table1[[#This Row],[VerReq]]="N","n/a","")</f>
        <v/>
      </c>
      <c r="AM113" s="122"/>
      <c r="AN113" s="122"/>
      <c r="AO113" s="122"/>
      <c r="AP113" s="122"/>
      <c r="AQ113" s="122"/>
      <c r="AR113" s="122"/>
      <c r="AS113" s="122"/>
      <c r="AT113" s="122"/>
      <c r="AU113" s="122"/>
      <c r="AV113" s="122"/>
      <c r="AW113" s="122"/>
      <c r="AX113" s="122"/>
      <c r="AY113" s="122"/>
      <c r="AZ113" s="122"/>
      <c r="BA113" s="122"/>
      <c r="BB113" s="122"/>
      <c r="BC113" s="148"/>
      <c r="BD113" s="140" t="str">
        <f>IF(Table1[[#This Row],[VerReq]]="N","x","")</f>
        <v/>
      </c>
      <c r="BE113" s="140" t="str">
        <f>IF(Table1[[#This Row],[VerReq]]="N","x","")</f>
        <v/>
      </c>
      <c r="BF113" s="140" t="str">
        <f>IF(Table1[[#This Row],[VerReq]]="N","x","")</f>
        <v/>
      </c>
      <c r="BG113" s="140" t="str">
        <f>IF(Table1[[#This Row],[VerReq]]="N","x","")</f>
        <v/>
      </c>
      <c r="BH113" s="140" t="str">
        <f>IF(Table1[[#This Row],[VerReq]]="N","x","")</f>
        <v/>
      </c>
      <c r="BI113" s="140" t="str">
        <f>IF(Table1[[#This Row],[VerReq]]="N","x","")</f>
        <v/>
      </c>
      <c r="BJ113" s="123">
        <f>1-((COUNTBLANK(Table1[[#This Row],[ALESent]:[TaxTran]]))/(COUNT(Table1[[#This Row],[ALESent]:[TaxTran]])+COUNTBLANK(Table1[[#This Row],[ALESent]:[TaxTran]])))</f>
        <v>0</v>
      </c>
      <c r="BK113" s="150">
        <f>IF(VLOOKUP(Table1[[#This Row],[SyStudentId]],SSR!$A$2:$CC$4982,22,FALSE)=44109,44109,"Check Program")</f>
        <v>44109</v>
      </c>
      <c r="BL113" s="124">
        <f>IF(Table1[[#This Row],[AYStart]]=44109,44356,"Check Program")</f>
        <v>44356</v>
      </c>
      <c r="BM113" s="219">
        <v>8505</v>
      </c>
      <c r="BN113" s="219">
        <v>8505</v>
      </c>
      <c r="BO113" s="219">
        <v>8505</v>
      </c>
      <c r="BP113" s="220">
        <f t="shared" si="3"/>
        <v>25515</v>
      </c>
      <c r="BQ113" s="221">
        <v>3300</v>
      </c>
      <c r="BR113" s="219">
        <v>400</v>
      </c>
      <c r="BS113" s="219">
        <v>400</v>
      </c>
      <c r="BT113" s="220">
        <f t="shared" si="4"/>
        <v>4100</v>
      </c>
      <c r="BU113" s="219">
        <v>2100</v>
      </c>
      <c r="BV113" s="219">
        <v>2100</v>
      </c>
      <c r="BW113" s="219">
        <v>2100</v>
      </c>
      <c r="BX113" s="220">
        <f t="shared" si="5"/>
        <v>6300</v>
      </c>
      <c r="BY113" s="275">
        <v>1200</v>
      </c>
      <c r="BZ113" s="275">
        <v>1200</v>
      </c>
      <c r="CA113" s="275">
        <v>1200</v>
      </c>
      <c r="CB113" s="220">
        <f>SUM(Table1[[#This Row],[LEQ1]:[LEQ3]])</f>
        <v>3600</v>
      </c>
      <c r="CC113" s="269"/>
      <c r="CD113" s="269"/>
      <c r="CE113" s="269"/>
      <c r="CF113" s="220">
        <f>SUM(Table1[[#This Row],[OthCostQ1]:[OthCostQ3]])</f>
        <v>0</v>
      </c>
      <c r="CG113" s="220">
        <f>(Table1[[#This Row],[T&amp;FTot]]+Table1[[#This Row],[B&amp;STot]]+Table1[[#This Row],[HousTot]]+Table1[[#This Row],[LETot]]+Table1[[#This Row],[OthCostTot]])</f>
        <v>39515</v>
      </c>
      <c r="CH113" s="250"/>
      <c r="CI113" s="250"/>
      <c r="CJ113" s="250"/>
      <c r="CK113" s="251">
        <f>SUM(Table1[[#This Row],[SEOGQ1]:[SEOGQ3]])</f>
        <v>0</v>
      </c>
      <c r="CL113" s="250">
        <f>IFERROR(ROUNDUP(Table1[[#This Row],[PellTot]]/3,0),0)</f>
        <v>0</v>
      </c>
      <c r="CM113" s="250">
        <f>IFERROR(ROUND(Table1[[#This Row],[PellTot]]/3,0),0)</f>
        <v>0</v>
      </c>
      <c r="CN113" s="250">
        <f>IFERROR(ROUNDDOWN(Table1[[#This Row],[PellTot]]/3,0),0)</f>
        <v>0</v>
      </c>
      <c r="CO113" s="251">
        <f>IFERROR(LOOKUP(Table1[EFC],Pell_Table[#Data],Pell_Table[Pell Amt]),0)</f>
        <v>0</v>
      </c>
      <c r="CP113" s="250">
        <f>Table1[[#This Row],[AccessTot]]/3</f>
        <v>0</v>
      </c>
      <c r="CQ113" s="250">
        <f>Table1[[#This Row],[AccessTot]]/3</f>
        <v>0</v>
      </c>
      <c r="CR113" s="250">
        <f>Table1[[#This Row],[AccessTot]]/3</f>
        <v>0</v>
      </c>
      <c r="CS113" s="251">
        <f>IF(Table1[[#This Row],[PellTot]]&gt;0,1500,0)</f>
        <v>0</v>
      </c>
      <c r="CT113" s="250">
        <f>Table1[[#This Row],[AchiTot]]/3</f>
        <v>0</v>
      </c>
      <c r="CU113" s="250">
        <f>Table1[[#This Row],[AchiTot]]/3</f>
        <v>0</v>
      </c>
      <c r="CV113" s="250">
        <f>Table1[[#This Row],[AchiTot]]/3</f>
        <v>0</v>
      </c>
      <c r="CW113" s="252">
        <f>IF(Table1[[#This Row],[Rank]]="","",IF(Table1[[#This Row],[Rank]]=1,5100,IF(Table1[[#This Row],[Rank]]=2,4500,IF(Table1[[#This Row],[Rank]]=3,3900,IF(Table1[[#This Row],[Rank]]=4,3750,IF(Table1[[#This Row],[Rank]]=5,3000,IF(Table1[[#This Row],[Rank]]=6,2250,0)))))))</f>
        <v>0</v>
      </c>
      <c r="CX113" s="250">
        <f>Table1[[#This Row],[UTTot]]/3</f>
        <v>0</v>
      </c>
      <c r="CY113" s="250">
        <f>Table1[[#This Row],[UTTot]]/3</f>
        <v>0</v>
      </c>
      <c r="CZ113" s="250">
        <f>Table1[[#This Row],[UTTot]]/3</f>
        <v>0</v>
      </c>
      <c r="DA113" s="251">
        <f>IF(Table1[[#This Row],[State]]="UT",9000,0)</f>
        <v>0</v>
      </c>
      <c r="DB113" s="250">
        <f>Table1[[#This Row],[WITTot]]/3</f>
        <v>0</v>
      </c>
      <c r="DC113" s="250">
        <f>Table1[[#This Row],[WITTot]]/3</f>
        <v>0</v>
      </c>
      <c r="DD113" s="250">
        <f>Table1[[#This Row],[WITTot]]/3</f>
        <v>0</v>
      </c>
      <c r="DE113" s="251">
        <f>IF(Table1[[#This Row],[Gender]]="Female",3000,0)</f>
        <v>0</v>
      </c>
      <c r="DF113" s="250">
        <f>Table1[[#This Row],[SerTot]]/3</f>
        <v>0</v>
      </c>
      <c r="DG113" s="250">
        <f>Table1[[#This Row],[SerTot]]/3</f>
        <v>0</v>
      </c>
      <c r="DH113" s="250">
        <f>Table1[[#This Row],[SerTot]]/3</f>
        <v>0</v>
      </c>
      <c r="DI113" s="252"/>
      <c r="DJ113" s="250"/>
      <c r="DK113" s="250"/>
      <c r="DL113" s="250"/>
      <c r="DM113" s="252"/>
      <c r="DN113" s="250">
        <f>Table1[[#This Row],[MatTot]]/3</f>
        <v>0</v>
      </c>
      <c r="DO113" s="250">
        <f>Table1[[#This Row],[MatTot]]/3</f>
        <v>0</v>
      </c>
      <c r="DP113" s="250">
        <f>Table1[[#This Row],[MatTot]]/3</f>
        <v>0</v>
      </c>
      <c r="DQ113" s="252"/>
      <c r="DR113" s="250">
        <f>Table1[[#This Row],[OutTot]]/3</f>
        <v>0</v>
      </c>
      <c r="DS113" s="250">
        <f>Table1[[#This Row],[OutTot]]/3</f>
        <v>0</v>
      </c>
      <c r="DT113" s="250">
        <f>Table1[[#This Row],[OutTot]]/3</f>
        <v>0</v>
      </c>
      <c r="DU113" s="252"/>
      <c r="DV113" s="250"/>
      <c r="DW113" s="250"/>
      <c r="DX113" s="250"/>
      <c r="DY113" s="252">
        <f>SUM(Table1[[#This Row],[VAQ1]:[VAQ3]])</f>
        <v>0</v>
      </c>
      <c r="DZ113" s="250"/>
      <c r="EA113" s="250"/>
      <c r="EB113" s="250"/>
      <c r="EC113" s="270">
        <f>SUM(Table1[[#This Row],[OthGrantQ1]:[OthGrantQ3]])</f>
        <v>0</v>
      </c>
      <c r="ED113" s="263">
        <f>Table1[[#This Row],[SEOGTot]]+Table1[[#This Row],[PellTot]]+Table1[[#This Row],[AccessTot]]+Table1[[#This Row],[AchiTot]]+Table1[[#This Row],[UTTot]]+Table1[[#This Row],[WITTot]]+Table1[[#This Row],[SerTot]]+Table1[[#This Row],[TranTot]]+Table1[[#This Row],[MatTot]]+Table1[[#This Row],[OutTot]]+Table1[[#This Row],[VATot]]+Table1[[#This Row],[OthGrantTot]]</f>
        <v>0</v>
      </c>
      <c r="EE113" s="249"/>
      <c r="EF113" s="237"/>
      <c r="EG113" s="237"/>
      <c r="EH113" s="232">
        <f>SUM(Table1[[#This Row],[CashQ1]]:Table1[[#This Row],[CashQ3]])</f>
        <v>0</v>
      </c>
      <c r="EI113" s="271">
        <f>ROUND((Table1[[#This Row],[SubTot]]/3)/1.01059,0)</f>
        <v>0</v>
      </c>
      <c r="EJ113" s="234">
        <f>ROUND((Table1[[#This Row],[SubTot]]/3)/1.01059,0)</f>
        <v>0</v>
      </c>
      <c r="EK113" s="234">
        <f>ROUNDUP((Table1[[#This Row],[SubTot]]/3)/1.01059,0)</f>
        <v>0</v>
      </c>
      <c r="EL113" s="235"/>
      <c r="EM113" s="240">
        <f>Table1[[#This Row],[SubTot]]*0.01059</f>
        <v>0</v>
      </c>
      <c r="EN113" s="234">
        <f>ROUND((Table1[[#This Row],[UnsubTot]]/3)/1.01062,0)</f>
        <v>660</v>
      </c>
      <c r="EO113" s="234">
        <f>ROUND((Table1[[#This Row],[UnsubTot]]/3)/1.01062,0)</f>
        <v>660</v>
      </c>
      <c r="EP113" s="234">
        <f>ROUNDDOWN((Table1[[#This Row],[UnsubTot]]/3)/1.01062,0)</f>
        <v>659</v>
      </c>
      <c r="EQ113" s="235">
        <f>IF(Table1[D/I]="I",6000,2000)</f>
        <v>2000</v>
      </c>
      <c r="ER113" s="240">
        <f>Table1[[#This Row],[UnsubTot]]*0.01062</f>
        <v>21.24</v>
      </c>
      <c r="ES113" s="234">
        <f>ROUND((Table1[[#This Row],[PLUSTot]]/3)/1.04248,0)</f>
        <v>0</v>
      </c>
      <c r="ET113" s="234">
        <f>ROUND((Table1[[#This Row],[PLUSTot]]/3)/1.04248,0)</f>
        <v>0</v>
      </c>
      <c r="EU113" s="234">
        <f>ROUND((Table1[[#This Row],[PLUSTot]]/3)/1.04248,0)</f>
        <v>0</v>
      </c>
      <c r="EV113" s="235"/>
      <c r="EW113" s="239">
        <f>Table1[[#This Row],[PLUSTot]]*0.04248</f>
        <v>0</v>
      </c>
      <c r="EX113" s="237"/>
      <c r="EY113" s="237"/>
      <c r="EZ113" s="237"/>
      <c r="FA113" s="232">
        <f>SUM(Table1[[#This Row],[PrivQ1]:[PrivQ3]])</f>
        <v>0</v>
      </c>
      <c r="FB113" s="237"/>
      <c r="FC113" s="237"/>
      <c r="FD113" s="237"/>
      <c r="FE113" s="232">
        <f>SUM(Table1[[#This Row],[TOQ1]:[TOQ3]])</f>
        <v>0</v>
      </c>
      <c r="FF113" s="237"/>
      <c r="FG113" s="237"/>
      <c r="FH113" s="237"/>
      <c r="FI113" s="232">
        <f>SUM(Table1[[#This Row],[OFundQ1]:[OFundQ3]])</f>
        <v>0</v>
      </c>
      <c r="FJ113" s="239">
        <f>(Table1[[#This Row],[SubTot]]-Table1[[#This Row],[SubFee]])+(Table1[[#This Row],[UnsubTot]]-Table1[[#This Row],[UnsubFee]])+(Table1[[#This Row],[PLUSTot]]-Table1[[#This Row],[PLUSFee]])+Table1[[#This Row],[PrivTot]]+Table1[[#This Row],[TOTot]]+Table1[[#This Row],[OFundTot]]</f>
        <v>1978.76</v>
      </c>
      <c r="FK113" s="125">
        <f>Table1[[#This Row],[CostTot]]-Table1[[#This Row],[GiftTot]]</f>
        <v>39515</v>
      </c>
      <c r="FL113" s="130">
        <f>Table1[[#This Row],[NetNeed]]/(1-0.04248)</f>
        <v>39201.520594870075</v>
      </c>
      <c r="FM113" s="131">
        <f>Table1[[#This Row],[NetCost]]-Table1[[#This Row],[CashTot]]-(Table1[[#This Row],[SubTot]]-Table1[[#This Row],[SubFee]])-(Table1[[#This Row],[UnsubTot]]-Table1[[#This Row],[UnsubFee]])-(Table1[[#This Row],[PLUSTot]]-Table1[[#This Row],[PLUSFee]])-Table1[[#This Row],[PrivTot]]-Table1[[#This Row],[TOTot]]-Table1[[#This Row],[OFundTot]]</f>
        <v>37536.239999999998</v>
      </c>
      <c r="FN113" s="156"/>
      <c r="FO113" s="113"/>
      <c r="FP113" s="113"/>
    </row>
    <row r="114" spans="1:172" ht="15" x14ac:dyDescent="0.25">
      <c r="A114" s="267">
        <v>197807</v>
      </c>
      <c r="B114" s="160" t="str">
        <f>VLOOKUP(Table1[[#This Row],[SyStudentId]],SSR!$A$2:$CC$4982,4,FALSE)</f>
        <v>Russell</v>
      </c>
      <c r="C114" s="160" t="str">
        <f>VLOOKUP(Table1[[#This Row],[SyStudentId]],SSR!$A$2:$CC$4982,5,FALSE)</f>
        <v>Ryan</v>
      </c>
      <c r="D114" s="160" t="str">
        <f>VLOOKUP(Table1[[#This Row],[SyStudentId]],SSR!$A$2:$CC$4982,6,FALSE)</f>
        <v>Russell, Ryan</v>
      </c>
      <c r="E114" s="113" t="str">
        <f>CONCATENATE(Table1[[#This Row],[FirstName]]," ",Table1[[#This Row],[LastName]])</f>
        <v>Ryan Russell</v>
      </c>
      <c r="F114" s="158"/>
      <c r="G114" s="114"/>
      <c r="H114" s="114"/>
      <c r="I114" s="114"/>
      <c r="J114" s="163"/>
      <c r="K114" s="164"/>
      <c r="L114" s="158" t="str">
        <f>IFERROR(VLOOKUP(Table1[[#This Row],[SyStudentId]],ISIR!$A$2:$X$4999,11,FALSE),"")</f>
        <v/>
      </c>
      <c r="M114" s="160" t="str">
        <f>VLOOKUP(Table1[[#This Row],[SyStudentId]],SSR!$A$2:$CC$4982,7,FALSE)</f>
        <v>trueaggie30@gmail.com</v>
      </c>
      <c r="N114" s="160" t="str">
        <f>VLOOKUP(Table1[[#This Row],[SyStudentId]],SSR!$A$2:$CC$4982,8,FALSE)</f>
        <v>2037 N Belmont Dr.</v>
      </c>
      <c r="O114" s="160" t="str">
        <f>VLOOKUP(Table1[[#This Row],[SyStudentId]],SSR!$A$2:$CC$4982,9,FALSE)</f>
        <v>Saratoga Springs</v>
      </c>
      <c r="P114" s="160" t="str">
        <f>VLOOKUP(Table1[[#This Row],[SyStudentId]],SSR!$A$2:$CC$4982,10,FALSE)</f>
        <v>UT</v>
      </c>
      <c r="Q114" s="165" t="str">
        <f>VLOOKUP(Table1[[#This Row],[SyStudentId]],SSR!$A$2:$CC$4982,11,FALSE)</f>
        <v xml:space="preserve">84045     </v>
      </c>
      <c r="R114" s="166">
        <f>VLOOKUP(Table1[[#This Row],[SyStudentId]],SSR!$A$2:$CC$4982,15,FALSE)</f>
        <v>3.6778</v>
      </c>
      <c r="S114" s="167">
        <f>VLOOKUP(Table1[[#This Row],[SyStudentId]],SSR!$A$2:$CC$4982,22,FALSE)</f>
        <v>44109</v>
      </c>
      <c r="T114" s="160" t="str">
        <f>VLOOKUP(Table1[[#This Row],[SyStudentId]],SSR!$A$2:$CC$4982,24,FALSE)</f>
        <v>MR</v>
      </c>
      <c r="U114" s="160" t="str">
        <f>IF(VLOOKUP(Table1[[#This Row],[SyStudentId]],SSR!$A$2:$CC$4982,26,FALSE)=0,"Not Selected",VLOOKUP(Table1[[#This Row],[SyStudentId]],SSR!$A$2:$CC$4982,26,FALSE))</f>
        <v>Male</v>
      </c>
      <c r="V114" s="160" t="str">
        <f>VLOOKUP(Table1[[#This Row],[SyStudentId]],SSR!$A$2:$CC$4982,27,FALSE)</f>
        <v xml:space="preserve">HS2011  </v>
      </c>
      <c r="W114" s="160" t="str">
        <f>VLOOKUP(LEFT(Table1[[#This Row],[LastName]],1),Alpha!$A$1:$B$26,2,FALSE)</f>
        <v>Maureen Ranks</v>
      </c>
      <c r="X114" s="179" t="str">
        <f>VLOOKUP(Table1[[#This Row],[FAA]],Alpha!$B$1:$D$26,2,FALSE)</f>
        <v>mranks@neumont.edu</v>
      </c>
      <c r="Y114" s="160">
        <f>VLOOKUP(Table1[[#This Row],[FAA]],Alpha!$B$1:$D$26,3,FALSE)</f>
        <v>8883022894</v>
      </c>
      <c r="Z114" s="160" t="str">
        <f>VLOOKUP(Table1[[#This Row],[SyStudentId]],SSR!$A$2:$CC$4982,30,FALSE)</f>
        <v>16-Accepted</v>
      </c>
      <c r="AA114" s="160" t="str">
        <f>IF(VLOOKUP(Table1[[#This Row],[SyStudentId]],SSR!$A$2:$CC$4982,36,FALSE)="Bachelor of Science","BS Computer Science","Check Program")</f>
        <v>BS Computer Science</v>
      </c>
      <c r="AB114" s="160" t="str">
        <f>VLOOKUP(Table1[[#This Row],[SyStudentId]],SSR!$A$2:$CC$4982,37,FALSE)</f>
        <v xml:space="preserve">17      </v>
      </c>
      <c r="AC114" s="160">
        <f>VLOOKUP(Table1[[#This Row],[SyStudentId]],SSR!$A$2:$CC$4982,42,FALSE)</f>
        <v>0</v>
      </c>
      <c r="AD114" s="160" t="str">
        <f>VLOOKUP(Table1[[#This Row],[SyStudentId]],SSR!$A$2:$CC$4982,46,FALSE)</f>
        <v>103</v>
      </c>
      <c r="AE114" s="160" t="str">
        <f>VLOOKUP(Table1[[#This Row],[SyStudentId]],SSR!$A$2:$CC$4982,65,FALSE)</f>
        <v>V</v>
      </c>
      <c r="AF114"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5</v>
      </c>
      <c r="AG114" s="160" t="str">
        <f>VLOOKUP(Table1[[#This Row],[SyStudentId]],SSR!$A$2:$CC$4982,66,FALSE)</f>
        <v>July-October</v>
      </c>
      <c r="AH114" s="160" t="str">
        <f>IFERROR(VLOOKUP(Table1[[#This Row],[SyStudentId]],ISIR!$A$2:$X$1999,7,FALSE),"")</f>
        <v/>
      </c>
      <c r="AI114" s="170" t="str">
        <f>IF(Table1[[#This Row],[EFCRaw]]="","",IF(Table1[[#This Row],[EFCRaw]]="No EFC","No EFC",_xlfn.NUMBERVALUE(Table1[[#This Row],[EFCRaw]])))</f>
        <v/>
      </c>
      <c r="AJ114" s="167" t="str">
        <f>IFERROR(VLOOKUP(Table1[[#This Row],[SyStudentId]],ISIR!$A$2:$X$4999,19,FALSE),"")</f>
        <v/>
      </c>
      <c r="AK114" s="160" t="str">
        <f>IFERROR(VLOOKUP(Table1[[#This Row],[SyStudentId]],ISIR!$A$2:$X$4999,8,FALSE),"")</f>
        <v/>
      </c>
      <c r="AL114" s="171" t="str">
        <f>IF(Table1[[#This Row],[VerReq]]="N","n/a","")</f>
        <v/>
      </c>
      <c r="AM114" s="122"/>
      <c r="AN114" s="122"/>
      <c r="AO114" s="122"/>
      <c r="AP114" s="122"/>
      <c r="AQ114" s="122"/>
      <c r="AR114" s="122"/>
      <c r="AS114" s="122"/>
      <c r="AT114" s="122"/>
      <c r="AU114" s="122"/>
      <c r="AV114" s="122"/>
      <c r="AW114" s="122"/>
      <c r="AX114" s="122"/>
      <c r="AY114" s="122"/>
      <c r="AZ114" s="122"/>
      <c r="BA114" s="122"/>
      <c r="BB114" s="122"/>
      <c r="BC114" s="148"/>
      <c r="BD114" s="140" t="str">
        <f>IF(Table1[[#This Row],[VerReq]]="N","x","")</f>
        <v/>
      </c>
      <c r="BE114" s="140" t="str">
        <f>IF(Table1[[#This Row],[VerReq]]="N","x","")</f>
        <v/>
      </c>
      <c r="BF114" s="140" t="str">
        <f>IF(Table1[[#This Row],[VerReq]]="N","x","")</f>
        <v/>
      </c>
      <c r="BG114" s="140" t="str">
        <f>IF(Table1[[#This Row],[VerReq]]="N","x","")</f>
        <v/>
      </c>
      <c r="BH114" s="140" t="str">
        <f>IF(Table1[[#This Row],[VerReq]]="N","x","")</f>
        <v/>
      </c>
      <c r="BI114" s="140" t="str">
        <f>IF(Table1[[#This Row],[VerReq]]="N","x","")</f>
        <v/>
      </c>
      <c r="BJ114" s="181">
        <f>1-((COUNTBLANK(Table1[[#This Row],[ALESent]:[TaxTran]]))/(COUNT(Table1[[#This Row],[ALESent]:[TaxTran]])+COUNTBLANK(Table1[[#This Row],[ALESent]:[TaxTran]])))</f>
        <v>0</v>
      </c>
      <c r="BK114" s="216">
        <f>IF(VLOOKUP(Table1[[#This Row],[SyStudentId]],SSR!$A$2:$CC$4982,22,FALSE)=44109,44109,"Check Program")</f>
        <v>44109</v>
      </c>
      <c r="BL114" s="173">
        <f>IF(Table1[[#This Row],[AYStart]]=44109,44356,"Check Program")</f>
        <v>44356</v>
      </c>
      <c r="BM114" s="219">
        <v>8505</v>
      </c>
      <c r="BN114" s="219">
        <v>8505</v>
      </c>
      <c r="BO114" s="219">
        <v>8505</v>
      </c>
      <c r="BP114" s="220">
        <f t="shared" si="3"/>
        <v>25515</v>
      </c>
      <c r="BQ114" s="221">
        <v>3300</v>
      </c>
      <c r="BR114" s="219">
        <v>400</v>
      </c>
      <c r="BS114" s="219">
        <v>400</v>
      </c>
      <c r="BT114" s="222">
        <f t="shared" si="4"/>
        <v>4100</v>
      </c>
      <c r="BU114" s="219">
        <v>2100</v>
      </c>
      <c r="BV114" s="219">
        <v>2100</v>
      </c>
      <c r="BW114" s="219">
        <v>2100</v>
      </c>
      <c r="BX114" s="222">
        <f t="shared" si="5"/>
        <v>6300</v>
      </c>
      <c r="BY114" s="275">
        <v>1200</v>
      </c>
      <c r="BZ114" s="275">
        <v>1200</v>
      </c>
      <c r="CA114" s="275">
        <v>1200</v>
      </c>
      <c r="CB114" s="222">
        <f>SUM(Table1[[#This Row],[LEQ1]:[LEQ3]])</f>
        <v>3600</v>
      </c>
      <c r="CC114" s="276">
        <v>0</v>
      </c>
      <c r="CD114" s="276">
        <v>0</v>
      </c>
      <c r="CE114" s="276">
        <v>0</v>
      </c>
      <c r="CF114" s="222">
        <f>SUM(Table1[[#This Row],[OthCostQ1]:[OthCostQ3]])</f>
        <v>0</v>
      </c>
      <c r="CG114" s="222">
        <f>(Table1[[#This Row],[T&amp;FTot]]+Table1[[#This Row],[B&amp;STot]]+Table1[[#This Row],[HousTot]]+Table1[[#This Row],[LETot]]+Table1[[#This Row],[OthCostTot]])</f>
        <v>39515</v>
      </c>
      <c r="CH114" s="253">
        <v>0</v>
      </c>
      <c r="CI114" s="253">
        <v>0</v>
      </c>
      <c r="CJ114" s="253">
        <v>0</v>
      </c>
      <c r="CK114" s="254">
        <f>SUM(Table1[[#This Row],[SEOGQ1]:[SEOGQ3]])</f>
        <v>0</v>
      </c>
      <c r="CL114" s="253">
        <f>IFERROR(ROUNDUP(Table1[[#This Row],[PellTot]]/3,0),0)</f>
        <v>0</v>
      </c>
      <c r="CM114" s="253">
        <f>IFERROR(ROUND(Table1[[#This Row],[PellTot]]/3,0),0)</f>
        <v>0</v>
      </c>
      <c r="CN114" s="253">
        <f>IFERROR(ROUNDDOWN(Table1[[#This Row],[PellTot]]/3,0),0)</f>
        <v>0</v>
      </c>
      <c r="CO114" s="254">
        <f>IFERROR(LOOKUP(Table1[EFC],Pell_Table[#Data],Pell_Table[Pell Amt]),0)</f>
        <v>0</v>
      </c>
      <c r="CP114" s="253">
        <f>Table1[[#This Row],[AccessTot]]/3</f>
        <v>0</v>
      </c>
      <c r="CQ114" s="253">
        <f>Table1[[#This Row],[AccessTot]]/3</f>
        <v>0</v>
      </c>
      <c r="CR114" s="253">
        <f>Table1[[#This Row],[AccessTot]]/3</f>
        <v>0</v>
      </c>
      <c r="CS114" s="254">
        <f>IF(Table1[[#This Row],[PellTot]]&gt;0,1500,0)</f>
        <v>0</v>
      </c>
      <c r="CT114" s="253">
        <f>Table1[[#This Row],[AchiTot]]/3</f>
        <v>1000</v>
      </c>
      <c r="CU114" s="253">
        <f>Table1[[#This Row],[AchiTot]]/3</f>
        <v>1000</v>
      </c>
      <c r="CV114" s="253">
        <f>Table1[[#This Row],[AchiTot]]/3</f>
        <v>1000</v>
      </c>
      <c r="CW114" s="255">
        <f>IF(Table1[[#This Row],[Rank]]="","",IF(Table1[[#This Row],[Rank]]=1,5100,IF(Table1[[#This Row],[Rank]]=2,4500,IF(Table1[[#This Row],[Rank]]=3,3900,IF(Table1[[#This Row],[Rank]]=4,3750,IF(Table1[[#This Row],[Rank]]=5,3000,IF(Table1[[#This Row],[Rank]]=6,2250,0)))))))</f>
        <v>3000</v>
      </c>
      <c r="CX114" s="253">
        <f>Table1[[#This Row],[UTTot]]/3</f>
        <v>3000</v>
      </c>
      <c r="CY114" s="253">
        <f>Table1[[#This Row],[UTTot]]/3</f>
        <v>3000</v>
      </c>
      <c r="CZ114" s="253">
        <f>Table1[[#This Row],[UTTot]]/3</f>
        <v>3000</v>
      </c>
      <c r="DA114" s="254">
        <f>IF(Table1[[#This Row],[State]]="UT",9000,0)</f>
        <v>9000</v>
      </c>
      <c r="DB114" s="253">
        <f>Table1[[#This Row],[WITTot]]/3</f>
        <v>0</v>
      </c>
      <c r="DC114" s="253">
        <f>Table1[[#This Row],[WITTot]]/3</f>
        <v>0</v>
      </c>
      <c r="DD114" s="253">
        <f>Table1[[#This Row],[WITTot]]/3</f>
        <v>0</v>
      </c>
      <c r="DE114" s="254">
        <f>IF(Table1[[#This Row],[Gender]]="Female",3000,0)</f>
        <v>0</v>
      </c>
      <c r="DF114" s="253">
        <f>Table1[[#This Row],[SerTot]]/3</f>
        <v>0</v>
      </c>
      <c r="DG114" s="253">
        <f>Table1[[#This Row],[SerTot]]/3</f>
        <v>0</v>
      </c>
      <c r="DH114" s="253">
        <f>Table1[[#This Row],[SerTot]]/3</f>
        <v>0</v>
      </c>
      <c r="DI114" s="255">
        <v>0</v>
      </c>
      <c r="DJ114" s="253">
        <f>IFERROR(ROUNDUP(Table1[[#This Row],[TranTot]]/3,0),0)</f>
        <v>0</v>
      </c>
      <c r="DK114" s="253">
        <f>IFERROR(ROUND(Table1[[#This Row],[TranTot]]/3,0),0)</f>
        <v>0</v>
      </c>
      <c r="DL114" s="253">
        <f>IFERROR(ROUNDDOWN(Table1[[#This Row],[TranTot]]/3,0),0)</f>
        <v>0</v>
      </c>
      <c r="DM114" s="255">
        <v>0</v>
      </c>
      <c r="DN114" s="253">
        <f>Table1[[#This Row],[MatTot]]/3</f>
        <v>0</v>
      </c>
      <c r="DO114" s="253">
        <f>Table1[[#This Row],[MatTot]]/3</f>
        <v>0</v>
      </c>
      <c r="DP114" s="253">
        <f>Table1[[#This Row],[MatTot]]/3</f>
        <v>0</v>
      </c>
      <c r="DQ114" s="255">
        <v>0</v>
      </c>
      <c r="DR114" s="253">
        <f>Table1[[#This Row],[OutTot]]/3</f>
        <v>0</v>
      </c>
      <c r="DS114" s="253">
        <f>Table1[[#This Row],[OutTot]]/3</f>
        <v>0</v>
      </c>
      <c r="DT114" s="253">
        <f>Table1[[#This Row],[OutTot]]/3</f>
        <v>0</v>
      </c>
      <c r="DU114" s="255">
        <v>0</v>
      </c>
      <c r="DV114" s="253">
        <v>0</v>
      </c>
      <c r="DW114" s="253">
        <v>0</v>
      </c>
      <c r="DX114" s="253">
        <v>0</v>
      </c>
      <c r="DY114" s="255">
        <f>SUM(Table1[[#This Row],[VAQ1]:[VAQ3]])</f>
        <v>0</v>
      </c>
      <c r="DZ114" s="253">
        <v>0</v>
      </c>
      <c r="EA114" s="253">
        <v>0</v>
      </c>
      <c r="EB114" s="253">
        <v>0</v>
      </c>
      <c r="EC114" s="278">
        <f>SUM(Table1[[#This Row],[OthGrantQ1]:[OthGrantQ3]])</f>
        <v>0</v>
      </c>
      <c r="ED114" s="264">
        <f>Table1[[#This Row],[SEOGTot]]+Table1[[#This Row],[PellTot]]+Table1[[#This Row],[AccessTot]]+Table1[[#This Row],[AchiTot]]+Table1[[#This Row],[UTTot]]+Table1[[#This Row],[WITTot]]+Table1[[#This Row],[SerTot]]+Table1[[#This Row],[TranTot]]+Table1[[#This Row],[MatTot]]+Table1[[#This Row],[OutTot]]+Table1[[#This Row],[VATot]]+Table1[[#This Row],[OthGrantTot]]</f>
        <v>12000</v>
      </c>
      <c r="EE114" s="226">
        <v>0</v>
      </c>
      <c r="EF114" s="227">
        <v>0</v>
      </c>
      <c r="EG114" s="227">
        <v>0</v>
      </c>
      <c r="EH114" s="228">
        <f>SUM(Table1[[#This Row],[CashQ1]]:Table1[[#This Row],[CashQ3]])</f>
        <v>0</v>
      </c>
      <c r="EI114" s="229">
        <f>ROUND((Table1[[#This Row],[SubTot]]/3)/1.01059,0)</f>
        <v>1154</v>
      </c>
      <c r="EJ114" s="230">
        <f>ROUND((Table1[[#This Row],[SubTot]]/3)/1.01059,0)</f>
        <v>1154</v>
      </c>
      <c r="EK114" s="230">
        <f>ROUNDUP((Table1[[#This Row],[SubTot]]/3)/1.01059,0)</f>
        <v>1155</v>
      </c>
      <c r="EL114" s="231">
        <v>3500</v>
      </c>
      <c r="EM114" s="233">
        <f>Table1[[#This Row],[SubTot]]*0.01059</f>
        <v>37.065000000000005</v>
      </c>
      <c r="EN114" s="230">
        <f>ROUND((Table1[[#This Row],[UnsubTot]]/3)/1.01062,0)</f>
        <v>660</v>
      </c>
      <c r="EO114" s="230">
        <f>ROUND((Table1[[#This Row],[UnsubTot]]/3)/1.01062,0)</f>
        <v>660</v>
      </c>
      <c r="EP114" s="230">
        <f>ROUNDDOWN((Table1[[#This Row],[UnsubTot]]/3)/1.01062,0)</f>
        <v>659</v>
      </c>
      <c r="EQ114" s="231">
        <f>IF(Table1[D/I]="I",6000,2000)</f>
        <v>2000</v>
      </c>
      <c r="ER114" s="233">
        <f>Table1[[#This Row],[UnsubTot]]*0.01059</f>
        <v>21.18</v>
      </c>
      <c r="ES114" s="230">
        <f>ROUND((Table1[[#This Row],[PLUSTot]]/3)/1.04236,0)</f>
        <v>0</v>
      </c>
      <c r="ET114" s="230">
        <f>ROUND((Table1[[#This Row],[PLUSTot]]/3)/1.04236,0)</f>
        <v>0</v>
      </c>
      <c r="EU114" s="230">
        <f>ROUND((Table1[[#This Row],[PLUSTot]]/3)/1.04236,0)</f>
        <v>0</v>
      </c>
      <c r="EV114" s="231">
        <v>0</v>
      </c>
      <c r="EW114" s="236">
        <f>Table1[[#This Row],[PLUSTot]]*0.04236</f>
        <v>0</v>
      </c>
      <c r="EX114" s="227"/>
      <c r="EY114" s="227"/>
      <c r="EZ114" s="227"/>
      <c r="FA114" s="228">
        <f>SUM(Table1[[#This Row],[PrivQ1]:[PrivQ3]])</f>
        <v>0</v>
      </c>
      <c r="FB114" s="227"/>
      <c r="FC114" s="227"/>
      <c r="FD114" s="227"/>
      <c r="FE114" s="228">
        <f>SUM(Table1[[#This Row],[TOQ1]:[TOQ3]])</f>
        <v>0</v>
      </c>
      <c r="FF114" s="227"/>
      <c r="FG114" s="227"/>
      <c r="FH114" s="227"/>
      <c r="FI114" s="228">
        <f>SUM(Table1[[#This Row],[OFundQ1]:[OFundQ3]])</f>
        <v>0</v>
      </c>
      <c r="FJ114" s="236">
        <f>(Table1[[#This Row],[SubTot]]-Table1[[#This Row],[SubFee]])+(Table1[[#This Row],[UnsubTot]]-Table1[[#This Row],[UnsubFee]])+(Table1[[#This Row],[PLUSTot]]-Table1[[#This Row],[PLUSFee]])+Table1[[#This Row],[PrivTot]]+Table1[[#This Row],[TOTot]]+Table1[[#This Row],[OFundTot]]</f>
        <v>5441.7550000000001</v>
      </c>
      <c r="FK114" s="159">
        <f>Table1[[#This Row],[CostTot]]-Table1[[#This Row],[GiftTot]]</f>
        <v>27515</v>
      </c>
      <c r="FL114" s="174">
        <f>Table1[[#This Row],[NetNeed]]/(1-0.04236)</f>
        <v>23049.627208554361</v>
      </c>
      <c r="FM114" s="176">
        <f>Table1[[#This Row],[NetCost]]-Table1[[#This Row],[CashTot]]-(Table1[[#This Row],[SubTot]]-Table1[[#This Row],[SubFee]])-(Table1[[#This Row],[UnsubTot]]-Table1[[#This Row],[UnsubFee]])-(Table1[[#This Row],[PLUSTot]]-Table1[[#This Row],[PLUSFee]])-Table1[[#This Row],[PrivTot]]-Table1[[#This Row],[TOTot]]-Table1[[#This Row],[OFundTot]]</f>
        <v>22073.244999999999</v>
      </c>
      <c r="FN114" s="217"/>
      <c r="FO114" s="162"/>
      <c r="FP114" s="162"/>
    </row>
    <row r="115" spans="1:172" ht="26.25" x14ac:dyDescent="0.25">
      <c r="A115" s="267">
        <v>194968</v>
      </c>
      <c r="B115" s="113" t="str">
        <f>VLOOKUP(Table1[[#This Row],[SyStudentId]],SSR!$A$2:$CC$4982,4,FALSE)</f>
        <v>Rust</v>
      </c>
      <c r="C115" s="113" t="str">
        <f>VLOOKUP(Table1[[#This Row],[SyStudentId]],SSR!$A$2:$CC$4982,5,FALSE)</f>
        <v>Logan</v>
      </c>
      <c r="D115" s="113" t="str">
        <f>VLOOKUP(Table1[[#This Row],[SyStudentId]],SSR!$A$2:$CC$4982,6,FALSE)</f>
        <v>Rust, Logan</v>
      </c>
      <c r="E115" s="113" t="str">
        <f>CONCATENATE(Table1[[#This Row],[FirstName]]," ",Table1[[#This Row],[LastName]])</f>
        <v>Logan Rust</v>
      </c>
      <c r="F115" s="112">
        <v>2</v>
      </c>
      <c r="G115" s="114">
        <v>43780</v>
      </c>
      <c r="H115" s="114">
        <v>43780</v>
      </c>
      <c r="I115" s="114">
        <v>43780</v>
      </c>
      <c r="J115" s="115" t="s">
        <v>5310</v>
      </c>
      <c r="K115" s="116" t="s">
        <v>707</v>
      </c>
      <c r="L115" s="112" t="str">
        <f>IFERROR(VLOOKUP(Table1[[#This Row],[SyStudentId]],ISIR!$A$2:$X$999,11,FALSE),"")</f>
        <v>D</v>
      </c>
      <c r="M115" s="113" t="str">
        <f>VLOOKUP(Table1[[#This Row],[SyStudentId]],SSR!$A$2:$CC$4982,7,FALSE)</f>
        <v>littlelogan2002@gmail.com</v>
      </c>
      <c r="N115" s="113" t="str">
        <f>VLOOKUP(Table1[[#This Row],[SyStudentId]],SSR!$A$2:$CC$4982,8,FALSE)</f>
        <v>5534 Peacock Street</v>
      </c>
      <c r="O115" s="113" t="str">
        <f>VLOOKUP(Table1[[#This Row],[SyStudentId]],SSR!$A$2:$CC$4982,9,FALSE)</f>
        <v>Ocean Springs</v>
      </c>
      <c r="P115" s="292" t="str">
        <f>VLOOKUP(Table1[[#This Row],[SyStudentId]],SSR!$A$2:$CC$4982,10,FALSE)</f>
        <v>MS</v>
      </c>
      <c r="Q115" s="117" t="str">
        <f>VLOOKUP(Table1[[#This Row],[SyStudentId]],SSR!$A$2:$CC$4982,11,FALSE)</f>
        <v xml:space="preserve">39564     </v>
      </c>
      <c r="R115" s="118">
        <f>VLOOKUP(Table1[[#This Row],[SyStudentId]],SSR!$A$2:$CC$4982,15,FALSE)</f>
        <v>2.8035999999999999</v>
      </c>
      <c r="S115" s="119">
        <f>VLOOKUP(Table1[[#This Row],[SyStudentId]],SSR!$A$2:$CC$4982,22,FALSE)</f>
        <v>44109</v>
      </c>
      <c r="T115" s="113" t="str">
        <f>VLOOKUP(Table1[[#This Row],[SyStudentId]],SSR!$A$2:$CC$4982,24,FALSE)</f>
        <v>MN</v>
      </c>
      <c r="U115" s="113" t="str">
        <f>IF(VLOOKUP(Table1[[#This Row],[SyStudentId]],SSR!$A$2:$CC$4982,26,FALSE)=0,"Not Selected",VLOOKUP(Table1[[#This Row],[SyStudentId]],SSR!$A$2:$CC$4982,26,FALSE))</f>
        <v>Male</v>
      </c>
      <c r="V115" s="113" t="str">
        <f>VLOOKUP(Table1[[#This Row],[SyStudentId]],SSR!$A$2:$CC$4982,27,FALSE)</f>
        <v xml:space="preserve">HS2020  </v>
      </c>
      <c r="W115" s="113" t="str">
        <f>VLOOKUP(LEFT(Table1[[#This Row],[LastName]],1),Alpha!$A$1:$B$26,2,FALSE)</f>
        <v>Maureen Ranks</v>
      </c>
      <c r="X115" s="149" t="str">
        <f>VLOOKUP(Table1[[#This Row],[FAA]],Alpha!$B$1:$D$26,2,FALSE)</f>
        <v>mranks@neumont.edu</v>
      </c>
      <c r="Y115" s="113">
        <f>VLOOKUP(Table1[[#This Row],[FAA]],Alpha!$B$1:$D$26,3,FALSE)</f>
        <v>8883022894</v>
      </c>
      <c r="Z115" s="113" t="str">
        <f>VLOOKUP(Table1[[#This Row],[SyStudentId]],SSR!$A$2:$CC$4982,30,FALSE)</f>
        <v>16-Accepted</v>
      </c>
      <c r="AA115" s="113" t="str">
        <f>IF(VLOOKUP(Table1[[#This Row],[SyStudentId]],SSR!$A$2:$CC$4982,36,FALSE)="Bachelor of Science","BS Computer Science","Check Program")</f>
        <v>BS Computer Science</v>
      </c>
      <c r="AB115" s="113" t="str">
        <f>VLOOKUP(Table1[[#This Row],[SyStudentId]],SSR!$A$2:$CC$4982,37,FALSE)</f>
        <v xml:space="preserve">29      </v>
      </c>
      <c r="AC115" s="113">
        <f>VLOOKUP(Table1[[#This Row],[SyStudentId]],SSR!$A$2:$CC$4982,42,FALSE)</f>
        <v>0</v>
      </c>
      <c r="AD115" s="113" t="str">
        <f>VLOOKUP(Table1[[#This Row],[SyStudentId]],SSR!$A$2:$CC$4982,46,FALSE)</f>
        <v>108</v>
      </c>
      <c r="AE115" s="113" t="str">
        <f>VLOOKUP(Table1[[#This Row],[SyStudentId]],SSR!$A$2:$CC$4982,65,FALSE)</f>
        <v>IV</v>
      </c>
      <c r="AF115"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4</v>
      </c>
      <c r="AG115" s="113" t="str">
        <f>VLOOKUP(Table1[[#This Row],[SyStudentId]],SSR!$A$2:$CC$4982,66,FALSE)</f>
        <v>October</v>
      </c>
      <c r="AH115" s="113" t="str">
        <f>IFERROR(VLOOKUP(Table1[[#This Row],[SyStudentId]],ISIR!$A$2:$X$999,7,FALSE),"")</f>
        <v>000000</v>
      </c>
      <c r="AI115" s="121">
        <f>IF(Table1[[#This Row],[EFCRaw]]="","",IF(Table1[[#This Row],[EFCRaw]]="No EFC","No EFC",_xlfn.NUMBERVALUE(Table1[[#This Row],[EFCRaw]])))</f>
        <v>0</v>
      </c>
      <c r="AJ115" s="119">
        <f>IFERROR(VLOOKUP(Table1[[#This Row],[SyStudentId]],ISIR!$A$2:$X$4999,19,FALSE),"")</f>
        <v>43804</v>
      </c>
      <c r="AK115" s="113" t="str">
        <f>IFERROR(VLOOKUP(Table1[[#This Row],[SyStudentId]],ISIR!$A$2:$X$4999,8,FALSE),"")</f>
        <v>N</v>
      </c>
      <c r="AL115" s="132" t="str">
        <f>IF(Table1[[#This Row],[VerReq]]="N","n/a","")</f>
        <v>n/a</v>
      </c>
      <c r="AM115" s="122"/>
      <c r="AN115" s="122"/>
      <c r="AO115" s="122">
        <v>43773</v>
      </c>
      <c r="AP115" s="122"/>
      <c r="AQ115" s="122"/>
      <c r="AR115" s="122"/>
      <c r="AS115" s="122"/>
      <c r="AT115" s="122"/>
      <c r="AU115" s="122"/>
      <c r="AV115" s="122"/>
      <c r="AW115" s="122"/>
      <c r="AX115" s="122"/>
      <c r="AY115" s="122"/>
      <c r="AZ115" s="122"/>
      <c r="BA115" s="122"/>
      <c r="BB115" s="122"/>
      <c r="BC115" s="148"/>
      <c r="BD115" s="140" t="str">
        <f>IF(Table1[[#This Row],[VerReq]]="N","x","")</f>
        <v>x</v>
      </c>
      <c r="BE115" s="140" t="str">
        <f>IF(Table1[[#This Row],[VerReq]]="N","x","")</f>
        <v>x</v>
      </c>
      <c r="BF115" s="140" t="str">
        <f>IF(Table1[[#This Row],[VerReq]]="N","x","")</f>
        <v>x</v>
      </c>
      <c r="BG115" s="140" t="str">
        <f>IF(Table1[[#This Row],[VerReq]]="N","x","")</f>
        <v>x</v>
      </c>
      <c r="BH115" s="140" t="str">
        <f>IF(Table1[[#This Row],[VerReq]]="N","x","")</f>
        <v>x</v>
      </c>
      <c r="BI115" s="140" t="str">
        <f>IF(Table1[[#This Row],[VerReq]]="N","x","")</f>
        <v>x</v>
      </c>
      <c r="BJ115" s="123">
        <f>1-((COUNTBLANK(Table1[[#This Row],[ALESent]:[TaxTran]]))/(COUNT(Table1[[#This Row],[ALESent]:[TaxTran]])+COUNTBLANK(Table1[[#This Row],[ALESent]:[TaxTran]])))</f>
        <v>5.8823529411764719E-2</v>
      </c>
      <c r="BK115" s="150">
        <f>IF(VLOOKUP(Table1[[#This Row],[SyStudentId]],SSR!$A$2:$CC$4982,22,FALSE)=44109,44109,"Check Program")</f>
        <v>44109</v>
      </c>
      <c r="BL115" s="124">
        <f>IF(Table1[[#This Row],[AYStart]]=44109,44356,"Check Program")</f>
        <v>44356</v>
      </c>
      <c r="BM115" s="219">
        <v>8505</v>
      </c>
      <c r="BN115" s="219">
        <v>8505</v>
      </c>
      <c r="BO115" s="219">
        <v>8505</v>
      </c>
      <c r="BP115" s="220">
        <f t="shared" si="3"/>
        <v>25515</v>
      </c>
      <c r="BQ115" s="221">
        <v>3300</v>
      </c>
      <c r="BR115" s="219">
        <v>400</v>
      </c>
      <c r="BS115" s="219">
        <v>400</v>
      </c>
      <c r="BT115" s="220">
        <f t="shared" si="4"/>
        <v>4100</v>
      </c>
      <c r="BU115" s="219">
        <v>2100</v>
      </c>
      <c r="BV115" s="219">
        <v>2100</v>
      </c>
      <c r="BW115" s="219">
        <v>2100</v>
      </c>
      <c r="BX115" s="220">
        <f t="shared" si="5"/>
        <v>6300</v>
      </c>
      <c r="BY115" s="275">
        <v>1200</v>
      </c>
      <c r="BZ115" s="275">
        <v>1200</v>
      </c>
      <c r="CA115" s="275">
        <v>1200</v>
      </c>
      <c r="CB115" s="220">
        <f>SUM(Table1[[#This Row],[LEQ1]:[LEQ3]])</f>
        <v>3600</v>
      </c>
      <c r="CC115" s="269"/>
      <c r="CD115" s="269"/>
      <c r="CE115" s="269"/>
      <c r="CF115" s="220">
        <f>SUM(Table1[[#This Row],[OthCostQ1]:[OthCostQ3]])</f>
        <v>0</v>
      </c>
      <c r="CG115" s="220">
        <f>(Table1[[#This Row],[T&amp;FTot]]+Table1[[#This Row],[B&amp;STot]]+Table1[[#This Row],[HousTot]]+Table1[[#This Row],[LETot]]+Table1[[#This Row],[OthCostTot]])</f>
        <v>39515</v>
      </c>
      <c r="CH115" s="250"/>
      <c r="CI115" s="250"/>
      <c r="CJ115" s="250"/>
      <c r="CK115" s="251">
        <f>SUM(Table1[[#This Row],[SEOGQ1]:[SEOGQ3]])</f>
        <v>0</v>
      </c>
      <c r="CL115" s="250">
        <f>IFERROR(ROUNDUP(Table1[[#This Row],[PellTot]]/3,0),0)</f>
        <v>2065</v>
      </c>
      <c r="CM115" s="250">
        <f>IFERROR(ROUND(Table1[[#This Row],[PellTot]]/3,0),0)</f>
        <v>2065</v>
      </c>
      <c r="CN115" s="250">
        <f>IFERROR(ROUNDDOWN(Table1[[#This Row],[PellTot]]/3,0),0)</f>
        <v>2065</v>
      </c>
      <c r="CO115" s="251">
        <f>IFERROR(LOOKUP(Table1[EFC],Pell_Table[#Data],Pell_Table[Pell Amt]),0)</f>
        <v>6195</v>
      </c>
      <c r="CP115" s="250">
        <f>Table1[[#This Row],[AccessTot]]/3</f>
        <v>500</v>
      </c>
      <c r="CQ115" s="250">
        <f>Table1[[#This Row],[AccessTot]]/3</f>
        <v>500</v>
      </c>
      <c r="CR115" s="250">
        <f>Table1[[#This Row],[AccessTot]]/3</f>
        <v>500</v>
      </c>
      <c r="CS115" s="251">
        <f>IF(Table1[[#This Row],[PellTot]]&gt;0,1500,0)</f>
        <v>1500</v>
      </c>
      <c r="CT115" s="250">
        <f>Table1[[#This Row],[AchiTot]]/3</f>
        <v>1250</v>
      </c>
      <c r="CU115" s="250">
        <f>Table1[[#This Row],[AchiTot]]/3</f>
        <v>1250</v>
      </c>
      <c r="CV115" s="250">
        <f>Table1[[#This Row],[AchiTot]]/3</f>
        <v>1250</v>
      </c>
      <c r="CW115" s="252">
        <f>IF(Table1[[#This Row],[Rank]]="","",IF(Table1[[#This Row],[Rank]]=1,5100,IF(Table1[[#This Row],[Rank]]=2,4500,IF(Table1[[#This Row],[Rank]]=3,3900,IF(Table1[[#This Row],[Rank]]=4,3750,IF(Table1[[#This Row],[Rank]]=5,3000,IF(Table1[[#This Row],[Rank]]=6,2250,0)))))))</f>
        <v>3750</v>
      </c>
      <c r="CX115" s="250">
        <f>Table1[[#This Row],[UTTot]]/3</f>
        <v>0</v>
      </c>
      <c r="CY115" s="250">
        <f>Table1[[#This Row],[UTTot]]/3</f>
        <v>0</v>
      </c>
      <c r="CZ115" s="250">
        <f>Table1[[#This Row],[UTTot]]/3</f>
        <v>0</v>
      </c>
      <c r="DA115" s="251">
        <f>IF(Table1[[#This Row],[State]]="UT",9000,0)</f>
        <v>0</v>
      </c>
      <c r="DB115" s="250">
        <f>Table1[[#This Row],[WITTot]]/3</f>
        <v>0</v>
      </c>
      <c r="DC115" s="250">
        <f>Table1[[#This Row],[WITTot]]/3</f>
        <v>0</v>
      </c>
      <c r="DD115" s="250">
        <f>Table1[[#This Row],[WITTot]]/3</f>
        <v>0</v>
      </c>
      <c r="DE115" s="251">
        <f>IF(Table1[[#This Row],[Gender]]="Female",3000,0)</f>
        <v>0</v>
      </c>
      <c r="DF115" s="250">
        <f>Table1[[#This Row],[SerTot]]/3</f>
        <v>0</v>
      </c>
      <c r="DG115" s="250">
        <f>Table1[[#This Row],[SerTot]]/3</f>
        <v>0</v>
      </c>
      <c r="DH115" s="250">
        <f>Table1[[#This Row],[SerTot]]/3</f>
        <v>0</v>
      </c>
      <c r="DI115" s="252"/>
      <c r="DJ115" s="250"/>
      <c r="DK115" s="250"/>
      <c r="DL115" s="250"/>
      <c r="DM115" s="252"/>
      <c r="DN115" s="250">
        <f>Table1[[#This Row],[MatTot]]/3</f>
        <v>0</v>
      </c>
      <c r="DO115" s="250">
        <f>Table1[[#This Row],[MatTot]]/3</f>
        <v>0</v>
      </c>
      <c r="DP115" s="250">
        <f>Table1[[#This Row],[MatTot]]/3</f>
        <v>0</v>
      </c>
      <c r="DQ115" s="252"/>
      <c r="DR115" s="250">
        <f>Table1[[#This Row],[OutTot]]/3</f>
        <v>0</v>
      </c>
      <c r="DS115" s="250">
        <f>Table1[[#This Row],[OutTot]]/3</f>
        <v>0</v>
      </c>
      <c r="DT115" s="250">
        <f>Table1[[#This Row],[OutTot]]/3</f>
        <v>0</v>
      </c>
      <c r="DU115" s="252"/>
      <c r="DV115" s="250"/>
      <c r="DW115" s="250"/>
      <c r="DX115" s="250"/>
      <c r="DY115" s="252">
        <f>SUM(Table1[[#This Row],[VAQ1]:[VAQ3]])</f>
        <v>0</v>
      </c>
      <c r="DZ115" s="250"/>
      <c r="EA115" s="250"/>
      <c r="EB115" s="250"/>
      <c r="EC115" s="270">
        <f>SUM(Table1[[#This Row],[OthGrantQ1]:[OthGrantQ3]])</f>
        <v>0</v>
      </c>
      <c r="ED115" s="263">
        <f>Table1[[#This Row],[SEOGTot]]+Table1[[#This Row],[PellTot]]+Table1[[#This Row],[AccessTot]]+Table1[[#This Row],[AchiTot]]+Table1[[#This Row],[UTTot]]+Table1[[#This Row],[WITTot]]+Table1[[#This Row],[SerTot]]+Table1[[#This Row],[TranTot]]+Table1[[#This Row],[MatTot]]+Table1[[#This Row],[OutTot]]+Table1[[#This Row],[VATot]]+Table1[[#This Row],[OthGrantTot]]</f>
        <v>11445</v>
      </c>
      <c r="EE115" s="249"/>
      <c r="EF115" s="237"/>
      <c r="EG115" s="237"/>
      <c r="EH115" s="232">
        <f>SUM(Table1[[#This Row],[CashQ1]]:Table1[[#This Row],[CashQ3]])</f>
        <v>0</v>
      </c>
      <c r="EI115" s="271">
        <f>ROUND((Table1[[#This Row],[SubTot]]/3)/1.01059,0)</f>
        <v>0</v>
      </c>
      <c r="EJ115" s="234">
        <f>ROUND((Table1[[#This Row],[SubTot]]/3)/1.01059,0)</f>
        <v>0</v>
      </c>
      <c r="EK115" s="234">
        <f>ROUNDUP((Table1[[#This Row],[SubTot]]/3)/1.01059,0)</f>
        <v>0</v>
      </c>
      <c r="EL115" s="235"/>
      <c r="EM115" s="240">
        <f>Table1[[#This Row],[SubTot]]*0.01059</f>
        <v>0</v>
      </c>
      <c r="EN115" s="234">
        <f>ROUND((Table1[[#This Row],[UnsubTot]]/3)/1.01062,0)</f>
        <v>660</v>
      </c>
      <c r="EO115" s="234">
        <f>ROUND((Table1[[#This Row],[UnsubTot]]/3)/1.01062,0)</f>
        <v>660</v>
      </c>
      <c r="EP115" s="234">
        <f>ROUNDDOWN((Table1[[#This Row],[UnsubTot]]/3)/1.01062,0)</f>
        <v>659</v>
      </c>
      <c r="EQ115" s="235">
        <f>IF(Table1[D/I]="I",6000,2000)</f>
        <v>2000</v>
      </c>
      <c r="ER115" s="240">
        <f>Table1[[#This Row],[UnsubTot]]*0.01062</f>
        <v>21.24</v>
      </c>
      <c r="ES115" s="234">
        <f>ROUND((Table1[[#This Row],[PLUSTot]]/3)/1.04248,0)</f>
        <v>0</v>
      </c>
      <c r="ET115" s="234">
        <f>ROUND((Table1[[#This Row],[PLUSTot]]/3)/1.04248,0)</f>
        <v>0</v>
      </c>
      <c r="EU115" s="234">
        <f>ROUND((Table1[[#This Row],[PLUSTot]]/3)/1.04248,0)</f>
        <v>0</v>
      </c>
      <c r="EV115" s="235"/>
      <c r="EW115" s="239">
        <f>Table1[[#This Row],[PLUSTot]]*0.04248</f>
        <v>0</v>
      </c>
      <c r="EX115" s="237"/>
      <c r="EY115" s="237"/>
      <c r="EZ115" s="237"/>
      <c r="FA115" s="232">
        <f>SUM(Table1[[#This Row],[PrivQ1]:[PrivQ3]])</f>
        <v>0</v>
      </c>
      <c r="FB115" s="237"/>
      <c r="FC115" s="237"/>
      <c r="FD115" s="237"/>
      <c r="FE115" s="232">
        <f>SUM(Table1[[#This Row],[TOQ1]:[TOQ3]])</f>
        <v>0</v>
      </c>
      <c r="FF115" s="237"/>
      <c r="FG115" s="237"/>
      <c r="FH115" s="237"/>
      <c r="FI115" s="232">
        <f>SUM(Table1[[#This Row],[OFundQ1]:[OFundQ3]])</f>
        <v>0</v>
      </c>
      <c r="FJ115" s="239">
        <f>(Table1[[#This Row],[SubTot]]-Table1[[#This Row],[SubFee]])+(Table1[[#This Row],[UnsubTot]]-Table1[[#This Row],[UnsubFee]])+(Table1[[#This Row],[PLUSTot]]-Table1[[#This Row],[PLUSFee]])+Table1[[#This Row],[PrivTot]]+Table1[[#This Row],[TOTot]]+Table1[[#This Row],[OFundTot]]</f>
        <v>1978.76</v>
      </c>
      <c r="FK115" s="125">
        <f>Table1[[#This Row],[CostTot]]-Table1[[#This Row],[GiftTot]]</f>
        <v>28070</v>
      </c>
      <c r="FL115" s="130">
        <f>Table1[[#This Row],[NetNeed]]/(1-0.04248)</f>
        <v>27248.767649761885</v>
      </c>
      <c r="FM115" s="131">
        <f>Table1[[#This Row],[NetCost]]-Table1[[#This Row],[CashTot]]-(Table1[[#This Row],[SubTot]]-Table1[[#This Row],[SubFee]])-(Table1[[#This Row],[UnsubTot]]-Table1[[#This Row],[UnsubFee]])-(Table1[[#This Row],[PLUSTot]]-Table1[[#This Row],[PLUSFee]])-Table1[[#This Row],[PrivTot]]-Table1[[#This Row],[TOTot]]-Table1[[#This Row],[OFundTot]]</f>
        <v>26091.24</v>
      </c>
      <c r="FN115" s="156"/>
      <c r="FO115" s="113"/>
      <c r="FP115" s="113"/>
    </row>
    <row r="116" spans="1:172" ht="15" x14ac:dyDescent="0.25">
      <c r="A116" s="267">
        <v>196992</v>
      </c>
      <c r="B116" s="160" t="str">
        <f>VLOOKUP(Table1[[#This Row],[SyStudentId]],SSR!$A$2:$CC$4982,4,FALSE)</f>
        <v>Rybak</v>
      </c>
      <c r="C116" s="160" t="str">
        <f>VLOOKUP(Table1[[#This Row],[SyStudentId]],SSR!$A$2:$CC$4982,5,FALSE)</f>
        <v>Ian</v>
      </c>
      <c r="D116" s="160" t="str">
        <f>VLOOKUP(Table1[[#This Row],[SyStudentId]],SSR!$A$2:$CC$4982,6,FALSE)</f>
        <v>Rybak, Ian</v>
      </c>
      <c r="E116" s="113" t="str">
        <f>CONCATENATE(Table1[[#This Row],[FirstName]]," ",Table1[[#This Row],[LastName]])</f>
        <v>Ian Rybak</v>
      </c>
      <c r="F116" s="158">
        <v>1</v>
      </c>
      <c r="G116" s="114">
        <v>43794</v>
      </c>
      <c r="H116" s="114">
        <v>43794</v>
      </c>
      <c r="I116" s="114">
        <v>43794</v>
      </c>
      <c r="J116" s="115" t="s">
        <v>6119</v>
      </c>
      <c r="K116" s="164"/>
      <c r="L116" s="158" t="str">
        <f>IFERROR(VLOOKUP(Table1[[#This Row],[SyStudentId]],ISIR!$A$2:$X$4999,11,FALSE),"")</f>
        <v>D</v>
      </c>
      <c r="M116" s="160" t="str">
        <f>VLOOKUP(Table1[[#This Row],[SyStudentId]],SSR!$A$2:$CC$4982,7,FALSE)</f>
        <v>ian.rybak2020@gmail.com</v>
      </c>
      <c r="N116" s="160" t="str">
        <f>VLOOKUP(Table1[[#This Row],[SyStudentId]],SSR!$A$2:$CC$4982,8,FALSE)</f>
        <v>12277 Bob Heasley Dr</v>
      </c>
      <c r="O116" s="160" t="str">
        <f>VLOOKUP(Table1[[#This Row],[SyStudentId]],SSR!$A$2:$CC$4982,9,FALSE)</f>
        <v>El Paso</v>
      </c>
      <c r="P116" s="230" t="str">
        <f>VLOOKUP(Table1[[#This Row],[SyStudentId]],SSR!$A$2:$CC$4982,10,FALSE)</f>
        <v>TX</v>
      </c>
      <c r="Q116" s="165" t="str">
        <f>VLOOKUP(Table1[[#This Row],[SyStudentId]],SSR!$A$2:$CC$4982,11,FALSE)</f>
        <v xml:space="preserve">79938     </v>
      </c>
      <c r="R116" s="166">
        <f>VLOOKUP(Table1[[#This Row],[SyStudentId]],SSR!$A$2:$CC$4982,15,FALSE)</f>
        <v>4</v>
      </c>
      <c r="S116" s="167">
        <f>VLOOKUP(Table1[[#This Row],[SyStudentId]],SSR!$A$2:$CC$4982,22,FALSE)</f>
        <v>44109</v>
      </c>
      <c r="T116" s="160" t="str">
        <f>VLOOKUP(Table1[[#This Row],[SyStudentId]],SSR!$A$2:$CC$4982,24,FALSE)</f>
        <v>JT</v>
      </c>
      <c r="U116" s="160" t="str">
        <f>IF(VLOOKUP(Table1[[#This Row],[SyStudentId]],SSR!$A$2:$CC$4982,26,FALSE)=0,"Not Selected",VLOOKUP(Table1[[#This Row],[SyStudentId]],SSR!$A$2:$CC$4982,26,FALSE))</f>
        <v>Male</v>
      </c>
      <c r="V116" s="160" t="str">
        <f>VLOOKUP(Table1[[#This Row],[SyStudentId]],SSR!$A$2:$CC$4982,27,FALSE)</f>
        <v xml:space="preserve">HS2020  </v>
      </c>
      <c r="W116" s="160" t="str">
        <f>VLOOKUP(LEFT(Table1[[#This Row],[LastName]],1),Alpha!$A$1:$B$26,2,FALSE)</f>
        <v>Maureen Ranks</v>
      </c>
      <c r="X116" s="168" t="str">
        <f>VLOOKUP(Table1[[#This Row],[FAA]],Alpha!$B$1:$D$26,2,FALSE)</f>
        <v>mranks@neumont.edu</v>
      </c>
      <c r="Y116" s="160">
        <f>VLOOKUP(Table1[[#This Row],[FAA]],Alpha!$B$1:$D$26,3,FALSE)</f>
        <v>8883022894</v>
      </c>
      <c r="Z116" s="160" t="str">
        <f>VLOOKUP(Table1[[#This Row],[SyStudentId]],SSR!$A$2:$CC$4982,30,FALSE)</f>
        <v>16-Accepted</v>
      </c>
      <c r="AA116" s="160" t="str">
        <f>IF(VLOOKUP(Table1[[#This Row],[SyStudentId]],SSR!$A$2:$CC$4982,36,FALSE)="Bachelor of Science","BS Computer Science","Check Program")</f>
        <v>BS Computer Science</v>
      </c>
      <c r="AB116" s="160">
        <f>VLOOKUP(Table1[[#This Row],[SyStudentId]],SSR!$A$2:$CC$4982,37,FALSE)</f>
        <v>0</v>
      </c>
      <c r="AC116" s="160" t="str">
        <f>VLOOKUP(Table1[[#This Row],[SyStudentId]],SSR!$A$2:$CC$4982,42,FALSE)</f>
        <v xml:space="preserve">1450    </v>
      </c>
      <c r="AD116" s="160" t="str">
        <f>VLOOKUP(Table1[[#This Row],[SyStudentId]],SSR!$A$2:$CC$4982,46,FALSE)</f>
        <v>136</v>
      </c>
      <c r="AE116" s="160" t="str">
        <f>VLOOKUP(Table1[[#This Row],[SyStudentId]],SSR!$A$2:$CC$4982,65,FALSE)</f>
        <v>I</v>
      </c>
      <c r="AF116"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16" s="160" t="str">
        <f>VLOOKUP(Table1[[#This Row],[SyStudentId]],SSR!$A$2:$CC$4982,66,FALSE)</f>
        <v>July-October</v>
      </c>
      <c r="AH116" s="160" t="str">
        <f>IFERROR(VLOOKUP(Table1[[#This Row],[SyStudentId]],ISIR!$A$2:$X$1999,7,FALSE),"")</f>
        <v>024877</v>
      </c>
      <c r="AI116" s="170">
        <f>IF(Table1[[#This Row],[EFCRaw]]="","",IF(Table1[[#This Row],[EFCRaw]]="No EFC","No EFC",_xlfn.NUMBERVALUE(Table1[[#This Row],[EFCRaw]])))</f>
        <v>24877</v>
      </c>
      <c r="AJ116" s="167">
        <f>IFERROR(VLOOKUP(Table1[[#This Row],[SyStudentId]],ISIR!$A$2:$X$4999,19,FALSE),"")</f>
        <v>43774</v>
      </c>
      <c r="AK116" s="160" t="str">
        <f>IFERROR(VLOOKUP(Table1[[#This Row],[SyStudentId]],ISIR!$A$2:$X$4999,8,FALSE),"")</f>
        <v>N</v>
      </c>
      <c r="AL116" s="171" t="str">
        <f>IF(Table1[[#This Row],[VerReq]]="N","n/a","")</f>
        <v>n/a</v>
      </c>
      <c r="AM116" s="122"/>
      <c r="AN116" s="122"/>
      <c r="AO116" s="122">
        <v>43795</v>
      </c>
      <c r="AP116" s="122"/>
      <c r="AQ116" s="122"/>
      <c r="AR116" s="122"/>
      <c r="AS116" s="122"/>
      <c r="AT116" s="122"/>
      <c r="AU116" s="122"/>
      <c r="AV116" s="122"/>
      <c r="AW116" s="122"/>
      <c r="AX116" s="122"/>
      <c r="AY116" s="122"/>
      <c r="AZ116" s="122"/>
      <c r="BA116" s="122"/>
      <c r="BB116" s="122"/>
      <c r="BC116" s="148"/>
      <c r="BD116" s="140" t="str">
        <f>IF(Table1[[#This Row],[VerReq]]="N","x","")</f>
        <v>x</v>
      </c>
      <c r="BE116" s="140" t="str">
        <f>IF(Table1[[#This Row],[VerReq]]="N","x","")</f>
        <v>x</v>
      </c>
      <c r="BF116" s="140" t="str">
        <f>IF(Table1[[#This Row],[VerReq]]="N","x","")</f>
        <v>x</v>
      </c>
      <c r="BG116" s="140" t="str">
        <f>IF(Table1[[#This Row],[VerReq]]="N","x","")</f>
        <v>x</v>
      </c>
      <c r="BH116" s="140" t="str">
        <f>IF(Table1[[#This Row],[VerReq]]="N","x","")</f>
        <v>x</v>
      </c>
      <c r="BI116" s="140" t="str">
        <f>IF(Table1[[#This Row],[VerReq]]="N","x","")</f>
        <v>x</v>
      </c>
      <c r="BJ116" s="181">
        <f>1-((COUNTBLANK(Table1[[#This Row],[ALESent]:[TaxTran]]))/(COUNT(Table1[[#This Row],[ALESent]:[TaxTran]])+COUNTBLANK(Table1[[#This Row],[ALESent]:[TaxTran]])))</f>
        <v>5.8823529411764719E-2</v>
      </c>
      <c r="BK116" s="216">
        <f>IF(VLOOKUP(Table1[[#This Row],[SyStudentId]],SSR!$A$2:$CC$4982,22,FALSE)=44109,44109,"Check Program")</f>
        <v>44109</v>
      </c>
      <c r="BL116" s="173">
        <f>IF(Table1[[#This Row],[AYStart]]=44109,44356,"Check Program")</f>
        <v>44356</v>
      </c>
      <c r="BM116" s="219">
        <v>8505</v>
      </c>
      <c r="BN116" s="219">
        <v>8505</v>
      </c>
      <c r="BO116" s="219">
        <v>8505</v>
      </c>
      <c r="BP116" s="220">
        <f t="shared" si="3"/>
        <v>25515</v>
      </c>
      <c r="BQ116" s="221">
        <v>3300</v>
      </c>
      <c r="BR116" s="219">
        <v>400</v>
      </c>
      <c r="BS116" s="219">
        <v>400</v>
      </c>
      <c r="BT116" s="222">
        <f t="shared" si="4"/>
        <v>4100</v>
      </c>
      <c r="BU116" s="219">
        <v>2100</v>
      </c>
      <c r="BV116" s="219">
        <v>2100</v>
      </c>
      <c r="BW116" s="219">
        <v>2100</v>
      </c>
      <c r="BX116" s="222">
        <f t="shared" si="5"/>
        <v>6300</v>
      </c>
      <c r="BY116" s="275">
        <v>1200</v>
      </c>
      <c r="BZ116" s="275">
        <v>1200</v>
      </c>
      <c r="CA116" s="275">
        <v>1200</v>
      </c>
      <c r="CB116" s="222">
        <f>SUM(Table1[[#This Row],[LEQ1]:[LEQ3]])</f>
        <v>3600</v>
      </c>
      <c r="CC116" s="276">
        <v>0</v>
      </c>
      <c r="CD116" s="276">
        <v>0</v>
      </c>
      <c r="CE116" s="276">
        <v>0</v>
      </c>
      <c r="CF116" s="222">
        <f>SUM(Table1[[#This Row],[OthCostQ1]:[OthCostQ3]])</f>
        <v>0</v>
      </c>
      <c r="CG116" s="222">
        <f>(Table1[[#This Row],[T&amp;FTot]]+Table1[[#This Row],[B&amp;STot]]+Table1[[#This Row],[HousTot]]+Table1[[#This Row],[LETot]]+Table1[[#This Row],[OthCostTot]])</f>
        <v>39515</v>
      </c>
      <c r="CH116" s="253">
        <v>0</v>
      </c>
      <c r="CI116" s="253">
        <v>0</v>
      </c>
      <c r="CJ116" s="253">
        <v>0</v>
      </c>
      <c r="CK116" s="254">
        <f>SUM(Table1[[#This Row],[SEOGQ1]:[SEOGQ3]])</f>
        <v>0</v>
      </c>
      <c r="CL116" s="253">
        <f>IFERROR(ROUNDUP(Table1[[#This Row],[PellTot]]/3,0),0)</f>
        <v>0</v>
      </c>
      <c r="CM116" s="253">
        <f>IFERROR(ROUND(Table1[[#This Row],[PellTot]]/3,0),0)</f>
        <v>0</v>
      </c>
      <c r="CN116" s="253">
        <f>IFERROR(ROUNDDOWN(Table1[[#This Row],[PellTot]]/3,0),0)</f>
        <v>0</v>
      </c>
      <c r="CO116" s="254">
        <f>IFERROR(LOOKUP(Table1[EFC],Pell_Table[#Data],Pell_Table[Pell Amt]),0)</f>
        <v>0</v>
      </c>
      <c r="CP116" s="253">
        <f>Table1[[#This Row],[AccessTot]]/3</f>
        <v>0</v>
      </c>
      <c r="CQ116" s="253">
        <f>Table1[[#This Row],[AccessTot]]/3</f>
        <v>0</v>
      </c>
      <c r="CR116" s="253">
        <f>Table1[[#This Row],[AccessTot]]/3</f>
        <v>0</v>
      </c>
      <c r="CS116" s="254">
        <f>IF(Table1[[#This Row],[PellTot]]&gt;0,1500,0)</f>
        <v>0</v>
      </c>
      <c r="CT116" s="253">
        <f>Table1[[#This Row],[AchiTot]]/3</f>
        <v>1700</v>
      </c>
      <c r="CU116" s="253">
        <f>Table1[[#This Row],[AchiTot]]/3</f>
        <v>1700</v>
      </c>
      <c r="CV116" s="253">
        <f>Table1[[#This Row],[AchiTot]]/3</f>
        <v>1700</v>
      </c>
      <c r="CW116" s="255">
        <f>IF(Table1[[#This Row],[Rank]]="","",IF(Table1[[#This Row],[Rank]]=1,5100,IF(Table1[[#This Row],[Rank]]=2,4500,IF(Table1[[#This Row],[Rank]]=3,3900,IF(Table1[[#This Row],[Rank]]=4,3750,IF(Table1[[#This Row],[Rank]]=5,3000,IF(Table1[[#This Row],[Rank]]=6,2250,0)))))))</f>
        <v>5100</v>
      </c>
      <c r="CX116" s="253">
        <f>Table1[[#This Row],[UTTot]]/3</f>
        <v>0</v>
      </c>
      <c r="CY116" s="253">
        <f>Table1[[#This Row],[UTTot]]/3</f>
        <v>0</v>
      </c>
      <c r="CZ116" s="253">
        <f>Table1[[#This Row],[UTTot]]/3</f>
        <v>0</v>
      </c>
      <c r="DA116" s="254">
        <f>IF(Table1[[#This Row],[State]]="UT",9000,0)</f>
        <v>0</v>
      </c>
      <c r="DB116" s="253">
        <f>Table1[[#This Row],[WITTot]]/3</f>
        <v>0</v>
      </c>
      <c r="DC116" s="253">
        <f>Table1[[#This Row],[WITTot]]/3</f>
        <v>0</v>
      </c>
      <c r="DD116" s="253">
        <f>Table1[[#This Row],[WITTot]]/3</f>
        <v>0</v>
      </c>
      <c r="DE116" s="254">
        <f>IF(Table1[[#This Row],[Gender]]="Female",3000,0)</f>
        <v>0</v>
      </c>
      <c r="DF116" s="253">
        <f>Table1[[#This Row],[SerTot]]/3</f>
        <v>0</v>
      </c>
      <c r="DG116" s="253">
        <f>Table1[[#This Row],[SerTot]]/3</f>
        <v>0</v>
      </c>
      <c r="DH116" s="253">
        <f>Table1[[#This Row],[SerTot]]/3</f>
        <v>0</v>
      </c>
      <c r="DI116" s="255">
        <v>0</v>
      </c>
      <c r="DJ116" s="253">
        <f>IFERROR(ROUNDUP(Table1[[#This Row],[TranTot]]/3,0),0)</f>
        <v>0</v>
      </c>
      <c r="DK116" s="253">
        <f>IFERROR(ROUND(Table1[[#This Row],[TranTot]]/3,0),0)</f>
        <v>0</v>
      </c>
      <c r="DL116" s="253">
        <f>IFERROR(ROUNDDOWN(Table1[[#This Row],[TranTot]]/3,0),0)</f>
        <v>0</v>
      </c>
      <c r="DM116" s="255">
        <v>0</v>
      </c>
      <c r="DN116" s="253">
        <f>Table1[[#This Row],[MatTot]]/3</f>
        <v>0</v>
      </c>
      <c r="DO116" s="253">
        <f>Table1[[#This Row],[MatTot]]/3</f>
        <v>0</v>
      </c>
      <c r="DP116" s="253">
        <f>Table1[[#This Row],[MatTot]]/3</f>
        <v>0</v>
      </c>
      <c r="DQ116" s="255">
        <v>0</v>
      </c>
      <c r="DR116" s="253">
        <f>Table1[[#This Row],[OutTot]]/3</f>
        <v>0</v>
      </c>
      <c r="DS116" s="253">
        <f>Table1[[#This Row],[OutTot]]/3</f>
        <v>0</v>
      </c>
      <c r="DT116" s="253">
        <f>Table1[[#This Row],[OutTot]]/3</f>
        <v>0</v>
      </c>
      <c r="DU116" s="255">
        <v>0</v>
      </c>
      <c r="DV116" s="253">
        <v>0</v>
      </c>
      <c r="DW116" s="253">
        <v>0</v>
      </c>
      <c r="DX116" s="253">
        <v>0</v>
      </c>
      <c r="DY116" s="255">
        <f>SUM(Table1[[#This Row],[VAQ1]:[VAQ3]])</f>
        <v>0</v>
      </c>
      <c r="DZ116" s="253">
        <v>0</v>
      </c>
      <c r="EA116" s="253">
        <v>0</v>
      </c>
      <c r="EB116" s="253">
        <v>0</v>
      </c>
      <c r="EC116" s="278">
        <f>SUM(Table1[[#This Row],[OthGrantQ1]:[OthGrantQ3]])</f>
        <v>0</v>
      </c>
      <c r="ED116" s="264">
        <f>Table1[[#This Row],[SEOGTot]]+Table1[[#This Row],[PellTot]]+Table1[[#This Row],[AccessTot]]+Table1[[#This Row],[AchiTot]]+Table1[[#This Row],[UTTot]]+Table1[[#This Row],[WITTot]]+Table1[[#This Row],[SerTot]]+Table1[[#This Row],[TranTot]]+Table1[[#This Row],[MatTot]]+Table1[[#This Row],[OutTot]]+Table1[[#This Row],[VATot]]+Table1[[#This Row],[OthGrantTot]]</f>
        <v>5100</v>
      </c>
      <c r="EE116" s="226">
        <v>0</v>
      </c>
      <c r="EF116" s="227">
        <v>0</v>
      </c>
      <c r="EG116" s="227">
        <v>0</v>
      </c>
      <c r="EH116" s="228">
        <f>SUM(Table1[[#This Row],[CashQ1]]:Table1[[#This Row],[CashQ3]])</f>
        <v>0</v>
      </c>
      <c r="EI116" s="229">
        <f>ROUND((Table1[[#This Row],[SubTot]]/3)/1.01059,0)</f>
        <v>1154</v>
      </c>
      <c r="EJ116" s="230">
        <f>ROUND((Table1[[#This Row],[SubTot]]/3)/1.01059,0)</f>
        <v>1154</v>
      </c>
      <c r="EK116" s="230">
        <f>ROUNDUP((Table1[[#This Row],[SubTot]]/3)/1.01059,0)</f>
        <v>1155</v>
      </c>
      <c r="EL116" s="231">
        <v>3500</v>
      </c>
      <c r="EM116" s="233">
        <f>Table1[[#This Row],[SubTot]]*0.01059</f>
        <v>37.065000000000005</v>
      </c>
      <c r="EN116" s="230">
        <f>ROUND((Table1[[#This Row],[UnsubTot]]/3)/1.01062,0)</f>
        <v>660</v>
      </c>
      <c r="EO116" s="230">
        <f>ROUND((Table1[[#This Row],[UnsubTot]]/3)/1.01062,0)</f>
        <v>660</v>
      </c>
      <c r="EP116" s="230">
        <f>ROUNDDOWN((Table1[[#This Row],[UnsubTot]]/3)/1.01062,0)</f>
        <v>659</v>
      </c>
      <c r="EQ116" s="231">
        <f>IF(Table1[D/I]="I",6000,2000)</f>
        <v>2000</v>
      </c>
      <c r="ER116" s="233">
        <f>Table1[[#This Row],[UnsubTot]]*0.01059</f>
        <v>21.18</v>
      </c>
      <c r="ES116" s="230">
        <f>ROUND((Table1[[#This Row],[PLUSTot]]/3)/1.04236,0)</f>
        <v>0</v>
      </c>
      <c r="ET116" s="230">
        <f>ROUND((Table1[[#This Row],[PLUSTot]]/3)/1.04236,0)</f>
        <v>0</v>
      </c>
      <c r="EU116" s="230">
        <f>ROUND((Table1[[#This Row],[PLUSTot]]/3)/1.04236,0)</f>
        <v>0</v>
      </c>
      <c r="EV116" s="231">
        <v>0</v>
      </c>
      <c r="EW116" s="236">
        <f>Table1[[#This Row],[PLUSTot]]*0.04236</f>
        <v>0</v>
      </c>
      <c r="EX116" s="227"/>
      <c r="EY116" s="227"/>
      <c r="EZ116" s="227"/>
      <c r="FA116" s="228">
        <f>SUM(Table1[[#This Row],[PrivQ1]:[PrivQ3]])</f>
        <v>0</v>
      </c>
      <c r="FB116" s="227"/>
      <c r="FC116" s="227"/>
      <c r="FD116" s="227"/>
      <c r="FE116" s="228">
        <f>SUM(Table1[[#This Row],[TOQ1]:[TOQ3]])</f>
        <v>0</v>
      </c>
      <c r="FF116" s="227"/>
      <c r="FG116" s="227"/>
      <c r="FH116" s="227"/>
      <c r="FI116" s="228">
        <f>SUM(Table1[[#This Row],[OFundQ1]:[OFundQ3]])</f>
        <v>0</v>
      </c>
      <c r="FJ116" s="236">
        <f>(Table1[[#This Row],[SubTot]]-Table1[[#This Row],[SubFee]])+(Table1[[#This Row],[UnsubTot]]-Table1[[#This Row],[UnsubFee]])+(Table1[[#This Row],[PLUSTot]]-Table1[[#This Row],[PLUSFee]])+Table1[[#This Row],[PrivTot]]+Table1[[#This Row],[TOTot]]+Table1[[#This Row],[OFundTot]]</f>
        <v>5441.7550000000001</v>
      </c>
      <c r="FK116" s="159">
        <f>Table1[[#This Row],[CostTot]]-Table1[[#This Row],[GiftTot]]</f>
        <v>34415</v>
      </c>
      <c r="FL116" s="174">
        <f>Table1[[#This Row],[NetNeed]]/(1-0.04236)</f>
        <v>30254.840023390832</v>
      </c>
      <c r="FM116" s="176">
        <f>Table1[[#This Row],[NetCost]]-Table1[[#This Row],[CashTot]]-(Table1[[#This Row],[SubTot]]-Table1[[#This Row],[SubFee]])-(Table1[[#This Row],[UnsubTot]]-Table1[[#This Row],[UnsubFee]])-(Table1[[#This Row],[PLUSTot]]-Table1[[#This Row],[PLUSFee]])-Table1[[#This Row],[PrivTot]]-Table1[[#This Row],[TOTot]]-Table1[[#This Row],[OFundTot]]</f>
        <v>28973.244999999999</v>
      </c>
      <c r="FN116" s="217"/>
      <c r="FO116" s="162"/>
      <c r="FP116" s="162"/>
    </row>
    <row r="117" spans="1:172" ht="15" x14ac:dyDescent="0.25">
      <c r="A117" s="267">
        <v>196075</v>
      </c>
      <c r="B117" s="160" t="str">
        <f>VLOOKUP(Table1[[#This Row],[SyStudentId]],SSR!$A$2:$CC$4982,4,FALSE)</f>
        <v>Salazar</v>
      </c>
      <c r="C117" s="160" t="str">
        <f>VLOOKUP(Table1[[#This Row],[SyStudentId]],SSR!$A$2:$CC$4982,5,FALSE)</f>
        <v>Erick</v>
      </c>
      <c r="D117" s="160" t="str">
        <f>VLOOKUP(Table1[[#This Row],[SyStudentId]],SSR!$A$2:$CC$4982,6,FALSE)</f>
        <v>Salazar, Erick</v>
      </c>
      <c r="E117" s="113" t="str">
        <f>CONCATENATE(Table1[[#This Row],[FirstName]]," ",Table1[[#This Row],[LastName]])</f>
        <v>Erick Salazar</v>
      </c>
      <c r="F117" s="158">
        <v>1</v>
      </c>
      <c r="G117" s="114">
        <v>43776</v>
      </c>
      <c r="H117" s="114">
        <v>43776</v>
      </c>
      <c r="I117" s="114">
        <v>43776</v>
      </c>
      <c r="J117" s="163"/>
      <c r="K117" s="164"/>
      <c r="L117" s="158" t="str">
        <f>IFERROR(VLOOKUP(Table1[[#This Row],[SyStudentId]],ISIR!$A$2:$X$4999,11,FALSE),"")</f>
        <v>D</v>
      </c>
      <c r="M117" s="160" t="str">
        <f>VLOOKUP(Table1[[#This Row],[SyStudentId]],SSR!$A$2:$CC$4982,7,FALSE)</f>
        <v>e.salazar.mexica1@gmail.com</v>
      </c>
      <c r="N117" s="160" t="str">
        <f>VLOOKUP(Table1[[#This Row],[SyStudentId]],SSR!$A$2:$CC$4982,8,FALSE)</f>
        <v>428 Camino Providencia</v>
      </c>
      <c r="O117" s="160" t="str">
        <f>VLOOKUP(Table1[[#This Row],[SyStudentId]],SSR!$A$2:$CC$4982,9,FALSE)</f>
        <v>Rio Rico</v>
      </c>
      <c r="P117" s="295" t="str">
        <f>VLOOKUP(Table1[[#This Row],[SyStudentId]],SSR!$A$2:$CC$4982,10,FALSE)</f>
        <v>AZ</v>
      </c>
      <c r="Q117" s="165" t="str">
        <f>VLOOKUP(Table1[[#This Row],[SyStudentId]],SSR!$A$2:$CC$4982,11,FALSE)</f>
        <v xml:space="preserve">85648     </v>
      </c>
      <c r="R117" s="166">
        <f>VLOOKUP(Table1[[#This Row],[SyStudentId]],SSR!$A$2:$CC$4982,15,FALSE)</f>
        <v>3.9</v>
      </c>
      <c r="S117" s="167">
        <f>VLOOKUP(Table1[[#This Row],[SyStudentId]],SSR!$A$2:$CC$4982,22,FALSE)</f>
        <v>44109</v>
      </c>
      <c r="T117" s="160" t="str">
        <f>VLOOKUP(Table1[[#This Row],[SyStudentId]],SSR!$A$2:$CC$4982,24,FALSE)</f>
        <v>JT</v>
      </c>
      <c r="U117" s="160" t="str">
        <f>IF(VLOOKUP(Table1[[#This Row],[SyStudentId]],SSR!$A$2:$CC$4982,26,FALSE)=0,"Not Selected",VLOOKUP(Table1[[#This Row],[SyStudentId]],SSR!$A$2:$CC$4982,26,FALSE))</f>
        <v>Male</v>
      </c>
      <c r="V117" s="160" t="str">
        <f>VLOOKUP(Table1[[#This Row],[SyStudentId]],SSR!$A$2:$CC$4982,27,FALSE)</f>
        <v xml:space="preserve">HS2020  </v>
      </c>
      <c r="W117" s="160" t="str">
        <f>VLOOKUP(LEFT(Table1[[#This Row],[LastName]],1),Alpha!$A$1:$B$26,2,FALSE)</f>
        <v>Maureen Ranks</v>
      </c>
      <c r="X117" s="168" t="str">
        <f>VLOOKUP(Table1[[#This Row],[FAA]],Alpha!$B$1:$D$26,2,FALSE)</f>
        <v>mranks@neumont.edu</v>
      </c>
      <c r="Y117" s="160">
        <f>VLOOKUP(Table1[[#This Row],[FAA]],Alpha!$B$1:$D$26,3,FALSE)</f>
        <v>8883022894</v>
      </c>
      <c r="Z117" s="160" t="str">
        <f>VLOOKUP(Table1[[#This Row],[SyStudentId]],SSR!$A$2:$CC$4982,30,FALSE)</f>
        <v>16-Accepted</v>
      </c>
      <c r="AA117" s="160" t="str">
        <f>IF(VLOOKUP(Table1[[#This Row],[SyStudentId]],SSR!$A$2:$CC$4982,36,FALSE)="Bachelor of Science","BS Computer Science","Check Program")</f>
        <v>BS Computer Science</v>
      </c>
      <c r="AB117" s="160">
        <f>VLOOKUP(Table1[[#This Row],[SyStudentId]],SSR!$A$2:$CC$4982,37,FALSE)</f>
        <v>0</v>
      </c>
      <c r="AC117" s="160">
        <f>VLOOKUP(Table1[[#This Row],[SyStudentId]],SSR!$A$2:$CC$4982,42,FALSE)</f>
        <v>0</v>
      </c>
      <c r="AD117" s="160" t="str">
        <f>VLOOKUP(Table1[[#This Row],[SyStudentId]],SSR!$A$2:$CC$4982,46,FALSE)</f>
        <v>0</v>
      </c>
      <c r="AE117" s="160" t="str">
        <f>VLOOKUP(Table1[[#This Row],[SyStudentId]],SSR!$A$2:$CC$4982,65,FALSE)</f>
        <v>III</v>
      </c>
      <c r="AF117"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117" s="160" t="str">
        <f>VLOOKUP(Table1[[#This Row],[SyStudentId]],SSR!$A$2:$CC$4982,66,FALSE)</f>
        <v>July-October</v>
      </c>
      <c r="AH117" s="160" t="str">
        <f>IFERROR(VLOOKUP(Table1[[#This Row],[SyStudentId]],ISIR!$A$2:$X$1999,7,FALSE),"")</f>
        <v>000000</v>
      </c>
      <c r="AI117" s="170">
        <f>IF(Table1[[#This Row],[EFCRaw]]="","",IF(Table1[[#This Row],[EFCRaw]]="No EFC","No EFC",_xlfn.NUMBERVALUE(Table1[[#This Row],[EFCRaw]])))</f>
        <v>0</v>
      </c>
      <c r="AJ117" s="167">
        <f>IFERROR(VLOOKUP(Table1[[#This Row],[SyStudentId]],ISIR!$A$2:$X$4999,19,FALSE),"")</f>
        <v>43801</v>
      </c>
      <c r="AK117" s="160" t="str">
        <f>IFERROR(VLOOKUP(Table1[[#This Row],[SyStudentId]],ISIR!$A$2:$X$4999,8,FALSE),"")</f>
        <v>N</v>
      </c>
      <c r="AL117" s="178" t="str">
        <f>IF(Table1[[#This Row],[VerReq]]="N","n/a","")</f>
        <v>n/a</v>
      </c>
      <c r="AM117" s="122"/>
      <c r="AN117" s="122"/>
      <c r="AO117" s="122">
        <v>43775</v>
      </c>
      <c r="AP117" s="122"/>
      <c r="AQ117" s="122"/>
      <c r="AR117" s="122"/>
      <c r="AS117" s="122"/>
      <c r="AT117" s="122"/>
      <c r="AU117" s="122"/>
      <c r="AV117" s="122"/>
      <c r="AW117" s="122"/>
      <c r="AX117" s="122"/>
      <c r="AY117" s="122"/>
      <c r="AZ117" s="122"/>
      <c r="BA117" s="122"/>
      <c r="BB117" s="122"/>
      <c r="BC117" s="148"/>
      <c r="BD117" s="140" t="str">
        <f>IF(Table1[[#This Row],[VerReq]]="N","x","")</f>
        <v>x</v>
      </c>
      <c r="BE117" s="140" t="str">
        <f>IF(Table1[[#This Row],[VerReq]]="N","x","")</f>
        <v>x</v>
      </c>
      <c r="BF117" s="140" t="str">
        <f>IF(Table1[[#This Row],[VerReq]]="N","x","")</f>
        <v>x</v>
      </c>
      <c r="BG117" s="140" t="str">
        <f>IF(Table1[[#This Row],[VerReq]]="N","x","")</f>
        <v>x</v>
      </c>
      <c r="BH117" s="140" t="str">
        <f>IF(Table1[[#This Row],[VerReq]]="N","x","")</f>
        <v>x</v>
      </c>
      <c r="BI117" s="140" t="str">
        <f>IF(Table1[[#This Row],[VerReq]]="N","x","")</f>
        <v>x</v>
      </c>
      <c r="BJ117" s="181">
        <f>1-((COUNTBLANK(Table1[[#This Row],[ALESent]:[TaxTran]]))/(COUNT(Table1[[#This Row],[ALESent]:[TaxTran]])+COUNTBLANK(Table1[[#This Row],[ALESent]:[TaxTran]])))</f>
        <v>5.8823529411764719E-2</v>
      </c>
      <c r="BK117" s="216">
        <f>IF(VLOOKUP(Table1[[#This Row],[SyStudentId]],SSR!$A$2:$CC$4982,22,FALSE)=44109,44109,"Check Program")</f>
        <v>44109</v>
      </c>
      <c r="BL117" s="173">
        <f>IF(Table1[[#This Row],[AYStart]]=44109,44356,"Check Program")</f>
        <v>44356</v>
      </c>
      <c r="BM117" s="219">
        <v>8505</v>
      </c>
      <c r="BN117" s="219">
        <v>8505</v>
      </c>
      <c r="BO117" s="219">
        <v>8505</v>
      </c>
      <c r="BP117" s="220">
        <f t="shared" si="3"/>
        <v>25515</v>
      </c>
      <c r="BQ117" s="221">
        <v>3300</v>
      </c>
      <c r="BR117" s="219">
        <v>400</v>
      </c>
      <c r="BS117" s="219">
        <v>400</v>
      </c>
      <c r="BT117" s="222">
        <f t="shared" si="4"/>
        <v>4100</v>
      </c>
      <c r="BU117" s="219">
        <v>2100</v>
      </c>
      <c r="BV117" s="219">
        <v>2100</v>
      </c>
      <c r="BW117" s="219">
        <v>2100</v>
      </c>
      <c r="BX117" s="222">
        <f t="shared" si="5"/>
        <v>6300</v>
      </c>
      <c r="BY117" s="275">
        <v>1200</v>
      </c>
      <c r="BZ117" s="275">
        <v>1200</v>
      </c>
      <c r="CA117" s="275">
        <v>1200</v>
      </c>
      <c r="CB117" s="222">
        <f>SUM(Table1[[#This Row],[LEQ1]:[LEQ3]])</f>
        <v>3600</v>
      </c>
      <c r="CC117" s="276">
        <v>0</v>
      </c>
      <c r="CD117" s="276">
        <v>0</v>
      </c>
      <c r="CE117" s="276">
        <v>0</v>
      </c>
      <c r="CF117" s="222">
        <f>SUM(Table1[[#This Row],[OthCostQ1]:[OthCostQ3]])</f>
        <v>0</v>
      </c>
      <c r="CG117" s="222">
        <f>(Table1[[#This Row],[T&amp;FTot]]+Table1[[#This Row],[B&amp;STot]]+Table1[[#This Row],[HousTot]]+Table1[[#This Row],[LETot]]+Table1[[#This Row],[OthCostTot]])</f>
        <v>39515</v>
      </c>
      <c r="CH117" s="253">
        <v>0</v>
      </c>
      <c r="CI117" s="253">
        <v>0</v>
      </c>
      <c r="CJ117" s="253">
        <v>0</v>
      </c>
      <c r="CK117" s="254">
        <f>SUM(Table1[[#This Row],[SEOGQ1]:[SEOGQ3]])</f>
        <v>0</v>
      </c>
      <c r="CL117" s="253">
        <f>IFERROR(ROUNDUP(Table1[[#This Row],[PellTot]]/3,0),0)</f>
        <v>2065</v>
      </c>
      <c r="CM117" s="253">
        <f>IFERROR(ROUND(Table1[[#This Row],[PellTot]]/3,0),0)</f>
        <v>2065</v>
      </c>
      <c r="CN117" s="253">
        <f>IFERROR(ROUNDDOWN(Table1[[#This Row],[PellTot]]/3,0),0)</f>
        <v>2065</v>
      </c>
      <c r="CO117" s="254">
        <f>IFERROR(LOOKUP(Table1[EFC],Pell_Table[#Data],Pell_Table[Pell Amt]),0)</f>
        <v>6195</v>
      </c>
      <c r="CP117" s="253">
        <f>Table1[[#This Row],[AccessTot]]/3</f>
        <v>500</v>
      </c>
      <c r="CQ117" s="253">
        <f>Table1[[#This Row],[AccessTot]]/3</f>
        <v>500</v>
      </c>
      <c r="CR117" s="253">
        <f>Table1[[#This Row],[AccessTot]]/3</f>
        <v>500</v>
      </c>
      <c r="CS117" s="254">
        <f>IF(Table1[[#This Row],[PellTot]]&gt;0,1500,0)</f>
        <v>1500</v>
      </c>
      <c r="CT117" s="253">
        <f>Table1[[#This Row],[AchiTot]]/3</f>
        <v>1300</v>
      </c>
      <c r="CU117" s="253">
        <f>Table1[[#This Row],[AchiTot]]/3</f>
        <v>1300</v>
      </c>
      <c r="CV117" s="253">
        <f>Table1[[#This Row],[AchiTot]]/3</f>
        <v>1300</v>
      </c>
      <c r="CW117" s="255">
        <f>IF(Table1[[#This Row],[Rank]]="","",IF(Table1[[#This Row],[Rank]]=1,5100,IF(Table1[[#This Row],[Rank]]=2,4500,IF(Table1[[#This Row],[Rank]]=3,3900,IF(Table1[[#This Row],[Rank]]=4,3750,IF(Table1[[#This Row],[Rank]]=5,3000,IF(Table1[[#This Row],[Rank]]=6,2250,0)))))))</f>
        <v>3900</v>
      </c>
      <c r="CX117" s="253">
        <f>Table1[[#This Row],[UTTot]]/3</f>
        <v>0</v>
      </c>
      <c r="CY117" s="253">
        <f>Table1[[#This Row],[UTTot]]/3</f>
        <v>0</v>
      </c>
      <c r="CZ117" s="253">
        <f>Table1[[#This Row],[UTTot]]/3</f>
        <v>0</v>
      </c>
      <c r="DA117" s="254">
        <f>IF(Table1[[#This Row],[State]]="UT",9000,0)</f>
        <v>0</v>
      </c>
      <c r="DB117" s="253">
        <f>Table1[[#This Row],[WITTot]]/3</f>
        <v>0</v>
      </c>
      <c r="DC117" s="253">
        <f>Table1[[#This Row],[WITTot]]/3</f>
        <v>0</v>
      </c>
      <c r="DD117" s="253">
        <f>Table1[[#This Row],[WITTot]]/3</f>
        <v>0</v>
      </c>
      <c r="DE117" s="254">
        <f>IF(Table1[[#This Row],[Gender]]="Female",3000,0)</f>
        <v>0</v>
      </c>
      <c r="DF117" s="253">
        <f>Table1[[#This Row],[SerTot]]/3</f>
        <v>0</v>
      </c>
      <c r="DG117" s="253">
        <f>Table1[[#This Row],[SerTot]]/3</f>
        <v>0</v>
      </c>
      <c r="DH117" s="253">
        <f>Table1[[#This Row],[SerTot]]/3</f>
        <v>0</v>
      </c>
      <c r="DI117" s="255">
        <v>0</v>
      </c>
      <c r="DJ117" s="253">
        <f>IFERROR(ROUNDUP(Table1[[#This Row],[TranTot]]/3,0),0)</f>
        <v>0</v>
      </c>
      <c r="DK117" s="253">
        <f>IFERROR(ROUND(Table1[[#This Row],[TranTot]]/3,0),0)</f>
        <v>0</v>
      </c>
      <c r="DL117" s="253">
        <f>IFERROR(ROUNDDOWN(Table1[[#This Row],[TranTot]]/3,0),0)</f>
        <v>0</v>
      </c>
      <c r="DM117" s="255">
        <v>0</v>
      </c>
      <c r="DN117" s="253">
        <f>Table1[[#This Row],[MatTot]]/3</f>
        <v>0</v>
      </c>
      <c r="DO117" s="253">
        <f>Table1[[#This Row],[MatTot]]/3</f>
        <v>0</v>
      </c>
      <c r="DP117" s="253">
        <f>Table1[[#This Row],[MatTot]]/3</f>
        <v>0</v>
      </c>
      <c r="DQ117" s="255">
        <v>0</v>
      </c>
      <c r="DR117" s="253">
        <f>Table1[[#This Row],[OutTot]]/3</f>
        <v>0</v>
      </c>
      <c r="DS117" s="253">
        <f>Table1[[#This Row],[OutTot]]/3</f>
        <v>0</v>
      </c>
      <c r="DT117" s="253">
        <f>Table1[[#This Row],[OutTot]]/3</f>
        <v>0</v>
      </c>
      <c r="DU117" s="255">
        <v>0</v>
      </c>
      <c r="DV117" s="253">
        <v>0</v>
      </c>
      <c r="DW117" s="253">
        <v>0</v>
      </c>
      <c r="DX117" s="253">
        <v>0</v>
      </c>
      <c r="DY117" s="255">
        <f>SUM(Table1[[#This Row],[VAQ1]:[VAQ3]])</f>
        <v>0</v>
      </c>
      <c r="DZ117" s="253">
        <v>0</v>
      </c>
      <c r="EA117" s="253">
        <v>0</v>
      </c>
      <c r="EB117" s="253">
        <v>0</v>
      </c>
      <c r="EC117" s="278">
        <f>SUM(Table1[[#This Row],[OthGrantQ1]:[OthGrantQ3]])</f>
        <v>0</v>
      </c>
      <c r="ED117" s="264">
        <f>Table1[[#This Row],[SEOGTot]]+Table1[[#This Row],[PellTot]]+Table1[[#This Row],[AccessTot]]+Table1[[#This Row],[AchiTot]]+Table1[[#This Row],[UTTot]]+Table1[[#This Row],[WITTot]]+Table1[[#This Row],[SerTot]]+Table1[[#This Row],[TranTot]]+Table1[[#This Row],[MatTot]]+Table1[[#This Row],[OutTot]]+Table1[[#This Row],[VATot]]+Table1[[#This Row],[OthGrantTot]]</f>
        <v>11595</v>
      </c>
      <c r="EE117" s="226">
        <v>0</v>
      </c>
      <c r="EF117" s="227">
        <v>0</v>
      </c>
      <c r="EG117" s="227">
        <v>0</v>
      </c>
      <c r="EH117" s="228">
        <f>SUM(Table1[[#This Row],[CashQ1]]:Table1[[#This Row],[CashQ3]])</f>
        <v>0</v>
      </c>
      <c r="EI117" s="229">
        <f>ROUND((Table1[[#This Row],[SubTot]]/3)/1.01059,0)</f>
        <v>1154</v>
      </c>
      <c r="EJ117" s="230">
        <f>ROUND((Table1[[#This Row],[SubTot]]/3)/1.01059,0)</f>
        <v>1154</v>
      </c>
      <c r="EK117" s="230">
        <f>ROUNDUP((Table1[[#This Row],[SubTot]]/3)/1.01059,0)</f>
        <v>1155</v>
      </c>
      <c r="EL117" s="231">
        <v>3500</v>
      </c>
      <c r="EM117" s="233">
        <f>Table1[[#This Row],[SubTot]]*0.01059</f>
        <v>37.065000000000005</v>
      </c>
      <c r="EN117" s="230">
        <f>ROUND((Table1[[#This Row],[UnsubTot]]/3)/1.01062,0)</f>
        <v>660</v>
      </c>
      <c r="EO117" s="230">
        <f>ROUND((Table1[[#This Row],[UnsubTot]]/3)/1.01062,0)</f>
        <v>660</v>
      </c>
      <c r="EP117" s="230">
        <f>ROUNDDOWN((Table1[[#This Row],[UnsubTot]]/3)/1.01062,0)</f>
        <v>659</v>
      </c>
      <c r="EQ117" s="231">
        <f>IF(Table1[D/I]="I",6000,2000)</f>
        <v>2000</v>
      </c>
      <c r="ER117" s="233">
        <f>Table1[[#This Row],[UnsubTot]]*0.01059</f>
        <v>21.18</v>
      </c>
      <c r="ES117" s="230">
        <f>ROUND((Table1[[#This Row],[PLUSTot]]/3)/1.04236,0)</f>
        <v>0</v>
      </c>
      <c r="ET117" s="230">
        <f>ROUND((Table1[[#This Row],[PLUSTot]]/3)/1.04236,0)</f>
        <v>0</v>
      </c>
      <c r="EU117" s="230">
        <f>ROUND((Table1[[#This Row],[PLUSTot]]/3)/1.04236,0)</f>
        <v>0</v>
      </c>
      <c r="EV117" s="231">
        <v>0</v>
      </c>
      <c r="EW117" s="236">
        <f>Table1[[#This Row],[PLUSTot]]*0.04236</f>
        <v>0</v>
      </c>
      <c r="EX117" s="227"/>
      <c r="EY117" s="227"/>
      <c r="EZ117" s="227"/>
      <c r="FA117" s="228">
        <f>SUM(Table1[[#This Row],[PrivQ1]:[PrivQ3]])</f>
        <v>0</v>
      </c>
      <c r="FB117" s="227"/>
      <c r="FC117" s="227"/>
      <c r="FD117" s="227"/>
      <c r="FE117" s="228">
        <f>SUM(Table1[[#This Row],[TOQ1]:[TOQ3]])</f>
        <v>0</v>
      </c>
      <c r="FF117" s="227"/>
      <c r="FG117" s="227"/>
      <c r="FH117" s="227"/>
      <c r="FI117" s="228">
        <f>SUM(Table1[[#This Row],[OFundQ1]:[OFundQ3]])</f>
        <v>0</v>
      </c>
      <c r="FJ117" s="236">
        <f>(Table1[[#This Row],[SubTot]]-Table1[[#This Row],[SubFee]])+(Table1[[#This Row],[UnsubTot]]-Table1[[#This Row],[UnsubFee]])+(Table1[[#This Row],[PLUSTot]]-Table1[[#This Row],[PLUSFee]])+Table1[[#This Row],[PrivTot]]+Table1[[#This Row],[TOTot]]+Table1[[#This Row],[OFundTot]]</f>
        <v>5441.7550000000001</v>
      </c>
      <c r="FK117" s="159">
        <f>Table1[[#This Row],[CostTot]]-Table1[[#This Row],[GiftTot]]</f>
        <v>27920</v>
      </c>
      <c r="FL117" s="174">
        <f>Table1[[#This Row],[NetNeed]]/(1-0.04236)</f>
        <v>23472.541873773022</v>
      </c>
      <c r="FM117" s="176">
        <f>Table1[[#This Row],[NetCost]]-Table1[[#This Row],[CashTot]]-(Table1[[#This Row],[SubTot]]-Table1[[#This Row],[SubFee]])-(Table1[[#This Row],[UnsubTot]]-Table1[[#This Row],[UnsubFee]])-(Table1[[#This Row],[PLUSTot]]-Table1[[#This Row],[PLUSFee]])-Table1[[#This Row],[PrivTot]]-Table1[[#This Row],[TOTot]]-Table1[[#This Row],[OFundTot]]</f>
        <v>22478.244999999999</v>
      </c>
      <c r="FN117" s="217"/>
      <c r="FO117" s="162"/>
      <c r="FP117" s="162"/>
    </row>
    <row r="118" spans="1:172" ht="15" x14ac:dyDescent="0.25">
      <c r="A118" s="267">
        <v>198453</v>
      </c>
      <c r="B118" s="113" t="str">
        <f>VLOOKUP(Table1[[#This Row],[SyStudentId]],SSR!$A$2:$CC$4982,4,FALSE)</f>
        <v>Salinas</v>
      </c>
      <c r="C118" s="113" t="str">
        <f>VLOOKUP(Table1[[#This Row],[SyStudentId]],SSR!$A$2:$CC$4982,5,FALSE)</f>
        <v>Ajelet</v>
      </c>
      <c r="D118" s="113" t="str">
        <f>VLOOKUP(Table1[[#This Row],[SyStudentId]],SSR!$A$2:$CC$4982,6,FALSE)</f>
        <v>Salinas, Ajelet</v>
      </c>
      <c r="E118" s="113" t="str">
        <f>CONCATENATE(Table1[[#This Row],[FirstName]]," ",Table1[[#This Row],[LastName]])</f>
        <v>Ajelet Salinas</v>
      </c>
      <c r="F118" s="112"/>
      <c r="G118" s="114"/>
      <c r="H118" s="114"/>
      <c r="I118" s="114"/>
      <c r="J118" s="115"/>
      <c r="K118" s="116"/>
      <c r="L118" s="112" t="str">
        <f>IFERROR(VLOOKUP(Table1[[#This Row],[SyStudentId]],ISIR!$A$2:$X$999,11,FALSE),"")</f>
        <v/>
      </c>
      <c r="M118" s="113" t="str">
        <f>VLOOKUP(Table1[[#This Row],[SyStudentId]],SSR!$A$2:$CC$4982,7,FALSE)</f>
        <v>ajeletsalinas@gmail.com</v>
      </c>
      <c r="N118" s="113" t="str">
        <f>VLOOKUP(Table1[[#This Row],[SyStudentId]],SSR!$A$2:$CC$4982,8,FALSE)</f>
        <v>4641 Lasater Road TRLR71</v>
      </c>
      <c r="O118" s="113" t="str">
        <f>VLOOKUP(Table1[[#This Row],[SyStudentId]],SSR!$A$2:$CC$4982,9,FALSE)</f>
        <v>Mesquite</v>
      </c>
      <c r="P118" s="113" t="str">
        <f>VLOOKUP(Table1[[#This Row],[SyStudentId]],SSR!$A$2:$CC$4982,10,FALSE)</f>
        <v>TX</v>
      </c>
      <c r="Q118" s="117" t="str">
        <f>VLOOKUP(Table1[[#This Row],[SyStudentId]],SSR!$A$2:$CC$4982,11,FALSE)</f>
        <v>75181-3400</v>
      </c>
      <c r="R118" s="118">
        <f>VLOOKUP(Table1[[#This Row],[SyStudentId]],SSR!$A$2:$CC$4982,15,FALSE)</f>
        <v>3.306</v>
      </c>
      <c r="S118" s="119">
        <f>VLOOKUP(Table1[[#This Row],[SyStudentId]],SSR!$A$2:$CC$4982,22,FALSE)</f>
        <v>44109</v>
      </c>
      <c r="T118" s="113" t="str">
        <f>VLOOKUP(Table1[[#This Row],[SyStudentId]],SSR!$A$2:$CC$4982,24,FALSE)</f>
        <v>JT</v>
      </c>
      <c r="U118" s="113" t="str">
        <f>IF(VLOOKUP(Table1[[#This Row],[SyStudentId]],SSR!$A$2:$CC$4982,26,FALSE)=0,"Not Selected",VLOOKUP(Table1[[#This Row],[SyStudentId]],SSR!$A$2:$CC$4982,26,FALSE))</f>
        <v>Female</v>
      </c>
      <c r="V118" s="113" t="str">
        <f>VLOOKUP(Table1[[#This Row],[SyStudentId]],SSR!$A$2:$CC$4982,27,FALSE)</f>
        <v xml:space="preserve">HS2020  </v>
      </c>
      <c r="W118" s="113" t="str">
        <f>VLOOKUP(LEFT(Table1[[#This Row],[LastName]],1),Alpha!$A$1:$B$26,2,FALSE)</f>
        <v>Maureen Ranks</v>
      </c>
      <c r="X118" s="149" t="str">
        <f>VLOOKUP(Table1[[#This Row],[FAA]],Alpha!$B$1:$D$26,2,FALSE)</f>
        <v>mranks@neumont.edu</v>
      </c>
      <c r="Y118" s="113">
        <f>VLOOKUP(Table1[[#This Row],[FAA]],Alpha!$B$1:$D$26,3,FALSE)</f>
        <v>8883022894</v>
      </c>
      <c r="Z118" s="113" t="str">
        <f>VLOOKUP(Table1[[#This Row],[SyStudentId]],SSR!$A$2:$CC$4982,30,FALSE)</f>
        <v>16-Accepted</v>
      </c>
      <c r="AA118" s="113" t="str">
        <f>IF(VLOOKUP(Table1[[#This Row],[SyStudentId]],SSR!$A$2:$CC$4982,36,FALSE)="Bachelor of Science","BS Computer Science","Check Program")</f>
        <v>BS Computer Science</v>
      </c>
      <c r="AB118" s="113">
        <f>VLOOKUP(Table1[[#This Row],[SyStudentId]],SSR!$A$2:$CC$4982,37,FALSE)</f>
        <v>0</v>
      </c>
      <c r="AC118" s="113" t="str">
        <f>VLOOKUP(Table1[[#This Row],[SyStudentId]],SSR!$A$2:$CC$4982,42,FALSE)</f>
        <v xml:space="preserve">1010    </v>
      </c>
      <c r="AD118" s="113" t="str">
        <f>VLOOKUP(Table1[[#This Row],[SyStudentId]],SSR!$A$2:$CC$4982,46,FALSE)</f>
        <v>103</v>
      </c>
      <c r="AE118" s="113" t="str">
        <f>VLOOKUP(Table1[[#This Row],[SyStudentId]],SSR!$A$2:$CC$4982,65,FALSE)</f>
        <v>III</v>
      </c>
      <c r="AF118"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118" s="113" t="str">
        <f>VLOOKUP(Table1[[#This Row],[SyStudentId]],SSR!$A$2:$CC$4982,66,FALSE)</f>
        <v>October</v>
      </c>
      <c r="AH118" s="113" t="str">
        <f>IFERROR(VLOOKUP(Table1[[#This Row],[SyStudentId]],ISIR!$A$2:$X$999,7,FALSE),"")</f>
        <v/>
      </c>
      <c r="AI118" s="121" t="str">
        <f>IF(Table1[[#This Row],[EFCRaw]]="","",IF(Table1[[#This Row],[EFCRaw]]="No EFC","No EFC",_xlfn.NUMBERVALUE(Table1[[#This Row],[EFCRaw]])))</f>
        <v/>
      </c>
      <c r="AJ118" s="119" t="str">
        <f>IFERROR(VLOOKUP(Table1[[#This Row],[SyStudentId]],ISIR!$A$2:$X$4999,19,FALSE),"")</f>
        <v/>
      </c>
      <c r="AK118" s="113" t="str">
        <f>IFERROR(VLOOKUP(Table1[[#This Row],[SyStudentId]],ISIR!$A$2:$X$4999,8,FALSE),"")</f>
        <v/>
      </c>
      <c r="AL118" s="132" t="str">
        <f>IF(Table1[[#This Row],[VerReq]]="N","n/a","")</f>
        <v/>
      </c>
      <c r="AM118" s="122"/>
      <c r="AN118" s="122"/>
      <c r="AO118" s="122"/>
      <c r="AP118" s="122"/>
      <c r="AQ118" s="122"/>
      <c r="AR118" s="122"/>
      <c r="AS118" s="122"/>
      <c r="AT118" s="122"/>
      <c r="AU118" s="122"/>
      <c r="AV118" s="122"/>
      <c r="AW118" s="122"/>
      <c r="AX118" s="122"/>
      <c r="AY118" s="122"/>
      <c r="AZ118" s="122"/>
      <c r="BA118" s="122"/>
      <c r="BB118" s="122"/>
      <c r="BC118" s="148"/>
      <c r="BD118" s="140" t="str">
        <f>IF(Table1[[#This Row],[VerReq]]="N","x","")</f>
        <v/>
      </c>
      <c r="BE118" s="140" t="str">
        <f>IF(Table1[[#This Row],[VerReq]]="N","x","")</f>
        <v/>
      </c>
      <c r="BF118" s="140" t="str">
        <f>IF(Table1[[#This Row],[VerReq]]="N","x","")</f>
        <v/>
      </c>
      <c r="BG118" s="140" t="str">
        <f>IF(Table1[[#This Row],[VerReq]]="N","x","")</f>
        <v/>
      </c>
      <c r="BH118" s="140" t="str">
        <f>IF(Table1[[#This Row],[VerReq]]="N","x","")</f>
        <v/>
      </c>
      <c r="BI118" s="140" t="str">
        <f>IF(Table1[[#This Row],[VerReq]]="N","x","")</f>
        <v/>
      </c>
      <c r="BJ118" s="123">
        <f>1-((COUNTBLANK(Table1[[#This Row],[ALESent]:[TaxTran]]))/(COUNT(Table1[[#This Row],[ALESent]:[TaxTran]])+COUNTBLANK(Table1[[#This Row],[ALESent]:[TaxTran]])))</f>
        <v>0</v>
      </c>
      <c r="BK118" s="150">
        <f>IF(VLOOKUP(Table1[[#This Row],[SyStudentId]],SSR!$A$2:$CC$4982,22,FALSE)=44109,44109,"Check Program")</f>
        <v>44109</v>
      </c>
      <c r="BL118" s="124">
        <f>IF(Table1[[#This Row],[AYStart]]=44109,44356,"Check Program")</f>
        <v>44356</v>
      </c>
      <c r="BM118" s="219">
        <v>8505</v>
      </c>
      <c r="BN118" s="219">
        <v>8505</v>
      </c>
      <c r="BO118" s="219">
        <v>8505</v>
      </c>
      <c r="BP118" s="220">
        <f t="shared" si="3"/>
        <v>25515</v>
      </c>
      <c r="BQ118" s="221">
        <v>3300</v>
      </c>
      <c r="BR118" s="219">
        <v>400</v>
      </c>
      <c r="BS118" s="219">
        <v>400</v>
      </c>
      <c r="BT118" s="220">
        <f t="shared" si="4"/>
        <v>4100</v>
      </c>
      <c r="BU118" s="219">
        <v>2100</v>
      </c>
      <c r="BV118" s="219">
        <v>2100</v>
      </c>
      <c r="BW118" s="219">
        <v>2100</v>
      </c>
      <c r="BX118" s="220">
        <f t="shared" si="5"/>
        <v>6300</v>
      </c>
      <c r="BY118" s="275">
        <v>1200</v>
      </c>
      <c r="BZ118" s="275">
        <v>1200</v>
      </c>
      <c r="CA118" s="275">
        <v>1200</v>
      </c>
      <c r="CB118" s="220">
        <f>SUM(Table1[[#This Row],[LEQ1]:[LEQ3]])</f>
        <v>3600</v>
      </c>
      <c r="CC118" s="269"/>
      <c r="CD118" s="269"/>
      <c r="CE118" s="269"/>
      <c r="CF118" s="220">
        <f>SUM(Table1[[#This Row],[OthCostQ1]:[OthCostQ3]])</f>
        <v>0</v>
      </c>
      <c r="CG118" s="220">
        <f>(Table1[[#This Row],[T&amp;FTot]]+Table1[[#This Row],[B&amp;STot]]+Table1[[#This Row],[HousTot]]+Table1[[#This Row],[LETot]]+Table1[[#This Row],[OthCostTot]])</f>
        <v>39515</v>
      </c>
      <c r="CH118" s="250"/>
      <c r="CI118" s="250"/>
      <c r="CJ118" s="250"/>
      <c r="CK118" s="251">
        <f>SUM(Table1[[#This Row],[SEOGQ1]:[SEOGQ3]])</f>
        <v>0</v>
      </c>
      <c r="CL118" s="250">
        <f>IFERROR(ROUNDUP(Table1[[#This Row],[PellTot]]/3,0),0)</f>
        <v>0</v>
      </c>
      <c r="CM118" s="250">
        <f>IFERROR(ROUND(Table1[[#This Row],[PellTot]]/3,0),0)</f>
        <v>0</v>
      </c>
      <c r="CN118" s="250">
        <f>IFERROR(ROUNDDOWN(Table1[[#This Row],[PellTot]]/3,0),0)</f>
        <v>0</v>
      </c>
      <c r="CO118" s="251">
        <f>IFERROR(LOOKUP(Table1[EFC],Pell_Table[#Data],Pell_Table[Pell Amt]),0)</f>
        <v>0</v>
      </c>
      <c r="CP118" s="250">
        <f>Table1[[#This Row],[AccessTot]]/3</f>
        <v>0</v>
      </c>
      <c r="CQ118" s="250">
        <f>Table1[[#This Row],[AccessTot]]/3</f>
        <v>0</v>
      </c>
      <c r="CR118" s="250">
        <f>Table1[[#This Row],[AccessTot]]/3</f>
        <v>0</v>
      </c>
      <c r="CS118" s="251">
        <f>IF(Table1[[#This Row],[PellTot]]&gt;0,1500,0)</f>
        <v>0</v>
      </c>
      <c r="CT118" s="250">
        <f>Table1[[#This Row],[AchiTot]]/3</f>
        <v>1300</v>
      </c>
      <c r="CU118" s="250">
        <f>Table1[[#This Row],[AchiTot]]/3</f>
        <v>1300</v>
      </c>
      <c r="CV118" s="250">
        <f>Table1[[#This Row],[AchiTot]]/3</f>
        <v>1300</v>
      </c>
      <c r="CW118" s="252">
        <f>IF(Table1[[#This Row],[Rank]]="","",IF(Table1[[#This Row],[Rank]]=1,5100,IF(Table1[[#This Row],[Rank]]=2,4500,IF(Table1[[#This Row],[Rank]]=3,3900,IF(Table1[[#This Row],[Rank]]=4,3750,IF(Table1[[#This Row],[Rank]]=5,3000,IF(Table1[[#This Row],[Rank]]=6,2250,0)))))))</f>
        <v>3900</v>
      </c>
      <c r="CX118" s="250">
        <f>Table1[[#This Row],[UTTot]]/3</f>
        <v>0</v>
      </c>
      <c r="CY118" s="250">
        <f>Table1[[#This Row],[UTTot]]/3</f>
        <v>0</v>
      </c>
      <c r="CZ118" s="250">
        <f>Table1[[#This Row],[UTTot]]/3</f>
        <v>0</v>
      </c>
      <c r="DA118" s="251">
        <f>IF(Table1[[#This Row],[State]]="UT",9000,0)</f>
        <v>0</v>
      </c>
      <c r="DB118" s="250">
        <f>Table1[[#This Row],[WITTot]]/3</f>
        <v>1000</v>
      </c>
      <c r="DC118" s="250">
        <f>Table1[[#This Row],[WITTot]]/3</f>
        <v>1000</v>
      </c>
      <c r="DD118" s="250">
        <f>Table1[[#This Row],[WITTot]]/3</f>
        <v>1000</v>
      </c>
      <c r="DE118" s="251">
        <f>IF(Table1[[#This Row],[Gender]]="Female",3000,0)</f>
        <v>3000</v>
      </c>
      <c r="DF118" s="250">
        <f>Table1[[#This Row],[SerTot]]/3</f>
        <v>0</v>
      </c>
      <c r="DG118" s="250">
        <f>Table1[[#This Row],[SerTot]]/3</f>
        <v>0</v>
      </c>
      <c r="DH118" s="250">
        <f>Table1[[#This Row],[SerTot]]/3</f>
        <v>0</v>
      </c>
      <c r="DI118" s="252"/>
      <c r="DJ118" s="250"/>
      <c r="DK118" s="250"/>
      <c r="DL118" s="250"/>
      <c r="DM118" s="252"/>
      <c r="DN118" s="250">
        <f>Table1[[#This Row],[MatTot]]/3</f>
        <v>0</v>
      </c>
      <c r="DO118" s="250">
        <f>Table1[[#This Row],[MatTot]]/3</f>
        <v>0</v>
      </c>
      <c r="DP118" s="250">
        <f>Table1[[#This Row],[MatTot]]/3</f>
        <v>0</v>
      </c>
      <c r="DQ118" s="252"/>
      <c r="DR118" s="250">
        <f>Table1[[#This Row],[OutTot]]/3</f>
        <v>0</v>
      </c>
      <c r="DS118" s="250">
        <f>Table1[[#This Row],[OutTot]]/3</f>
        <v>0</v>
      </c>
      <c r="DT118" s="250">
        <f>Table1[[#This Row],[OutTot]]/3</f>
        <v>0</v>
      </c>
      <c r="DU118" s="252"/>
      <c r="DV118" s="250"/>
      <c r="DW118" s="250"/>
      <c r="DX118" s="250"/>
      <c r="DY118" s="252">
        <f>SUM(Table1[[#This Row],[VAQ1]:[VAQ3]])</f>
        <v>0</v>
      </c>
      <c r="DZ118" s="250"/>
      <c r="EA118" s="250"/>
      <c r="EB118" s="250"/>
      <c r="EC118" s="270">
        <f>SUM(Table1[[#This Row],[OthGrantQ1]:[OthGrantQ3]])</f>
        <v>0</v>
      </c>
      <c r="ED118" s="263">
        <f>Table1[[#This Row],[SEOGTot]]+Table1[[#This Row],[PellTot]]+Table1[[#This Row],[AccessTot]]+Table1[[#This Row],[AchiTot]]+Table1[[#This Row],[UTTot]]+Table1[[#This Row],[WITTot]]+Table1[[#This Row],[SerTot]]+Table1[[#This Row],[TranTot]]+Table1[[#This Row],[MatTot]]+Table1[[#This Row],[OutTot]]+Table1[[#This Row],[VATot]]+Table1[[#This Row],[OthGrantTot]]</f>
        <v>6900</v>
      </c>
      <c r="EE118" s="249"/>
      <c r="EF118" s="237"/>
      <c r="EG118" s="237"/>
      <c r="EH118" s="232">
        <f>SUM(Table1[[#This Row],[CashQ1]]:Table1[[#This Row],[CashQ3]])</f>
        <v>0</v>
      </c>
      <c r="EI118" s="271">
        <f>ROUND((Table1[[#This Row],[SubTot]]/3)/1.01059,0)</f>
        <v>0</v>
      </c>
      <c r="EJ118" s="234">
        <f>ROUND((Table1[[#This Row],[SubTot]]/3)/1.01059,0)</f>
        <v>0</v>
      </c>
      <c r="EK118" s="234">
        <f>ROUNDUP((Table1[[#This Row],[SubTot]]/3)/1.01059,0)</f>
        <v>0</v>
      </c>
      <c r="EL118" s="235"/>
      <c r="EM118" s="240">
        <f>Table1[[#This Row],[SubTot]]*0.01059</f>
        <v>0</v>
      </c>
      <c r="EN118" s="234">
        <f>ROUND((Table1[[#This Row],[UnsubTot]]/3)/1.01062,0)</f>
        <v>660</v>
      </c>
      <c r="EO118" s="234">
        <f>ROUND((Table1[[#This Row],[UnsubTot]]/3)/1.01062,0)</f>
        <v>660</v>
      </c>
      <c r="EP118" s="234">
        <f>ROUNDDOWN((Table1[[#This Row],[UnsubTot]]/3)/1.01062,0)</f>
        <v>659</v>
      </c>
      <c r="EQ118" s="235">
        <f>IF(Table1[D/I]="I",6000,2000)</f>
        <v>2000</v>
      </c>
      <c r="ER118" s="240">
        <f>Table1[[#This Row],[UnsubTot]]*0.01062</f>
        <v>21.24</v>
      </c>
      <c r="ES118" s="234">
        <f>ROUND((Table1[[#This Row],[PLUSTot]]/3)/1.04248,0)</f>
        <v>0</v>
      </c>
      <c r="ET118" s="234">
        <f>ROUND((Table1[[#This Row],[PLUSTot]]/3)/1.04248,0)</f>
        <v>0</v>
      </c>
      <c r="EU118" s="234">
        <f>ROUND((Table1[[#This Row],[PLUSTot]]/3)/1.04248,0)</f>
        <v>0</v>
      </c>
      <c r="EV118" s="235"/>
      <c r="EW118" s="239">
        <f>Table1[[#This Row],[PLUSTot]]*0.04248</f>
        <v>0</v>
      </c>
      <c r="EX118" s="237"/>
      <c r="EY118" s="237"/>
      <c r="EZ118" s="237"/>
      <c r="FA118" s="232">
        <f>SUM(Table1[[#This Row],[PrivQ1]:[PrivQ3]])</f>
        <v>0</v>
      </c>
      <c r="FB118" s="237"/>
      <c r="FC118" s="237"/>
      <c r="FD118" s="237"/>
      <c r="FE118" s="232">
        <f>SUM(Table1[[#This Row],[TOQ1]:[TOQ3]])</f>
        <v>0</v>
      </c>
      <c r="FF118" s="237"/>
      <c r="FG118" s="237"/>
      <c r="FH118" s="237"/>
      <c r="FI118" s="232">
        <f>SUM(Table1[[#This Row],[OFundQ1]:[OFundQ3]])</f>
        <v>0</v>
      </c>
      <c r="FJ118" s="239">
        <f>(Table1[[#This Row],[SubTot]]-Table1[[#This Row],[SubFee]])+(Table1[[#This Row],[UnsubTot]]-Table1[[#This Row],[UnsubFee]])+(Table1[[#This Row],[PLUSTot]]-Table1[[#This Row],[PLUSFee]])+Table1[[#This Row],[PrivTot]]+Table1[[#This Row],[TOTot]]+Table1[[#This Row],[OFundTot]]</f>
        <v>1978.76</v>
      </c>
      <c r="FK118" s="125">
        <f>Table1[[#This Row],[CostTot]]-Table1[[#This Row],[GiftTot]]</f>
        <v>32615</v>
      </c>
      <c r="FL118" s="130">
        <f>Table1[[#This Row],[NetNeed]]/(1-0.04248)</f>
        <v>31995.404795722283</v>
      </c>
      <c r="FM118" s="131">
        <f>Table1[[#This Row],[NetCost]]-Table1[[#This Row],[CashTot]]-(Table1[[#This Row],[SubTot]]-Table1[[#This Row],[SubFee]])-(Table1[[#This Row],[UnsubTot]]-Table1[[#This Row],[UnsubFee]])-(Table1[[#This Row],[PLUSTot]]-Table1[[#This Row],[PLUSFee]])-Table1[[#This Row],[PrivTot]]-Table1[[#This Row],[TOTot]]-Table1[[#This Row],[OFundTot]]</f>
        <v>30636.240000000002</v>
      </c>
      <c r="FN118" s="156"/>
      <c r="FO118" s="113"/>
      <c r="FP118" s="113"/>
    </row>
    <row r="119" spans="1:172" ht="15" x14ac:dyDescent="0.25">
      <c r="A119" s="267">
        <v>198506</v>
      </c>
      <c r="B119" s="113" t="str">
        <f>VLOOKUP(Table1[[#This Row],[SyStudentId]],SSR!$A$2:$CC$4982,4,FALSE)</f>
        <v>Salinas</v>
      </c>
      <c r="C119" s="113" t="str">
        <f>VLOOKUP(Table1[[#This Row],[SyStudentId]],SSR!$A$2:$CC$4982,5,FALSE)</f>
        <v>Juan</v>
      </c>
      <c r="D119" s="113" t="str">
        <f>VLOOKUP(Table1[[#This Row],[SyStudentId]],SSR!$A$2:$CC$4982,6,FALSE)</f>
        <v>Salinas, Juan</v>
      </c>
      <c r="E119" s="113" t="str">
        <f>CONCATENATE(Table1[[#This Row],[FirstName]]," ",Table1[[#This Row],[LastName]])</f>
        <v>Juan Salinas</v>
      </c>
      <c r="F119" s="112"/>
      <c r="G119" s="114"/>
      <c r="H119" s="114"/>
      <c r="I119" s="114"/>
      <c r="J119" s="115"/>
      <c r="K119" s="116"/>
      <c r="L119" s="112" t="str">
        <f>IFERROR(VLOOKUP(Table1[[#This Row],[SyStudentId]],ISIR!$A$2:$X$999,11,FALSE),"")</f>
        <v/>
      </c>
      <c r="M119" s="113" t="str">
        <f>VLOOKUP(Table1[[#This Row],[SyStudentId]],SSR!$A$2:$CC$4982,7,FALSE)</f>
        <v>shadowhawk6440@gmail.com</v>
      </c>
      <c r="N119" s="113" t="str">
        <f>VLOOKUP(Table1[[#This Row],[SyStudentId]],SSR!$A$2:$CC$4982,8,FALSE)</f>
        <v>612 NE 20th St</v>
      </c>
      <c r="O119" s="113" t="str">
        <f>VLOOKUP(Table1[[#This Row],[SyStudentId]],SSR!$A$2:$CC$4982,9,FALSE)</f>
        <v>Guymon</v>
      </c>
      <c r="P119" s="292" t="str">
        <f>VLOOKUP(Table1[[#This Row],[SyStudentId]],SSR!$A$2:$CC$4982,10,FALSE)</f>
        <v>OK</v>
      </c>
      <c r="Q119" s="117" t="str">
        <f>VLOOKUP(Table1[[#This Row],[SyStudentId]],SSR!$A$2:$CC$4982,11,FALSE)</f>
        <v xml:space="preserve">73942     </v>
      </c>
      <c r="R119" s="118">
        <f>VLOOKUP(Table1[[#This Row],[SyStudentId]],SSR!$A$2:$CC$4982,15,FALSE)</f>
        <v>3.5</v>
      </c>
      <c r="S119" s="119">
        <f>VLOOKUP(Table1[[#This Row],[SyStudentId]],SSR!$A$2:$CC$4982,22,FALSE)</f>
        <v>44109</v>
      </c>
      <c r="T119" s="113" t="str">
        <f>VLOOKUP(Table1[[#This Row],[SyStudentId]],SSR!$A$2:$CC$4982,24,FALSE)</f>
        <v>GM</v>
      </c>
      <c r="U119" s="113" t="str">
        <f>IF(VLOOKUP(Table1[[#This Row],[SyStudentId]],SSR!$A$2:$CC$4982,26,FALSE)=0,"Not Selected",VLOOKUP(Table1[[#This Row],[SyStudentId]],SSR!$A$2:$CC$4982,26,FALSE))</f>
        <v>Male</v>
      </c>
      <c r="V119" s="113" t="str">
        <f>VLOOKUP(Table1[[#This Row],[SyStudentId]],SSR!$A$2:$CC$4982,27,FALSE)</f>
        <v xml:space="preserve">HS2020  </v>
      </c>
      <c r="W119" s="113" t="str">
        <f>VLOOKUP(LEFT(Table1[[#This Row],[LastName]],1),Alpha!$A$1:$B$26,2,FALSE)</f>
        <v>Maureen Ranks</v>
      </c>
      <c r="X119" s="149" t="str">
        <f>VLOOKUP(Table1[[#This Row],[FAA]],Alpha!$B$1:$D$26,2,FALSE)</f>
        <v>mranks@neumont.edu</v>
      </c>
      <c r="Y119" s="113">
        <f>VLOOKUP(Table1[[#This Row],[FAA]],Alpha!$B$1:$D$26,3,FALSE)</f>
        <v>8883022894</v>
      </c>
      <c r="Z119" s="113" t="str">
        <f>VLOOKUP(Table1[[#This Row],[SyStudentId]],SSR!$A$2:$CC$4982,30,FALSE)</f>
        <v>16-Accepted</v>
      </c>
      <c r="AA119" s="113" t="str">
        <f>IF(VLOOKUP(Table1[[#This Row],[SyStudentId]],SSR!$A$2:$CC$4982,36,FALSE)="Bachelor of Science","BS Computer Science","Check Program")</f>
        <v>BS Computer Science</v>
      </c>
      <c r="AB119" s="113" t="str">
        <f>VLOOKUP(Table1[[#This Row],[SyStudentId]],SSR!$A$2:$CC$4982,37,FALSE)</f>
        <v xml:space="preserve">20      </v>
      </c>
      <c r="AC119" s="113">
        <f>VLOOKUP(Table1[[#This Row],[SyStudentId]],SSR!$A$2:$CC$4982,42,FALSE)</f>
        <v>0</v>
      </c>
      <c r="AD119" s="113" t="str">
        <f>VLOOKUP(Table1[[#This Row],[SyStudentId]],SSR!$A$2:$CC$4982,46,FALSE)</f>
        <v>104</v>
      </c>
      <c r="AE119" s="113" t="str">
        <f>VLOOKUP(Table1[[#This Row],[SyStudentId]],SSR!$A$2:$CC$4982,65,FALSE)</f>
        <v>V</v>
      </c>
      <c r="AF119"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5</v>
      </c>
      <c r="AG119" s="113" t="str">
        <f>VLOOKUP(Table1[[#This Row],[SyStudentId]],SSR!$A$2:$CC$4982,66,FALSE)</f>
        <v>July-October</v>
      </c>
      <c r="AH119" s="113" t="str">
        <f>IFERROR(VLOOKUP(Table1[[#This Row],[SyStudentId]],ISIR!$A$2:$X$999,7,FALSE),"")</f>
        <v/>
      </c>
      <c r="AI119" s="121" t="str">
        <f>IF(Table1[[#This Row],[EFCRaw]]="","",IF(Table1[[#This Row],[EFCRaw]]="No EFC","No EFC",_xlfn.NUMBERVALUE(Table1[[#This Row],[EFCRaw]])))</f>
        <v/>
      </c>
      <c r="AJ119" s="119" t="str">
        <f>IFERROR(VLOOKUP(Table1[[#This Row],[SyStudentId]],ISIR!$A$2:$X$4999,19,FALSE),"")</f>
        <v/>
      </c>
      <c r="AK119" s="113" t="str">
        <f>IFERROR(VLOOKUP(Table1[[#This Row],[SyStudentId]],ISIR!$A$2:$X$4999,8,FALSE),"")</f>
        <v/>
      </c>
      <c r="AL119" s="132" t="str">
        <f>IF(Table1[[#This Row],[VerReq]]="N","n/a","")</f>
        <v/>
      </c>
      <c r="AM119" s="122"/>
      <c r="AN119" s="122"/>
      <c r="AO119" s="122"/>
      <c r="AP119" s="122"/>
      <c r="AQ119" s="122"/>
      <c r="AR119" s="122"/>
      <c r="AS119" s="122"/>
      <c r="AT119" s="122"/>
      <c r="AU119" s="122"/>
      <c r="AV119" s="122"/>
      <c r="AW119" s="122"/>
      <c r="AX119" s="122"/>
      <c r="AY119" s="122"/>
      <c r="AZ119" s="122"/>
      <c r="BA119" s="122"/>
      <c r="BB119" s="122"/>
      <c r="BC119" s="148"/>
      <c r="BD119" s="140" t="str">
        <f>IF(Table1[[#This Row],[VerReq]]="N","x","")</f>
        <v/>
      </c>
      <c r="BE119" s="140" t="str">
        <f>IF(Table1[[#This Row],[VerReq]]="N","x","")</f>
        <v/>
      </c>
      <c r="BF119" s="140" t="str">
        <f>IF(Table1[[#This Row],[VerReq]]="N","x","")</f>
        <v/>
      </c>
      <c r="BG119" s="140" t="str">
        <f>IF(Table1[[#This Row],[VerReq]]="N","x","")</f>
        <v/>
      </c>
      <c r="BH119" s="140" t="str">
        <f>IF(Table1[[#This Row],[VerReq]]="N","x","")</f>
        <v/>
      </c>
      <c r="BI119" s="140" t="str">
        <f>IF(Table1[[#This Row],[VerReq]]="N","x","")</f>
        <v/>
      </c>
      <c r="BJ119" s="123">
        <f>1-((COUNTBLANK(Table1[[#This Row],[ALESent]:[TaxTran]]))/(COUNT(Table1[[#This Row],[ALESent]:[TaxTran]])+COUNTBLANK(Table1[[#This Row],[ALESent]:[TaxTran]])))</f>
        <v>0</v>
      </c>
      <c r="BK119" s="150">
        <f>IF(VLOOKUP(Table1[[#This Row],[SyStudentId]],SSR!$A$2:$CC$4982,22,FALSE)=44109,44109,"Check Program")</f>
        <v>44109</v>
      </c>
      <c r="BL119" s="124">
        <f>IF(Table1[[#This Row],[AYStart]]=44109,44356,"Check Program")</f>
        <v>44356</v>
      </c>
      <c r="BM119" s="219">
        <v>8505</v>
      </c>
      <c r="BN119" s="219">
        <v>8505</v>
      </c>
      <c r="BO119" s="219">
        <v>8505</v>
      </c>
      <c r="BP119" s="220">
        <f t="shared" si="3"/>
        <v>25515</v>
      </c>
      <c r="BQ119" s="221">
        <v>3300</v>
      </c>
      <c r="BR119" s="219">
        <v>400</v>
      </c>
      <c r="BS119" s="219">
        <v>400</v>
      </c>
      <c r="BT119" s="220">
        <f t="shared" si="4"/>
        <v>4100</v>
      </c>
      <c r="BU119" s="219">
        <v>2100</v>
      </c>
      <c r="BV119" s="219">
        <v>2100</v>
      </c>
      <c r="BW119" s="219">
        <v>2100</v>
      </c>
      <c r="BX119" s="222">
        <f t="shared" si="5"/>
        <v>6300</v>
      </c>
      <c r="BY119" s="275">
        <v>1200</v>
      </c>
      <c r="BZ119" s="275">
        <v>1200</v>
      </c>
      <c r="CA119" s="275">
        <v>1200</v>
      </c>
      <c r="CB119" s="222">
        <f>SUM(Table1[[#This Row],[LEQ1]:[LEQ3]])</f>
        <v>3600</v>
      </c>
      <c r="CC119" s="276">
        <v>0</v>
      </c>
      <c r="CD119" s="276">
        <v>0</v>
      </c>
      <c r="CE119" s="276">
        <v>0</v>
      </c>
      <c r="CF119" s="222">
        <f>SUM(Table1[[#This Row],[OthCostQ1]:[OthCostQ3]])</f>
        <v>0</v>
      </c>
      <c r="CG119" s="220">
        <f>(Table1[[#This Row],[T&amp;FTot]]+Table1[[#This Row],[B&amp;STot]]+Table1[[#This Row],[HousTot]]+Table1[[#This Row],[LETot]]+Table1[[#This Row],[OthCostTot]])</f>
        <v>39515</v>
      </c>
      <c r="CH119" s="250"/>
      <c r="CI119" s="250"/>
      <c r="CJ119" s="250"/>
      <c r="CK119" s="251">
        <f>SUM(Table1[[#This Row],[SEOGQ1]:[SEOGQ3]])</f>
        <v>0</v>
      </c>
      <c r="CL119" s="250">
        <f>IFERROR(ROUNDUP(Table1[[#This Row],[PellTot]]/3,0),0)</f>
        <v>0</v>
      </c>
      <c r="CM119" s="250">
        <f>IFERROR(ROUND(Table1[[#This Row],[PellTot]]/3,0),0)</f>
        <v>0</v>
      </c>
      <c r="CN119" s="250">
        <f>IFERROR(ROUNDDOWN(Table1[[#This Row],[PellTot]]/3,0),0)</f>
        <v>0</v>
      </c>
      <c r="CO119" s="251">
        <f>IFERROR(LOOKUP(Table1[EFC],Pell_Table[#Data],Pell_Table[Pell Amt]),0)</f>
        <v>0</v>
      </c>
      <c r="CP119" s="250">
        <f>Table1[[#This Row],[AccessTot]]/3</f>
        <v>0</v>
      </c>
      <c r="CQ119" s="250">
        <f>Table1[[#This Row],[AccessTot]]/3</f>
        <v>0</v>
      </c>
      <c r="CR119" s="250">
        <f>Table1[[#This Row],[AccessTot]]/3</f>
        <v>0</v>
      </c>
      <c r="CS119" s="251">
        <f>IF(Table1[[#This Row],[PellTot]]&gt;0,1500,0)</f>
        <v>0</v>
      </c>
      <c r="CT119" s="250">
        <f>Table1[[#This Row],[AchiTot]]/3</f>
        <v>1000</v>
      </c>
      <c r="CU119" s="250">
        <f>Table1[[#This Row],[AchiTot]]/3</f>
        <v>1000</v>
      </c>
      <c r="CV119" s="250">
        <f>Table1[[#This Row],[AchiTot]]/3</f>
        <v>1000</v>
      </c>
      <c r="CW119" s="252">
        <f>IF(Table1[[#This Row],[Rank]]="","",IF(Table1[[#This Row],[Rank]]=1,5100,IF(Table1[[#This Row],[Rank]]=2,4500,IF(Table1[[#This Row],[Rank]]=3,3900,IF(Table1[[#This Row],[Rank]]=4,3750,IF(Table1[[#This Row],[Rank]]=5,3000,IF(Table1[[#This Row],[Rank]]=6,2250,0)))))))</f>
        <v>3000</v>
      </c>
      <c r="CX119" s="250">
        <f>Table1[[#This Row],[UTTot]]/3</f>
        <v>0</v>
      </c>
      <c r="CY119" s="250">
        <f>Table1[[#This Row],[UTTot]]/3</f>
        <v>0</v>
      </c>
      <c r="CZ119" s="250">
        <f>Table1[[#This Row],[UTTot]]/3</f>
        <v>0</v>
      </c>
      <c r="DA119" s="251">
        <f>IF(Table1[[#This Row],[State]]="UT",9000,0)</f>
        <v>0</v>
      </c>
      <c r="DB119" s="250">
        <f>Table1[[#This Row],[WITTot]]/3</f>
        <v>0</v>
      </c>
      <c r="DC119" s="250">
        <f>Table1[[#This Row],[WITTot]]/3</f>
        <v>0</v>
      </c>
      <c r="DD119" s="250">
        <f>Table1[[#This Row],[WITTot]]/3</f>
        <v>0</v>
      </c>
      <c r="DE119" s="251">
        <f>IF(Table1[[#This Row],[Gender]]="Female",3000,0)</f>
        <v>0</v>
      </c>
      <c r="DF119" s="250">
        <f>Table1[[#This Row],[SerTot]]/3</f>
        <v>1000</v>
      </c>
      <c r="DG119" s="250">
        <f>Table1[[#This Row],[SerTot]]/3</f>
        <v>1000</v>
      </c>
      <c r="DH119" s="250">
        <f>Table1[[#This Row],[SerTot]]/3</f>
        <v>1000</v>
      </c>
      <c r="DI119" s="252">
        <v>3000</v>
      </c>
      <c r="DJ119" s="250"/>
      <c r="DK119" s="250"/>
      <c r="DL119" s="250"/>
      <c r="DM119" s="252"/>
      <c r="DN119" s="253">
        <f>Table1[[#This Row],[MatTot]]/3</f>
        <v>0</v>
      </c>
      <c r="DO119" s="253">
        <f>Table1[[#This Row],[MatTot]]/3</f>
        <v>0</v>
      </c>
      <c r="DP119" s="253">
        <f>Table1[[#This Row],[MatTot]]/3</f>
        <v>0</v>
      </c>
      <c r="DQ119" s="255">
        <v>0</v>
      </c>
      <c r="DR119" s="253">
        <f>Table1[[#This Row],[OutTot]]/3</f>
        <v>0</v>
      </c>
      <c r="DS119" s="253">
        <f>Table1[[#This Row],[OutTot]]/3</f>
        <v>0</v>
      </c>
      <c r="DT119" s="253">
        <f>Table1[[#This Row],[OutTot]]/3</f>
        <v>0</v>
      </c>
      <c r="DU119" s="255">
        <v>0</v>
      </c>
      <c r="DV119" s="250"/>
      <c r="DW119" s="250"/>
      <c r="DX119" s="250"/>
      <c r="DY119" s="252">
        <f>SUM(Table1[[#This Row],[VAQ1]:[VAQ3]])</f>
        <v>0</v>
      </c>
      <c r="DZ119" s="250"/>
      <c r="EA119" s="250"/>
      <c r="EB119" s="250"/>
      <c r="EC119" s="270">
        <f>SUM(Table1[[#This Row],[OthGrantQ1]:[OthGrantQ3]])</f>
        <v>0</v>
      </c>
      <c r="ED119" s="263">
        <f>Table1[[#This Row],[SEOGTot]]+Table1[[#This Row],[PellTot]]+Table1[[#This Row],[AccessTot]]+Table1[[#This Row],[AchiTot]]+Table1[[#This Row],[UTTot]]+Table1[[#This Row],[WITTot]]+Table1[[#This Row],[SerTot]]+Table1[[#This Row],[TranTot]]+Table1[[#This Row],[MatTot]]+Table1[[#This Row],[OutTot]]+Table1[[#This Row],[VATot]]+Table1[[#This Row],[OthGrantTot]]</f>
        <v>6000</v>
      </c>
      <c r="EE119" s="226">
        <v>0</v>
      </c>
      <c r="EF119" s="227">
        <v>0</v>
      </c>
      <c r="EG119" s="227">
        <v>0</v>
      </c>
      <c r="EH119" s="228">
        <f>SUM(Table1[[#This Row],[CashQ1]]:Table1[[#This Row],[CashQ3]])</f>
        <v>0</v>
      </c>
      <c r="EI119" s="229">
        <f>ROUND((Table1[[#This Row],[SubTot]]/3)/1.01059,0)</f>
        <v>1154</v>
      </c>
      <c r="EJ119" s="230">
        <f>ROUND((Table1[[#This Row],[SubTot]]/3)/1.01059,0)</f>
        <v>1154</v>
      </c>
      <c r="EK119" s="230">
        <f>ROUNDUP((Table1[[#This Row],[SubTot]]/3)/1.01059,0)</f>
        <v>1155</v>
      </c>
      <c r="EL119" s="231">
        <v>3500</v>
      </c>
      <c r="EM119" s="240">
        <f>Table1[[#This Row],[SubTot]]*0.01059</f>
        <v>37.065000000000005</v>
      </c>
      <c r="EN119" s="230">
        <f>ROUND((Table1[[#This Row],[UnsubTot]]/3)/1.01062,0)</f>
        <v>660</v>
      </c>
      <c r="EO119" s="230">
        <f>ROUND((Table1[[#This Row],[UnsubTot]]/3)/1.01062,0)</f>
        <v>660</v>
      </c>
      <c r="EP119" s="230">
        <f>ROUNDDOWN((Table1[[#This Row],[UnsubTot]]/3)/1.01062,0)</f>
        <v>659</v>
      </c>
      <c r="EQ119" s="231">
        <f>IF(Table1[D/I]="I",6000,2000)</f>
        <v>2000</v>
      </c>
      <c r="ER119" s="233">
        <f>Table1[[#This Row],[UnsubTot]]*0.01059</f>
        <v>21.18</v>
      </c>
      <c r="ES119" s="230">
        <f>ROUND((Table1[[#This Row],[PLUSTot]]/3)/1.04236,0)</f>
        <v>0</v>
      </c>
      <c r="ET119" s="230">
        <f>ROUND((Table1[[#This Row],[PLUSTot]]/3)/1.04236,0)</f>
        <v>0</v>
      </c>
      <c r="EU119" s="230">
        <f>ROUND((Table1[[#This Row],[PLUSTot]]/3)/1.04236,0)</f>
        <v>0</v>
      </c>
      <c r="EV119" s="231">
        <v>0</v>
      </c>
      <c r="EW119" s="239">
        <f>Table1[[#This Row],[PLUSTot]]*0.04248</f>
        <v>0</v>
      </c>
      <c r="EX119" s="237"/>
      <c r="EY119" s="237"/>
      <c r="EZ119" s="237"/>
      <c r="FA119" s="232">
        <f>SUM(Table1[[#This Row],[PrivQ1]:[PrivQ3]])</f>
        <v>0</v>
      </c>
      <c r="FB119" s="237"/>
      <c r="FC119" s="237"/>
      <c r="FD119" s="237"/>
      <c r="FE119" s="232">
        <f>SUM(Table1[[#This Row],[TOQ1]:[TOQ3]])</f>
        <v>0</v>
      </c>
      <c r="FF119" s="237"/>
      <c r="FG119" s="237"/>
      <c r="FH119" s="237"/>
      <c r="FI119" s="232">
        <f>SUM(Table1[[#This Row],[OFundQ1]:[OFundQ3]])</f>
        <v>0</v>
      </c>
      <c r="FJ119" s="239">
        <f>(Table1[[#This Row],[SubTot]]-Table1[[#This Row],[SubFee]])+(Table1[[#This Row],[UnsubTot]]-Table1[[#This Row],[UnsubFee]])+(Table1[[#This Row],[PLUSTot]]-Table1[[#This Row],[PLUSFee]])+Table1[[#This Row],[PrivTot]]+Table1[[#This Row],[TOTot]]+Table1[[#This Row],[OFundTot]]</f>
        <v>5441.7550000000001</v>
      </c>
      <c r="FK119" s="125">
        <f>Table1[[#This Row],[CostTot]]-Table1[[#This Row],[GiftTot]]</f>
        <v>33515</v>
      </c>
      <c r="FL119" s="130">
        <f>Table1[[#This Row],[NetNeed]]/(1-0.04248)</f>
        <v>29318.703525774916</v>
      </c>
      <c r="FM119" s="131">
        <f>Table1[[#This Row],[NetCost]]-Table1[[#This Row],[CashTot]]-(Table1[[#This Row],[SubTot]]-Table1[[#This Row],[SubFee]])-(Table1[[#This Row],[UnsubTot]]-Table1[[#This Row],[UnsubFee]])-(Table1[[#This Row],[PLUSTot]]-Table1[[#This Row],[PLUSFee]])-Table1[[#This Row],[PrivTot]]-Table1[[#This Row],[TOTot]]-Table1[[#This Row],[OFundTot]]</f>
        <v>28073.244999999999</v>
      </c>
      <c r="FN119" s="217"/>
      <c r="FO119" s="162"/>
      <c r="FP119" s="162"/>
    </row>
    <row r="120" spans="1:172" ht="15" x14ac:dyDescent="0.25">
      <c r="A120" s="267">
        <v>196237</v>
      </c>
      <c r="B120" s="160" t="str">
        <f>VLOOKUP(Table1[[#This Row],[SyStudentId]],SSR!$A$2:$CC$4982,4,FALSE)</f>
        <v>Samuel</v>
      </c>
      <c r="C120" s="160" t="str">
        <f>VLOOKUP(Table1[[#This Row],[SyStudentId]],SSR!$A$2:$CC$4982,5,FALSE)</f>
        <v>DeAndrey</v>
      </c>
      <c r="D120" s="160" t="str">
        <f>VLOOKUP(Table1[[#This Row],[SyStudentId]],SSR!$A$2:$CC$4982,6,FALSE)</f>
        <v>Samuel, DeAndrey</v>
      </c>
      <c r="E120" s="113" t="str">
        <f>CONCATENATE(Table1[[#This Row],[FirstName]]," ",Table1[[#This Row],[LastName]])</f>
        <v>DeAndrey Samuel</v>
      </c>
      <c r="F120" s="158"/>
      <c r="G120" s="114"/>
      <c r="H120" s="114"/>
      <c r="I120" s="114"/>
      <c r="J120" s="163"/>
      <c r="K120" s="164"/>
      <c r="L120" s="158" t="str">
        <f>IFERROR(VLOOKUP(Table1[[#This Row],[SyStudentId]],ISIR!$A$2:$X$4999,11,FALSE),"")</f>
        <v/>
      </c>
      <c r="M120" s="160" t="str">
        <f>VLOOKUP(Table1[[#This Row],[SyStudentId]],SSR!$A$2:$CC$4982,7,FALSE)</f>
        <v>deandrey68.ds@gmail.com</v>
      </c>
      <c r="N120" s="160" t="str">
        <f>VLOOKUP(Table1[[#This Row],[SyStudentId]],SSR!$A$2:$CC$4982,8,FALSE)</f>
        <v>99 County Road 1795</v>
      </c>
      <c r="O120" s="160" t="str">
        <f>VLOOKUP(Table1[[#This Row],[SyStudentId]],SSR!$A$2:$CC$4982,9,FALSE)</f>
        <v>Jefferson</v>
      </c>
      <c r="P120" s="160" t="str">
        <f>VLOOKUP(Table1[[#This Row],[SyStudentId]],SSR!$A$2:$CC$4982,10,FALSE)</f>
        <v>TX</v>
      </c>
      <c r="Q120" s="165" t="str">
        <f>VLOOKUP(Table1[[#This Row],[SyStudentId]],SSR!$A$2:$CC$4982,11,FALSE)</f>
        <v xml:space="preserve">75657     </v>
      </c>
      <c r="R120" s="166">
        <f>VLOOKUP(Table1[[#This Row],[SyStudentId]],SSR!$A$2:$CC$4982,15,FALSE)</f>
        <v>3.4523799999999998</v>
      </c>
      <c r="S120" s="167">
        <f>VLOOKUP(Table1[[#This Row],[SyStudentId]],SSR!$A$2:$CC$4982,22,FALSE)</f>
        <v>44109</v>
      </c>
      <c r="T120" s="160" t="str">
        <f>VLOOKUP(Table1[[#This Row],[SyStudentId]],SSR!$A$2:$CC$4982,24,FALSE)</f>
        <v>JT</v>
      </c>
      <c r="U120" s="160" t="str">
        <f>IF(VLOOKUP(Table1[[#This Row],[SyStudentId]],SSR!$A$2:$CC$4982,26,FALSE)=0,"Not Selected",VLOOKUP(Table1[[#This Row],[SyStudentId]],SSR!$A$2:$CC$4982,26,FALSE))</f>
        <v>Male</v>
      </c>
      <c r="V120" s="160" t="str">
        <f>VLOOKUP(Table1[[#This Row],[SyStudentId]],SSR!$A$2:$CC$4982,27,FALSE)</f>
        <v xml:space="preserve">HS2020  </v>
      </c>
      <c r="W120" s="160" t="str">
        <f>VLOOKUP(LEFT(Table1[[#This Row],[LastName]],1),Alpha!$A$1:$B$26,2,FALSE)</f>
        <v>Maureen Ranks</v>
      </c>
      <c r="X120" s="179" t="str">
        <f>VLOOKUP(Table1[[#This Row],[FAA]],Alpha!$B$1:$D$26,2,FALSE)</f>
        <v>mranks@neumont.edu</v>
      </c>
      <c r="Y120" s="160">
        <f>VLOOKUP(Table1[[#This Row],[FAA]],Alpha!$B$1:$D$26,3,FALSE)</f>
        <v>8883022894</v>
      </c>
      <c r="Z120" s="160" t="str">
        <f>VLOOKUP(Table1[[#This Row],[SyStudentId]],SSR!$A$2:$CC$4982,30,FALSE)</f>
        <v>16-Accepted</v>
      </c>
      <c r="AA120" s="160" t="str">
        <f>IF(VLOOKUP(Table1[[#This Row],[SyStudentId]],SSR!$A$2:$CC$4982,36,FALSE)="Bachelor of Science","BS Computer Science","Check Program")</f>
        <v>BS Computer Science</v>
      </c>
      <c r="AB120" s="160" t="str">
        <f>VLOOKUP(Table1[[#This Row],[SyStudentId]],SSR!$A$2:$CC$4982,37,FALSE)</f>
        <v xml:space="preserve">16      </v>
      </c>
      <c r="AC120" s="160">
        <f>VLOOKUP(Table1[[#This Row],[SyStudentId]],SSR!$A$2:$CC$4982,42,FALSE)</f>
        <v>0</v>
      </c>
      <c r="AD120" s="160" t="str">
        <f>VLOOKUP(Table1[[#This Row],[SyStudentId]],SSR!$A$2:$CC$4982,46,FALSE)</f>
        <v>97</v>
      </c>
      <c r="AE120" s="160" t="str">
        <f>VLOOKUP(Table1[[#This Row],[SyStudentId]],SSR!$A$2:$CC$4982,65,FALSE)</f>
        <v>VI</v>
      </c>
      <c r="AF120"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6</v>
      </c>
      <c r="AG120" s="160" t="str">
        <f>VLOOKUP(Table1[[#This Row],[SyStudentId]],SSR!$A$2:$CC$4982,66,FALSE)</f>
        <v>July-October</v>
      </c>
      <c r="AH120" s="160" t="str">
        <f>IFERROR(VLOOKUP(Table1[[#This Row],[SyStudentId]],ISIR!$A$2:$X$1999,7,FALSE),"")</f>
        <v/>
      </c>
      <c r="AI120" s="170" t="str">
        <f>IF(Table1[[#This Row],[EFCRaw]]="","",IF(Table1[[#This Row],[EFCRaw]]="No EFC","No EFC",_xlfn.NUMBERVALUE(Table1[[#This Row],[EFCRaw]])))</f>
        <v/>
      </c>
      <c r="AJ120" s="167" t="str">
        <f>IFERROR(VLOOKUP(Table1[[#This Row],[SyStudentId]],ISIR!$A$2:$X$4999,19,FALSE),"")</f>
        <v/>
      </c>
      <c r="AK120" s="160" t="str">
        <f>IFERROR(VLOOKUP(Table1[[#This Row],[SyStudentId]],ISIR!$A$2:$X$4999,8,FALSE),"")</f>
        <v/>
      </c>
      <c r="AL120" s="171" t="str">
        <f>IF(Table1[[#This Row],[VerReq]]="N","n/a","")</f>
        <v/>
      </c>
      <c r="AM120" s="122"/>
      <c r="AN120" s="122"/>
      <c r="AO120" s="122"/>
      <c r="AP120" s="122"/>
      <c r="AQ120" s="122"/>
      <c r="AR120" s="122"/>
      <c r="AS120" s="122"/>
      <c r="AT120" s="122"/>
      <c r="AU120" s="122"/>
      <c r="AV120" s="122"/>
      <c r="AW120" s="122"/>
      <c r="AX120" s="122"/>
      <c r="AY120" s="122"/>
      <c r="AZ120" s="122"/>
      <c r="BA120" s="122"/>
      <c r="BB120" s="122"/>
      <c r="BC120" s="148"/>
      <c r="BD120" s="140" t="str">
        <f>IF(Table1[[#This Row],[VerReq]]="N","x","")</f>
        <v/>
      </c>
      <c r="BE120" s="140" t="str">
        <f>IF(Table1[[#This Row],[VerReq]]="N","x","")</f>
        <v/>
      </c>
      <c r="BF120" s="140" t="str">
        <f>IF(Table1[[#This Row],[VerReq]]="N","x","")</f>
        <v/>
      </c>
      <c r="BG120" s="140" t="str">
        <f>IF(Table1[[#This Row],[VerReq]]="N","x","")</f>
        <v/>
      </c>
      <c r="BH120" s="140" t="str">
        <f>IF(Table1[[#This Row],[VerReq]]="N","x","")</f>
        <v/>
      </c>
      <c r="BI120" s="140" t="str">
        <f>IF(Table1[[#This Row],[VerReq]]="N","x","")</f>
        <v/>
      </c>
      <c r="BJ120" s="181">
        <f>1-((COUNTBLANK(Table1[[#This Row],[ALESent]:[TaxTran]]))/(COUNT(Table1[[#This Row],[ALESent]:[TaxTran]])+COUNTBLANK(Table1[[#This Row],[ALESent]:[TaxTran]])))</f>
        <v>0</v>
      </c>
      <c r="BK120" s="216">
        <f>IF(VLOOKUP(Table1[[#This Row],[SyStudentId]],SSR!$A$2:$CC$4982,22,FALSE)=44109,44109,"Check Program")</f>
        <v>44109</v>
      </c>
      <c r="BL120" s="173">
        <f>IF(Table1[[#This Row],[AYStart]]=44109,44356,"Check Program")</f>
        <v>44356</v>
      </c>
      <c r="BM120" s="219">
        <v>8505</v>
      </c>
      <c r="BN120" s="219">
        <v>8505</v>
      </c>
      <c r="BO120" s="219">
        <v>8505</v>
      </c>
      <c r="BP120" s="220">
        <f t="shared" si="3"/>
        <v>25515</v>
      </c>
      <c r="BQ120" s="221">
        <v>3300</v>
      </c>
      <c r="BR120" s="219">
        <v>400</v>
      </c>
      <c r="BS120" s="219">
        <v>400</v>
      </c>
      <c r="BT120" s="222">
        <f t="shared" si="4"/>
        <v>4100</v>
      </c>
      <c r="BU120" s="219">
        <v>2100</v>
      </c>
      <c r="BV120" s="219">
        <v>2100</v>
      </c>
      <c r="BW120" s="219">
        <v>2100</v>
      </c>
      <c r="BX120" s="222">
        <f t="shared" si="5"/>
        <v>6300</v>
      </c>
      <c r="BY120" s="275">
        <v>1200</v>
      </c>
      <c r="BZ120" s="275">
        <v>1200</v>
      </c>
      <c r="CA120" s="275">
        <v>1200</v>
      </c>
      <c r="CB120" s="222">
        <f>SUM(Table1[[#This Row],[LEQ1]:[LEQ3]])</f>
        <v>3600</v>
      </c>
      <c r="CC120" s="276">
        <v>0</v>
      </c>
      <c r="CD120" s="276">
        <v>0</v>
      </c>
      <c r="CE120" s="276">
        <v>0</v>
      </c>
      <c r="CF120" s="222">
        <f>SUM(Table1[[#This Row],[OthCostQ1]:[OthCostQ3]])</f>
        <v>0</v>
      </c>
      <c r="CG120" s="222">
        <f>(Table1[[#This Row],[T&amp;FTot]]+Table1[[#This Row],[B&amp;STot]]+Table1[[#This Row],[HousTot]]+Table1[[#This Row],[LETot]]+Table1[[#This Row],[OthCostTot]])</f>
        <v>39515</v>
      </c>
      <c r="CH120" s="253">
        <v>0</v>
      </c>
      <c r="CI120" s="253">
        <v>0</v>
      </c>
      <c r="CJ120" s="253">
        <v>0</v>
      </c>
      <c r="CK120" s="254">
        <f>SUM(Table1[[#This Row],[SEOGQ1]:[SEOGQ3]])</f>
        <v>0</v>
      </c>
      <c r="CL120" s="253">
        <f>IFERROR(ROUNDUP(Table1[[#This Row],[PellTot]]/3,0),0)</f>
        <v>0</v>
      </c>
      <c r="CM120" s="253">
        <f>IFERROR(ROUND(Table1[[#This Row],[PellTot]]/3,0),0)</f>
        <v>0</v>
      </c>
      <c r="CN120" s="253">
        <f>IFERROR(ROUNDDOWN(Table1[[#This Row],[PellTot]]/3,0),0)</f>
        <v>0</v>
      </c>
      <c r="CO120" s="254">
        <f>IFERROR(LOOKUP(Table1[EFC],Pell_Table[#Data],Pell_Table[Pell Amt]),0)</f>
        <v>0</v>
      </c>
      <c r="CP120" s="253">
        <f>Table1[[#This Row],[AccessTot]]/3</f>
        <v>0</v>
      </c>
      <c r="CQ120" s="253">
        <f>Table1[[#This Row],[AccessTot]]/3</f>
        <v>0</v>
      </c>
      <c r="CR120" s="253">
        <f>Table1[[#This Row],[AccessTot]]/3</f>
        <v>0</v>
      </c>
      <c r="CS120" s="254">
        <f>IF(Table1[[#This Row],[PellTot]]&gt;0,1500,0)</f>
        <v>0</v>
      </c>
      <c r="CT120" s="253">
        <f>Table1[[#This Row],[AchiTot]]/3</f>
        <v>750</v>
      </c>
      <c r="CU120" s="253">
        <f>Table1[[#This Row],[AchiTot]]/3</f>
        <v>750</v>
      </c>
      <c r="CV120" s="253">
        <f>Table1[[#This Row],[AchiTot]]/3</f>
        <v>750</v>
      </c>
      <c r="CW120" s="255">
        <f>IF(Table1[[#This Row],[Rank]]="","",IF(Table1[[#This Row],[Rank]]=1,5100,IF(Table1[[#This Row],[Rank]]=2,4500,IF(Table1[[#This Row],[Rank]]=3,3900,IF(Table1[[#This Row],[Rank]]=4,3750,IF(Table1[[#This Row],[Rank]]=5,3000,IF(Table1[[#This Row],[Rank]]=6,2250,0)))))))</f>
        <v>2250</v>
      </c>
      <c r="CX120" s="253">
        <f>Table1[[#This Row],[UTTot]]/3</f>
        <v>0</v>
      </c>
      <c r="CY120" s="253">
        <f>Table1[[#This Row],[UTTot]]/3</f>
        <v>0</v>
      </c>
      <c r="CZ120" s="253">
        <f>Table1[[#This Row],[UTTot]]/3</f>
        <v>0</v>
      </c>
      <c r="DA120" s="254">
        <f>IF(Table1[[#This Row],[State]]="UT",9000,0)</f>
        <v>0</v>
      </c>
      <c r="DB120" s="253">
        <f>Table1[[#This Row],[WITTot]]/3</f>
        <v>0</v>
      </c>
      <c r="DC120" s="253">
        <f>Table1[[#This Row],[WITTot]]/3</f>
        <v>0</v>
      </c>
      <c r="DD120" s="253">
        <f>Table1[[#This Row],[WITTot]]/3</f>
        <v>0</v>
      </c>
      <c r="DE120" s="254">
        <f>IF(Table1[[#This Row],[Gender]]="Female",3000,0)</f>
        <v>0</v>
      </c>
      <c r="DF120" s="253">
        <f>Table1[[#This Row],[SerTot]]/3</f>
        <v>0</v>
      </c>
      <c r="DG120" s="253">
        <f>Table1[[#This Row],[SerTot]]/3</f>
        <v>0</v>
      </c>
      <c r="DH120" s="253">
        <f>Table1[[#This Row],[SerTot]]/3</f>
        <v>0</v>
      </c>
      <c r="DI120" s="255">
        <v>0</v>
      </c>
      <c r="DJ120" s="253">
        <f>IFERROR(ROUNDUP(Table1[[#This Row],[TranTot]]/3,0),0)</f>
        <v>0</v>
      </c>
      <c r="DK120" s="253">
        <f>IFERROR(ROUND(Table1[[#This Row],[TranTot]]/3,0),0)</f>
        <v>0</v>
      </c>
      <c r="DL120" s="253">
        <f>IFERROR(ROUNDDOWN(Table1[[#This Row],[TranTot]]/3,0),0)</f>
        <v>0</v>
      </c>
      <c r="DM120" s="255">
        <v>0</v>
      </c>
      <c r="DN120" s="253">
        <f>Table1[[#This Row],[MatTot]]/3</f>
        <v>0</v>
      </c>
      <c r="DO120" s="253">
        <f>Table1[[#This Row],[MatTot]]/3</f>
        <v>0</v>
      </c>
      <c r="DP120" s="253">
        <f>Table1[[#This Row],[MatTot]]/3</f>
        <v>0</v>
      </c>
      <c r="DQ120" s="255">
        <v>0</v>
      </c>
      <c r="DR120" s="253">
        <f>Table1[[#This Row],[OutTot]]/3</f>
        <v>0</v>
      </c>
      <c r="DS120" s="253">
        <f>Table1[[#This Row],[OutTot]]/3</f>
        <v>0</v>
      </c>
      <c r="DT120" s="253">
        <f>Table1[[#This Row],[OutTot]]/3</f>
        <v>0</v>
      </c>
      <c r="DU120" s="255">
        <v>0</v>
      </c>
      <c r="DV120" s="253">
        <v>0</v>
      </c>
      <c r="DW120" s="253">
        <v>0</v>
      </c>
      <c r="DX120" s="253">
        <v>0</v>
      </c>
      <c r="DY120" s="255">
        <f>SUM(Table1[[#This Row],[VAQ1]:[VAQ3]])</f>
        <v>0</v>
      </c>
      <c r="DZ120" s="253">
        <v>0</v>
      </c>
      <c r="EA120" s="253">
        <v>0</v>
      </c>
      <c r="EB120" s="253">
        <v>0</v>
      </c>
      <c r="EC120" s="278">
        <f>SUM(Table1[[#This Row],[OthGrantQ1]:[OthGrantQ3]])</f>
        <v>0</v>
      </c>
      <c r="ED120" s="264">
        <f>Table1[[#This Row],[SEOGTot]]+Table1[[#This Row],[PellTot]]+Table1[[#This Row],[AccessTot]]+Table1[[#This Row],[AchiTot]]+Table1[[#This Row],[UTTot]]+Table1[[#This Row],[WITTot]]+Table1[[#This Row],[SerTot]]+Table1[[#This Row],[TranTot]]+Table1[[#This Row],[MatTot]]+Table1[[#This Row],[OutTot]]+Table1[[#This Row],[VATot]]+Table1[[#This Row],[OthGrantTot]]</f>
        <v>2250</v>
      </c>
      <c r="EE120" s="226">
        <v>0</v>
      </c>
      <c r="EF120" s="227">
        <v>0</v>
      </c>
      <c r="EG120" s="227">
        <v>0</v>
      </c>
      <c r="EH120" s="228">
        <f>SUM(Table1[[#This Row],[CashQ1]]:Table1[[#This Row],[CashQ3]])</f>
        <v>0</v>
      </c>
      <c r="EI120" s="229">
        <f>ROUND((Table1[[#This Row],[SubTot]]/3)/1.01059,0)</f>
        <v>1154</v>
      </c>
      <c r="EJ120" s="230">
        <f>ROUND((Table1[[#This Row],[SubTot]]/3)/1.01059,0)</f>
        <v>1154</v>
      </c>
      <c r="EK120" s="230">
        <f>ROUNDUP((Table1[[#This Row],[SubTot]]/3)/1.01059,0)</f>
        <v>1155</v>
      </c>
      <c r="EL120" s="231">
        <v>3500</v>
      </c>
      <c r="EM120" s="233">
        <f>Table1[[#This Row],[SubTot]]*0.01059</f>
        <v>37.065000000000005</v>
      </c>
      <c r="EN120" s="230">
        <f>ROUND((Table1[[#This Row],[UnsubTot]]/3)/1.01062,0)</f>
        <v>660</v>
      </c>
      <c r="EO120" s="230">
        <f>ROUND((Table1[[#This Row],[UnsubTot]]/3)/1.01062,0)</f>
        <v>660</v>
      </c>
      <c r="EP120" s="230">
        <f>ROUNDDOWN((Table1[[#This Row],[UnsubTot]]/3)/1.01062,0)</f>
        <v>659</v>
      </c>
      <c r="EQ120" s="231">
        <f>IF(Table1[D/I]="I",6000,2000)</f>
        <v>2000</v>
      </c>
      <c r="ER120" s="233">
        <f>Table1[[#This Row],[UnsubTot]]*0.01059</f>
        <v>21.18</v>
      </c>
      <c r="ES120" s="230">
        <f>ROUND((Table1[[#This Row],[PLUSTot]]/3)/1.04236,0)</f>
        <v>0</v>
      </c>
      <c r="ET120" s="230">
        <f>ROUND((Table1[[#This Row],[PLUSTot]]/3)/1.04236,0)</f>
        <v>0</v>
      </c>
      <c r="EU120" s="230">
        <f>ROUND((Table1[[#This Row],[PLUSTot]]/3)/1.04236,0)</f>
        <v>0</v>
      </c>
      <c r="EV120" s="231">
        <v>0</v>
      </c>
      <c r="EW120" s="236">
        <f>Table1[[#This Row],[PLUSTot]]*0.04236</f>
        <v>0</v>
      </c>
      <c r="EX120" s="227"/>
      <c r="EY120" s="227"/>
      <c r="EZ120" s="227"/>
      <c r="FA120" s="228">
        <f>SUM(Table1[[#This Row],[PrivQ1]:[PrivQ3]])</f>
        <v>0</v>
      </c>
      <c r="FB120" s="227"/>
      <c r="FC120" s="227"/>
      <c r="FD120" s="227"/>
      <c r="FE120" s="228">
        <f>SUM(Table1[[#This Row],[TOQ1]:[TOQ3]])</f>
        <v>0</v>
      </c>
      <c r="FF120" s="227"/>
      <c r="FG120" s="227"/>
      <c r="FH120" s="227"/>
      <c r="FI120" s="228">
        <f>SUM(Table1[[#This Row],[OFundQ1]:[OFundQ3]])</f>
        <v>0</v>
      </c>
      <c r="FJ120" s="236">
        <f>(Table1[[#This Row],[SubTot]]-Table1[[#This Row],[SubFee]])+(Table1[[#This Row],[UnsubTot]]-Table1[[#This Row],[UnsubFee]])+(Table1[[#This Row],[PLUSTot]]-Table1[[#This Row],[PLUSFee]])+Table1[[#This Row],[PrivTot]]+Table1[[#This Row],[TOTot]]+Table1[[#This Row],[OFundTot]]</f>
        <v>5441.7550000000001</v>
      </c>
      <c r="FK120" s="159">
        <f>Table1[[#This Row],[CostTot]]-Table1[[#This Row],[GiftTot]]</f>
        <v>37265</v>
      </c>
      <c r="FL120" s="174">
        <f>Table1[[#This Row],[NetNeed]]/(1-0.04236)</f>
        <v>33230.906186040687</v>
      </c>
      <c r="FM120" s="176">
        <f>Table1[[#This Row],[NetCost]]-Table1[[#This Row],[CashTot]]-(Table1[[#This Row],[SubTot]]-Table1[[#This Row],[SubFee]])-(Table1[[#This Row],[UnsubTot]]-Table1[[#This Row],[UnsubFee]])-(Table1[[#This Row],[PLUSTot]]-Table1[[#This Row],[PLUSFee]])-Table1[[#This Row],[PrivTot]]-Table1[[#This Row],[TOTot]]-Table1[[#This Row],[OFundTot]]</f>
        <v>31823.245000000003</v>
      </c>
      <c r="FN120" s="217"/>
      <c r="FO120" s="162"/>
      <c r="FP120" s="162"/>
    </row>
    <row r="121" spans="1:172" ht="15" x14ac:dyDescent="0.25">
      <c r="A121" s="267">
        <v>198395</v>
      </c>
      <c r="B121" s="160" t="str">
        <f>VLOOKUP(Table1[[#This Row],[SyStudentId]],SSR!$A$2:$CC$4982,4,FALSE)</f>
        <v>Samuel</v>
      </c>
      <c r="C121" s="160" t="str">
        <f>VLOOKUP(Table1[[#This Row],[SyStudentId]],SSR!$A$2:$CC$4982,5,FALSE)</f>
        <v>Ryan</v>
      </c>
      <c r="D121" s="160" t="str">
        <f>VLOOKUP(Table1[[#This Row],[SyStudentId]],SSR!$A$2:$CC$4982,6,FALSE)</f>
        <v>Samuel, Ryan</v>
      </c>
      <c r="E121" s="113" t="str">
        <f>CONCATENATE(Table1[[#This Row],[FirstName]]," ",Table1[[#This Row],[LastName]])</f>
        <v>Ryan Samuel</v>
      </c>
      <c r="F121" s="158">
        <v>1</v>
      </c>
      <c r="G121" s="114"/>
      <c r="H121" s="114"/>
      <c r="I121" s="114">
        <v>43782</v>
      </c>
      <c r="J121" s="163"/>
      <c r="K121" s="164"/>
      <c r="L121" s="158" t="str">
        <f>IFERROR(VLOOKUP(Table1[[#This Row],[SyStudentId]],ISIR!$A$2:$X$4999,11,FALSE),"")</f>
        <v>D</v>
      </c>
      <c r="M121" s="160" t="str">
        <f>VLOOKUP(Table1[[#This Row],[SyStudentId]],SSR!$A$2:$CC$4982,7,FALSE)</f>
        <v>vanusoverty@gmail.com</v>
      </c>
      <c r="N121" s="160" t="str">
        <f>VLOOKUP(Table1[[#This Row],[SyStudentId]],SSR!$A$2:$CC$4982,8,FALSE)</f>
        <v>2412 Tottingham Rd</v>
      </c>
      <c r="O121" s="160" t="str">
        <f>VLOOKUP(Table1[[#This Row],[SyStudentId]],SSR!$A$2:$CC$4982,9,FALSE)</f>
        <v>Henderson</v>
      </c>
      <c r="P121" s="300" t="str">
        <f>VLOOKUP(Table1[[#This Row],[SyStudentId]],SSR!$A$2:$CC$4982,10,FALSE)</f>
        <v>NV</v>
      </c>
      <c r="Q121" s="165" t="str">
        <f>VLOOKUP(Table1[[#This Row],[SyStudentId]],SSR!$A$2:$CC$4982,11,FALSE)</f>
        <v xml:space="preserve">89074     </v>
      </c>
      <c r="R121" s="166">
        <f>VLOOKUP(Table1[[#This Row],[SyStudentId]],SSR!$A$2:$CC$4982,15,FALSE)</f>
        <v>3.923</v>
      </c>
      <c r="S121" s="167">
        <f>VLOOKUP(Table1[[#This Row],[SyStudentId]],SSR!$A$2:$CC$4982,22,FALSE)</f>
        <v>44109</v>
      </c>
      <c r="T121" s="160" t="str">
        <f>VLOOKUP(Table1[[#This Row],[SyStudentId]],SSR!$A$2:$CC$4982,24,FALSE)</f>
        <v>JT</v>
      </c>
      <c r="U121" s="160" t="str">
        <f>IF(VLOOKUP(Table1[[#This Row],[SyStudentId]],SSR!$A$2:$CC$4982,26,FALSE)=0,"Not Selected",VLOOKUP(Table1[[#This Row],[SyStudentId]],SSR!$A$2:$CC$4982,26,FALSE))</f>
        <v>Male</v>
      </c>
      <c r="V121" s="160" t="str">
        <f>VLOOKUP(Table1[[#This Row],[SyStudentId]],SSR!$A$2:$CC$4982,27,FALSE)</f>
        <v xml:space="preserve">HS2020  </v>
      </c>
      <c r="W121" s="160" t="str">
        <f>VLOOKUP(LEFT(Table1[[#This Row],[LastName]],1),Alpha!$A$1:$B$26,2,FALSE)</f>
        <v>Maureen Ranks</v>
      </c>
      <c r="X121" s="168" t="str">
        <f>VLOOKUP(Table1[[#This Row],[FAA]],Alpha!$B$1:$D$26,2,FALSE)</f>
        <v>mranks@neumont.edu</v>
      </c>
      <c r="Y121" s="160">
        <f>VLOOKUP(Table1[[#This Row],[FAA]],Alpha!$B$1:$D$26,3,FALSE)</f>
        <v>8883022894</v>
      </c>
      <c r="Z121" s="160" t="str">
        <f>VLOOKUP(Table1[[#This Row],[SyStudentId]],SSR!$A$2:$CC$4982,30,FALSE)</f>
        <v>16-Accepted</v>
      </c>
      <c r="AA121" s="160" t="str">
        <f>IF(VLOOKUP(Table1[[#This Row],[SyStudentId]],SSR!$A$2:$CC$4982,36,FALSE)="Bachelor of Science","BS Computer Science","Check Program")</f>
        <v>BS Computer Science</v>
      </c>
      <c r="AB121" s="160">
        <f>VLOOKUP(Table1[[#This Row],[SyStudentId]],SSR!$A$2:$CC$4982,37,FALSE)</f>
        <v>0</v>
      </c>
      <c r="AC121" s="160">
        <f>VLOOKUP(Table1[[#This Row],[SyStudentId]],SSR!$A$2:$CC$4982,42,FALSE)</f>
        <v>0</v>
      </c>
      <c r="AD121" s="160" t="str">
        <f>VLOOKUP(Table1[[#This Row],[SyStudentId]],SSR!$A$2:$CC$4982,46,FALSE)</f>
        <v>0</v>
      </c>
      <c r="AE121" s="160" t="str">
        <f>VLOOKUP(Table1[[#This Row],[SyStudentId]],SSR!$A$2:$CC$4982,65,FALSE)</f>
        <v>I</v>
      </c>
      <c r="AF121"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21" s="160" t="str">
        <f>VLOOKUP(Table1[[#This Row],[SyStudentId]],SSR!$A$2:$CC$4982,66,FALSE)</f>
        <v>July-October</v>
      </c>
      <c r="AH121" s="160" t="str">
        <f>IFERROR(VLOOKUP(Table1[[#This Row],[SyStudentId]],ISIR!$A$2:$X$1999,7,FALSE),"")</f>
        <v>002164</v>
      </c>
      <c r="AI121" s="170">
        <f>IF(Table1[[#This Row],[EFCRaw]]="","",IF(Table1[[#This Row],[EFCRaw]]="No EFC","No EFC",_xlfn.NUMBERVALUE(Table1[[#This Row],[EFCRaw]])))</f>
        <v>2164</v>
      </c>
      <c r="AJ121" s="167">
        <f>IFERROR(VLOOKUP(Table1[[#This Row],[SyStudentId]],ISIR!$A$2:$X$4999,19,FALSE),"")</f>
        <v>43774</v>
      </c>
      <c r="AK121" s="160" t="str">
        <f>IFERROR(VLOOKUP(Table1[[#This Row],[SyStudentId]],ISIR!$A$2:$X$4999,8,FALSE),"")</f>
        <v>Y</v>
      </c>
      <c r="AL121" s="171" t="str">
        <f>IF(Table1[[#This Row],[VerReq]]="N","n/a","")</f>
        <v/>
      </c>
      <c r="AM121" s="122"/>
      <c r="AN121" s="122"/>
      <c r="AO121" s="122"/>
      <c r="AP121" s="122"/>
      <c r="AQ121" s="122"/>
      <c r="AR121" s="122"/>
      <c r="AS121" s="122"/>
      <c r="AT121" s="122"/>
      <c r="AU121" s="122"/>
      <c r="AV121" s="122"/>
      <c r="AW121" s="122"/>
      <c r="AX121" s="122"/>
      <c r="AY121" s="122"/>
      <c r="AZ121" s="122"/>
      <c r="BA121" s="122"/>
      <c r="BB121" s="122"/>
      <c r="BC121" s="148"/>
      <c r="BD121" s="140" t="str">
        <f>IF(Table1[[#This Row],[VerReq]]="N","x","")</f>
        <v/>
      </c>
      <c r="BE121" s="140" t="str">
        <f>IF(Table1[[#This Row],[VerReq]]="N","x","")</f>
        <v/>
      </c>
      <c r="BF121" s="140" t="str">
        <f>IF(Table1[[#This Row],[VerReq]]="N","x","")</f>
        <v/>
      </c>
      <c r="BG121" s="140" t="str">
        <f>IF(Table1[[#This Row],[VerReq]]="N","x","")</f>
        <v/>
      </c>
      <c r="BH121" s="140" t="str">
        <f>IF(Table1[[#This Row],[VerReq]]="N","x","")</f>
        <v/>
      </c>
      <c r="BI121" s="140" t="str">
        <f>IF(Table1[[#This Row],[VerReq]]="N","x","")</f>
        <v/>
      </c>
      <c r="BJ121" s="181">
        <f>1-((COUNTBLANK(Table1[[#This Row],[ALESent]:[TaxTran]]))/(COUNT(Table1[[#This Row],[ALESent]:[TaxTran]])+COUNTBLANK(Table1[[#This Row],[ALESent]:[TaxTran]])))</f>
        <v>0</v>
      </c>
      <c r="BK121" s="216">
        <f>IF(VLOOKUP(Table1[[#This Row],[SyStudentId]],SSR!$A$2:$CC$4982,22,FALSE)=44109,44109,"Check Program")</f>
        <v>44109</v>
      </c>
      <c r="BL121" s="173">
        <f>IF(Table1[[#This Row],[AYStart]]=44109,44356,"Check Program")</f>
        <v>44356</v>
      </c>
      <c r="BM121" s="219">
        <v>8505</v>
      </c>
      <c r="BN121" s="219">
        <v>8505</v>
      </c>
      <c r="BO121" s="219">
        <v>8505</v>
      </c>
      <c r="BP121" s="220">
        <f t="shared" si="3"/>
        <v>25515</v>
      </c>
      <c r="BQ121" s="221">
        <v>3300</v>
      </c>
      <c r="BR121" s="219">
        <v>400</v>
      </c>
      <c r="BS121" s="219">
        <v>400</v>
      </c>
      <c r="BT121" s="222">
        <f t="shared" si="4"/>
        <v>4100</v>
      </c>
      <c r="BU121" s="219">
        <v>2100</v>
      </c>
      <c r="BV121" s="219">
        <v>2100</v>
      </c>
      <c r="BW121" s="219">
        <v>2100</v>
      </c>
      <c r="BX121" s="222">
        <f t="shared" si="5"/>
        <v>6300</v>
      </c>
      <c r="BY121" s="275">
        <v>1200</v>
      </c>
      <c r="BZ121" s="275">
        <v>1200</v>
      </c>
      <c r="CA121" s="275">
        <v>1200</v>
      </c>
      <c r="CB121" s="222">
        <f>SUM(Table1[[#This Row],[LEQ1]:[LEQ3]])</f>
        <v>3600</v>
      </c>
      <c r="CC121" s="276">
        <v>0</v>
      </c>
      <c r="CD121" s="276">
        <v>0</v>
      </c>
      <c r="CE121" s="276">
        <v>0</v>
      </c>
      <c r="CF121" s="222">
        <f>SUM(Table1[[#This Row],[OthCostQ1]:[OthCostQ3]])</f>
        <v>0</v>
      </c>
      <c r="CG121" s="222">
        <f>(Table1[[#This Row],[T&amp;FTot]]+Table1[[#This Row],[B&amp;STot]]+Table1[[#This Row],[HousTot]]+Table1[[#This Row],[LETot]]+Table1[[#This Row],[OthCostTot]])</f>
        <v>39515</v>
      </c>
      <c r="CH121" s="253">
        <v>0</v>
      </c>
      <c r="CI121" s="253">
        <v>0</v>
      </c>
      <c r="CJ121" s="253">
        <v>0</v>
      </c>
      <c r="CK121" s="254">
        <f>SUM(Table1[[#This Row],[SEOGQ1]:[SEOGQ3]])</f>
        <v>0</v>
      </c>
      <c r="CL121" s="253">
        <f>IFERROR(ROUNDUP(Table1[[#This Row],[PellTot]]/3,0),0)</f>
        <v>1349</v>
      </c>
      <c r="CM121" s="253">
        <f>IFERROR(ROUND(Table1[[#This Row],[PellTot]]/3,0),0)</f>
        <v>1348</v>
      </c>
      <c r="CN121" s="253">
        <f>IFERROR(ROUNDDOWN(Table1[[#This Row],[PellTot]]/3,0),0)</f>
        <v>1348</v>
      </c>
      <c r="CO121" s="254">
        <f>IFERROR(LOOKUP(Table1[EFC],Pell_Table[#Data],Pell_Table[Pell Amt]),0)</f>
        <v>4045</v>
      </c>
      <c r="CP121" s="253">
        <f>Table1[[#This Row],[AccessTot]]/3</f>
        <v>500</v>
      </c>
      <c r="CQ121" s="253">
        <f>Table1[[#This Row],[AccessTot]]/3</f>
        <v>500</v>
      </c>
      <c r="CR121" s="253">
        <f>Table1[[#This Row],[AccessTot]]/3</f>
        <v>500</v>
      </c>
      <c r="CS121" s="254">
        <f>IF(Table1[[#This Row],[PellTot]]&gt;0,1500,0)</f>
        <v>1500</v>
      </c>
      <c r="CT121" s="253">
        <f>Table1[[#This Row],[AchiTot]]/3</f>
        <v>1700</v>
      </c>
      <c r="CU121" s="253">
        <f>Table1[[#This Row],[AchiTot]]/3</f>
        <v>1700</v>
      </c>
      <c r="CV121" s="253">
        <f>Table1[[#This Row],[AchiTot]]/3</f>
        <v>1700</v>
      </c>
      <c r="CW121" s="255">
        <f>IF(Table1[[#This Row],[Rank]]="","",IF(Table1[[#This Row],[Rank]]=1,5100,IF(Table1[[#This Row],[Rank]]=2,4500,IF(Table1[[#This Row],[Rank]]=3,3900,IF(Table1[[#This Row],[Rank]]=4,3750,IF(Table1[[#This Row],[Rank]]=5,3000,IF(Table1[[#This Row],[Rank]]=6,2250,0)))))))</f>
        <v>5100</v>
      </c>
      <c r="CX121" s="253">
        <f>Table1[[#This Row],[UTTot]]/3</f>
        <v>0</v>
      </c>
      <c r="CY121" s="253">
        <f>Table1[[#This Row],[UTTot]]/3</f>
        <v>0</v>
      </c>
      <c r="CZ121" s="253">
        <f>Table1[[#This Row],[UTTot]]/3</f>
        <v>0</v>
      </c>
      <c r="DA121" s="254">
        <f>IF(Table1[[#This Row],[State]]="UT",9000,0)</f>
        <v>0</v>
      </c>
      <c r="DB121" s="253">
        <f>Table1[[#This Row],[WITTot]]/3</f>
        <v>0</v>
      </c>
      <c r="DC121" s="253">
        <f>Table1[[#This Row],[WITTot]]/3</f>
        <v>0</v>
      </c>
      <c r="DD121" s="253">
        <f>Table1[[#This Row],[WITTot]]/3</f>
        <v>0</v>
      </c>
      <c r="DE121" s="254">
        <f>IF(Table1[[#This Row],[Gender]]="Female",3000,0)</f>
        <v>0</v>
      </c>
      <c r="DF121" s="253">
        <f>Table1[[#This Row],[SerTot]]/3</f>
        <v>0</v>
      </c>
      <c r="DG121" s="253">
        <f>Table1[[#This Row],[SerTot]]/3</f>
        <v>0</v>
      </c>
      <c r="DH121" s="253">
        <f>Table1[[#This Row],[SerTot]]/3</f>
        <v>0</v>
      </c>
      <c r="DI121" s="255">
        <v>0</v>
      </c>
      <c r="DJ121" s="253">
        <f>IFERROR(ROUNDUP(Table1[[#This Row],[TranTot]]/3,0),0)</f>
        <v>0</v>
      </c>
      <c r="DK121" s="253">
        <f>IFERROR(ROUND(Table1[[#This Row],[TranTot]]/3,0),0)</f>
        <v>0</v>
      </c>
      <c r="DL121" s="253">
        <f>IFERROR(ROUNDDOWN(Table1[[#This Row],[TranTot]]/3,0),0)</f>
        <v>0</v>
      </c>
      <c r="DM121" s="255">
        <v>0</v>
      </c>
      <c r="DN121" s="253">
        <f>Table1[[#This Row],[MatTot]]/3</f>
        <v>0</v>
      </c>
      <c r="DO121" s="253">
        <f>Table1[[#This Row],[MatTot]]/3</f>
        <v>0</v>
      </c>
      <c r="DP121" s="253">
        <f>Table1[[#This Row],[MatTot]]/3</f>
        <v>0</v>
      </c>
      <c r="DQ121" s="255">
        <v>0</v>
      </c>
      <c r="DR121" s="253">
        <f>Table1[[#This Row],[OutTot]]/3</f>
        <v>0</v>
      </c>
      <c r="DS121" s="253">
        <f>Table1[[#This Row],[OutTot]]/3</f>
        <v>0</v>
      </c>
      <c r="DT121" s="253">
        <f>Table1[[#This Row],[OutTot]]/3</f>
        <v>0</v>
      </c>
      <c r="DU121" s="255">
        <v>0</v>
      </c>
      <c r="DV121" s="253">
        <v>0</v>
      </c>
      <c r="DW121" s="253">
        <v>0</v>
      </c>
      <c r="DX121" s="253">
        <v>0</v>
      </c>
      <c r="DY121" s="255">
        <f>SUM(Table1[[#This Row],[VAQ1]:[VAQ3]])</f>
        <v>0</v>
      </c>
      <c r="DZ121" s="253">
        <v>0</v>
      </c>
      <c r="EA121" s="253">
        <v>0</v>
      </c>
      <c r="EB121" s="253">
        <v>0</v>
      </c>
      <c r="EC121" s="278">
        <f>SUM(Table1[[#This Row],[OthGrantQ1]:[OthGrantQ3]])</f>
        <v>0</v>
      </c>
      <c r="ED121" s="264">
        <f>Table1[[#This Row],[SEOGTot]]+Table1[[#This Row],[PellTot]]+Table1[[#This Row],[AccessTot]]+Table1[[#This Row],[AchiTot]]+Table1[[#This Row],[UTTot]]+Table1[[#This Row],[WITTot]]+Table1[[#This Row],[SerTot]]+Table1[[#This Row],[TranTot]]+Table1[[#This Row],[MatTot]]+Table1[[#This Row],[OutTot]]+Table1[[#This Row],[VATot]]+Table1[[#This Row],[OthGrantTot]]</f>
        <v>10645</v>
      </c>
      <c r="EE121" s="226">
        <v>0</v>
      </c>
      <c r="EF121" s="227">
        <v>0</v>
      </c>
      <c r="EG121" s="227">
        <v>0</v>
      </c>
      <c r="EH121" s="228">
        <f>SUM(Table1[[#This Row],[CashQ1]]:Table1[[#This Row],[CashQ3]])</f>
        <v>0</v>
      </c>
      <c r="EI121" s="229">
        <f>ROUND((Table1[[#This Row],[SubTot]]/3)/1.01059,0)</f>
        <v>1154</v>
      </c>
      <c r="EJ121" s="230">
        <f>ROUND((Table1[[#This Row],[SubTot]]/3)/1.01059,0)</f>
        <v>1154</v>
      </c>
      <c r="EK121" s="230">
        <f>ROUNDUP((Table1[[#This Row],[SubTot]]/3)/1.01059,0)</f>
        <v>1155</v>
      </c>
      <c r="EL121" s="231">
        <v>3500</v>
      </c>
      <c r="EM121" s="233">
        <f>Table1[[#This Row],[SubTot]]*0.01059</f>
        <v>37.065000000000005</v>
      </c>
      <c r="EN121" s="230">
        <f>ROUND((Table1[[#This Row],[UnsubTot]]/3)/1.01062,0)</f>
        <v>660</v>
      </c>
      <c r="EO121" s="230">
        <f>ROUND((Table1[[#This Row],[UnsubTot]]/3)/1.01062,0)</f>
        <v>660</v>
      </c>
      <c r="EP121" s="230">
        <f>ROUNDDOWN((Table1[[#This Row],[UnsubTot]]/3)/1.01062,0)</f>
        <v>659</v>
      </c>
      <c r="EQ121" s="231">
        <f>IF(Table1[D/I]="I",6000,2000)</f>
        <v>2000</v>
      </c>
      <c r="ER121" s="233">
        <f>Table1[[#This Row],[UnsubTot]]*0.01059</f>
        <v>21.18</v>
      </c>
      <c r="ES121" s="230">
        <f>ROUND((Table1[[#This Row],[PLUSTot]]/3)/1.04236,0)</f>
        <v>0</v>
      </c>
      <c r="ET121" s="230">
        <f>ROUND((Table1[[#This Row],[PLUSTot]]/3)/1.04236,0)</f>
        <v>0</v>
      </c>
      <c r="EU121" s="230">
        <f>ROUND((Table1[[#This Row],[PLUSTot]]/3)/1.04236,0)</f>
        <v>0</v>
      </c>
      <c r="EV121" s="231">
        <v>0</v>
      </c>
      <c r="EW121" s="236">
        <f>Table1[[#This Row],[PLUSTot]]*0.04236</f>
        <v>0</v>
      </c>
      <c r="EX121" s="227"/>
      <c r="EY121" s="227"/>
      <c r="EZ121" s="227"/>
      <c r="FA121" s="228">
        <f>SUM(Table1[[#This Row],[PrivQ1]:[PrivQ3]])</f>
        <v>0</v>
      </c>
      <c r="FB121" s="227"/>
      <c r="FC121" s="227"/>
      <c r="FD121" s="227"/>
      <c r="FE121" s="228">
        <f>SUM(Table1[[#This Row],[TOQ1]:[TOQ3]])</f>
        <v>0</v>
      </c>
      <c r="FF121" s="227"/>
      <c r="FG121" s="227"/>
      <c r="FH121" s="227"/>
      <c r="FI121" s="228">
        <f>SUM(Table1[[#This Row],[OFundQ1]:[OFundQ3]])</f>
        <v>0</v>
      </c>
      <c r="FJ121" s="236">
        <f>(Table1[[#This Row],[SubTot]]-Table1[[#This Row],[SubFee]])+(Table1[[#This Row],[UnsubTot]]-Table1[[#This Row],[UnsubFee]])+(Table1[[#This Row],[PLUSTot]]-Table1[[#This Row],[PLUSFee]])+Table1[[#This Row],[PrivTot]]+Table1[[#This Row],[TOTot]]+Table1[[#This Row],[OFundTot]]</f>
        <v>5441.7550000000001</v>
      </c>
      <c r="FK121" s="159">
        <f>Table1[[#This Row],[CostTot]]-Table1[[#This Row],[GiftTot]]</f>
        <v>28870</v>
      </c>
      <c r="FL121" s="174">
        <f>Table1[[#This Row],[NetNeed]]/(1-0.04236)</f>
        <v>24464.563927989639</v>
      </c>
      <c r="FM121" s="176">
        <f>Table1[[#This Row],[NetCost]]-Table1[[#This Row],[CashTot]]-(Table1[[#This Row],[SubTot]]-Table1[[#This Row],[SubFee]])-(Table1[[#This Row],[UnsubTot]]-Table1[[#This Row],[UnsubFee]])-(Table1[[#This Row],[PLUSTot]]-Table1[[#This Row],[PLUSFee]])-Table1[[#This Row],[PrivTot]]-Table1[[#This Row],[TOTot]]-Table1[[#This Row],[OFundTot]]</f>
        <v>23428.244999999999</v>
      </c>
      <c r="FN121" s="217"/>
      <c r="FO121" s="162"/>
      <c r="FP121" s="162"/>
    </row>
    <row r="122" spans="1:172" ht="15" x14ac:dyDescent="0.25">
      <c r="A122" s="296">
        <v>196070</v>
      </c>
      <c r="B122" s="160" t="str">
        <f>VLOOKUP(Table1[[#This Row],[SyStudentId]],SSR!$A$2:$CC$4982,4,FALSE)</f>
        <v>San Nicolas</v>
      </c>
      <c r="C122" s="160" t="str">
        <f>VLOOKUP(Table1[[#This Row],[SyStudentId]],SSR!$A$2:$CC$4982,5,FALSE)</f>
        <v>Richard</v>
      </c>
      <c r="D122" s="160" t="str">
        <f>VLOOKUP(Table1[[#This Row],[SyStudentId]],SSR!$A$2:$CC$4982,6,FALSE)</f>
        <v>San Nicolas, Richard</v>
      </c>
      <c r="E122" s="113" t="str">
        <f>CONCATENATE(Table1[[#This Row],[FirstName]]," ",Table1[[#This Row],[LastName]])</f>
        <v>Richard San Nicolas</v>
      </c>
      <c r="F122" s="158">
        <v>1</v>
      </c>
      <c r="G122" s="114">
        <v>43790</v>
      </c>
      <c r="H122" s="114">
        <v>43790</v>
      </c>
      <c r="I122" s="114">
        <v>43790</v>
      </c>
      <c r="J122" s="163" t="s">
        <v>5595</v>
      </c>
      <c r="K122" s="164"/>
      <c r="L122" s="158" t="str">
        <f>IFERROR(VLOOKUP(Table1[[#This Row],[SyStudentId]],ISIR!$A$2:$X$4999,11,FALSE),"")</f>
        <v/>
      </c>
      <c r="M122" s="160" t="str">
        <f>VLOOKUP(Table1[[#This Row],[SyStudentId]],SSR!$A$2:$CC$4982,7,FALSE)</f>
        <v>sannicolasrichard@gmail.com</v>
      </c>
      <c r="N122" s="160" t="str">
        <f>VLOOKUP(Table1[[#This Row],[SyStudentId]],SSR!$A$2:$CC$4982,8,FALSE)</f>
        <v>717 Burns Rd Apt 3221</v>
      </c>
      <c r="O122" s="160" t="str">
        <f>VLOOKUP(Table1[[#This Row],[SyStudentId]],SSR!$A$2:$CC$4982,9,FALSE)</f>
        <v>Carrollton</v>
      </c>
      <c r="P122" s="304" t="str">
        <f>VLOOKUP(Table1[[#This Row],[SyStudentId]],SSR!$A$2:$CC$4982,10,FALSE)</f>
        <v>GA</v>
      </c>
      <c r="Q122" s="165" t="str">
        <f>VLOOKUP(Table1[[#This Row],[SyStudentId]],SSR!$A$2:$CC$4982,11,FALSE)</f>
        <v>30117-2573</v>
      </c>
      <c r="R122" s="166">
        <f>VLOOKUP(Table1[[#This Row],[SyStudentId]],SSR!$A$2:$CC$4982,15,FALSE)</f>
        <v>3.1040000000000001</v>
      </c>
      <c r="S122" s="167">
        <f>VLOOKUP(Table1[[#This Row],[SyStudentId]],SSR!$A$2:$CC$4982,22,FALSE)</f>
        <v>44109</v>
      </c>
      <c r="T122" s="160" t="str">
        <f>VLOOKUP(Table1[[#This Row],[SyStudentId]],SSR!$A$2:$CC$4982,24,FALSE)</f>
        <v>JT</v>
      </c>
      <c r="U122" s="160" t="str">
        <f>IF(VLOOKUP(Table1[[#This Row],[SyStudentId]],SSR!$A$2:$CC$4982,26,FALSE)=0,"Not Selected",VLOOKUP(Table1[[#This Row],[SyStudentId]],SSR!$A$2:$CC$4982,26,FALSE))</f>
        <v>Male</v>
      </c>
      <c r="V122" s="160" t="str">
        <f>VLOOKUP(Table1[[#This Row],[SyStudentId]],SSR!$A$2:$CC$4982,27,FALSE)</f>
        <v xml:space="preserve">HS2020  </v>
      </c>
      <c r="W122" s="160" t="str">
        <f>VLOOKUP(LEFT(Table1[[#This Row],[LastName]],1),Alpha!$A$1:$B$26,2,FALSE)</f>
        <v>Maureen Ranks</v>
      </c>
      <c r="X122" s="179" t="str">
        <f>VLOOKUP(Table1[[#This Row],[FAA]],Alpha!$B$1:$D$26,2,FALSE)</f>
        <v>mranks@neumont.edu</v>
      </c>
      <c r="Y122" s="160">
        <f>VLOOKUP(Table1[[#This Row],[FAA]],Alpha!$B$1:$D$26,3,FALSE)</f>
        <v>8883022894</v>
      </c>
      <c r="Z122" s="160" t="str">
        <f>VLOOKUP(Table1[[#This Row],[SyStudentId]],SSR!$A$2:$CC$4982,30,FALSE)</f>
        <v>16-Accepted</v>
      </c>
      <c r="AA122" s="160" t="str">
        <f>IF(VLOOKUP(Table1[[#This Row],[SyStudentId]],SSR!$A$2:$CC$4982,36,FALSE)="Bachelor of Science","BS Computer Science","Check Program")</f>
        <v>BS Computer Science</v>
      </c>
      <c r="AB122" s="160">
        <f>VLOOKUP(Table1[[#This Row],[SyStudentId]],SSR!$A$2:$CC$4982,37,FALSE)</f>
        <v>0</v>
      </c>
      <c r="AC122" s="160">
        <f>VLOOKUP(Table1[[#This Row],[SyStudentId]],SSR!$A$2:$CC$4982,42,FALSE)</f>
        <v>0</v>
      </c>
      <c r="AD122" s="160" t="str">
        <f>VLOOKUP(Table1[[#This Row],[SyStudentId]],SSR!$A$2:$CC$4982,46,FALSE)</f>
        <v>0</v>
      </c>
      <c r="AE122" s="160" t="str">
        <f>VLOOKUP(Table1[[#This Row],[SyStudentId]],SSR!$A$2:$CC$4982,65,FALSE)</f>
        <v>IX</v>
      </c>
      <c r="AF122"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122" s="160" t="str">
        <f>VLOOKUP(Table1[[#This Row],[SyStudentId]],SSR!$A$2:$CC$4982,66,FALSE)</f>
        <v>July-October</v>
      </c>
      <c r="AH122" s="160" t="str">
        <f>IFERROR(VLOOKUP(Table1[[#This Row],[SyStudentId]],ISIR!$A$2:$X$1999,7,FALSE),"")</f>
        <v/>
      </c>
      <c r="AI122" s="170" t="str">
        <f>IF(Table1[[#This Row],[EFCRaw]]="","",IF(Table1[[#This Row],[EFCRaw]]="No EFC","No EFC",_xlfn.NUMBERVALUE(Table1[[#This Row],[EFCRaw]])))</f>
        <v/>
      </c>
      <c r="AJ122" s="167" t="str">
        <f>IFERROR(VLOOKUP(Table1[[#This Row],[SyStudentId]],ISIR!$A$2:$X$4999,19,FALSE),"")</f>
        <v/>
      </c>
      <c r="AK122" s="160" t="str">
        <f>IFERROR(VLOOKUP(Table1[[#This Row],[SyStudentId]],ISIR!$A$2:$X$4999,8,FALSE),"")</f>
        <v/>
      </c>
      <c r="AL122" s="171" t="str">
        <f>IF(Table1[[#This Row],[VerReq]]="N","n/a","")</f>
        <v/>
      </c>
      <c r="AM122" s="122"/>
      <c r="AN122" s="122"/>
      <c r="AO122" s="122"/>
      <c r="AP122" s="122"/>
      <c r="AQ122" s="122"/>
      <c r="AR122" s="122"/>
      <c r="AS122" s="122"/>
      <c r="AT122" s="122"/>
      <c r="AU122" s="122"/>
      <c r="AV122" s="122"/>
      <c r="AW122" s="122"/>
      <c r="AX122" s="122"/>
      <c r="AY122" s="122"/>
      <c r="AZ122" s="122"/>
      <c r="BA122" s="122"/>
      <c r="BB122" s="122"/>
      <c r="BC122" s="148"/>
      <c r="BD122" s="140" t="str">
        <f>IF(Table1[[#This Row],[VerReq]]="N","x","")</f>
        <v/>
      </c>
      <c r="BE122" s="140" t="str">
        <f>IF(Table1[[#This Row],[VerReq]]="N","x","")</f>
        <v/>
      </c>
      <c r="BF122" s="140" t="str">
        <f>IF(Table1[[#This Row],[VerReq]]="N","x","")</f>
        <v/>
      </c>
      <c r="BG122" s="140" t="str">
        <f>IF(Table1[[#This Row],[VerReq]]="N","x","")</f>
        <v/>
      </c>
      <c r="BH122" s="140" t="str">
        <f>IF(Table1[[#This Row],[VerReq]]="N","x","")</f>
        <v/>
      </c>
      <c r="BI122" s="140" t="str">
        <f>IF(Table1[[#This Row],[VerReq]]="N","x","")</f>
        <v/>
      </c>
      <c r="BJ122" s="181">
        <f>1-((COUNTBLANK(Table1[[#This Row],[ALESent]:[TaxTran]]))/(COUNT(Table1[[#This Row],[ALESent]:[TaxTran]])+COUNTBLANK(Table1[[#This Row],[ALESent]:[TaxTran]])))</f>
        <v>0</v>
      </c>
      <c r="BK122" s="216">
        <f>IF(VLOOKUP(Table1[[#This Row],[SyStudentId]],SSR!$A$2:$CC$4982,22,FALSE)=44109,44109,"Check Program")</f>
        <v>44109</v>
      </c>
      <c r="BL122" s="173">
        <f>IF(Table1[[#This Row],[AYStart]]=44109,44356,"Check Program")</f>
        <v>44356</v>
      </c>
      <c r="BM122" s="219">
        <v>8505</v>
      </c>
      <c r="BN122" s="219">
        <v>8505</v>
      </c>
      <c r="BO122" s="219">
        <v>8505</v>
      </c>
      <c r="BP122" s="220">
        <f t="shared" si="3"/>
        <v>25515</v>
      </c>
      <c r="BQ122" s="221">
        <v>3300</v>
      </c>
      <c r="BR122" s="219">
        <v>400</v>
      </c>
      <c r="BS122" s="219">
        <v>400</v>
      </c>
      <c r="BT122" s="222">
        <f t="shared" si="4"/>
        <v>4100</v>
      </c>
      <c r="BU122" s="219">
        <v>2100</v>
      </c>
      <c r="BV122" s="219">
        <v>2100</v>
      </c>
      <c r="BW122" s="219">
        <v>2100</v>
      </c>
      <c r="BX122" s="222">
        <f t="shared" si="5"/>
        <v>6300</v>
      </c>
      <c r="BY122" s="275">
        <v>1200</v>
      </c>
      <c r="BZ122" s="275">
        <v>1200</v>
      </c>
      <c r="CA122" s="275">
        <v>1200</v>
      </c>
      <c r="CB122" s="222">
        <f>SUM(Table1[[#This Row],[LEQ1]:[LEQ3]])</f>
        <v>3600</v>
      </c>
      <c r="CC122" s="276">
        <v>0</v>
      </c>
      <c r="CD122" s="276">
        <v>0</v>
      </c>
      <c r="CE122" s="276">
        <v>0</v>
      </c>
      <c r="CF122" s="222">
        <f>SUM(Table1[[#This Row],[OthCostQ1]:[OthCostQ3]])</f>
        <v>0</v>
      </c>
      <c r="CG122" s="222">
        <f>(Table1[[#This Row],[T&amp;FTot]]+Table1[[#This Row],[B&amp;STot]]+Table1[[#This Row],[HousTot]]+Table1[[#This Row],[LETot]]+Table1[[#This Row],[OthCostTot]])</f>
        <v>39515</v>
      </c>
      <c r="CH122" s="253">
        <v>0</v>
      </c>
      <c r="CI122" s="253">
        <v>0</v>
      </c>
      <c r="CJ122" s="253">
        <v>0</v>
      </c>
      <c r="CK122" s="254">
        <f>SUM(Table1[[#This Row],[SEOGQ1]:[SEOGQ3]])</f>
        <v>0</v>
      </c>
      <c r="CL122" s="253">
        <f>IFERROR(ROUNDUP(Table1[[#This Row],[PellTot]]/3,0),0)</f>
        <v>0</v>
      </c>
      <c r="CM122" s="253">
        <f>IFERROR(ROUND(Table1[[#This Row],[PellTot]]/3,0),0)</f>
        <v>0</v>
      </c>
      <c r="CN122" s="253">
        <f>IFERROR(ROUNDDOWN(Table1[[#This Row],[PellTot]]/3,0),0)</f>
        <v>0</v>
      </c>
      <c r="CO122" s="254">
        <f>IFERROR(LOOKUP(Table1[EFC],Pell_Table[#Data],Pell_Table[Pell Amt]),0)</f>
        <v>0</v>
      </c>
      <c r="CP122" s="253">
        <f>Table1[[#This Row],[AccessTot]]/3</f>
        <v>0</v>
      </c>
      <c r="CQ122" s="253">
        <f>Table1[[#This Row],[AccessTot]]/3</f>
        <v>0</v>
      </c>
      <c r="CR122" s="253">
        <f>Table1[[#This Row],[AccessTot]]/3</f>
        <v>0</v>
      </c>
      <c r="CS122" s="254">
        <f>IF(Table1[[#This Row],[PellTot]]&gt;0,1500,0)</f>
        <v>0</v>
      </c>
      <c r="CT122" s="253">
        <f>Table1[[#This Row],[AchiTot]]/3</f>
        <v>0</v>
      </c>
      <c r="CU122" s="253">
        <f>Table1[[#This Row],[AchiTot]]/3</f>
        <v>0</v>
      </c>
      <c r="CV122" s="253">
        <f>Table1[[#This Row],[AchiTot]]/3</f>
        <v>0</v>
      </c>
      <c r="CW122" s="255">
        <f>IF(Table1[[#This Row],[Rank]]="","",IF(Table1[[#This Row],[Rank]]=1,5100,IF(Table1[[#This Row],[Rank]]=2,4500,IF(Table1[[#This Row],[Rank]]=3,3900,IF(Table1[[#This Row],[Rank]]=4,3750,IF(Table1[[#This Row],[Rank]]=5,3000,IF(Table1[[#This Row],[Rank]]=6,2250,0)))))))</f>
        <v>0</v>
      </c>
      <c r="CX122" s="253">
        <f>Table1[[#This Row],[UTTot]]/3</f>
        <v>0</v>
      </c>
      <c r="CY122" s="253">
        <f>Table1[[#This Row],[UTTot]]/3</f>
        <v>0</v>
      </c>
      <c r="CZ122" s="253">
        <f>Table1[[#This Row],[UTTot]]/3</f>
        <v>0</v>
      </c>
      <c r="DA122" s="254">
        <f>IF(Table1[[#This Row],[State]]="UT",9000,0)</f>
        <v>0</v>
      </c>
      <c r="DB122" s="253">
        <f>Table1[[#This Row],[WITTot]]/3</f>
        <v>0</v>
      </c>
      <c r="DC122" s="253">
        <f>Table1[[#This Row],[WITTot]]/3</f>
        <v>0</v>
      </c>
      <c r="DD122" s="253">
        <f>Table1[[#This Row],[WITTot]]/3</f>
        <v>0</v>
      </c>
      <c r="DE122" s="254">
        <f>IF(Table1[[#This Row],[Gender]]="Female",3000,0)</f>
        <v>0</v>
      </c>
      <c r="DF122" s="253">
        <f>Table1[[#This Row],[SerTot]]/3</f>
        <v>0</v>
      </c>
      <c r="DG122" s="253">
        <f>Table1[[#This Row],[SerTot]]/3</f>
        <v>0</v>
      </c>
      <c r="DH122" s="253">
        <f>Table1[[#This Row],[SerTot]]/3</f>
        <v>0</v>
      </c>
      <c r="DI122" s="255">
        <v>0</v>
      </c>
      <c r="DJ122" s="253">
        <f>IFERROR(ROUNDUP(Table1[[#This Row],[TranTot]]/3,0),0)</f>
        <v>0</v>
      </c>
      <c r="DK122" s="253">
        <f>IFERROR(ROUND(Table1[[#This Row],[TranTot]]/3,0),0)</f>
        <v>0</v>
      </c>
      <c r="DL122" s="253">
        <f>IFERROR(ROUNDDOWN(Table1[[#This Row],[TranTot]]/3,0),0)</f>
        <v>0</v>
      </c>
      <c r="DM122" s="255">
        <v>0</v>
      </c>
      <c r="DN122" s="253">
        <f>Table1[[#This Row],[MatTot]]/3</f>
        <v>0</v>
      </c>
      <c r="DO122" s="253">
        <f>Table1[[#This Row],[MatTot]]/3</f>
        <v>0</v>
      </c>
      <c r="DP122" s="253">
        <f>Table1[[#This Row],[MatTot]]/3</f>
        <v>0</v>
      </c>
      <c r="DQ122" s="255">
        <v>0</v>
      </c>
      <c r="DR122" s="253">
        <f>Table1[[#This Row],[OutTot]]/3</f>
        <v>0</v>
      </c>
      <c r="DS122" s="253">
        <f>Table1[[#This Row],[OutTot]]/3</f>
        <v>0</v>
      </c>
      <c r="DT122" s="253">
        <f>Table1[[#This Row],[OutTot]]/3</f>
        <v>0</v>
      </c>
      <c r="DU122" s="255">
        <v>0</v>
      </c>
      <c r="DV122" s="253">
        <v>0</v>
      </c>
      <c r="DW122" s="253">
        <v>0</v>
      </c>
      <c r="DX122" s="253">
        <v>0</v>
      </c>
      <c r="DY122" s="255">
        <f>SUM(Table1[[#This Row],[VAQ1]:[VAQ3]])</f>
        <v>0</v>
      </c>
      <c r="DZ122" s="253">
        <v>0</v>
      </c>
      <c r="EA122" s="253">
        <v>0</v>
      </c>
      <c r="EB122" s="253">
        <v>0</v>
      </c>
      <c r="EC122" s="278">
        <f>SUM(Table1[[#This Row],[OthGrantQ1]:[OthGrantQ3]])</f>
        <v>0</v>
      </c>
      <c r="ED122" s="264">
        <f>Table1[[#This Row],[SEOGTot]]+Table1[[#This Row],[PellTot]]+Table1[[#This Row],[AccessTot]]+Table1[[#This Row],[AchiTot]]+Table1[[#This Row],[UTTot]]+Table1[[#This Row],[WITTot]]+Table1[[#This Row],[SerTot]]+Table1[[#This Row],[TranTot]]+Table1[[#This Row],[MatTot]]+Table1[[#This Row],[OutTot]]+Table1[[#This Row],[VATot]]+Table1[[#This Row],[OthGrantTot]]</f>
        <v>0</v>
      </c>
      <c r="EE122" s="226">
        <v>0</v>
      </c>
      <c r="EF122" s="227">
        <v>0</v>
      </c>
      <c r="EG122" s="227">
        <v>0</v>
      </c>
      <c r="EH122" s="228">
        <f>SUM(Table1[[#This Row],[CashQ1]]:Table1[[#This Row],[CashQ3]])</f>
        <v>0</v>
      </c>
      <c r="EI122" s="229">
        <f>ROUND((Table1[[#This Row],[SubTot]]/3)/1.01059,0)</f>
        <v>1154</v>
      </c>
      <c r="EJ122" s="230">
        <f>ROUND((Table1[[#This Row],[SubTot]]/3)/1.01059,0)</f>
        <v>1154</v>
      </c>
      <c r="EK122" s="230">
        <f>ROUNDUP((Table1[[#This Row],[SubTot]]/3)/1.01059,0)</f>
        <v>1155</v>
      </c>
      <c r="EL122" s="231">
        <v>3500</v>
      </c>
      <c r="EM122" s="233">
        <f>Table1[[#This Row],[SubTot]]*0.01059</f>
        <v>37.065000000000005</v>
      </c>
      <c r="EN122" s="230">
        <f>ROUND((Table1[[#This Row],[UnsubTot]]/3)/1.01062,0)</f>
        <v>660</v>
      </c>
      <c r="EO122" s="230">
        <f>ROUND((Table1[[#This Row],[UnsubTot]]/3)/1.01062,0)</f>
        <v>660</v>
      </c>
      <c r="EP122" s="230">
        <f>ROUNDDOWN((Table1[[#This Row],[UnsubTot]]/3)/1.01062,0)</f>
        <v>659</v>
      </c>
      <c r="EQ122" s="231">
        <f>IF(Table1[D/I]="I",6000,2000)</f>
        <v>2000</v>
      </c>
      <c r="ER122" s="233">
        <f>Table1[[#This Row],[UnsubTot]]*0.01059</f>
        <v>21.18</v>
      </c>
      <c r="ES122" s="230">
        <f>ROUND((Table1[[#This Row],[PLUSTot]]/3)/1.04236,0)</f>
        <v>0</v>
      </c>
      <c r="ET122" s="230">
        <f>ROUND((Table1[[#This Row],[PLUSTot]]/3)/1.04236,0)</f>
        <v>0</v>
      </c>
      <c r="EU122" s="230">
        <f>ROUND((Table1[[#This Row],[PLUSTot]]/3)/1.04236,0)</f>
        <v>0</v>
      </c>
      <c r="EV122" s="231">
        <v>0</v>
      </c>
      <c r="EW122" s="236">
        <f>Table1[[#This Row],[PLUSTot]]*0.04236</f>
        <v>0</v>
      </c>
      <c r="EX122" s="227"/>
      <c r="EY122" s="227"/>
      <c r="EZ122" s="227"/>
      <c r="FA122" s="228">
        <f>SUM(Table1[[#This Row],[PrivQ1]:[PrivQ3]])</f>
        <v>0</v>
      </c>
      <c r="FB122" s="227"/>
      <c r="FC122" s="227"/>
      <c r="FD122" s="227"/>
      <c r="FE122" s="228">
        <f>SUM(Table1[[#This Row],[TOQ1]:[TOQ3]])</f>
        <v>0</v>
      </c>
      <c r="FF122" s="227"/>
      <c r="FG122" s="227"/>
      <c r="FH122" s="227"/>
      <c r="FI122" s="228">
        <f>SUM(Table1[[#This Row],[OFundQ1]:[OFundQ3]])</f>
        <v>0</v>
      </c>
      <c r="FJ122" s="236">
        <f>(Table1[[#This Row],[SubTot]]-Table1[[#This Row],[SubFee]])+(Table1[[#This Row],[UnsubTot]]-Table1[[#This Row],[UnsubFee]])+(Table1[[#This Row],[PLUSTot]]-Table1[[#This Row],[PLUSFee]])+Table1[[#This Row],[PrivTot]]+Table1[[#This Row],[TOTot]]+Table1[[#This Row],[OFundTot]]</f>
        <v>5441.7550000000001</v>
      </c>
      <c r="FK122" s="159">
        <f>Table1[[#This Row],[CostTot]]-Table1[[#This Row],[GiftTot]]</f>
        <v>39515</v>
      </c>
      <c r="FL122" s="174">
        <f>Table1[[#This Row],[NetNeed]]/(1-0.04236)</f>
        <v>35580.43210392214</v>
      </c>
      <c r="FM122" s="176">
        <f>Table1[[#This Row],[NetCost]]-Table1[[#This Row],[CashTot]]-(Table1[[#This Row],[SubTot]]-Table1[[#This Row],[SubFee]])-(Table1[[#This Row],[UnsubTot]]-Table1[[#This Row],[UnsubFee]])-(Table1[[#This Row],[PLUSTot]]-Table1[[#This Row],[PLUSFee]])-Table1[[#This Row],[PrivTot]]-Table1[[#This Row],[TOTot]]-Table1[[#This Row],[OFundTot]]</f>
        <v>34073.245000000003</v>
      </c>
      <c r="FN122" s="217"/>
      <c r="FO122" s="162"/>
      <c r="FP122" s="162"/>
    </row>
    <row r="123" spans="1:172" ht="15" x14ac:dyDescent="0.25">
      <c r="A123" s="296">
        <v>193881</v>
      </c>
      <c r="B123" s="113" t="str">
        <f>VLOOKUP(Table1[[#This Row],[SyStudentId]],SSR!$A$2:$CC$4982,4,FALSE)</f>
        <v>Sanders</v>
      </c>
      <c r="C123" s="113" t="str">
        <f>VLOOKUP(Table1[[#This Row],[SyStudentId]],SSR!$A$2:$CC$4982,5,FALSE)</f>
        <v>Piper</v>
      </c>
      <c r="D123" s="113" t="str">
        <f>VLOOKUP(Table1[[#This Row],[SyStudentId]],SSR!$A$2:$CC$4982,6,FALSE)</f>
        <v>Sanders, Piper</v>
      </c>
      <c r="E123" s="113" t="str">
        <f>CONCATENATE(Table1[[#This Row],[FirstName]]," ",Table1[[#This Row],[LastName]])</f>
        <v>Piper Sanders</v>
      </c>
      <c r="F123" s="112"/>
      <c r="G123" s="114"/>
      <c r="H123" s="114"/>
      <c r="I123" s="114"/>
      <c r="J123" s="115"/>
      <c r="K123" s="116"/>
      <c r="L123" s="112" t="str">
        <f>IFERROR(VLOOKUP(Table1[[#This Row],[SyStudentId]],ISIR!$A$2:$X$999,11,FALSE),"")</f>
        <v/>
      </c>
      <c r="M123" s="113" t="str">
        <f>VLOOKUP(Table1[[#This Row],[SyStudentId]],SSR!$A$2:$CC$4982,7,FALSE)</f>
        <v>pipersanders01@gmail.com</v>
      </c>
      <c r="N123" s="113" t="str">
        <f>VLOOKUP(Table1[[#This Row],[SyStudentId]],SSR!$A$2:$CC$4982,8,FALSE)</f>
        <v>3108 Mosher Rd, 410 Parkway Drive</v>
      </c>
      <c r="O123" s="113" t="str">
        <f>VLOOKUP(Table1[[#This Row],[SyStudentId]],SSR!$A$2:$CC$4982,9,FALSE)</f>
        <v>Parsons</v>
      </c>
      <c r="P123" s="113" t="str">
        <f>VLOOKUP(Table1[[#This Row],[SyStudentId]],SSR!$A$2:$CC$4982,10,FALSE)</f>
        <v>KS</v>
      </c>
      <c r="Q123" s="117" t="str">
        <f>VLOOKUP(Table1[[#This Row],[SyStudentId]],SSR!$A$2:$CC$4982,11,FALSE)</f>
        <v xml:space="preserve">67357     </v>
      </c>
      <c r="R123" s="118">
        <f>VLOOKUP(Table1[[#This Row],[SyStudentId]],SSR!$A$2:$CC$4982,15,FALSE)</f>
        <v>3.98</v>
      </c>
      <c r="S123" s="119">
        <f>VLOOKUP(Table1[[#This Row],[SyStudentId]],SSR!$A$2:$CC$4982,22,FALSE)</f>
        <v>44109</v>
      </c>
      <c r="T123" s="113" t="str">
        <f>VLOOKUP(Table1[[#This Row],[SyStudentId]],SSR!$A$2:$CC$4982,24,FALSE)</f>
        <v>JT</v>
      </c>
      <c r="U123" s="113" t="str">
        <f>IF(VLOOKUP(Table1[[#This Row],[SyStudentId]],SSR!$A$2:$CC$4982,26,FALSE)=0,"Not Selected",VLOOKUP(Table1[[#This Row],[SyStudentId]],SSR!$A$2:$CC$4982,26,FALSE))</f>
        <v>Female</v>
      </c>
      <c r="V123" s="113" t="str">
        <f>VLOOKUP(Table1[[#This Row],[SyStudentId]],SSR!$A$2:$CC$4982,27,FALSE)</f>
        <v xml:space="preserve">HS2019  </v>
      </c>
      <c r="W123" s="113" t="str">
        <f>VLOOKUP(LEFT(Table1[[#This Row],[LastName]],1),Alpha!$A$1:$B$26,2,FALSE)</f>
        <v>Maureen Ranks</v>
      </c>
      <c r="X123" s="149" t="str">
        <f>VLOOKUP(Table1[[#This Row],[FAA]],Alpha!$B$1:$D$26,2,FALSE)</f>
        <v>mranks@neumont.edu</v>
      </c>
      <c r="Y123" s="113">
        <f>VLOOKUP(Table1[[#This Row],[FAA]],Alpha!$B$1:$D$26,3,FALSE)</f>
        <v>8883022894</v>
      </c>
      <c r="Z123" s="113" t="str">
        <f>VLOOKUP(Table1[[#This Row],[SyStudentId]],SSR!$A$2:$CC$4982,30,FALSE)</f>
        <v>16-Accepted</v>
      </c>
      <c r="AA123" s="113" t="str">
        <f>IF(VLOOKUP(Table1[[#This Row],[SyStudentId]],SSR!$A$2:$CC$4982,36,FALSE)="Bachelor of Science","BS Computer Science","Check Program")</f>
        <v>BS Computer Science</v>
      </c>
      <c r="AB123" s="113" t="str">
        <f>VLOOKUP(Table1[[#This Row],[SyStudentId]],SSR!$A$2:$CC$4982,37,FALSE)</f>
        <v xml:space="preserve">25      </v>
      </c>
      <c r="AC123" s="113">
        <f>VLOOKUP(Table1[[#This Row],[SyStudentId]],SSR!$A$2:$CC$4982,42,FALSE)</f>
        <v>0</v>
      </c>
      <c r="AD123" s="113" t="str">
        <f>VLOOKUP(Table1[[#This Row],[SyStudentId]],SSR!$A$2:$CC$4982,46,FALSE)</f>
        <v>122</v>
      </c>
      <c r="AE123" s="113" t="str">
        <f>VLOOKUP(Table1[[#This Row],[SyStudentId]],SSR!$A$2:$CC$4982,65,FALSE)</f>
        <v>I</v>
      </c>
      <c r="AF12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23" s="113" t="str">
        <f>VLOOKUP(Table1[[#This Row],[SyStudentId]],SSR!$A$2:$CC$4982,66,FALSE)</f>
        <v>July-October</v>
      </c>
      <c r="AH123" s="113" t="str">
        <f>IFERROR(VLOOKUP(Table1[[#This Row],[SyStudentId]],ISIR!$A$2:$X$999,7,FALSE),"")</f>
        <v/>
      </c>
      <c r="AI123" s="121" t="str">
        <f>IF(Table1[[#This Row],[EFCRaw]]="","",IF(Table1[[#This Row],[EFCRaw]]="No EFC","No EFC",_xlfn.NUMBERVALUE(Table1[[#This Row],[EFCRaw]])))</f>
        <v/>
      </c>
      <c r="AJ123" s="119" t="str">
        <f>IFERROR(VLOOKUP(Table1[[#This Row],[SyStudentId]],ISIR!$A$2:$X$4999,19,FALSE),"")</f>
        <v/>
      </c>
      <c r="AK123" s="113" t="str">
        <f>IFERROR(VLOOKUP(Table1[[#This Row],[SyStudentId]],ISIR!$A$2:$X$4999,8,FALSE),"")</f>
        <v/>
      </c>
      <c r="AL123" s="132" t="str">
        <f>IF(Table1[[#This Row],[VerReq]]="N","n/a","")</f>
        <v/>
      </c>
      <c r="AM123" s="122"/>
      <c r="AN123" s="122"/>
      <c r="AO123" s="122"/>
      <c r="AP123" s="122"/>
      <c r="AQ123" s="122"/>
      <c r="AR123" s="122"/>
      <c r="AS123" s="122"/>
      <c r="AT123" s="122"/>
      <c r="AU123" s="122"/>
      <c r="AV123" s="122"/>
      <c r="AW123" s="122"/>
      <c r="AX123" s="122"/>
      <c r="AY123" s="122"/>
      <c r="AZ123" s="122"/>
      <c r="BA123" s="122"/>
      <c r="BB123" s="122"/>
      <c r="BC123" s="148"/>
      <c r="BD123" s="140" t="str">
        <f>IF(Table1[[#This Row],[VerReq]]="N","x","")</f>
        <v/>
      </c>
      <c r="BE123" s="140" t="str">
        <f>IF(Table1[[#This Row],[VerReq]]="N","x","")</f>
        <v/>
      </c>
      <c r="BF123" s="140" t="str">
        <f>IF(Table1[[#This Row],[VerReq]]="N","x","")</f>
        <v/>
      </c>
      <c r="BG123" s="140" t="str">
        <f>IF(Table1[[#This Row],[VerReq]]="N","x","")</f>
        <v/>
      </c>
      <c r="BH123" s="140" t="str">
        <f>IF(Table1[[#This Row],[VerReq]]="N","x","")</f>
        <v/>
      </c>
      <c r="BI123" s="140" t="str">
        <f>IF(Table1[[#This Row],[VerReq]]="N","x","")</f>
        <v/>
      </c>
      <c r="BJ123" s="123">
        <f>1-((COUNTBLANK(Table1[[#This Row],[ALESent]:[TaxTran]]))/(COUNT(Table1[[#This Row],[ALESent]:[TaxTran]])+COUNTBLANK(Table1[[#This Row],[ALESent]:[TaxTran]])))</f>
        <v>0</v>
      </c>
      <c r="BK123" s="150">
        <f>IF(VLOOKUP(Table1[[#This Row],[SyStudentId]],SSR!$A$2:$CC$4982,22,FALSE)=44109,44109,"Check Program")</f>
        <v>44109</v>
      </c>
      <c r="BL123" s="124">
        <f>IF(Table1[[#This Row],[AYStart]]=44109,44356,"Check Program")</f>
        <v>44356</v>
      </c>
      <c r="BM123" s="219">
        <v>8505</v>
      </c>
      <c r="BN123" s="219">
        <v>8505</v>
      </c>
      <c r="BO123" s="219">
        <v>8505</v>
      </c>
      <c r="BP123" s="220">
        <f t="shared" si="3"/>
        <v>25515</v>
      </c>
      <c r="BQ123" s="221">
        <v>3300</v>
      </c>
      <c r="BR123" s="219">
        <v>400</v>
      </c>
      <c r="BS123" s="219">
        <v>400</v>
      </c>
      <c r="BT123" s="220">
        <f t="shared" si="4"/>
        <v>4100</v>
      </c>
      <c r="BU123" s="219">
        <v>2100</v>
      </c>
      <c r="BV123" s="219">
        <v>2100</v>
      </c>
      <c r="BW123" s="219">
        <v>2100</v>
      </c>
      <c r="BX123" s="222">
        <f t="shared" si="5"/>
        <v>6300</v>
      </c>
      <c r="BY123" s="275">
        <v>1200</v>
      </c>
      <c r="BZ123" s="275">
        <v>1200</v>
      </c>
      <c r="CA123" s="275">
        <v>1200</v>
      </c>
      <c r="CB123" s="222">
        <f>SUM(Table1[[#This Row],[LEQ1]:[LEQ3]])</f>
        <v>3600</v>
      </c>
      <c r="CC123" s="276">
        <v>0</v>
      </c>
      <c r="CD123" s="276">
        <v>0</v>
      </c>
      <c r="CE123" s="276">
        <v>0</v>
      </c>
      <c r="CF123" s="222">
        <f>SUM(Table1[[#This Row],[OthCostQ1]:[OthCostQ3]])</f>
        <v>0</v>
      </c>
      <c r="CG123" s="220">
        <f>(Table1[[#This Row],[T&amp;FTot]]+Table1[[#This Row],[B&amp;STot]]+Table1[[#This Row],[HousTot]]+Table1[[#This Row],[LETot]]+Table1[[#This Row],[OthCostTot]])</f>
        <v>39515</v>
      </c>
      <c r="CH123" s="250">
        <v>0</v>
      </c>
      <c r="CI123" s="250">
        <v>0</v>
      </c>
      <c r="CJ123" s="250">
        <v>0</v>
      </c>
      <c r="CK123" s="251">
        <f>SUM(Table1[[#This Row],[SEOGQ1]:[SEOGQ3]])</f>
        <v>0</v>
      </c>
      <c r="CL123" s="250">
        <f>IFERROR(ROUNDUP(Table1[[#This Row],[PellTot]]/3,0),0)</f>
        <v>0</v>
      </c>
      <c r="CM123" s="250">
        <f>IFERROR(ROUND(Table1[[#This Row],[PellTot]]/3,0),0)</f>
        <v>0</v>
      </c>
      <c r="CN123" s="250">
        <f>IFERROR(ROUNDDOWN(Table1[[#This Row],[PellTot]]/3,0),0)</f>
        <v>0</v>
      </c>
      <c r="CO123" s="251">
        <f>IFERROR(LOOKUP(Table1[EFC],Pell_Table[#Data],Pell_Table[Pell Amt]),0)</f>
        <v>0</v>
      </c>
      <c r="CP123" s="250">
        <f>Table1[[#This Row],[AccessTot]]/3</f>
        <v>0</v>
      </c>
      <c r="CQ123" s="250">
        <f>Table1[[#This Row],[AccessTot]]/3</f>
        <v>0</v>
      </c>
      <c r="CR123" s="250">
        <f>Table1[[#This Row],[AccessTot]]/3</f>
        <v>0</v>
      </c>
      <c r="CS123" s="251">
        <f>IF(Table1[[#This Row],[PellTot]]&gt;0,1500,0)</f>
        <v>0</v>
      </c>
      <c r="CT123" s="250">
        <f>Table1[[#This Row],[AchiTot]]/3</f>
        <v>1700</v>
      </c>
      <c r="CU123" s="250">
        <f>Table1[[#This Row],[AchiTot]]/3</f>
        <v>1700</v>
      </c>
      <c r="CV123" s="250">
        <f>Table1[[#This Row],[AchiTot]]/3</f>
        <v>1700</v>
      </c>
      <c r="CW123" s="252">
        <f>IF(Table1[[#This Row],[Rank]]="","",IF(Table1[[#This Row],[Rank]]=1,5100,IF(Table1[[#This Row],[Rank]]=2,4500,IF(Table1[[#This Row],[Rank]]=3,3900,IF(Table1[[#This Row],[Rank]]=4,3750,IF(Table1[[#This Row],[Rank]]=5,3000,IF(Table1[[#This Row],[Rank]]=6,2250,0)))))))</f>
        <v>5100</v>
      </c>
      <c r="CX123" s="250">
        <f>Table1[[#This Row],[UTTot]]/3</f>
        <v>0</v>
      </c>
      <c r="CY123" s="250">
        <f>Table1[[#This Row],[UTTot]]/3</f>
        <v>0</v>
      </c>
      <c r="CZ123" s="250">
        <f>Table1[[#This Row],[UTTot]]/3</f>
        <v>0</v>
      </c>
      <c r="DA123" s="251">
        <f>IF(Table1[[#This Row],[State]]="UT",9000,0)</f>
        <v>0</v>
      </c>
      <c r="DB123" s="250">
        <f>Table1[[#This Row],[WITTot]]/3</f>
        <v>1000</v>
      </c>
      <c r="DC123" s="250">
        <f>Table1[[#This Row],[WITTot]]/3</f>
        <v>1000</v>
      </c>
      <c r="DD123" s="250">
        <f>Table1[[#This Row],[WITTot]]/3</f>
        <v>1000</v>
      </c>
      <c r="DE123" s="251">
        <f>IF(Table1[[#This Row],[Gender]]="Female",3000,0)</f>
        <v>3000</v>
      </c>
      <c r="DF123" s="250">
        <f>Table1[[#This Row],[SerTot]]/3</f>
        <v>0</v>
      </c>
      <c r="DG123" s="250">
        <f>Table1[[#This Row],[SerTot]]/3</f>
        <v>0</v>
      </c>
      <c r="DH123" s="250">
        <f>Table1[[#This Row],[SerTot]]/3</f>
        <v>0</v>
      </c>
      <c r="DI123" s="252"/>
      <c r="DJ123" s="250"/>
      <c r="DK123" s="250"/>
      <c r="DL123" s="250"/>
      <c r="DM123" s="252"/>
      <c r="DN123" s="250">
        <f>Table1[[#This Row],[MatTot]]/3</f>
        <v>0</v>
      </c>
      <c r="DO123" s="250">
        <f>Table1[[#This Row],[MatTot]]/3</f>
        <v>0</v>
      </c>
      <c r="DP123" s="250">
        <f>Table1[[#This Row],[MatTot]]/3</f>
        <v>0</v>
      </c>
      <c r="DQ123" s="252">
        <v>0</v>
      </c>
      <c r="DR123" s="253">
        <f>Table1[[#This Row],[OutTot]]/3</f>
        <v>0</v>
      </c>
      <c r="DS123" s="253">
        <f>Table1[[#This Row],[OutTot]]/3</f>
        <v>0</v>
      </c>
      <c r="DT123" s="253">
        <f>Table1[[#This Row],[OutTot]]/3</f>
        <v>0</v>
      </c>
      <c r="DU123" s="255">
        <v>0</v>
      </c>
      <c r="DV123" s="253">
        <v>0</v>
      </c>
      <c r="DW123" s="253">
        <v>0</v>
      </c>
      <c r="DX123" s="253">
        <v>0</v>
      </c>
      <c r="DY123" s="255">
        <f>SUM(Table1[[#This Row],[VAQ1]:[VAQ3]])</f>
        <v>0</v>
      </c>
      <c r="DZ123" s="253">
        <v>0</v>
      </c>
      <c r="EA123" s="253">
        <v>0</v>
      </c>
      <c r="EB123" s="253">
        <v>0</v>
      </c>
      <c r="EC123" s="278">
        <f>SUM(Table1[[#This Row],[OthGrantQ1]:[OthGrantQ3]])</f>
        <v>0</v>
      </c>
      <c r="ED123" s="263">
        <f>Table1[[#This Row],[SEOGTot]]+Table1[[#This Row],[PellTot]]+Table1[[#This Row],[AccessTot]]+Table1[[#This Row],[AchiTot]]+Table1[[#This Row],[UTTot]]+Table1[[#This Row],[WITTot]]+Table1[[#This Row],[SerTot]]+Table1[[#This Row],[TranTot]]+Table1[[#This Row],[MatTot]]+Table1[[#This Row],[OutTot]]+Table1[[#This Row],[VATot]]+Table1[[#This Row],[OthGrantTot]]</f>
        <v>8100</v>
      </c>
      <c r="EE123" s="226">
        <v>0</v>
      </c>
      <c r="EF123" s="227">
        <v>0</v>
      </c>
      <c r="EG123" s="227">
        <v>0</v>
      </c>
      <c r="EH123" s="228">
        <f>SUM(Table1[[#This Row],[CashQ1]]:Table1[[#This Row],[CashQ3]])</f>
        <v>0</v>
      </c>
      <c r="EI123" s="229">
        <f>ROUND((Table1[[#This Row],[SubTot]]/3)/1.01059,0)</f>
        <v>1154</v>
      </c>
      <c r="EJ123" s="230">
        <f>ROUND((Table1[[#This Row],[SubTot]]/3)/1.01059,0)</f>
        <v>1154</v>
      </c>
      <c r="EK123" s="230">
        <f>ROUNDUP((Table1[[#This Row],[SubTot]]/3)/1.01059,0)</f>
        <v>1155</v>
      </c>
      <c r="EL123" s="231">
        <v>3500</v>
      </c>
      <c r="EM123" s="240">
        <f>Table1[[#This Row],[SubTot]]*0.01059</f>
        <v>37.065000000000005</v>
      </c>
      <c r="EN123" s="230">
        <f>ROUND((Table1[[#This Row],[UnsubTot]]/3)/1.01062,0)</f>
        <v>660</v>
      </c>
      <c r="EO123" s="230">
        <f>ROUND((Table1[[#This Row],[UnsubTot]]/3)/1.01062,0)</f>
        <v>660</v>
      </c>
      <c r="EP123" s="230">
        <f>ROUNDDOWN((Table1[[#This Row],[UnsubTot]]/3)/1.01062,0)</f>
        <v>659</v>
      </c>
      <c r="EQ123" s="231">
        <f>IF(Table1[D/I]="I",6000,2000)</f>
        <v>2000</v>
      </c>
      <c r="ER123" s="233">
        <f>Table1[[#This Row],[UnsubTot]]*0.01059</f>
        <v>21.18</v>
      </c>
      <c r="ES123" s="230">
        <f>ROUND((Table1[[#This Row],[PLUSTot]]/3)/1.04236,0)</f>
        <v>0</v>
      </c>
      <c r="ET123" s="230">
        <f>ROUND((Table1[[#This Row],[PLUSTot]]/3)/1.04236,0)</f>
        <v>0</v>
      </c>
      <c r="EU123" s="230">
        <f>ROUND((Table1[[#This Row],[PLUSTot]]/3)/1.04236,0)</f>
        <v>0</v>
      </c>
      <c r="EV123" s="231">
        <v>0</v>
      </c>
      <c r="EW123" s="239">
        <f>Table1[[#This Row],[PLUSTot]]*0.04248</f>
        <v>0</v>
      </c>
      <c r="EX123" s="237"/>
      <c r="EY123" s="237"/>
      <c r="EZ123" s="237"/>
      <c r="FA123" s="232">
        <f>SUM(Table1[[#This Row],[PrivQ1]:[PrivQ3]])</f>
        <v>0</v>
      </c>
      <c r="FB123" s="237"/>
      <c r="FC123" s="237"/>
      <c r="FD123" s="237"/>
      <c r="FE123" s="232">
        <f>SUM(Table1[[#This Row],[TOQ1]:[TOQ3]])</f>
        <v>0</v>
      </c>
      <c r="FF123" s="237"/>
      <c r="FG123" s="237"/>
      <c r="FH123" s="237"/>
      <c r="FI123" s="232">
        <f>SUM(Table1[[#This Row],[OFundQ1]:[OFundQ3]])</f>
        <v>0</v>
      </c>
      <c r="FJ123" s="239">
        <f>(Table1[[#This Row],[SubTot]]-Table1[[#This Row],[SubFee]])+(Table1[[#This Row],[UnsubTot]]-Table1[[#This Row],[UnsubFee]])+(Table1[[#This Row],[PLUSTot]]-Table1[[#This Row],[PLUSFee]])+Table1[[#This Row],[PrivTot]]+Table1[[#This Row],[TOTot]]+Table1[[#This Row],[OFundTot]]</f>
        <v>5441.7550000000001</v>
      </c>
      <c r="FK123" s="125">
        <f>Table1[[#This Row],[CostTot]]-Table1[[#This Row],[GiftTot]]</f>
        <v>31415</v>
      </c>
      <c r="FL123" s="130">
        <f>Table1[[#This Row],[NetNeed]]/(1-0.04248)</f>
        <v>27125.537847773412</v>
      </c>
      <c r="FM123" s="131">
        <f>Table1[[#This Row],[NetCost]]-Table1[[#This Row],[CashTot]]-(Table1[[#This Row],[SubTot]]-Table1[[#This Row],[SubFee]])-(Table1[[#This Row],[UnsubTot]]-Table1[[#This Row],[UnsubFee]])-(Table1[[#This Row],[PLUSTot]]-Table1[[#This Row],[PLUSFee]])-Table1[[#This Row],[PrivTot]]-Table1[[#This Row],[TOTot]]-Table1[[#This Row],[OFundTot]]</f>
        <v>25973.244999999999</v>
      </c>
      <c r="FN123" s="217"/>
      <c r="FO123" s="162"/>
      <c r="FP123" s="162"/>
    </row>
    <row r="124" spans="1:172" ht="15" x14ac:dyDescent="0.25">
      <c r="A124" s="296">
        <v>198356</v>
      </c>
      <c r="B124" s="113" t="str">
        <f>VLOOKUP(Table1[[#This Row],[SyStudentId]],SSR!$A$2:$CC$4982,4,FALSE)</f>
        <v>Santos</v>
      </c>
      <c r="C124" s="113" t="str">
        <f>VLOOKUP(Table1[[#This Row],[SyStudentId]],SSR!$A$2:$CC$4982,5,FALSE)</f>
        <v>Wilver</v>
      </c>
      <c r="D124" s="113" t="str">
        <f>VLOOKUP(Table1[[#This Row],[SyStudentId]],SSR!$A$2:$CC$4982,6,FALSE)</f>
        <v>Santos, Wilver</v>
      </c>
      <c r="E124" s="113" t="str">
        <f>CONCATENATE(Table1[[#This Row],[FirstName]]," ",Table1[[#This Row],[LastName]])</f>
        <v>Wilver Santos</v>
      </c>
      <c r="F124" s="112">
        <v>2</v>
      </c>
      <c r="G124" s="114">
        <v>43803</v>
      </c>
      <c r="H124" s="114">
        <v>43803</v>
      </c>
      <c r="I124" s="114">
        <v>43803</v>
      </c>
      <c r="J124" s="115"/>
      <c r="K124" s="116" t="s">
        <v>605</v>
      </c>
      <c r="L124" s="112" t="str">
        <f>IFERROR(VLOOKUP(Table1[[#This Row],[SyStudentId]],ISIR!$A$2:$X$999,11,FALSE),"")</f>
        <v>D</v>
      </c>
      <c r="M124" s="113" t="str">
        <f>VLOOKUP(Table1[[#This Row],[SyStudentId]],SSR!$A$2:$CC$4982,7,FALSE)</f>
        <v>Wilver.santos84@gmail.com</v>
      </c>
      <c r="N124" s="113" t="str">
        <f>VLOOKUP(Table1[[#This Row],[SyStudentId]],SSR!$A$2:$CC$4982,8,FALSE)</f>
        <v>660 teal st</v>
      </c>
      <c r="O124" s="113" t="str">
        <f>VLOOKUP(Table1[[#This Row],[SyStudentId]],SSR!$A$2:$CC$4982,9,FALSE)</f>
        <v>crestview</v>
      </c>
      <c r="P124" s="303" t="str">
        <f>VLOOKUP(Table1[[#This Row],[SyStudentId]],SSR!$A$2:$CC$4982,10,FALSE)</f>
        <v>FL</v>
      </c>
      <c r="Q124" s="117" t="str">
        <f>VLOOKUP(Table1[[#This Row],[SyStudentId]],SSR!$A$2:$CC$4982,11,FALSE)</f>
        <v xml:space="preserve">32539     </v>
      </c>
      <c r="R124" s="118">
        <f>VLOOKUP(Table1[[#This Row],[SyStudentId]],SSR!$A$2:$CC$4982,15,FALSE)</f>
        <v>3.4</v>
      </c>
      <c r="S124" s="119">
        <f>VLOOKUP(Table1[[#This Row],[SyStudentId]],SSR!$A$2:$CC$4982,22,FALSE)</f>
        <v>44109</v>
      </c>
      <c r="T124" s="113" t="str">
        <f>VLOOKUP(Table1[[#This Row],[SyStudentId]],SSR!$A$2:$CC$4982,24,FALSE)</f>
        <v>GM</v>
      </c>
      <c r="U124" s="113" t="str">
        <f>IF(VLOOKUP(Table1[[#This Row],[SyStudentId]],SSR!$A$2:$CC$4982,26,FALSE)=0,"Not Selected",VLOOKUP(Table1[[#This Row],[SyStudentId]],SSR!$A$2:$CC$4982,26,FALSE))</f>
        <v>Male</v>
      </c>
      <c r="V124" s="113" t="str">
        <f>VLOOKUP(Table1[[#This Row],[SyStudentId]],SSR!$A$2:$CC$4982,27,FALSE)</f>
        <v xml:space="preserve">HS2020  </v>
      </c>
      <c r="W124" s="113" t="str">
        <f>VLOOKUP(LEFT(Table1[[#This Row],[LastName]],1),Alpha!$A$1:$B$26,2,FALSE)</f>
        <v>Maureen Ranks</v>
      </c>
      <c r="X124" s="149" t="str">
        <f>VLOOKUP(Table1[[#This Row],[FAA]],Alpha!$B$1:$D$26,2,FALSE)</f>
        <v>mranks@neumont.edu</v>
      </c>
      <c r="Y124" s="113">
        <f>VLOOKUP(Table1[[#This Row],[FAA]],Alpha!$B$1:$D$26,3,FALSE)</f>
        <v>8883022894</v>
      </c>
      <c r="Z124" s="113" t="str">
        <f>VLOOKUP(Table1[[#This Row],[SyStudentId]],SSR!$A$2:$CC$4982,30,FALSE)</f>
        <v>16-Accepted</v>
      </c>
      <c r="AA124" s="113" t="str">
        <f>IF(VLOOKUP(Table1[[#This Row],[SyStudentId]],SSR!$A$2:$CC$4982,36,FALSE)="Bachelor of Science","BS Computer Science","Check Program")</f>
        <v>BS Computer Science</v>
      </c>
      <c r="AB124" s="113" t="str">
        <f>VLOOKUP(Table1[[#This Row],[SyStudentId]],SSR!$A$2:$CC$4982,37,FALSE)</f>
        <v xml:space="preserve">27      </v>
      </c>
      <c r="AC124" s="113" t="str">
        <f>VLOOKUP(Table1[[#This Row],[SyStudentId]],SSR!$A$2:$CC$4982,42,FALSE)</f>
        <v xml:space="preserve">1110    </v>
      </c>
      <c r="AD124" s="113" t="str">
        <f>VLOOKUP(Table1[[#This Row],[SyStudentId]],SSR!$A$2:$CC$4982,46,FALSE)</f>
        <v>116</v>
      </c>
      <c r="AE124" s="113" t="str">
        <f>VLOOKUP(Table1[[#This Row],[SyStudentId]],SSR!$A$2:$CC$4982,65,FALSE)</f>
        <v>II</v>
      </c>
      <c r="AF124"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2</v>
      </c>
      <c r="AG124" s="113" t="str">
        <f>VLOOKUP(Table1[[#This Row],[SyStudentId]],SSR!$A$2:$CC$4982,66,FALSE)</f>
        <v>November</v>
      </c>
      <c r="AH124" s="113" t="str">
        <f>IFERROR(VLOOKUP(Table1[[#This Row],[SyStudentId]],ISIR!$A$2:$X$999,7,FALSE),"")</f>
        <v>008325</v>
      </c>
      <c r="AI124" s="121">
        <f>IF(Table1[[#This Row],[EFCRaw]]="","",IF(Table1[[#This Row],[EFCRaw]]="No EFC","No EFC",_xlfn.NUMBERVALUE(Table1[[#This Row],[EFCRaw]])))</f>
        <v>8325</v>
      </c>
      <c r="AJ124" s="119">
        <f>IFERROR(VLOOKUP(Table1[[#This Row],[SyStudentId]],ISIR!$A$2:$X$4999,19,FALSE),"")</f>
        <v>43790</v>
      </c>
      <c r="AK124" s="113" t="str">
        <f>IFERROR(VLOOKUP(Table1[[#This Row],[SyStudentId]],ISIR!$A$2:$X$4999,8,FALSE),"")</f>
        <v>N</v>
      </c>
      <c r="AL124" s="132" t="str">
        <f>IF(Table1[[#This Row],[VerReq]]="N","n/a","")</f>
        <v>n/a</v>
      </c>
      <c r="AM124" s="122"/>
      <c r="AN124" s="122"/>
      <c r="AO124" s="122">
        <v>43786</v>
      </c>
      <c r="AP124" s="122">
        <v>43785</v>
      </c>
      <c r="AQ124" s="122">
        <v>43785</v>
      </c>
      <c r="AR124" s="122"/>
      <c r="AS124" s="122"/>
      <c r="AT124" s="122"/>
      <c r="AU124" s="122"/>
      <c r="AV124" s="122"/>
      <c r="AW124" s="122"/>
      <c r="AX124" s="122"/>
      <c r="AY124" s="122"/>
      <c r="AZ124" s="122"/>
      <c r="BA124" s="122"/>
      <c r="BB124" s="122"/>
      <c r="BC124" s="148"/>
      <c r="BD124" s="140" t="str">
        <f>IF(Table1[[#This Row],[VerReq]]="N","x","")</f>
        <v>x</v>
      </c>
      <c r="BE124" s="140" t="str">
        <f>IF(Table1[[#This Row],[VerReq]]="N","x","")</f>
        <v>x</v>
      </c>
      <c r="BF124" s="140" t="str">
        <f>IF(Table1[[#This Row],[VerReq]]="N","x","")</f>
        <v>x</v>
      </c>
      <c r="BG124" s="140" t="str">
        <f>IF(Table1[[#This Row],[VerReq]]="N","x","")</f>
        <v>x</v>
      </c>
      <c r="BH124" s="140" t="str">
        <f>IF(Table1[[#This Row],[VerReq]]="N","x","")</f>
        <v>x</v>
      </c>
      <c r="BI124" s="140" t="str">
        <f>IF(Table1[[#This Row],[VerReq]]="N","x","")</f>
        <v>x</v>
      </c>
      <c r="BJ124" s="123">
        <f>1-((COUNTBLANK(Table1[[#This Row],[ALESent]:[TaxTran]]))/(COUNT(Table1[[#This Row],[ALESent]:[TaxTran]])+COUNTBLANK(Table1[[#This Row],[ALESent]:[TaxTran]])))</f>
        <v>0.17647058823529416</v>
      </c>
      <c r="BK124" s="150">
        <f>IF(VLOOKUP(Table1[[#This Row],[SyStudentId]],SSR!$A$2:$CC$4982,22,FALSE)=44109,44109,"Check Program")</f>
        <v>44109</v>
      </c>
      <c r="BL124" s="124">
        <f>IF(Table1[[#This Row],[AYStart]]=44109,44356,"Check Program")</f>
        <v>44356</v>
      </c>
      <c r="BM124" s="219">
        <v>8505</v>
      </c>
      <c r="BN124" s="219">
        <v>8505</v>
      </c>
      <c r="BO124" s="219">
        <v>8505</v>
      </c>
      <c r="BP124" s="220">
        <f t="shared" si="3"/>
        <v>25515</v>
      </c>
      <c r="BQ124" s="221">
        <v>3300</v>
      </c>
      <c r="BR124" s="219">
        <v>400</v>
      </c>
      <c r="BS124" s="219">
        <v>400</v>
      </c>
      <c r="BT124" s="220">
        <f t="shared" si="4"/>
        <v>4100</v>
      </c>
      <c r="BU124" s="219">
        <v>2100</v>
      </c>
      <c r="BV124" s="219">
        <v>2100</v>
      </c>
      <c r="BW124" s="219">
        <v>2100</v>
      </c>
      <c r="BX124" s="220">
        <f t="shared" si="5"/>
        <v>6300</v>
      </c>
      <c r="BY124" s="275">
        <v>1200</v>
      </c>
      <c r="BZ124" s="275">
        <v>1200</v>
      </c>
      <c r="CA124" s="275">
        <v>1200</v>
      </c>
      <c r="CB124" s="220">
        <f>SUM(Table1[[#This Row],[LEQ1]:[LEQ3]])</f>
        <v>3600</v>
      </c>
      <c r="CC124" s="269"/>
      <c r="CD124" s="269"/>
      <c r="CE124" s="269"/>
      <c r="CF124" s="220">
        <f>SUM(Table1[[#This Row],[OthCostQ1]:[OthCostQ3]])</f>
        <v>0</v>
      </c>
      <c r="CG124" s="220">
        <f>(Table1[[#This Row],[T&amp;FTot]]+Table1[[#This Row],[B&amp;STot]]+Table1[[#This Row],[HousTot]]+Table1[[#This Row],[LETot]]+Table1[[#This Row],[OthCostTot]])</f>
        <v>39515</v>
      </c>
      <c r="CH124" s="250"/>
      <c r="CI124" s="250"/>
      <c r="CJ124" s="250"/>
      <c r="CK124" s="251">
        <f>SUM(Table1[[#This Row],[SEOGQ1]:[SEOGQ3]])</f>
        <v>0</v>
      </c>
      <c r="CL124" s="250">
        <f>IFERROR(ROUNDUP(Table1[[#This Row],[PellTot]]/3,0),0)</f>
        <v>0</v>
      </c>
      <c r="CM124" s="250">
        <f>IFERROR(ROUND(Table1[[#This Row],[PellTot]]/3,0),0)</f>
        <v>0</v>
      </c>
      <c r="CN124" s="250">
        <f>IFERROR(ROUNDDOWN(Table1[[#This Row],[PellTot]]/3,0),0)</f>
        <v>0</v>
      </c>
      <c r="CO124" s="251">
        <f>IFERROR(LOOKUP(Table1[EFC],Pell_Table[#Data],Pell_Table[Pell Amt]),0)</f>
        <v>0</v>
      </c>
      <c r="CP124" s="250">
        <f>Table1[[#This Row],[AccessTot]]/3</f>
        <v>0</v>
      </c>
      <c r="CQ124" s="250">
        <f>Table1[[#This Row],[AccessTot]]/3</f>
        <v>0</v>
      </c>
      <c r="CR124" s="250">
        <f>Table1[[#This Row],[AccessTot]]/3</f>
        <v>0</v>
      </c>
      <c r="CS124" s="251">
        <f>IF(Table1[[#This Row],[PellTot]]&gt;0,1500,0)</f>
        <v>0</v>
      </c>
      <c r="CT124" s="250">
        <f>Table1[[#This Row],[AchiTot]]/3</f>
        <v>1500</v>
      </c>
      <c r="CU124" s="250">
        <f>Table1[[#This Row],[AchiTot]]/3</f>
        <v>1500</v>
      </c>
      <c r="CV124" s="250">
        <f>Table1[[#This Row],[AchiTot]]/3</f>
        <v>1500</v>
      </c>
      <c r="CW124" s="252">
        <f>IF(Table1[[#This Row],[Rank]]="","",IF(Table1[[#This Row],[Rank]]=1,5100,IF(Table1[[#This Row],[Rank]]=2,4500,IF(Table1[[#This Row],[Rank]]=3,3900,IF(Table1[[#This Row],[Rank]]=4,3750,IF(Table1[[#This Row],[Rank]]=5,3000,IF(Table1[[#This Row],[Rank]]=6,2250,0)))))))</f>
        <v>4500</v>
      </c>
      <c r="CX124" s="250">
        <f>Table1[[#This Row],[UTTot]]/3</f>
        <v>0</v>
      </c>
      <c r="CY124" s="250">
        <f>Table1[[#This Row],[UTTot]]/3</f>
        <v>0</v>
      </c>
      <c r="CZ124" s="250">
        <f>Table1[[#This Row],[UTTot]]/3</f>
        <v>0</v>
      </c>
      <c r="DA124" s="251">
        <f>IF(Table1[[#This Row],[State]]="UT",9000,0)</f>
        <v>0</v>
      </c>
      <c r="DB124" s="250">
        <f>Table1[[#This Row],[WITTot]]/3</f>
        <v>0</v>
      </c>
      <c r="DC124" s="250">
        <f>Table1[[#This Row],[WITTot]]/3</f>
        <v>0</v>
      </c>
      <c r="DD124" s="250">
        <f>Table1[[#This Row],[WITTot]]/3</f>
        <v>0</v>
      </c>
      <c r="DE124" s="251">
        <f>IF(Table1[[#This Row],[Gender]]="Female",3000,0)</f>
        <v>0</v>
      </c>
      <c r="DF124" s="250">
        <f>Table1[[#This Row],[SerTot]]/3</f>
        <v>0</v>
      </c>
      <c r="DG124" s="250">
        <f>Table1[[#This Row],[SerTot]]/3</f>
        <v>0</v>
      </c>
      <c r="DH124" s="250">
        <f>Table1[[#This Row],[SerTot]]/3</f>
        <v>0</v>
      </c>
      <c r="DI124" s="252"/>
      <c r="DJ124" s="250"/>
      <c r="DK124" s="250"/>
      <c r="DL124" s="250"/>
      <c r="DM124" s="252"/>
      <c r="DN124" s="250">
        <f>Table1[[#This Row],[MatTot]]/3</f>
        <v>0</v>
      </c>
      <c r="DO124" s="250">
        <f>Table1[[#This Row],[MatTot]]/3</f>
        <v>0</v>
      </c>
      <c r="DP124" s="250">
        <f>Table1[[#This Row],[MatTot]]/3</f>
        <v>0</v>
      </c>
      <c r="DQ124" s="252"/>
      <c r="DR124" s="250">
        <f>Table1[[#This Row],[OutTot]]/3</f>
        <v>0</v>
      </c>
      <c r="DS124" s="250">
        <f>Table1[[#This Row],[OutTot]]/3</f>
        <v>0</v>
      </c>
      <c r="DT124" s="250">
        <f>Table1[[#This Row],[OutTot]]/3</f>
        <v>0</v>
      </c>
      <c r="DU124" s="252"/>
      <c r="DV124" s="250"/>
      <c r="DW124" s="250"/>
      <c r="DX124" s="250"/>
      <c r="DY124" s="252">
        <f>SUM(Table1[[#This Row],[VAQ1]:[VAQ3]])</f>
        <v>0</v>
      </c>
      <c r="DZ124" s="250"/>
      <c r="EA124" s="250"/>
      <c r="EB124" s="250"/>
      <c r="EC124" s="270">
        <f>SUM(Table1[[#This Row],[OthGrantQ1]:[OthGrantQ3]])</f>
        <v>0</v>
      </c>
      <c r="ED124" s="263">
        <f>Table1[[#This Row],[SEOGTot]]+Table1[[#This Row],[PellTot]]+Table1[[#This Row],[AccessTot]]+Table1[[#This Row],[AchiTot]]+Table1[[#This Row],[UTTot]]+Table1[[#This Row],[WITTot]]+Table1[[#This Row],[SerTot]]+Table1[[#This Row],[TranTot]]+Table1[[#This Row],[MatTot]]+Table1[[#This Row],[OutTot]]+Table1[[#This Row],[VATot]]+Table1[[#This Row],[OthGrantTot]]</f>
        <v>4500</v>
      </c>
      <c r="EE124" s="249"/>
      <c r="EF124" s="237"/>
      <c r="EG124" s="237"/>
      <c r="EH124" s="232">
        <f>SUM(Table1[[#This Row],[CashQ1]]:Table1[[#This Row],[CashQ3]])</f>
        <v>0</v>
      </c>
      <c r="EI124" s="271">
        <f>ROUND((Table1[[#This Row],[SubTot]]/3)/1.01059,0)</f>
        <v>0</v>
      </c>
      <c r="EJ124" s="234">
        <f>ROUND((Table1[[#This Row],[SubTot]]/3)/1.01059,0)</f>
        <v>0</v>
      </c>
      <c r="EK124" s="234">
        <f>ROUNDUP((Table1[[#This Row],[SubTot]]/3)/1.01059,0)</f>
        <v>0</v>
      </c>
      <c r="EL124" s="235"/>
      <c r="EM124" s="240">
        <f>Table1[[#This Row],[SubTot]]*0.01059</f>
        <v>0</v>
      </c>
      <c r="EN124" s="234">
        <f>ROUND((Table1[[#This Row],[UnsubTot]]/3)/1.01062,0)</f>
        <v>660</v>
      </c>
      <c r="EO124" s="234">
        <f>ROUND((Table1[[#This Row],[UnsubTot]]/3)/1.01062,0)</f>
        <v>660</v>
      </c>
      <c r="EP124" s="234">
        <f>ROUNDDOWN((Table1[[#This Row],[UnsubTot]]/3)/1.01062,0)</f>
        <v>659</v>
      </c>
      <c r="EQ124" s="235">
        <f>IF(Table1[D/I]="I",6000,2000)</f>
        <v>2000</v>
      </c>
      <c r="ER124" s="240">
        <f>Table1[[#This Row],[UnsubTot]]*0.01062</f>
        <v>21.24</v>
      </c>
      <c r="ES124" s="234">
        <f>ROUND((Table1[[#This Row],[PLUSTot]]/3)/1.04248,0)</f>
        <v>0</v>
      </c>
      <c r="ET124" s="234">
        <f>ROUND((Table1[[#This Row],[PLUSTot]]/3)/1.04248,0)</f>
        <v>0</v>
      </c>
      <c r="EU124" s="234">
        <f>ROUND((Table1[[#This Row],[PLUSTot]]/3)/1.04248,0)</f>
        <v>0</v>
      </c>
      <c r="EV124" s="235"/>
      <c r="EW124" s="239">
        <f>Table1[[#This Row],[PLUSTot]]*0.04248</f>
        <v>0</v>
      </c>
      <c r="EX124" s="237"/>
      <c r="EY124" s="237"/>
      <c r="EZ124" s="237"/>
      <c r="FA124" s="232">
        <f>SUM(Table1[[#This Row],[PrivQ1]:[PrivQ3]])</f>
        <v>0</v>
      </c>
      <c r="FB124" s="237"/>
      <c r="FC124" s="237"/>
      <c r="FD124" s="237"/>
      <c r="FE124" s="232">
        <f>SUM(Table1[[#This Row],[TOQ1]:[TOQ3]])</f>
        <v>0</v>
      </c>
      <c r="FF124" s="237"/>
      <c r="FG124" s="237"/>
      <c r="FH124" s="237"/>
      <c r="FI124" s="232">
        <f>SUM(Table1[[#This Row],[OFundQ1]:[OFundQ3]])</f>
        <v>0</v>
      </c>
      <c r="FJ124" s="239">
        <f>(Table1[[#This Row],[SubTot]]-Table1[[#This Row],[SubFee]])+(Table1[[#This Row],[UnsubTot]]-Table1[[#This Row],[UnsubFee]])+(Table1[[#This Row],[PLUSTot]]-Table1[[#This Row],[PLUSFee]])+Table1[[#This Row],[PrivTot]]+Table1[[#This Row],[TOTot]]+Table1[[#This Row],[OFundTot]]</f>
        <v>1978.76</v>
      </c>
      <c r="FK124" s="125">
        <f>Table1[[#This Row],[CostTot]]-Table1[[#This Row],[GiftTot]]</f>
        <v>35015</v>
      </c>
      <c r="FL124" s="130">
        <f>Table1[[#This Row],[NetNeed]]/(1-0.04248)</f>
        <v>34501.879856295425</v>
      </c>
      <c r="FM124" s="131">
        <f>Table1[[#This Row],[NetCost]]-Table1[[#This Row],[CashTot]]-(Table1[[#This Row],[SubTot]]-Table1[[#This Row],[SubFee]])-(Table1[[#This Row],[UnsubTot]]-Table1[[#This Row],[UnsubFee]])-(Table1[[#This Row],[PLUSTot]]-Table1[[#This Row],[PLUSFee]])-Table1[[#This Row],[PrivTot]]-Table1[[#This Row],[TOTot]]-Table1[[#This Row],[OFundTot]]</f>
        <v>33036.239999999998</v>
      </c>
      <c r="FN124" s="156"/>
      <c r="FO124" s="113"/>
      <c r="FP124" s="113"/>
    </row>
    <row r="125" spans="1:172" ht="15" x14ac:dyDescent="0.25">
      <c r="A125" s="296">
        <v>197371</v>
      </c>
      <c r="B125" s="113" t="str">
        <f>VLOOKUP(Table1[[#This Row],[SyStudentId]],SSR!$A$2:$CC$4982,4,FALSE)</f>
        <v>Schlechner</v>
      </c>
      <c r="C125" s="113" t="str">
        <f>VLOOKUP(Table1[[#This Row],[SyStudentId]],SSR!$A$2:$CC$4982,5,FALSE)</f>
        <v>Mahon</v>
      </c>
      <c r="D125" s="113" t="str">
        <f>VLOOKUP(Table1[[#This Row],[SyStudentId]],SSR!$A$2:$CC$4982,6,FALSE)</f>
        <v>Schlechner, Mahon</v>
      </c>
      <c r="E125" s="113" t="str">
        <f>CONCATENATE(Table1[[#This Row],[FirstName]]," ",Table1[[#This Row],[LastName]])</f>
        <v>Mahon Schlechner</v>
      </c>
      <c r="F125" s="112">
        <v>1</v>
      </c>
      <c r="G125" s="114"/>
      <c r="H125" s="114"/>
      <c r="I125" s="114">
        <v>43794</v>
      </c>
      <c r="J125" s="115"/>
      <c r="K125" s="116"/>
      <c r="L125" s="112" t="str">
        <f>IFERROR(VLOOKUP(Table1[[#This Row],[SyStudentId]],ISIR!$A$2:$X$999,11,FALSE),"")</f>
        <v>D</v>
      </c>
      <c r="M125" s="113" t="str">
        <f>VLOOKUP(Table1[[#This Row],[SyStudentId]],SSR!$A$2:$CC$4982,7,FALSE)</f>
        <v>Mahonws@hotmail.com</v>
      </c>
      <c r="N125" s="113" t="str">
        <f>VLOOKUP(Table1[[#This Row],[SyStudentId]],SSR!$A$2:$CC$4982,8,FALSE)</f>
        <v>15292 NOTTINGHAM LANE</v>
      </c>
      <c r="O125" s="113" t="str">
        <f>VLOOKUP(Table1[[#This Row],[SyStudentId]],SSR!$A$2:$CC$4982,9,FALSE)</f>
        <v>HUNTINGTON BEACH</v>
      </c>
      <c r="P125" s="290" t="str">
        <f>VLOOKUP(Table1[[#This Row],[SyStudentId]],SSR!$A$2:$CC$4982,10,FALSE)</f>
        <v>CA</v>
      </c>
      <c r="Q125" s="117" t="str">
        <f>VLOOKUP(Table1[[#This Row],[SyStudentId]],SSR!$A$2:$CC$4982,11,FALSE)</f>
        <v xml:space="preserve">92647     </v>
      </c>
      <c r="R125" s="118">
        <f>VLOOKUP(Table1[[#This Row],[SyStudentId]],SSR!$A$2:$CC$4982,15,FALSE)</f>
        <v>2.9</v>
      </c>
      <c r="S125" s="119">
        <f>VLOOKUP(Table1[[#This Row],[SyStudentId]],SSR!$A$2:$CC$4982,22,FALSE)</f>
        <v>44109</v>
      </c>
      <c r="T125" s="113" t="str">
        <f>VLOOKUP(Table1[[#This Row],[SyStudentId]],SSR!$A$2:$CC$4982,24,FALSE)</f>
        <v>GM</v>
      </c>
      <c r="U125" s="113" t="str">
        <f>IF(VLOOKUP(Table1[[#This Row],[SyStudentId]],SSR!$A$2:$CC$4982,26,FALSE)=0,"Not Selected",VLOOKUP(Table1[[#This Row],[SyStudentId]],SSR!$A$2:$CC$4982,26,FALSE))</f>
        <v>Male</v>
      </c>
      <c r="V125" s="113" t="str">
        <f>VLOOKUP(Table1[[#This Row],[SyStudentId]],SSR!$A$2:$CC$4982,27,FALSE)</f>
        <v xml:space="preserve">HS2020  </v>
      </c>
      <c r="W125" s="113" t="str">
        <f>VLOOKUP(LEFT(Table1[[#This Row],[LastName]],1),Alpha!$A$1:$B$26,2,FALSE)</f>
        <v>Maureen Ranks</v>
      </c>
      <c r="X125" s="149" t="str">
        <f>VLOOKUP(Table1[[#This Row],[FAA]],Alpha!$B$1:$D$26,2,FALSE)</f>
        <v>mranks@neumont.edu</v>
      </c>
      <c r="Y125" s="113">
        <f>VLOOKUP(Table1[[#This Row],[FAA]],Alpha!$B$1:$D$26,3,FALSE)</f>
        <v>8883022894</v>
      </c>
      <c r="Z125" s="113" t="str">
        <f>VLOOKUP(Table1[[#This Row],[SyStudentId]],SSR!$A$2:$CC$4982,30,FALSE)</f>
        <v>16-Accepted</v>
      </c>
      <c r="AA125" s="113" t="str">
        <f>IF(VLOOKUP(Table1[[#This Row],[SyStudentId]],SSR!$A$2:$CC$4982,36,FALSE)="Bachelor of Science","BS Computer Science","Check Program")</f>
        <v>BS Computer Science</v>
      </c>
      <c r="AB125" s="113">
        <f>VLOOKUP(Table1[[#This Row],[SyStudentId]],SSR!$A$2:$CC$4982,37,FALSE)</f>
        <v>0</v>
      </c>
      <c r="AC125" s="113">
        <f>VLOOKUP(Table1[[#This Row],[SyStudentId]],SSR!$A$2:$CC$4982,42,FALSE)</f>
        <v>0</v>
      </c>
      <c r="AD125" s="113" t="str">
        <f>VLOOKUP(Table1[[#This Row],[SyStudentId]],SSR!$A$2:$CC$4982,46,FALSE)</f>
        <v>0</v>
      </c>
      <c r="AE125" s="113" t="str">
        <f>VLOOKUP(Table1[[#This Row],[SyStudentId]],SSR!$A$2:$CC$4982,65,FALSE)</f>
        <v>VIII</v>
      </c>
      <c r="AF125"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125" s="113" t="str">
        <f>VLOOKUP(Table1[[#This Row],[SyStudentId]],SSR!$A$2:$CC$4982,66,FALSE)</f>
        <v>November</v>
      </c>
      <c r="AH125" s="113" t="str">
        <f>IFERROR(VLOOKUP(Table1[[#This Row],[SyStudentId]],ISIR!$A$2:$X$999,7,FALSE),"")</f>
        <v>002281</v>
      </c>
      <c r="AI125" s="121">
        <f>IF(Table1[[#This Row],[EFCRaw]]="","",IF(Table1[[#This Row],[EFCRaw]]="No EFC","No EFC",_xlfn.NUMBERVALUE(Table1[[#This Row],[EFCRaw]])))</f>
        <v>2281</v>
      </c>
      <c r="AJ125" s="119">
        <f>IFERROR(VLOOKUP(Table1[[#This Row],[SyStudentId]],ISIR!$A$2:$X$4999,19,FALSE),"")</f>
        <v>43774</v>
      </c>
      <c r="AK125" s="113" t="str">
        <f>IFERROR(VLOOKUP(Table1[[#This Row],[SyStudentId]],ISIR!$A$2:$X$4999,8,FALSE),"")</f>
        <v>Y</v>
      </c>
      <c r="AL125" s="132" t="str">
        <f>IF(Table1[[#This Row],[VerReq]]="N","n/a","")</f>
        <v/>
      </c>
      <c r="AM125" s="122"/>
      <c r="AN125" s="122"/>
      <c r="AO125" s="122"/>
      <c r="AP125" s="122"/>
      <c r="AQ125" s="122"/>
      <c r="AR125" s="122"/>
      <c r="AS125" s="122"/>
      <c r="AT125" s="122"/>
      <c r="AU125" s="122"/>
      <c r="AV125" s="122"/>
      <c r="AW125" s="122"/>
      <c r="AX125" s="122"/>
      <c r="AY125" s="122"/>
      <c r="AZ125" s="122"/>
      <c r="BA125" s="122"/>
      <c r="BB125" s="122"/>
      <c r="BC125" s="148"/>
      <c r="BD125" s="140" t="str">
        <f>IF(Table1[[#This Row],[VerReq]]="N","x","")</f>
        <v/>
      </c>
      <c r="BE125" s="140" t="str">
        <f>IF(Table1[[#This Row],[VerReq]]="N","x","")</f>
        <v/>
      </c>
      <c r="BF125" s="140" t="str">
        <f>IF(Table1[[#This Row],[VerReq]]="N","x","")</f>
        <v/>
      </c>
      <c r="BG125" s="140" t="str">
        <f>IF(Table1[[#This Row],[VerReq]]="N","x","")</f>
        <v/>
      </c>
      <c r="BH125" s="140" t="str">
        <f>IF(Table1[[#This Row],[VerReq]]="N","x","")</f>
        <v/>
      </c>
      <c r="BI125" s="140" t="str">
        <f>IF(Table1[[#This Row],[VerReq]]="N","x","")</f>
        <v/>
      </c>
      <c r="BJ125" s="123">
        <f>1-((COUNTBLANK(Table1[[#This Row],[ALESent]:[TaxTran]]))/(COUNT(Table1[[#This Row],[ALESent]:[TaxTran]])+COUNTBLANK(Table1[[#This Row],[ALESent]:[TaxTran]])))</f>
        <v>0</v>
      </c>
      <c r="BK125" s="150">
        <f>IF(VLOOKUP(Table1[[#This Row],[SyStudentId]],SSR!$A$2:$CC$4982,22,FALSE)=44109,44109,"Check Program")</f>
        <v>44109</v>
      </c>
      <c r="BL125" s="124">
        <f>IF(Table1[[#This Row],[AYStart]]=44109,44356,"Check Program")</f>
        <v>44356</v>
      </c>
      <c r="BM125" s="219">
        <v>8505</v>
      </c>
      <c r="BN125" s="219">
        <v>8505</v>
      </c>
      <c r="BO125" s="219">
        <v>8505</v>
      </c>
      <c r="BP125" s="220">
        <f t="shared" si="3"/>
        <v>25515</v>
      </c>
      <c r="BQ125" s="221">
        <v>3300</v>
      </c>
      <c r="BR125" s="219">
        <v>400</v>
      </c>
      <c r="BS125" s="219">
        <v>400</v>
      </c>
      <c r="BT125" s="220">
        <f t="shared" si="4"/>
        <v>4100</v>
      </c>
      <c r="BU125" s="219">
        <v>2100</v>
      </c>
      <c r="BV125" s="219">
        <v>2100</v>
      </c>
      <c r="BW125" s="219">
        <v>2100</v>
      </c>
      <c r="BX125" s="220">
        <f t="shared" si="5"/>
        <v>6300</v>
      </c>
      <c r="BY125" s="275">
        <v>1200</v>
      </c>
      <c r="BZ125" s="275">
        <v>1200</v>
      </c>
      <c r="CA125" s="275">
        <v>1200</v>
      </c>
      <c r="CB125" s="220">
        <f>SUM(Table1[[#This Row],[LEQ1]:[LEQ3]])</f>
        <v>3600</v>
      </c>
      <c r="CC125" s="269"/>
      <c r="CD125" s="269"/>
      <c r="CE125" s="269"/>
      <c r="CF125" s="220">
        <f>SUM(Table1[[#This Row],[OthCostQ1]:[OthCostQ3]])</f>
        <v>0</v>
      </c>
      <c r="CG125" s="220">
        <f>(Table1[[#This Row],[T&amp;FTot]]+Table1[[#This Row],[B&amp;STot]]+Table1[[#This Row],[HousTot]]+Table1[[#This Row],[LETot]]+Table1[[#This Row],[OthCostTot]])</f>
        <v>39515</v>
      </c>
      <c r="CH125" s="250"/>
      <c r="CI125" s="250"/>
      <c r="CJ125" s="250"/>
      <c r="CK125" s="251">
        <f>SUM(Table1[[#This Row],[SEOGQ1]:[SEOGQ3]])</f>
        <v>0</v>
      </c>
      <c r="CL125" s="250">
        <f>IFERROR(ROUNDUP(Table1[[#This Row],[PellTot]]/3,0),0)</f>
        <v>1315</v>
      </c>
      <c r="CM125" s="250">
        <f>IFERROR(ROUND(Table1[[#This Row],[PellTot]]/3,0),0)</f>
        <v>1315</v>
      </c>
      <c r="CN125" s="250">
        <f>IFERROR(ROUNDDOWN(Table1[[#This Row],[PellTot]]/3,0),0)</f>
        <v>1315</v>
      </c>
      <c r="CO125" s="251">
        <f>IFERROR(LOOKUP(Table1[EFC],Pell_Table[#Data],Pell_Table[Pell Amt]),0)</f>
        <v>3945</v>
      </c>
      <c r="CP125" s="250">
        <f>Table1[[#This Row],[AccessTot]]/3</f>
        <v>500</v>
      </c>
      <c r="CQ125" s="250">
        <f>Table1[[#This Row],[AccessTot]]/3</f>
        <v>500</v>
      </c>
      <c r="CR125" s="250">
        <f>Table1[[#This Row],[AccessTot]]/3</f>
        <v>500</v>
      </c>
      <c r="CS125" s="251">
        <f>IF(Table1[[#This Row],[PellTot]]&gt;0,1500,0)</f>
        <v>1500</v>
      </c>
      <c r="CT125" s="250">
        <f>Table1[[#This Row],[AchiTot]]/3</f>
        <v>0</v>
      </c>
      <c r="CU125" s="250">
        <f>Table1[[#This Row],[AchiTot]]/3</f>
        <v>0</v>
      </c>
      <c r="CV125" s="250">
        <f>Table1[[#This Row],[AchiTot]]/3</f>
        <v>0</v>
      </c>
      <c r="CW125" s="252">
        <f>IF(Table1[[#This Row],[Rank]]="","",IF(Table1[[#This Row],[Rank]]=1,5100,IF(Table1[[#This Row],[Rank]]=2,4500,IF(Table1[[#This Row],[Rank]]=3,3900,IF(Table1[[#This Row],[Rank]]=4,3750,IF(Table1[[#This Row],[Rank]]=5,3000,IF(Table1[[#This Row],[Rank]]=6,2250,0)))))))</f>
        <v>0</v>
      </c>
      <c r="CX125" s="250">
        <f>Table1[[#This Row],[UTTot]]/3</f>
        <v>0</v>
      </c>
      <c r="CY125" s="250">
        <f>Table1[[#This Row],[UTTot]]/3</f>
        <v>0</v>
      </c>
      <c r="CZ125" s="250">
        <f>Table1[[#This Row],[UTTot]]/3</f>
        <v>0</v>
      </c>
      <c r="DA125" s="251">
        <f>IF(Table1[[#This Row],[State]]="UT",9000,0)</f>
        <v>0</v>
      </c>
      <c r="DB125" s="250">
        <f>Table1[[#This Row],[WITTot]]/3</f>
        <v>0</v>
      </c>
      <c r="DC125" s="250">
        <f>Table1[[#This Row],[WITTot]]/3</f>
        <v>0</v>
      </c>
      <c r="DD125" s="250">
        <f>Table1[[#This Row],[WITTot]]/3</f>
        <v>0</v>
      </c>
      <c r="DE125" s="251">
        <f>IF(Table1[[#This Row],[Gender]]="Female",3000,0)</f>
        <v>0</v>
      </c>
      <c r="DF125" s="250">
        <f>Table1[[#This Row],[SerTot]]/3</f>
        <v>0</v>
      </c>
      <c r="DG125" s="250">
        <f>Table1[[#This Row],[SerTot]]/3</f>
        <v>0</v>
      </c>
      <c r="DH125" s="250">
        <f>Table1[[#This Row],[SerTot]]/3</f>
        <v>0</v>
      </c>
      <c r="DI125" s="252"/>
      <c r="DJ125" s="250"/>
      <c r="DK125" s="250"/>
      <c r="DL125" s="250"/>
      <c r="DM125" s="252"/>
      <c r="DN125" s="250">
        <f>Table1[[#This Row],[MatTot]]/3</f>
        <v>0</v>
      </c>
      <c r="DO125" s="250">
        <f>Table1[[#This Row],[MatTot]]/3</f>
        <v>0</v>
      </c>
      <c r="DP125" s="250">
        <f>Table1[[#This Row],[MatTot]]/3</f>
        <v>0</v>
      </c>
      <c r="DQ125" s="252"/>
      <c r="DR125" s="250">
        <f>Table1[[#This Row],[OutTot]]/3</f>
        <v>0</v>
      </c>
      <c r="DS125" s="250">
        <f>Table1[[#This Row],[OutTot]]/3</f>
        <v>0</v>
      </c>
      <c r="DT125" s="250">
        <f>Table1[[#This Row],[OutTot]]/3</f>
        <v>0</v>
      </c>
      <c r="DU125" s="252"/>
      <c r="DV125" s="250"/>
      <c r="DW125" s="250"/>
      <c r="DX125" s="250"/>
      <c r="DY125" s="252">
        <f>SUM(Table1[[#This Row],[VAQ1]:[VAQ3]])</f>
        <v>0</v>
      </c>
      <c r="DZ125" s="250"/>
      <c r="EA125" s="250"/>
      <c r="EB125" s="250"/>
      <c r="EC125" s="270">
        <f>SUM(Table1[[#This Row],[OthGrantQ1]:[OthGrantQ3]])</f>
        <v>0</v>
      </c>
      <c r="ED125" s="263">
        <f>Table1[[#This Row],[SEOGTot]]+Table1[[#This Row],[PellTot]]+Table1[[#This Row],[AccessTot]]+Table1[[#This Row],[AchiTot]]+Table1[[#This Row],[UTTot]]+Table1[[#This Row],[WITTot]]+Table1[[#This Row],[SerTot]]+Table1[[#This Row],[TranTot]]+Table1[[#This Row],[MatTot]]+Table1[[#This Row],[OutTot]]+Table1[[#This Row],[VATot]]+Table1[[#This Row],[OthGrantTot]]</f>
        <v>5445</v>
      </c>
      <c r="EE125" s="249"/>
      <c r="EF125" s="237"/>
      <c r="EG125" s="237"/>
      <c r="EH125" s="232">
        <f>SUM(Table1[[#This Row],[CashQ1]]:Table1[[#This Row],[CashQ3]])</f>
        <v>0</v>
      </c>
      <c r="EI125" s="271">
        <f>ROUND((Table1[[#This Row],[SubTot]]/3)/1.01059,0)</f>
        <v>0</v>
      </c>
      <c r="EJ125" s="234">
        <f>ROUND((Table1[[#This Row],[SubTot]]/3)/1.01059,0)</f>
        <v>0</v>
      </c>
      <c r="EK125" s="234">
        <f>ROUNDUP((Table1[[#This Row],[SubTot]]/3)/1.01059,0)</f>
        <v>0</v>
      </c>
      <c r="EL125" s="235"/>
      <c r="EM125" s="240">
        <f>Table1[[#This Row],[SubTot]]*0.01059</f>
        <v>0</v>
      </c>
      <c r="EN125" s="234">
        <f>ROUND((Table1[[#This Row],[UnsubTot]]/3)/1.01062,0)</f>
        <v>660</v>
      </c>
      <c r="EO125" s="234">
        <f>ROUND((Table1[[#This Row],[UnsubTot]]/3)/1.01062,0)</f>
        <v>660</v>
      </c>
      <c r="EP125" s="234">
        <f>ROUNDDOWN((Table1[[#This Row],[UnsubTot]]/3)/1.01062,0)</f>
        <v>659</v>
      </c>
      <c r="EQ125" s="235">
        <f>IF(Table1[D/I]="I",6000,2000)</f>
        <v>2000</v>
      </c>
      <c r="ER125" s="240">
        <f>Table1[[#This Row],[UnsubTot]]*0.01062</f>
        <v>21.24</v>
      </c>
      <c r="ES125" s="234">
        <f>ROUND((Table1[[#This Row],[PLUSTot]]/3)/1.04248,0)</f>
        <v>0</v>
      </c>
      <c r="ET125" s="234">
        <f>ROUND((Table1[[#This Row],[PLUSTot]]/3)/1.04248,0)</f>
        <v>0</v>
      </c>
      <c r="EU125" s="234">
        <f>ROUND((Table1[[#This Row],[PLUSTot]]/3)/1.04248,0)</f>
        <v>0</v>
      </c>
      <c r="EV125" s="235"/>
      <c r="EW125" s="239">
        <f>Table1[[#This Row],[PLUSTot]]*0.04248</f>
        <v>0</v>
      </c>
      <c r="EX125" s="237"/>
      <c r="EY125" s="237"/>
      <c r="EZ125" s="237"/>
      <c r="FA125" s="232">
        <f>SUM(Table1[[#This Row],[PrivQ1]:[PrivQ3]])</f>
        <v>0</v>
      </c>
      <c r="FB125" s="237"/>
      <c r="FC125" s="237"/>
      <c r="FD125" s="237"/>
      <c r="FE125" s="232">
        <f>SUM(Table1[[#This Row],[TOQ1]:[TOQ3]])</f>
        <v>0</v>
      </c>
      <c r="FF125" s="237"/>
      <c r="FG125" s="237"/>
      <c r="FH125" s="237"/>
      <c r="FI125" s="232">
        <f>SUM(Table1[[#This Row],[OFundQ1]:[OFundQ3]])</f>
        <v>0</v>
      </c>
      <c r="FJ125" s="239">
        <f>(Table1[[#This Row],[SubTot]]-Table1[[#This Row],[SubFee]])+(Table1[[#This Row],[UnsubTot]]-Table1[[#This Row],[UnsubFee]])+(Table1[[#This Row],[PLUSTot]]-Table1[[#This Row],[PLUSFee]])+Table1[[#This Row],[PrivTot]]+Table1[[#This Row],[TOTot]]+Table1[[#This Row],[OFundTot]]</f>
        <v>1978.76</v>
      </c>
      <c r="FK125" s="125">
        <f>Table1[[#This Row],[CostTot]]-Table1[[#This Row],[GiftTot]]</f>
        <v>34070</v>
      </c>
      <c r="FL125" s="130">
        <f>Table1[[#This Row],[NetNeed]]/(1-0.04248)</f>
        <v>33514.95530119475</v>
      </c>
      <c r="FM125" s="131">
        <f>Table1[[#This Row],[NetCost]]-Table1[[#This Row],[CashTot]]-(Table1[[#This Row],[SubTot]]-Table1[[#This Row],[SubFee]])-(Table1[[#This Row],[UnsubTot]]-Table1[[#This Row],[UnsubFee]])-(Table1[[#This Row],[PLUSTot]]-Table1[[#This Row],[PLUSFee]])-Table1[[#This Row],[PrivTot]]-Table1[[#This Row],[TOTot]]-Table1[[#This Row],[OFundTot]]</f>
        <v>32091.24</v>
      </c>
      <c r="FN125" s="156"/>
      <c r="FO125" s="113"/>
      <c r="FP125" s="113"/>
    </row>
    <row r="126" spans="1:172" ht="15" x14ac:dyDescent="0.25">
      <c r="A126" s="296">
        <v>198874</v>
      </c>
      <c r="B126" s="113" t="str">
        <f>VLOOKUP(Table1[[#This Row],[SyStudentId]],SSR!$A$2:$CC$4982,4,FALSE)</f>
        <v>Schrock</v>
      </c>
      <c r="C126" s="113" t="str">
        <f>VLOOKUP(Table1[[#This Row],[SyStudentId]],SSR!$A$2:$CC$4982,5,FALSE)</f>
        <v>Brandon</v>
      </c>
      <c r="D126" s="113" t="str">
        <f>VLOOKUP(Table1[[#This Row],[SyStudentId]],SSR!$A$2:$CC$4982,6,FALSE)</f>
        <v>Schrock, Brandon</v>
      </c>
      <c r="E126" s="113" t="str">
        <f>CONCATENATE(Table1[[#This Row],[FirstName]]," ",Table1[[#This Row],[LastName]])</f>
        <v>Brandon Schrock</v>
      </c>
      <c r="F126" s="112"/>
      <c r="G126" s="114"/>
      <c r="H126" s="114"/>
      <c r="I126" s="114"/>
      <c r="J126" s="115" t="s">
        <v>5311</v>
      </c>
      <c r="K126" s="116"/>
      <c r="L126" s="112" t="str">
        <f>IFERROR(VLOOKUP(Table1[[#This Row],[SyStudentId]],ISIR!$A$2:$X$999,11,FALSE),"")</f>
        <v/>
      </c>
      <c r="M126" s="113" t="str">
        <f>VLOOKUP(Table1[[#This Row],[SyStudentId]],SSR!$A$2:$CC$4982,7,FALSE)</f>
        <v>brandonschrock319@gmail.com</v>
      </c>
      <c r="N126" s="113" t="str">
        <f>VLOOKUP(Table1[[#This Row],[SyStudentId]],SSR!$A$2:$CC$4982,8,FALSE)</f>
        <v>2006 ONTARIO RD. LOT #43</v>
      </c>
      <c r="O126" s="113" t="str">
        <f>VLOOKUP(Table1[[#This Row],[SyStudentId]],SSR!$A$2:$CC$4982,9,FALSE)</f>
        <v>NILES</v>
      </c>
      <c r="P126" s="303" t="str">
        <f>VLOOKUP(Table1[[#This Row],[SyStudentId]],SSR!$A$2:$CC$4982,10,FALSE)</f>
        <v>MI</v>
      </c>
      <c r="Q126" s="117" t="str">
        <f>VLOOKUP(Table1[[#This Row],[SyStudentId]],SSR!$A$2:$CC$4982,11,FALSE)</f>
        <v xml:space="preserve">49120     </v>
      </c>
      <c r="R126" s="118">
        <f>VLOOKUP(Table1[[#This Row],[SyStudentId]],SSR!$A$2:$CC$4982,15,FALSE)</f>
        <v>3.2921999999999998</v>
      </c>
      <c r="S126" s="119">
        <f>VLOOKUP(Table1[[#This Row],[SyStudentId]],SSR!$A$2:$CC$4982,22,FALSE)</f>
        <v>44109</v>
      </c>
      <c r="T126" s="113" t="str">
        <f>VLOOKUP(Table1[[#This Row],[SyStudentId]],SSR!$A$2:$CC$4982,24,FALSE)</f>
        <v>JT</v>
      </c>
      <c r="U126" s="113" t="str">
        <f>IF(VLOOKUP(Table1[[#This Row],[SyStudentId]],SSR!$A$2:$CC$4982,26,FALSE)=0,"Not Selected",VLOOKUP(Table1[[#This Row],[SyStudentId]],SSR!$A$2:$CC$4982,26,FALSE))</f>
        <v>Male</v>
      </c>
      <c r="V126" s="113" t="str">
        <f>VLOOKUP(Table1[[#This Row],[SyStudentId]],SSR!$A$2:$CC$4982,27,FALSE)</f>
        <v xml:space="preserve">HS2020  </v>
      </c>
      <c r="W126" s="113" t="str">
        <f>VLOOKUP(LEFT(Table1[[#This Row],[LastName]],1),Alpha!$A$1:$B$26,2,FALSE)</f>
        <v>Maureen Ranks</v>
      </c>
      <c r="X126" s="149" t="str">
        <f>VLOOKUP(Table1[[#This Row],[FAA]],Alpha!$B$1:$D$26,2,FALSE)</f>
        <v>mranks@neumont.edu</v>
      </c>
      <c r="Y126" s="113">
        <f>VLOOKUP(Table1[[#This Row],[FAA]],Alpha!$B$1:$D$26,3,FALSE)</f>
        <v>8883022894</v>
      </c>
      <c r="Z126" s="113" t="str">
        <f>VLOOKUP(Table1[[#This Row],[SyStudentId]],SSR!$A$2:$CC$4982,30,FALSE)</f>
        <v>16-Accepted</v>
      </c>
      <c r="AA126" s="113" t="str">
        <f>IF(VLOOKUP(Table1[[#This Row],[SyStudentId]],SSR!$A$2:$CC$4982,36,FALSE)="Bachelor of Science","BS Computer Science","Check Program")</f>
        <v>BS Computer Science</v>
      </c>
      <c r="AB126" s="113">
        <f>VLOOKUP(Table1[[#This Row],[SyStudentId]],SSR!$A$2:$CC$4982,37,FALSE)</f>
        <v>0</v>
      </c>
      <c r="AC126" s="113" t="str">
        <f>VLOOKUP(Table1[[#This Row],[SyStudentId]],SSR!$A$2:$CC$4982,42,FALSE)</f>
        <v xml:space="preserve">1140    </v>
      </c>
      <c r="AD126" s="113" t="str">
        <f>VLOOKUP(Table1[[#This Row],[SyStudentId]],SSR!$A$2:$CC$4982,46,FALSE)</f>
        <v>110</v>
      </c>
      <c r="AE126" s="113" t="str">
        <f>VLOOKUP(Table1[[#This Row],[SyStudentId]],SSR!$A$2:$CC$4982,65,FALSE)</f>
        <v>III</v>
      </c>
      <c r="AF126"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126" s="113" t="str">
        <f>VLOOKUP(Table1[[#This Row],[SyStudentId]],SSR!$A$2:$CC$4982,66,FALSE)</f>
        <v>November</v>
      </c>
      <c r="AH126" s="113" t="str">
        <f>IFERROR(VLOOKUP(Table1[[#This Row],[SyStudentId]],ISIR!$A$2:$X$999,7,FALSE),"")</f>
        <v/>
      </c>
      <c r="AI126" s="121" t="str">
        <f>IF(Table1[[#This Row],[EFCRaw]]="","",IF(Table1[[#This Row],[EFCRaw]]="No EFC","No EFC",_xlfn.NUMBERVALUE(Table1[[#This Row],[EFCRaw]])))</f>
        <v/>
      </c>
      <c r="AJ126" s="119" t="str">
        <f>IFERROR(VLOOKUP(Table1[[#This Row],[SyStudentId]],ISIR!$A$2:$X$4999,19,FALSE),"")</f>
        <v/>
      </c>
      <c r="AK126" s="113" t="str">
        <f>IFERROR(VLOOKUP(Table1[[#This Row],[SyStudentId]],ISIR!$A$2:$X$4999,8,FALSE),"")</f>
        <v/>
      </c>
      <c r="AL126" s="132" t="str">
        <f>IF(Table1[[#This Row],[VerReq]]="N","n/a","")</f>
        <v/>
      </c>
      <c r="AM126" s="122"/>
      <c r="AN126" s="122"/>
      <c r="AO126" s="122"/>
      <c r="AP126" s="122"/>
      <c r="AQ126" s="122"/>
      <c r="AR126" s="122"/>
      <c r="AS126" s="122"/>
      <c r="AT126" s="122"/>
      <c r="AU126" s="122"/>
      <c r="AV126" s="122"/>
      <c r="AW126" s="122"/>
      <c r="AX126" s="122"/>
      <c r="AY126" s="122"/>
      <c r="AZ126" s="122"/>
      <c r="BA126" s="122"/>
      <c r="BB126" s="122"/>
      <c r="BC126" s="148"/>
      <c r="BD126" s="140" t="str">
        <f>IF(Table1[[#This Row],[VerReq]]="N","x","")</f>
        <v/>
      </c>
      <c r="BE126" s="140" t="str">
        <f>IF(Table1[[#This Row],[VerReq]]="N","x","")</f>
        <v/>
      </c>
      <c r="BF126" s="140" t="str">
        <f>IF(Table1[[#This Row],[VerReq]]="N","x","")</f>
        <v/>
      </c>
      <c r="BG126" s="140" t="str">
        <f>IF(Table1[[#This Row],[VerReq]]="N","x","")</f>
        <v/>
      </c>
      <c r="BH126" s="140" t="str">
        <f>IF(Table1[[#This Row],[VerReq]]="N","x","")</f>
        <v/>
      </c>
      <c r="BI126" s="140" t="str">
        <f>IF(Table1[[#This Row],[VerReq]]="N","x","")</f>
        <v/>
      </c>
      <c r="BJ126" s="123">
        <f>1-((COUNTBLANK(Table1[[#This Row],[ALESent]:[TaxTran]]))/(COUNT(Table1[[#This Row],[ALESent]:[TaxTran]])+COUNTBLANK(Table1[[#This Row],[ALESent]:[TaxTran]])))</f>
        <v>0</v>
      </c>
      <c r="BK126" s="150">
        <f>IF(VLOOKUP(Table1[[#This Row],[SyStudentId]],SSR!$A$2:$CC$4982,22,FALSE)=44109,44109,"Check Program")</f>
        <v>44109</v>
      </c>
      <c r="BL126" s="124">
        <f>IF(Table1[[#This Row],[AYStart]]=44109,44356,"Check Program")</f>
        <v>44356</v>
      </c>
      <c r="BM126" s="219">
        <v>8505</v>
      </c>
      <c r="BN126" s="219">
        <v>8505</v>
      </c>
      <c r="BO126" s="219">
        <v>8505</v>
      </c>
      <c r="BP126" s="220">
        <f t="shared" si="3"/>
        <v>25515</v>
      </c>
      <c r="BQ126" s="221">
        <v>3300</v>
      </c>
      <c r="BR126" s="219">
        <v>400</v>
      </c>
      <c r="BS126" s="219">
        <v>400</v>
      </c>
      <c r="BT126" s="220">
        <f t="shared" si="4"/>
        <v>4100</v>
      </c>
      <c r="BU126" s="219">
        <v>2100</v>
      </c>
      <c r="BV126" s="219">
        <v>2100</v>
      </c>
      <c r="BW126" s="219">
        <v>2100</v>
      </c>
      <c r="BX126" s="220">
        <f t="shared" si="5"/>
        <v>6300</v>
      </c>
      <c r="BY126" s="275">
        <v>1200</v>
      </c>
      <c r="BZ126" s="275">
        <v>1200</v>
      </c>
      <c r="CA126" s="275">
        <v>1200</v>
      </c>
      <c r="CB126" s="220">
        <f>SUM(Table1[[#This Row],[LEQ1]:[LEQ3]])</f>
        <v>3600</v>
      </c>
      <c r="CC126" s="269"/>
      <c r="CD126" s="269"/>
      <c r="CE126" s="269"/>
      <c r="CF126" s="220">
        <f>SUM(Table1[[#This Row],[OthCostQ1]:[OthCostQ3]])</f>
        <v>0</v>
      </c>
      <c r="CG126" s="220">
        <f>(Table1[[#This Row],[T&amp;FTot]]+Table1[[#This Row],[B&amp;STot]]+Table1[[#This Row],[HousTot]]+Table1[[#This Row],[LETot]]+Table1[[#This Row],[OthCostTot]])</f>
        <v>39515</v>
      </c>
      <c r="CH126" s="250"/>
      <c r="CI126" s="250"/>
      <c r="CJ126" s="250"/>
      <c r="CK126" s="251">
        <f>SUM(Table1[[#This Row],[SEOGQ1]:[SEOGQ3]])</f>
        <v>0</v>
      </c>
      <c r="CL126" s="250">
        <f>IFERROR(ROUNDUP(Table1[[#This Row],[PellTot]]/3,0),0)</f>
        <v>0</v>
      </c>
      <c r="CM126" s="250">
        <f>IFERROR(ROUND(Table1[[#This Row],[PellTot]]/3,0),0)</f>
        <v>0</v>
      </c>
      <c r="CN126" s="250">
        <f>IFERROR(ROUNDDOWN(Table1[[#This Row],[PellTot]]/3,0),0)</f>
        <v>0</v>
      </c>
      <c r="CO126" s="251">
        <f>IFERROR(LOOKUP(Table1[EFC],Pell_Table[#Data],Pell_Table[Pell Amt]),0)</f>
        <v>0</v>
      </c>
      <c r="CP126" s="250">
        <f>Table1[[#This Row],[AccessTot]]/3</f>
        <v>0</v>
      </c>
      <c r="CQ126" s="250">
        <f>Table1[[#This Row],[AccessTot]]/3</f>
        <v>0</v>
      </c>
      <c r="CR126" s="250">
        <f>Table1[[#This Row],[AccessTot]]/3</f>
        <v>0</v>
      </c>
      <c r="CS126" s="251">
        <f>IF(Table1[[#This Row],[PellTot]]&gt;0,1500,0)</f>
        <v>0</v>
      </c>
      <c r="CT126" s="250">
        <f>Table1[[#This Row],[AchiTot]]/3</f>
        <v>1300</v>
      </c>
      <c r="CU126" s="250">
        <f>Table1[[#This Row],[AchiTot]]/3</f>
        <v>1300</v>
      </c>
      <c r="CV126" s="250">
        <f>Table1[[#This Row],[AchiTot]]/3</f>
        <v>1300</v>
      </c>
      <c r="CW126" s="252">
        <f>IF(Table1[[#This Row],[Rank]]="","",IF(Table1[[#This Row],[Rank]]=1,5100,IF(Table1[[#This Row],[Rank]]=2,4500,IF(Table1[[#This Row],[Rank]]=3,3900,IF(Table1[[#This Row],[Rank]]=4,3750,IF(Table1[[#This Row],[Rank]]=5,3000,IF(Table1[[#This Row],[Rank]]=6,2250,0)))))))</f>
        <v>3900</v>
      </c>
      <c r="CX126" s="250">
        <f>Table1[[#This Row],[UTTot]]/3</f>
        <v>0</v>
      </c>
      <c r="CY126" s="250">
        <f>Table1[[#This Row],[UTTot]]/3</f>
        <v>0</v>
      </c>
      <c r="CZ126" s="250">
        <f>Table1[[#This Row],[UTTot]]/3</f>
        <v>0</v>
      </c>
      <c r="DA126" s="251">
        <f>IF(Table1[[#This Row],[State]]="UT",9000,0)</f>
        <v>0</v>
      </c>
      <c r="DB126" s="250">
        <f>Table1[[#This Row],[WITTot]]/3</f>
        <v>0</v>
      </c>
      <c r="DC126" s="250">
        <f>Table1[[#This Row],[WITTot]]/3</f>
        <v>0</v>
      </c>
      <c r="DD126" s="250">
        <f>Table1[[#This Row],[WITTot]]/3</f>
        <v>0</v>
      </c>
      <c r="DE126" s="251">
        <f>IF(Table1[[#This Row],[Gender]]="Female",3000,0)</f>
        <v>0</v>
      </c>
      <c r="DF126" s="250">
        <f>Table1[[#This Row],[SerTot]]/3</f>
        <v>0</v>
      </c>
      <c r="DG126" s="250">
        <f>Table1[[#This Row],[SerTot]]/3</f>
        <v>0</v>
      </c>
      <c r="DH126" s="250">
        <f>Table1[[#This Row],[SerTot]]/3</f>
        <v>0</v>
      </c>
      <c r="DI126" s="252"/>
      <c r="DJ126" s="250"/>
      <c r="DK126" s="250"/>
      <c r="DL126" s="250"/>
      <c r="DM126" s="252"/>
      <c r="DN126" s="250">
        <f>Table1[[#This Row],[MatTot]]/3</f>
        <v>0</v>
      </c>
      <c r="DO126" s="250">
        <f>Table1[[#This Row],[MatTot]]/3</f>
        <v>0</v>
      </c>
      <c r="DP126" s="250">
        <f>Table1[[#This Row],[MatTot]]/3</f>
        <v>0</v>
      </c>
      <c r="DQ126" s="252"/>
      <c r="DR126" s="250">
        <f>Table1[[#This Row],[OutTot]]/3</f>
        <v>0</v>
      </c>
      <c r="DS126" s="250">
        <f>Table1[[#This Row],[OutTot]]/3</f>
        <v>0</v>
      </c>
      <c r="DT126" s="250">
        <f>Table1[[#This Row],[OutTot]]/3</f>
        <v>0</v>
      </c>
      <c r="DU126" s="252"/>
      <c r="DV126" s="250"/>
      <c r="DW126" s="250"/>
      <c r="DX126" s="250"/>
      <c r="DY126" s="252">
        <f>SUM(Table1[[#This Row],[VAQ1]:[VAQ3]])</f>
        <v>0</v>
      </c>
      <c r="DZ126" s="250"/>
      <c r="EA126" s="250"/>
      <c r="EB126" s="250"/>
      <c r="EC126" s="270">
        <f>SUM(Table1[[#This Row],[OthGrantQ1]:[OthGrantQ3]])</f>
        <v>0</v>
      </c>
      <c r="ED126" s="263">
        <f>Table1[[#This Row],[SEOGTot]]+Table1[[#This Row],[PellTot]]+Table1[[#This Row],[AccessTot]]+Table1[[#This Row],[AchiTot]]+Table1[[#This Row],[UTTot]]+Table1[[#This Row],[WITTot]]+Table1[[#This Row],[SerTot]]+Table1[[#This Row],[TranTot]]+Table1[[#This Row],[MatTot]]+Table1[[#This Row],[OutTot]]+Table1[[#This Row],[VATot]]+Table1[[#This Row],[OthGrantTot]]</f>
        <v>3900</v>
      </c>
      <c r="EE126" s="249"/>
      <c r="EF126" s="237"/>
      <c r="EG126" s="237"/>
      <c r="EH126" s="232">
        <f>SUM(Table1[[#This Row],[CashQ1]]:Table1[[#This Row],[CashQ3]])</f>
        <v>0</v>
      </c>
      <c r="EI126" s="271">
        <f>ROUND((Table1[[#This Row],[SubTot]]/3)/1.01059,0)</f>
        <v>0</v>
      </c>
      <c r="EJ126" s="234">
        <f>ROUND((Table1[[#This Row],[SubTot]]/3)/1.01059,0)</f>
        <v>0</v>
      </c>
      <c r="EK126" s="234">
        <f>ROUNDUP((Table1[[#This Row],[SubTot]]/3)/1.01059,0)</f>
        <v>0</v>
      </c>
      <c r="EL126" s="235"/>
      <c r="EM126" s="240">
        <f>Table1[[#This Row],[SubTot]]*0.01059</f>
        <v>0</v>
      </c>
      <c r="EN126" s="234">
        <f>ROUND((Table1[[#This Row],[UnsubTot]]/3)/1.01062,0)</f>
        <v>660</v>
      </c>
      <c r="EO126" s="234">
        <f>ROUND((Table1[[#This Row],[UnsubTot]]/3)/1.01062,0)</f>
        <v>660</v>
      </c>
      <c r="EP126" s="234">
        <f>ROUNDDOWN((Table1[[#This Row],[UnsubTot]]/3)/1.01062,0)</f>
        <v>659</v>
      </c>
      <c r="EQ126" s="235">
        <f>IF(Table1[D/I]="I",6000,2000)</f>
        <v>2000</v>
      </c>
      <c r="ER126" s="240">
        <f>Table1[[#This Row],[UnsubTot]]*0.01062</f>
        <v>21.24</v>
      </c>
      <c r="ES126" s="234">
        <f>ROUND((Table1[[#This Row],[PLUSTot]]/3)/1.04248,0)</f>
        <v>0</v>
      </c>
      <c r="ET126" s="234">
        <f>ROUND((Table1[[#This Row],[PLUSTot]]/3)/1.04248,0)</f>
        <v>0</v>
      </c>
      <c r="EU126" s="234">
        <f>ROUND((Table1[[#This Row],[PLUSTot]]/3)/1.04248,0)</f>
        <v>0</v>
      </c>
      <c r="EV126" s="235"/>
      <c r="EW126" s="239">
        <f>Table1[[#This Row],[PLUSTot]]*0.04248</f>
        <v>0</v>
      </c>
      <c r="EX126" s="237"/>
      <c r="EY126" s="237"/>
      <c r="EZ126" s="237"/>
      <c r="FA126" s="232">
        <f>SUM(Table1[[#This Row],[PrivQ1]:[PrivQ3]])</f>
        <v>0</v>
      </c>
      <c r="FB126" s="237"/>
      <c r="FC126" s="237"/>
      <c r="FD126" s="237"/>
      <c r="FE126" s="232">
        <f>SUM(Table1[[#This Row],[TOQ1]:[TOQ3]])</f>
        <v>0</v>
      </c>
      <c r="FF126" s="237"/>
      <c r="FG126" s="237"/>
      <c r="FH126" s="237"/>
      <c r="FI126" s="232">
        <f>SUM(Table1[[#This Row],[OFundQ1]:[OFundQ3]])</f>
        <v>0</v>
      </c>
      <c r="FJ126" s="239">
        <f>(Table1[[#This Row],[SubTot]]-Table1[[#This Row],[SubFee]])+(Table1[[#This Row],[UnsubTot]]-Table1[[#This Row],[UnsubFee]])+(Table1[[#This Row],[PLUSTot]]-Table1[[#This Row],[PLUSFee]])+Table1[[#This Row],[PrivTot]]+Table1[[#This Row],[TOTot]]+Table1[[#This Row],[OFundTot]]</f>
        <v>1978.76</v>
      </c>
      <c r="FK126" s="125">
        <f>Table1[[#This Row],[CostTot]]-Table1[[#This Row],[GiftTot]]</f>
        <v>35615</v>
      </c>
      <c r="FL126" s="130">
        <f>Table1[[#This Row],[NetNeed]]/(1-0.04248)</f>
        <v>35128.49862143871</v>
      </c>
      <c r="FM126" s="131">
        <f>Table1[[#This Row],[NetCost]]-Table1[[#This Row],[CashTot]]-(Table1[[#This Row],[SubTot]]-Table1[[#This Row],[SubFee]])-(Table1[[#This Row],[UnsubTot]]-Table1[[#This Row],[UnsubFee]])-(Table1[[#This Row],[PLUSTot]]-Table1[[#This Row],[PLUSFee]])-Table1[[#This Row],[PrivTot]]-Table1[[#This Row],[TOTot]]-Table1[[#This Row],[OFundTot]]</f>
        <v>33636.239999999998</v>
      </c>
      <c r="FN126" s="156"/>
      <c r="FO126" s="113"/>
      <c r="FP126" s="113"/>
    </row>
    <row r="127" spans="1:172" ht="15" x14ac:dyDescent="0.25">
      <c r="A127" s="296">
        <v>196939</v>
      </c>
      <c r="B127" s="160" t="str">
        <f>VLOOKUP(Table1[[#This Row],[SyStudentId]],SSR!$A$2:$CC$4982,4,FALSE)</f>
        <v>Schroeder</v>
      </c>
      <c r="C127" s="160" t="str">
        <f>VLOOKUP(Table1[[#This Row],[SyStudentId]],SSR!$A$2:$CC$4982,5,FALSE)</f>
        <v>Craig</v>
      </c>
      <c r="D127" s="160" t="str">
        <f>VLOOKUP(Table1[[#This Row],[SyStudentId]],SSR!$A$2:$CC$4982,6,FALSE)</f>
        <v>Schroeder, Craig</v>
      </c>
      <c r="E127" s="113" t="str">
        <f>CONCATENATE(Table1[[#This Row],[FirstName]]," ",Table1[[#This Row],[LastName]])</f>
        <v>Craig Schroeder</v>
      </c>
      <c r="F127" s="158">
        <v>1</v>
      </c>
      <c r="G127" s="114"/>
      <c r="H127" s="114"/>
      <c r="I127" s="114">
        <v>43782</v>
      </c>
      <c r="J127" s="163"/>
      <c r="K127" s="164"/>
      <c r="L127" s="158" t="str">
        <f>IFERROR(VLOOKUP(Table1[[#This Row],[SyStudentId]],ISIR!$A$2:$X$4999,11,FALSE),"")</f>
        <v>I</v>
      </c>
      <c r="M127" s="160" t="str">
        <f>VLOOKUP(Table1[[#This Row],[SyStudentId]],SSR!$A$2:$CC$4982,7,FALSE)</f>
        <v>schroedercraig149@gmail.com</v>
      </c>
      <c r="N127" s="160" t="str">
        <f>VLOOKUP(Table1[[#This Row],[SyStudentId]],SSR!$A$2:$CC$4982,8,FALSE)</f>
        <v>311 Hammond Drive</v>
      </c>
      <c r="O127" s="160" t="str">
        <f>VLOOKUP(Table1[[#This Row],[SyStudentId]],SSR!$A$2:$CC$4982,9,FALSE)</f>
        <v>Auburn</v>
      </c>
      <c r="P127" s="300" t="str">
        <f>VLOOKUP(Table1[[#This Row],[SyStudentId]],SSR!$A$2:$CC$4982,10,FALSE)</f>
        <v>CA</v>
      </c>
      <c r="Q127" s="165" t="str">
        <f>VLOOKUP(Table1[[#This Row],[SyStudentId]],SSR!$A$2:$CC$4982,11,FALSE)</f>
        <v xml:space="preserve">95603     </v>
      </c>
      <c r="R127" s="166">
        <f>VLOOKUP(Table1[[#This Row],[SyStudentId]],SSR!$A$2:$CC$4982,15,FALSE)</f>
        <v>3.8</v>
      </c>
      <c r="S127" s="167">
        <f>VLOOKUP(Table1[[#This Row],[SyStudentId]],SSR!$A$2:$CC$4982,22,FALSE)</f>
        <v>44109</v>
      </c>
      <c r="T127" s="160" t="str">
        <f>VLOOKUP(Table1[[#This Row],[SyStudentId]],SSR!$A$2:$CC$4982,24,FALSE)</f>
        <v>GM</v>
      </c>
      <c r="U127" s="160" t="str">
        <f>IF(VLOOKUP(Table1[[#This Row],[SyStudentId]],SSR!$A$2:$CC$4982,26,FALSE)=0,"Not Selected",VLOOKUP(Table1[[#This Row],[SyStudentId]],SSR!$A$2:$CC$4982,26,FALSE))</f>
        <v>Male</v>
      </c>
      <c r="V127" s="160" t="str">
        <f>VLOOKUP(Table1[[#This Row],[SyStudentId]],SSR!$A$2:$CC$4982,27,FALSE)</f>
        <v xml:space="preserve">HS2020  </v>
      </c>
      <c r="W127" s="160" t="str">
        <f>VLOOKUP(LEFT(Table1[[#This Row],[LastName]],1),Alpha!$A$1:$B$26,2,FALSE)</f>
        <v>Maureen Ranks</v>
      </c>
      <c r="X127" s="179" t="str">
        <f>VLOOKUP(Table1[[#This Row],[FAA]],Alpha!$B$1:$D$26,2,FALSE)</f>
        <v>mranks@neumont.edu</v>
      </c>
      <c r="Y127" s="160">
        <f>VLOOKUP(Table1[[#This Row],[FAA]],Alpha!$B$1:$D$26,3,FALSE)</f>
        <v>8883022894</v>
      </c>
      <c r="Z127" s="160" t="str">
        <f>VLOOKUP(Table1[[#This Row],[SyStudentId]],SSR!$A$2:$CC$4982,30,FALSE)</f>
        <v>16-Accepted</v>
      </c>
      <c r="AA127" s="160" t="str">
        <f>IF(VLOOKUP(Table1[[#This Row],[SyStudentId]],SSR!$A$2:$CC$4982,36,FALSE)="Bachelor of Science","BS Computer Science","Check Program")</f>
        <v>BS Computer Science</v>
      </c>
      <c r="AB127" s="160" t="str">
        <f>VLOOKUP(Table1[[#This Row],[SyStudentId]],SSR!$A$2:$CC$4982,37,FALSE)</f>
        <v xml:space="preserve">23      </v>
      </c>
      <c r="AC127" s="160">
        <f>VLOOKUP(Table1[[#This Row],[SyStudentId]],SSR!$A$2:$CC$4982,42,FALSE)</f>
        <v>0</v>
      </c>
      <c r="AD127" s="160" t="str">
        <f>VLOOKUP(Table1[[#This Row],[SyStudentId]],SSR!$A$2:$CC$4982,46,FALSE)</f>
        <v>115</v>
      </c>
      <c r="AE127" s="160" t="str">
        <f>VLOOKUP(Table1[[#This Row],[SyStudentId]],SSR!$A$2:$CC$4982,65,FALSE)</f>
        <v>III</v>
      </c>
      <c r="AF127"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127" s="160" t="str">
        <f>VLOOKUP(Table1[[#This Row],[SyStudentId]],SSR!$A$2:$CC$4982,66,FALSE)</f>
        <v>July-October</v>
      </c>
      <c r="AH127" s="160" t="str">
        <f>IFERROR(VLOOKUP(Table1[[#This Row],[SyStudentId]],ISIR!$A$2:$X$1999,7,FALSE),"")</f>
        <v>000000</v>
      </c>
      <c r="AI127" s="170">
        <f>IF(Table1[[#This Row],[EFCRaw]]="","",IF(Table1[[#This Row],[EFCRaw]]="No EFC","No EFC",_xlfn.NUMBERVALUE(Table1[[#This Row],[EFCRaw]])))</f>
        <v>0</v>
      </c>
      <c r="AJ127" s="167">
        <f>IFERROR(VLOOKUP(Table1[[#This Row],[SyStudentId]],ISIR!$A$2:$X$4999,19,FALSE),"")</f>
        <v>43804</v>
      </c>
      <c r="AK127" s="160" t="str">
        <f>IFERROR(VLOOKUP(Table1[[#This Row],[SyStudentId]],ISIR!$A$2:$X$4999,8,FALSE),"")</f>
        <v>Y</v>
      </c>
      <c r="AL127" s="171" t="str">
        <f>IF(Table1[[#This Row],[VerReq]]="N","n/a","")</f>
        <v/>
      </c>
      <c r="AM127" s="122"/>
      <c r="AN127" s="122"/>
      <c r="AO127" s="122"/>
      <c r="AP127" s="122"/>
      <c r="AQ127" s="122"/>
      <c r="AR127" s="122"/>
      <c r="AS127" s="122"/>
      <c r="AT127" s="122"/>
      <c r="AU127" s="122"/>
      <c r="AV127" s="122"/>
      <c r="AW127" s="122"/>
      <c r="AX127" s="122"/>
      <c r="AY127" s="122"/>
      <c r="AZ127" s="122"/>
      <c r="BA127" s="122"/>
      <c r="BB127" s="122"/>
      <c r="BC127" s="148"/>
      <c r="BD127" s="140" t="str">
        <f>IF(Table1[[#This Row],[VerReq]]="N","x","")</f>
        <v/>
      </c>
      <c r="BE127" s="140" t="str">
        <f>IF(Table1[[#This Row],[VerReq]]="N","x","")</f>
        <v/>
      </c>
      <c r="BF127" s="140" t="str">
        <f>IF(Table1[[#This Row],[VerReq]]="N","x","")</f>
        <v/>
      </c>
      <c r="BG127" s="140" t="str">
        <f>IF(Table1[[#This Row],[VerReq]]="N","x","")</f>
        <v/>
      </c>
      <c r="BH127" s="140" t="str">
        <f>IF(Table1[[#This Row],[VerReq]]="N","x","")</f>
        <v/>
      </c>
      <c r="BI127" s="140" t="str">
        <f>IF(Table1[[#This Row],[VerReq]]="N","x","")</f>
        <v/>
      </c>
      <c r="BJ127" s="181">
        <f>1-((COUNTBLANK(Table1[[#This Row],[ALESent]:[TaxTran]]))/(COUNT(Table1[[#This Row],[ALESent]:[TaxTran]])+COUNTBLANK(Table1[[#This Row],[ALESent]:[TaxTran]])))</f>
        <v>0</v>
      </c>
      <c r="BK127" s="216">
        <f>IF(VLOOKUP(Table1[[#This Row],[SyStudentId]],SSR!$A$2:$CC$4982,22,FALSE)=44109,44109,"Check Program")</f>
        <v>44109</v>
      </c>
      <c r="BL127" s="173">
        <f>IF(Table1[[#This Row],[AYStart]]=44109,44356,"Check Program")</f>
        <v>44356</v>
      </c>
      <c r="BM127" s="219">
        <v>8505</v>
      </c>
      <c r="BN127" s="219">
        <v>8505</v>
      </c>
      <c r="BO127" s="219">
        <v>8505</v>
      </c>
      <c r="BP127" s="220">
        <f t="shared" si="3"/>
        <v>25515</v>
      </c>
      <c r="BQ127" s="221">
        <v>3300</v>
      </c>
      <c r="BR127" s="219">
        <v>400</v>
      </c>
      <c r="BS127" s="219">
        <v>400</v>
      </c>
      <c r="BT127" s="222">
        <f t="shared" si="4"/>
        <v>4100</v>
      </c>
      <c r="BU127" s="219">
        <v>2100</v>
      </c>
      <c r="BV127" s="219">
        <v>2100</v>
      </c>
      <c r="BW127" s="219">
        <v>2100</v>
      </c>
      <c r="BX127" s="222">
        <f t="shared" si="5"/>
        <v>6300</v>
      </c>
      <c r="BY127" s="275">
        <v>1200</v>
      </c>
      <c r="BZ127" s="275">
        <v>1200</v>
      </c>
      <c r="CA127" s="275">
        <v>1200</v>
      </c>
      <c r="CB127" s="222">
        <f>SUM(Table1[[#This Row],[LEQ1]:[LEQ3]])</f>
        <v>3600</v>
      </c>
      <c r="CC127" s="276">
        <v>0</v>
      </c>
      <c r="CD127" s="276">
        <v>0</v>
      </c>
      <c r="CE127" s="276">
        <v>0</v>
      </c>
      <c r="CF127" s="222">
        <f>SUM(Table1[[#This Row],[OthCostQ1]:[OthCostQ3]])</f>
        <v>0</v>
      </c>
      <c r="CG127" s="222">
        <f>(Table1[[#This Row],[T&amp;FTot]]+Table1[[#This Row],[B&amp;STot]]+Table1[[#This Row],[HousTot]]+Table1[[#This Row],[LETot]]+Table1[[#This Row],[OthCostTot]])</f>
        <v>39515</v>
      </c>
      <c r="CH127" s="253">
        <v>0</v>
      </c>
      <c r="CI127" s="253">
        <v>0</v>
      </c>
      <c r="CJ127" s="253">
        <v>0</v>
      </c>
      <c r="CK127" s="254">
        <f>SUM(Table1[[#This Row],[SEOGQ1]:[SEOGQ3]])</f>
        <v>0</v>
      </c>
      <c r="CL127" s="253">
        <f>IFERROR(ROUNDUP(Table1[[#This Row],[PellTot]]/3,0),0)</f>
        <v>2065</v>
      </c>
      <c r="CM127" s="253">
        <f>IFERROR(ROUND(Table1[[#This Row],[PellTot]]/3,0),0)</f>
        <v>2065</v>
      </c>
      <c r="CN127" s="253">
        <f>IFERROR(ROUNDDOWN(Table1[[#This Row],[PellTot]]/3,0),0)</f>
        <v>2065</v>
      </c>
      <c r="CO127" s="254">
        <f>IFERROR(LOOKUP(Table1[EFC],Pell_Table[#Data],Pell_Table[Pell Amt]),0)</f>
        <v>6195</v>
      </c>
      <c r="CP127" s="253">
        <f>Table1[[#This Row],[AccessTot]]/3</f>
        <v>500</v>
      </c>
      <c r="CQ127" s="253">
        <f>Table1[[#This Row],[AccessTot]]/3</f>
        <v>500</v>
      </c>
      <c r="CR127" s="253">
        <f>Table1[[#This Row],[AccessTot]]/3</f>
        <v>500</v>
      </c>
      <c r="CS127" s="254">
        <f>IF(Table1[[#This Row],[PellTot]]&gt;0,1500,0)</f>
        <v>1500</v>
      </c>
      <c r="CT127" s="253">
        <f>Table1[[#This Row],[AchiTot]]/3</f>
        <v>1300</v>
      </c>
      <c r="CU127" s="253">
        <f>Table1[[#This Row],[AchiTot]]/3</f>
        <v>1300</v>
      </c>
      <c r="CV127" s="253">
        <f>Table1[[#This Row],[AchiTot]]/3</f>
        <v>1300</v>
      </c>
      <c r="CW127" s="255">
        <f>IF(Table1[[#This Row],[Rank]]="","",IF(Table1[[#This Row],[Rank]]=1,5100,IF(Table1[[#This Row],[Rank]]=2,4500,IF(Table1[[#This Row],[Rank]]=3,3900,IF(Table1[[#This Row],[Rank]]=4,3750,IF(Table1[[#This Row],[Rank]]=5,3000,IF(Table1[[#This Row],[Rank]]=6,2250,0)))))))</f>
        <v>3900</v>
      </c>
      <c r="CX127" s="253">
        <f>Table1[[#This Row],[UTTot]]/3</f>
        <v>0</v>
      </c>
      <c r="CY127" s="253">
        <f>Table1[[#This Row],[UTTot]]/3</f>
        <v>0</v>
      </c>
      <c r="CZ127" s="253">
        <f>Table1[[#This Row],[UTTot]]/3</f>
        <v>0</v>
      </c>
      <c r="DA127" s="254">
        <f>IF(Table1[[#This Row],[State]]="UT",9000,0)</f>
        <v>0</v>
      </c>
      <c r="DB127" s="253">
        <f>Table1[[#This Row],[WITTot]]/3</f>
        <v>0</v>
      </c>
      <c r="DC127" s="253">
        <f>Table1[[#This Row],[WITTot]]/3</f>
        <v>0</v>
      </c>
      <c r="DD127" s="253">
        <f>Table1[[#This Row],[WITTot]]/3</f>
        <v>0</v>
      </c>
      <c r="DE127" s="254">
        <f>IF(Table1[[#This Row],[Gender]]="Female",3000,0)</f>
        <v>0</v>
      </c>
      <c r="DF127" s="253">
        <f>Table1[[#This Row],[SerTot]]/3</f>
        <v>0</v>
      </c>
      <c r="DG127" s="253">
        <f>Table1[[#This Row],[SerTot]]/3</f>
        <v>0</v>
      </c>
      <c r="DH127" s="253">
        <f>Table1[[#This Row],[SerTot]]/3</f>
        <v>0</v>
      </c>
      <c r="DI127" s="255">
        <v>0</v>
      </c>
      <c r="DJ127" s="253">
        <f>IFERROR(ROUNDUP(Table1[[#This Row],[TranTot]]/3,0),0)</f>
        <v>0</v>
      </c>
      <c r="DK127" s="253">
        <f>IFERROR(ROUND(Table1[[#This Row],[TranTot]]/3,0),0)</f>
        <v>0</v>
      </c>
      <c r="DL127" s="253">
        <f>IFERROR(ROUNDDOWN(Table1[[#This Row],[TranTot]]/3,0),0)</f>
        <v>0</v>
      </c>
      <c r="DM127" s="255">
        <v>0</v>
      </c>
      <c r="DN127" s="253">
        <f>Table1[[#This Row],[MatTot]]/3</f>
        <v>0</v>
      </c>
      <c r="DO127" s="253">
        <f>Table1[[#This Row],[MatTot]]/3</f>
        <v>0</v>
      </c>
      <c r="DP127" s="253">
        <f>Table1[[#This Row],[MatTot]]/3</f>
        <v>0</v>
      </c>
      <c r="DQ127" s="255">
        <v>0</v>
      </c>
      <c r="DR127" s="253">
        <f>Table1[[#This Row],[OutTot]]/3</f>
        <v>0</v>
      </c>
      <c r="DS127" s="253">
        <f>Table1[[#This Row],[OutTot]]/3</f>
        <v>0</v>
      </c>
      <c r="DT127" s="253">
        <f>Table1[[#This Row],[OutTot]]/3</f>
        <v>0</v>
      </c>
      <c r="DU127" s="255">
        <v>0</v>
      </c>
      <c r="DV127" s="259">
        <v>0</v>
      </c>
      <c r="DW127" s="259">
        <v>0</v>
      </c>
      <c r="DX127" s="259">
        <v>0</v>
      </c>
      <c r="DY127" s="261">
        <f>SUM(Table1[[#This Row],[VAQ1]:[VAQ3]])</f>
        <v>0</v>
      </c>
      <c r="DZ127" s="253">
        <v>0</v>
      </c>
      <c r="EA127" s="253">
        <v>0</v>
      </c>
      <c r="EB127" s="253">
        <v>0</v>
      </c>
      <c r="EC127" s="278">
        <f>SUM(Table1[[#This Row],[OthGrantQ1]:[OthGrantQ3]])</f>
        <v>0</v>
      </c>
      <c r="ED127" s="264">
        <f>Table1[[#This Row],[SEOGTot]]+Table1[[#This Row],[PellTot]]+Table1[[#This Row],[AccessTot]]+Table1[[#This Row],[AchiTot]]+Table1[[#This Row],[UTTot]]+Table1[[#This Row],[WITTot]]+Table1[[#This Row],[SerTot]]+Table1[[#This Row],[TranTot]]+Table1[[#This Row],[MatTot]]+Table1[[#This Row],[OutTot]]+Table1[[#This Row],[VATot]]+Table1[[#This Row],[OthGrantTot]]</f>
        <v>11595</v>
      </c>
      <c r="EE127" s="226">
        <v>0</v>
      </c>
      <c r="EF127" s="227">
        <v>0</v>
      </c>
      <c r="EG127" s="227">
        <v>0</v>
      </c>
      <c r="EH127" s="228">
        <f>SUM(Table1[[#This Row],[CashQ1]]:Table1[[#This Row],[CashQ3]])</f>
        <v>0</v>
      </c>
      <c r="EI127" s="229">
        <f>ROUND((Table1[[#This Row],[SubTot]]/3)/1.01059,0)</f>
        <v>1154</v>
      </c>
      <c r="EJ127" s="230">
        <f>ROUND((Table1[[#This Row],[SubTot]]/3)/1.01059,0)</f>
        <v>1154</v>
      </c>
      <c r="EK127" s="230">
        <f>ROUNDUP((Table1[[#This Row],[SubTot]]/3)/1.01059,0)</f>
        <v>1155</v>
      </c>
      <c r="EL127" s="231">
        <v>3500</v>
      </c>
      <c r="EM127" s="233">
        <f>Table1[[#This Row],[SubTot]]*0.01059</f>
        <v>37.065000000000005</v>
      </c>
      <c r="EN127" s="230">
        <f>ROUND((Table1[[#This Row],[UnsubTot]]/3)/1.01062,0)</f>
        <v>1979</v>
      </c>
      <c r="EO127" s="230">
        <f>ROUND((Table1[[#This Row],[UnsubTot]]/3)/1.01062,0)</f>
        <v>1979</v>
      </c>
      <c r="EP127" s="230">
        <f>ROUNDDOWN((Table1[[#This Row],[UnsubTot]]/3)/1.01062,0)</f>
        <v>1978</v>
      </c>
      <c r="EQ127" s="231">
        <f>IF(Table1[D/I]="I",6000,2000)</f>
        <v>6000</v>
      </c>
      <c r="ER127" s="233">
        <f>Table1[[#This Row],[UnsubTot]]*0.01059</f>
        <v>63.540000000000006</v>
      </c>
      <c r="ES127" s="230">
        <f>ROUND((Table1[[#This Row],[PLUSTot]]/3)/1.04236,0)</f>
        <v>0</v>
      </c>
      <c r="ET127" s="230">
        <f>ROUND((Table1[[#This Row],[PLUSTot]]/3)/1.04236,0)</f>
        <v>0</v>
      </c>
      <c r="EU127" s="230">
        <f>ROUND((Table1[[#This Row],[PLUSTot]]/3)/1.04236,0)</f>
        <v>0</v>
      </c>
      <c r="EV127" s="231">
        <v>0</v>
      </c>
      <c r="EW127" s="236">
        <f>Table1[[#This Row],[PLUSTot]]*0.04236</f>
        <v>0</v>
      </c>
      <c r="EX127" s="227"/>
      <c r="EY127" s="227"/>
      <c r="EZ127" s="227"/>
      <c r="FA127" s="228">
        <f>SUM(Table1[[#This Row],[PrivQ1]:[PrivQ3]])</f>
        <v>0</v>
      </c>
      <c r="FB127" s="227"/>
      <c r="FC127" s="227"/>
      <c r="FD127" s="227"/>
      <c r="FE127" s="228">
        <f>SUM(Table1[[#This Row],[TOQ1]:[TOQ3]])</f>
        <v>0</v>
      </c>
      <c r="FF127" s="227"/>
      <c r="FG127" s="227"/>
      <c r="FH127" s="227"/>
      <c r="FI127" s="228">
        <f>SUM(Table1[[#This Row],[OFundQ1]:[OFundQ3]])</f>
        <v>0</v>
      </c>
      <c r="FJ127" s="236">
        <f>(Table1[[#This Row],[SubTot]]-Table1[[#This Row],[SubFee]])+(Table1[[#This Row],[UnsubTot]]-Table1[[#This Row],[UnsubFee]])+(Table1[[#This Row],[PLUSTot]]-Table1[[#This Row],[PLUSFee]])+Table1[[#This Row],[PrivTot]]+Table1[[#This Row],[TOTot]]+Table1[[#This Row],[OFundTot]]</f>
        <v>9399.3950000000004</v>
      </c>
      <c r="FK127" s="159">
        <f>Table1[[#This Row],[CostTot]]-Table1[[#This Row],[GiftTot]]</f>
        <v>27920</v>
      </c>
      <c r="FL127" s="174">
        <f>Table1[[#This Row],[NetNeed]]/(1-0.04236)</f>
        <v>19339.84064993108</v>
      </c>
      <c r="FM127" s="176">
        <f>Table1[[#This Row],[NetCost]]-Table1[[#This Row],[CashTot]]-(Table1[[#This Row],[SubTot]]-Table1[[#This Row],[SubFee]])-(Table1[[#This Row],[UnsubTot]]-Table1[[#This Row],[UnsubFee]])-(Table1[[#This Row],[PLUSTot]]-Table1[[#This Row],[PLUSFee]])-Table1[[#This Row],[PrivTot]]-Table1[[#This Row],[TOTot]]-Table1[[#This Row],[OFundTot]]</f>
        <v>18520.605</v>
      </c>
      <c r="FN127" s="217"/>
      <c r="FO127" s="162"/>
      <c r="FP127" s="162"/>
    </row>
    <row r="128" spans="1:172" ht="15" x14ac:dyDescent="0.25">
      <c r="A128" s="296">
        <v>196500</v>
      </c>
      <c r="B128" s="113" t="str">
        <f>VLOOKUP(Table1[[#This Row],[SyStudentId]],SSR!$A$2:$CC$4982,4,FALSE)</f>
        <v>Schwamberger</v>
      </c>
      <c r="C128" s="113" t="str">
        <f>VLOOKUP(Table1[[#This Row],[SyStudentId]],SSR!$A$2:$CC$4982,5,FALSE)</f>
        <v>William</v>
      </c>
      <c r="D128" s="113" t="str">
        <f>VLOOKUP(Table1[[#This Row],[SyStudentId]],SSR!$A$2:$CC$4982,6,FALSE)</f>
        <v>Schwamberger, William</v>
      </c>
      <c r="E128" s="113" t="str">
        <f>CONCATENATE(Table1[[#This Row],[FirstName]]," ",Table1[[#This Row],[LastName]])</f>
        <v>William Schwamberger</v>
      </c>
      <c r="F128" s="112"/>
      <c r="G128" s="114"/>
      <c r="H128" s="114"/>
      <c r="I128" s="114"/>
      <c r="J128" s="115"/>
      <c r="K128" s="116"/>
      <c r="L128" s="112" t="str">
        <f>IFERROR(VLOOKUP(Table1[[#This Row],[SyStudentId]],ISIR!$A$2:$X$999,11,FALSE),"")</f>
        <v/>
      </c>
      <c r="M128" s="113" t="str">
        <f>VLOOKUP(Table1[[#This Row],[SyStudentId]],SSR!$A$2:$CC$4982,7,FALSE)</f>
        <v>willschwamy@gmail.com</v>
      </c>
      <c r="N128" s="113" t="str">
        <f>VLOOKUP(Table1[[#This Row],[SyStudentId]],SSR!$A$2:$CC$4982,8,FALSE)</f>
        <v>109 Copperfield Dr.</v>
      </c>
      <c r="O128" s="113" t="str">
        <f>VLOOKUP(Table1[[#This Row],[SyStudentId]],SSR!$A$2:$CC$4982,9,FALSE)</f>
        <v>Mankato</v>
      </c>
      <c r="P128" s="292" t="str">
        <f>VLOOKUP(Table1[[#This Row],[SyStudentId]],SSR!$A$2:$CC$4982,10,FALSE)</f>
        <v>MN</v>
      </c>
      <c r="Q128" s="117" t="str">
        <f>VLOOKUP(Table1[[#This Row],[SyStudentId]],SSR!$A$2:$CC$4982,11,FALSE)</f>
        <v xml:space="preserve">56001     </v>
      </c>
      <c r="R128" s="118">
        <f>VLOOKUP(Table1[[#This Row],[SyStudentId]],SSR!$A$2:$CC$4982,15,FALSE)</f>
        <v>3.077</v>
      </c>
      <c r="S128" s="119">
        <f>VLOOKUP(Table1[[#This Row],[SyStudentId]],SSR!$A$2:$CC$4982,22,FALSE)</f>
        <v>44109</v>
      </c>
      <c r="T128" s="113" t="str">
        <f>VLOOKUP(Table1[[#This Row],[SyStudentId]],SSR!$A$2:$CC$4982,24,FALSE)</f>
        <v>JT</v>
      </c>
      <c r="U128" s="113" t="str">
        <f>IF(VLOOKUP(Table1[[#This Row],[SyStudentId]],SSR!$A$2:$CC$4982,26,FALSE)=0,"Not Selected",VLOOKUP(Table1[[#This Row],[SyStudentId]],SSR!$A$2:$CC$4982,26,FALSE))</f>
        <v>Male</v>
      </c>
      <c r="V128" s="113" t="str">
        <f>VLOOKUP(Table1[[#This Row],[SyStudentId]],SSR!$A$2:$CC$4982,27,FALSE)</f>
        <v xml:space="preserve">HS2020  </v>
      </c>
      <c r="W128" s="113" t="str">
        <f>VLOOKUP(LEFT(Table1[[#This Row],[LastName]],1),Alpha!$A$1:$B$26,2,FALSE)</f>
        <v>Maureen Ranks</v>
      </c>
      <c r="X128" s="149" t="str">
        <f>VLOOKUP(Table1[[#This Row],[FAA]],Alpha!$B$1:$D$26,2,FALSE)</f>
        <v>mranks@neumont.edu</v>
      </c>
      <c r="Y128" s="113">
        <f>VLOOKUP(Table1[[#This Row],[FAA]],Alpha!$B$1:$D$26,3,FALSE)</f>
        <v>8883022894</v>
      </c>
      <c r="Z128" s="113" t="str">
        <f>VLOOKUP(Table1[[#This Row],[SyStudentId]],SSR!$A$2:$CC$4982,30,FALSE)</f>
        <v>16-Accepted</v>
      </c>
      <c r="AA128" s="113" t="str">
        <f>IF(VLOOKUP(Table1[[#This Row],[SyStudentId]],SSR!$A$2:$CC$4982,36,FALSE)="Bachelor of Science","BS Computer Science","Check Program")</f>
        <v>BS Computer Science</v>
      </c>
      <c r="AB128" s="113" t="str">
        <f>VLOOKUP(Table1[[#This Row],[SyStudentId]],SSR!$A$2:$CC$4982,37,FALSE)</f>
        <v xml:space="preserve">24      </v>
      </c>
      <c r="AC128" s="113">
        <f>VLOOKUP(Table1[[#This Row],[SyStudentId]],SSR!$A$2:$CC$4982,42,FALSE)</f>
        <v>0</v>
      </c>
      <c r="AD128" s="113" t="str">
        <f>VLOOKUP(Table1[[#This Row],[SyStudentId]],SSR!$A$2:$CC$4982,46,FALSE)</f>
        <v>104</v>
      </c>
      <c r="AE128" s="113" t="str">
        <f>VLOOKUP(Table1[[#This Row],[SyStudentId]],SSR!$A$2:$CC$4982,65,FALSE)</f>
        <v>III</v>
      </c>
      <c r="AF128"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128" s="113" t="str">
        <f>VLOOKUP(Table1[[#This Row],[SyStudentId]],SSR!$A$2:$CC$4982,66,FALSE)</f>
        <v>July-October</v>
      </c>
      <c r="AH128" s="113" t="str">
        <f>IFERROR(VLOOKUP(Table1[[#This Row],[SyStudentId]],ISIR!$A$2:$X$999,7,FALSE),"")</f>
        <v/>
      </c>
      <c r="AI128" s="121" t="str">
        <f>IF(Table1[[#This Row],[EFCRaw]]="","",IF(Table1[[#This Row],[EFCRaw]]="No EFC","No EFC",_xlfn.NUMBERVALUE(Table1[[#This Row],[EFCRaw]])))</f>
        <v/>
      </c>
      <c r="AJ128" s="119" t="str">
        <f>IFERROR(VLOOKUP(Table1[[#This Row],[SyStudentId]],ISIR!$A$2:$X$4999,19,FALSE),"")</f>
        <v/>
      </c>
      <c r="AK128" s="113" t="str">
        <f>IFERROR(VLOOKUP(Table1[[#This Row],[SyStudentId]],ISIR!$A$2:$X$4999,8,FALSE),"")</f>
        <v/>
      </c>
      <c r="AL128" s="132" t="str">
        <f>IF(Table1[[#This Row],[VerReq]]="N","n/a","")</f>
        <v/>
      </c>
      <c r="AM128" s="122"/>
      <c r="AN128" s="122"/>
      <c r="AO128" s="122"/>
      <c r="AP128" s="122"/>
      <c r="AQ128" s="122"/>
      <c r="AR128" s="122"/>
      <c r="AS128" s="122"/>
      <c r="AT128" s="122"/>
      <c r="AU128" s="122"/>
      <c r="AV128" s="122"/>
      <c r="AW128" s="122"/>
      <c r="AX128" s="122"/>
      <c r="AY128" s="122"/>
      <c r="AZ128" s="122"/>
      <c r="BA128" s="122"/>
      <c r="BB128" s="122"/>
      <c r="BC128" s="148"/>
      <c r="BD128" s="140" t="str">
        <f>IF(Table1[[#This Row],[VerReq]]="N","x","")</f>
        <v/>
      </c>
      <c r="BE128" s="140" t="str">
        <f>IF(Table1[[#This Row],[VerReq]]="N","x","")</f>
        <v/>
      </c>
      <c r="BF128" s="140" t="str">
        <f>IF(Table1[[#This Row],[VerReq]]="N","x","")</f>
        <v/>
      </c>
      <c r="BG128" s="140" t="str">
        <f>IF(Table1[[#This Row],[VerReq]]="N","x","")</f>
        <v/>
      </c>
      <c r="BH128" s="140" t="str">
        <f>IF(Table1[[#This Row],[VerReq]]="N","x","")</f>
        <v/>
      </c>
      <c r="BI128" s="140" t="str">
        <f>IF(Table1[[#This Row],[VerReq]]="N","x","")</f>
        <v/>
      </c>
      <c r="BJ128" s="123">
        <f>1-((COUNTBLANK(Table1[[#This Row],[ALESent]:[TaxTran]]))/(COUNT(Table1[[#This Row],[ALESent]:[TaxTran]])+COUNTBLANK(Table1[[#This Row],[ALESent]:[TaxTran]])))</f>
        <v>0</v>
      </c>
      <c r="BK128" s="150">
        <f>IF(VLOOKUP(Table1[[#This Row],[SyStudentId]],SSR!$A$2:$CC$4982,22,FALSE)=44109,44109,"Check Program")</f>
        <v>44109</v>
      </c>
      <c r="BL128" s="124">
        <f>IF(Table1[[#This Row],[AYStart]]=44109,44356,"Check Program")</f>
        <v>44356</v>
      </c>
      <c r="BM128" s="219">
        <v>8505</v>
      </c>
      <c r="BN128" s="219">
        <v>8505</v>
      </c>
      <c r="BO128" s="219">
        <v>8505</v>
      </c>
      <c r="BP128" s="220">
        <f t="shared" si="3"/>
        <v>25515</v>
      </c>
      <c r="BQ128" s="221">
        <v>3300</v>
      </c>
      <c r="BR128" s="219">
        <v>400</v>
      </c>
      <c r="BS128" s="219">
        <v>400</v>
      </c>
      <c r="BT128" s="220">
        <f t="shared" si="4"/>
        <v>4100</v>
      </c>
      <c r="BU128" s="219">
        <v>2100</v>
      </c>
      <c r="BV128" s="219">
        <v>2100</v>
      </c>
      <c r="BW128" s="219">
        <v>2100</v>
      </c>
      <c r="BX128" s="222">
        <f t="shared" si="5"/>
        <v>6300</v>
      </c>
      <c r="BY128" s="275">
        <v>1200</v>
      </c>
      <c r="BZ128" s="275">
        <v>1200</v>
      </c>
      <c r="CA128" s="275">
        <v>1200</v>
      </c>
      <c r="CB128" s="222">
        <f>SUM(Table1[[#This Row],[LEQ1]:[LEQ3]])</f>
        <v>3600</v>
      </c>
      <c r="CC128" s="276">
        <v>0</v>
      </c>
      <c r="CD128" s="276">
        <v>0</v>
      </c>
      <c r="CE128" s="276">
        <v>0</v>
      </c>
      <c r="CF128" s="222">
        <f>SUM(Table1[[#This Row],[OthCostQ1]:[OthCostQ3]])</f>
        <v>0</v>
      </c>
      <c r="CG128" s="220">
        <f>(Table1[[#This Row],[T&amp;FTot]]+Table1[[#This Row],[B&amp;STot]]+Table1[[#This Row],[HousTot]]+Table1[[#This Row],[LETot]]+Table1[[#This Row],[OthCostTot]])</f>
        <v>39515</v>
      </c>
      <c r="CH128" s="250"/>
      <c r="CI128" s="250"/>
      <c r="CJ128" s="250"/>
      <c r="CK128" s="251">
        <f>SUM(Table1[[#This Row],[SEOGQ1]:[SEOGQ3]])</f>
        <v>0</v>
      </c>
      <c r="CL128" s="250">
        <f>IFERROR(ROUNDUP(Table1[[#This Row],[PellTot]]/3,0),0)</f>
        <v>0</v>
      </c>
      <c r="CM128" s="250">
        <f>IFERROR(ROUND(Table1[[#This Row],[PellTot]]/3,0),0)</f>
        <v>0</v>
      </c>
      <c r="CN128" s="250">
        <f>IFERROR(ROUNDDOWN(Table1[[#This Row],[PellTot]]/3,0),0)</f>
        <v>0</v>
      </c>
      <c r="CO128" s="251">
        <f>IFERROR(LOOKUP(Table1[EFC],Pell_Table[#Data],Pell_Table[Pell Amt]),0)</f>
        <v>0</v>
      </c>
      <c r="CP128" s="250">
        <f>Table1[[#This Row],[AccessTot]]/3</f>
        <v>0</v>
      </c>
      <c r="CQ128" s="250">
        <f>Table1[[#This Row],[AccessTot]]/3</f>
        <v>0</v>
      </c>
      <c r="CR128" s="250">
        <f>Table1[[#This Row],[AccessTot]]/3</f>
        <v>0</v>
      </c>
      <c r="CS128" s="251">
        <f>IF(Table1[[#This Row],[PellTot]]&gt;0,1500,0)</f>
        <v>0</v>
      </c>
      <c r="CT128" s="250">
        <f>Table1[[#This Row],[AchiTot]]/3</f>
        <v>1300</v>
      </c>
      <c r="CU128" s="250">
        <f>Table1[[#This Row],[AchiTot]]/3</f>
        <v>1300</v>
      </c>
      <c r="CV128" s="250">
        <f>Table1[[#This Row],[AchiTot]]/3</f>
        <v>1300</v>
      </c>
      <c r="CW128" s="252">
        <f>IF(Table1[[#This Row],[Rank]]="","",IF(Table1[[#This Row],[Rank]]=1,5100,IF(Table1[[#This Row],[Rank]]=2,4500,IF(Table1[[#This Row],[Rank]]=3,3900,IF(Table1[[#This Row],[Rank]]=4,3750,IF(Table1[[#This Row],[Rank]]=5,3000,IF(Table1[[#This Row],[Rank]]=6,2250,0)))))))</f>
        <v>3900</v>
      </c>
      <c r="CX128" s="250">
        <f>Table1[[#This Row],[UTTot]]/3</f>
        <v>0</v>
      </c>
      <c r="CY128" s="250">
        <f>Table1[[#This Row],[UTTot]]/3</f>
        <v>0</v>
      </c>
      <c r="CZ128" s="250">
        <f>Table1[[#This Row],[UTTot]]/3</f>
        <v>0</v>
      </c>
      <c r="DA128" s="251">
        <f>IF(Table1[[#This Row],[State]]="UT",9000,0)</f>
        <v>0</v>
      </c>
      <c r="DB128" s="250">
        <f>Table1[[#This Row],[WITTot]]/3</f>
        <v>0</v>
      </c>
      <c r="DC128" s="250">
        <f>Table1[[#This Row],[WITTot]]/3</f>
        <v>0</v>
      </c>
      <c r="DD128" s="250">
        <f>Table1[[#This Row],[WITTot]]/3</f>
        <v>0</v>
      </c>
      <c r="DE128" s="251">
        <f>IF(Table1[[#This Row],[Gender]]="Female",3000,0)</f>
        <v>0</v>
      </c>
      <c r="DF128" s="250">
        <f>Table1[[#This Row],[SerTot]]/3</f>
        <v>0</v>
      </c>
      <c r="DG128" s="250">
        <f>Table1[[#This Row],[SerTot]]/3</f>
        <v>0</v>
      </c>
      <c r="DH128" s="250">
        <f>Table1[[#This Row],[SerTot]]/3</f>
        <v>0</v>
      </c>
      <c r="DI128" s="252"/>
      <c r="DJ128" s="250"/>
      <c r="DK128" s="250"/>
      <c r="DL128" s="250"/>
      <c r="DM128" s="252"/>
      <c r="DN128" s="253">
        <f>Table1[[#This Row],[MatTot]]/3</f>
        <v>0</v>
      </c>
      <c r="DO128" s="253">
        <f>Table1[[#This Row],[MatTot]]/3</f>
        <v>0</v>
      </c>
      <c r="DP128" s="253">
        <f>Table1[[#This Row],[MatTot]]/3</f>
        <v>0</v>
      </c>
      <c r="DQ128" s="255">
        <v>0</v>
      </c>
      <c r="DR128" s="253">
        <f>Table1[[#This Row],[OutTot]]/3</f>
        <v>0</v>
      </c>
      <c r="DS128" s="253">
        <f>Table1[[#This Row],[OutTot]]/3</f>
        <v>0</v>
      </c>
      <c r="DT128" s="253">
        <f>Table1[[#This Row],[OutTot]]/3</f>
        <v>0</v>
      </c>
      <c r="DU128" s="255">
        <v>0</v>
      </c>
      <c r="DV128" s="259">
        <v>0</v>
      </c>
      <c r="DW128" s="259">
        <v>0</v>
      </c>
      <c r="DX128" s="259">
        <v>0</v>
      </c>
      <c r="DY128" s="261">
        <f>SUM(Table1[[#This Row],[VAQ1]:[VAQ3]])</f>
        <v>0</v>
      </c>
      <c r="DZ128" s="250"/>
      <c r="EA128" s="250"/>
      <c r="EB128" s="250"/>
      <c r="EC128" s="270">
        <f>SUM(Table1[[#This Row],[OthGrantQ1]:[OthGrantQ3]])</f>
        <v>0</v>
      </c>
      <c r="ED128" s="263">
        <f>Table1[[#This Row],[SEOGTot]]+Table1[[#This Row],[PellTot]]+Table1[[#This Row],[AccessTot]]+Table1[[#This Row],[AchiTot]]+Table1[[#This Row],[UTTot]]+Table1[[#This Row],[WITTot]]+Table1[[#This Row],[SerTot]]+Table1[[#This Row],[TranTot]]+Table1[[#This Row],[MatTot]]+Table1[[#This Row],[OutTot]]+Table1[[#This Row],[VATot]]+Table1[[#This Row],[OthGrantTot]]</f>
        <v>3900</v>
      </c>
      <c r="EE128" s="226">
        <v>0</v>
      </c>
      <c r="EF128" s="227">
        <v>0</v>
      </c>
      <c r="EG128" s="227">
        <v>0</v>
      </c>
      <c r="EH128" s="228">
        <f>SUM(Table1[[#This Row],[CashQ1]]:Table1[[#This Row],[CashQ3]])</f>
        <v>0</v>
      </c>
      <c r="EI128" s="229">
        <f>ROUND((Table1[[#This Row],[SubTot]]/3)/1.01059,0)</f>
        <v>1154</v>
      </c>
      <c r="EJ128" s="230">
        <f>ROUND((Table1[[#This Row],[SubTot]]/3)/1.01059,0)</f>
        <v>1154</v>
      </c>
      <c r="EK128" s="230">
        <f>ROUNDUP((Table1[[#This Row],[SubTot]]/3)/1.01059,0)</f>
        <v>1155</v>
      </c>
      <c r="EL128" s="231">
        <v>3500</v>
      </c>
      <c r="EM128" s="240">
        <f>Table1[[#This Row],[SubTot]]*0.01059</f>
        <v>37.065000000000005</v>
      </c>
      <c r="EN128" s="230">
        <f>ROUND((Table1[[#This Row],[UnsubTot]]/3)/1.01062,0)</f>
        <v>660</v>
      </c>
      <c r="EO128" s="230">
        <f>ROUND((Table1[[#This Row],[UnsubTot]]/3)/1.01062,0)</f>
        <v>660</v>
      </c>
      <c r="EP128" s="230">
        <f>ROUNDDOWN((Table1[[#This Row],[UnsubTot]]/3)/1.01062,0)</f>
        <v>659</v>
      </c>
      <c r="EQ128" s="231">
        <f>IF(Table1[D/I]="I",6000,2000)</f>
        <v>2000</v>
      </c>
      <c r="ER128" s="233">
        <f>Table1[[#This Row],[UnsubTot]]*0.01059</f>
        <v>21.18</v>
      </c>
      <c r="ES128" s="230">
        <f>ROUND((Table1[[#This Row],[PLUSTot]]/3)/1.04236,0)</f>
        <v>0</v>
      </c>
      <c r="ET128" s="230">
        <f>ROUND((Table1[[#This Row],[PLUSTot]]/3)/1.04236,0)</f>
        <v>0</v>
      </c>
      <c r="EU128" s="230">
        <f>ROUND((Table1[[#This Row],[PLUSTot]]/3)/1.04236,0)</f>
        <v>0</v>
      </c>
      <c r="EV128" s="231">
        <v>0</v>
      </c>
      <c r="EW128" s="239">
        <f>Table1[[#This Row],[PLUSTot]]*0.04248</f>
        <v>0</v>
      </c>
      <c r="EX128" s="237"/>
      <c r="EY128" s="237"/>
      <c r="EZ128" s="237"/>
      <c r="FA128" s="232">
        <f>SUM(Table1[[#This Row],[PrivQ1]:[PrivQ3]])</f>
        <v>0</v>
      </c>
      <c r="FB128" s="237"/>
      <c r="FC128" s="237"/>
      <c r="FD128" s="237"/>
      <c r="FE128" s="232">
        <f>SUM(Table1[[#This Row],[TOQ1]:[TOQ3]])</f>
        <v>0</v>
      </c>
      <c r="FF128" s="237"/>
      <c r="FG128" s="237"/>
      <c r="FH128" s="237"/>
      <c r="FI128" s="232">
        <f>SUM(Table1[[#This Row],[OFundQ1]:[OFundQ3]])</f>
        <v>0</v>
      </c>
      <c r="FJ128" s="239">
        <f>(Table1[[#This Row],[SubTot]]-Table1[[#This Row],[SubFee]])+(Table1[[#This Row],[UnsubTot]]-Table1[[#This Row],[UnsubFee]])+(Table1[[#This Row],[PLUSTot]]-Table1[[#This Row],[PLUSFee]])+Table1[[#This Row],[PrivTot]]+Table1[[#This Row],[TOTot]]+Table1[[#This Row],[OFundTot]]</f>
        <v>5441.7550000000001</v>
      </c>
      <c r="FK128" s="125">
        <f>Table1[[#This Row],[CostTot]]-Table1[[#This Row],[GiftTot]]</f>
        <v>35615</v>
      </c>
      <c r="FL128" s="130">
        <f>Table1[[#This Row],[NetNeed]]/(1-0.04248)</f>
        <v>31511.869203776419</v>
      </c>
      <c r="FM128" s="131">
        <f>Table1[[#This Row],[NetCost]]-Table1[[#This Row],[CashTot]]-(Table1[[#This Row],[SubTot]]-Table1[[#This Row],[SubFee]])-(Table1[[#This Row],[UnsubTot]]-Table1[[#This Row],[UnsubFee]])-(Table1[[#This Row],[PLUSTot]]-Table1[[#This Row],[PLUSFee]])-Table1[[#This Row],[PrivTot]]-Table1[[#This Row],[TOTot]]-Table1[[#This Row],[OFundTot]]</f>
        <v>30173.244999999999</v>
      </c>
      <c r="FN128" s="217"/>
      <c r="FO128" s="162"/>
      <c r="FP128" s="162"/>
    </row>
    <row r="129" spans="1:172" ht="15" x14ac:dyDescent="0.25">
      <c r="A129" s="296">
        <v>197961</v>
      </c>
      <c r="B129" s="160" t="str">
        <f>VLOOKUP(Table1[[#This Row],[SyStudentId]],SSR!$A$2:$CC$4982,4,FALSE)</f>
        <v>Seavers</v>
      </c>
      <c r="C129" s="160" t="str">
        <f>VLOOKUP(Table1[[#This Row],[SyStudentId]],SSR!$A$2:$CC$4982,5,FALSE)</f>
        <v>Michael</v>
      </c>
      <c r="D129" s="160" t="str">
        <f>VLOOKUP(Table1[[#This Row],[SyStudentId]],SSR!$A$2:$CC$4982,6,FALSE)</f>
        <v>Seavers, Michael</v>
      </c>
      <c r="E129" s="113" t="str">
        <f>CONCATENATE(Table1[[#This Row],[FirstName]]," ",Table1[[#This Row],[LastName]])</f>
        <v>Michael Seavers</v>
      </c>
      <c r="F129" s="158">
        <v>1</v>
      </c>
      <c r="G129" s="114"/>
      <c r="H129" s="114"/>
      <c r="I129" s="114">
        <v>43783</v>
      </c>
      <c r="J129" s="163"/>
      <c r="K129" s="164"/>
      <c r="L129" s="158" t="str">
        <f>IFERROR(VLOOKUP(Table1[[#This Row],[SyStudentId]],ISIR!$A$2:$X$4999,11,FALSE),"")</f>
        <v>D</v>
      </c>
      <c r="M129" s="160" t="str">
        <f>VLOOKUP(Table1[[#This Row],[SyStudentId]],SSR!$A$2:$CC$4982,7,FALSE)</f>
        <v>michaelseavers@hotmail.com</v>
      </c>
      <c r="N129" s="160" t="str">
        <f>VLOOKUP(Table1[[#This Row],[SyStudentId]],SSR!$A$2:$CC$4982,8,FALSE)</f>
        <v>100 Fox Meadows D12</v>
      </c>
      <c r="O129" s="160" t="str">
        <f>VLOOKUP(Table1[[#This Row],[SyStudentId]],SSR!$A$2:$CC$4982,9,FALSE)</f>
        <v>Murray</v>
      </c>
      <c r="P129" s="294" t="str">
        <f>VLOOKUP(Table1[[#This Row],[SyStudentId]],SSR!$A$2:$CC$4982,10,FALSE)</f>
        <v>KY</v>
      </c>
      <c r="Q129" s="165" t="str">
        <f>VLOOKUP(Table1[[#This Row],[SyStudentId]],SSR!$A$2:$CC$4982,11,FALSE)</f>
        <v xml:space="preserve">42071     </v>
      </c>
      <c r="R129" s="166">
        <f>VLOOKUP(Table1[[#This Row],[SyStudentId]],SSR!$A$2:$CC$4982,15,FALSE)</f>
        <v>3.81</v>
      </c>
      <c r="S129" s="167">
        <f>VLOOKUP(Table1[[#This Row],[SyStudentId]],SSR!$A$2:$CC$4982,22,FALSE)</f>
        <v>44109</v>
      </c>
      <c r="T129" s="160" t="str">
        <f>VLOOKUP(Table1[[#This Row],[SyStudentId]],SSR!$A$2:$CC$4982,24,FALSE)</f>
        <v>JT</v>
      </c>
      <c r="U129" s="160" t="str">
        <f>IF(VLOOKUP(Table1[[#This Row],[SyStudentId]],SSR!$A$2:$CC$4982,26,FALSE)=0,"Not Selected",VLOOKUP(Table1[[#This Row],[SyStudentId]],SSR!$A$2:$CC$4982,26,FALSE))</f>
        <v>Male</v>
      </c>
      <c r="V129" s="160" t="str">
        <f>VLOOKUP(Table1[[#This Row],[SyStudentId]],SSR!$A$2:$CC$4982,27,FALSE)</f>
        <v xml:space="preserve">HS2020  </v>
      </c>
      <c r="W129" s="160" t="str">
        <f>VLOOKUP(LEFT(Table1[[#This Row],[LastName]],1),Alpha!$A$1:$B$26,2,FALSE)</f>
        <v>Maureen Ranks</v>
      </c>
      <c r="X129" s="168" t="str">
        <f>VLOOKUP(Table1[[#This Row],[FAA]],Alpha!$B$1:$D$26,2,FALSE)</f>
        <v>mranks@neumont.edu</v>
      </c>
      <c r="Y129" s="160">
        <f>VLOOKUP(Table1[[#This Row],[FAA]],Alpha!$B$1:$D$26,3,FALSE)</f>
        <v>8883022894</v>
      </c>
      <c r="Z129" s="160" t="str">
        <f>VLOOKUP(Table1[[#This Row],[SyStudentId]],SSR!$A$2:$CC$4982,30,FALSE)</f>
        <v>16-Accepted</v>
      </c>
      <c r="AA129" s="160" t="str">
        <f>IF(VLOOKUP(Table1[[#This Row],[SyStudentId]],SSR!$A$2:$CC$4982,36,FALSE)="Bachelor of Science","BS Computer Science","Check Program")</f>
        <v>BS Computer Science</v>
      </c>
      <c r="AB129" s="160" t="str">
        <f>VLOOKUP(Table1[[#This Row],[SyStudentId]],SSR!$A$2:$CC$4982,37,FALSE)</f>
        <v xml:space="preserve">20      </v>
      </c>
      <c r="AC129" s="160" t="str">
        <f>VLOOKUP(Table1[[#This Row],[SyStudentId]],SSR!$A$2:$CC$4982,42,FALSE)</f>
        <v xml:space="preserve">1080    </v>
      </c>
      <c r="AD129" s="160" t="str">
        <f>VLOOKUP(Table1[[#This Row],[SyStudentId]],SSR!$A$2:$CC$4982,46,FALSE)</f>
        <v>115</v>
      </c>
      <c r="AE129" s="160" t="str">
        <f>VLOOKUP(Table1[[#This Row],[SyStudentId]],SSR!$A$2:$CC$4982,65,FALSE)</f>
        <v>I</v>
      </c>
      <c r="AF129"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29" s="160" t="str">
        <f>VLOOKUP(Table1[[#This Row],[SyStudentId]],SSR!$A$2:$CC$4982,66,FALSE)</f>
        <v>July-October</v>
      </c>
      <c r="AH129" s="160" t="str">
        <f>IFERROR(VLOOKUP(Table1[[#This Row],[SyStudentId]],ISIR!$A$2:$X$1999,7,FALSE),"")</f>
        <v>000988</v>
      </c>
      <c r="AI129" s="170">
        <f>IF(Table1[[#This Row],[EFCRaw]]="","",IF(Table1[[#This Row],[EFCRaw]]="No EFC","No EFC",_xlfn.NUMBERVALUE(Table1[[#This Row],[EFCRaw]])))</f>
        <v>988</v>
      </c>
      <c r="AJ129" s="167">
        <f>IFERROR(VLOOKUP(Table1[[#This Row],[SyStudentId]],ISIR!$A$2:$X$4999,19,FALSE),"")</f>
        <v>43774</v>
      </c>
      <c r="AK129" s="160" t="str">
        <f>IFERROR(VLOOKUP(Table1[[#This Row],[SyStudentId]],ISIR!$A$2:$X$4999,8,FALSE),"")</f>
        <v>Y</v>
      </c>
      <c r="AL129" s="171" t="str">
        <f>IF(Table1[[#This Row],[VerReq]]="N","n/a","")</f>
        <v/>
      </c>
      <c r="AM129" s="122"/>
      <c r="AN129" s="122"/>
      <c r="AO129" s="122"/>
      <c r="AP129" s="122"/>
      <c r="AQ129" s="122">
        <v>43782</v>
      </c>
      <c r="AR129" s="122"/>
      <c r="AS129" s="122"/>
      <c r="AT129" s="122"/>
      <c r="AU129" s="122"/>
      <c r="AV129" s="122"/>
      <c r="AW129" s="122"/>
      <c r="AX129" s="122"/>
      <c r="AY129" s="122"/>
      <c r="AZ129" s="122"/>
      <c r="BA129" s="122"/>
      <c r="BB129" s="122"/>
      <c r="BC129" s="148"/>
      <c r="BD129" s="140" t="str">
        <f>IF(Table1[[#This Row],[VerReq]]="N","x","")</f>
        <v/>
      </c>
      <c r="BE129" s="140" t="str">
        <f>IF(Table1[[#This Row],[VerReq]]="N","x","")</f>
        <v/>
      </c>
      <c r="BF129" s="140" t="str">
        <f>IF(Table1[[#This Row],[VerReq]]="N","x","")</f>
        <v/>
      </c>
      <c r="BG129" s="140" t="str">
        <f>IF(Table1[[#This Row],[VerReq]]="N","x","")</f>
        <v/>
      </c>
      <c r="BH129" s="140" t="str">
        <f>IF(Table1[[#This Row],[VerReq]]="N","x","")</f>
        <v/>
      </c>
      <c r="BI129" s="140" t="str">
        <f>IF(Table1[[#This Row],[VerReq]]="N","x","")</f>
        <v/>
      </c>
      <c r="BJ129" s="181">
        <f>1-((COUNTBLANK(Table1[[#This Row],[ALESent]:[TaxTran]]))/(COUNT(Table1[[#This Row],[ALESent]:[TaxTran]])+COUNTBLANK(Table1[[#This Row],[ALESent]:[TaxTran]])))</f>
        <v>4.3478260869565188E-2</v>
      </c>
      <c r="BK129" s="216">
        <f>IF(VLOOKUP(Table1[[#This Row],[SyStudentId]],SSR!$A$2:$CC$4982,22,FALSE)=44109,44109,"Check Program")</f>
        <v>44109</v>
      </c>
      <c r="BL129" s="173">
        <f>IF(Table1[[#This Row],[AYStart]]=44109,44356,"Check Program")</f>
        <v>44356</v>
      </c>
      <c r="BM129" s="219">
        <v>8505</v>
      </c>
      <c r="BN129" s="219">
        <v>8505</v>
      </c>
      <c r="BO129" s="219">
        <v>8505</v>
      </c>
      <c r="BP129" s="220">
        <f t="shared" si="3"/>
        <v>25515</v>
      </c>
      <c r="BQ129" s="221">
        <v>3300</v>
      </c>
      <c r="BR129" s="219">
        <v>400</v>
      </c>
      <c r="BS129" s="219">
        <v>400</v>
      </c>
      <c r="BT129" s="222">
        <f t="shared" si="4"/>
        <v>4100</v>
      </c>
      <c r="BU129" s="219">
        <v>2100</v>
      </c>
      <c r="BV129" s="219">
        <v>2100</v>
      </c>
      <c r="BW129" s="219">
        <v>2100</v>
      </c>
      <c r="BX129" s="222">
        <f t="shared" si="5"/>
        <v>6300</v>
      </c>
      <c r="BY129" s="275">
        <v>1200</v>
      </c>
      <c r="BZ129" s="275">
        <v>1200</v>
      </c>
      <c r="CA129" s="275">
        <v>1200</v>
      </c>
      <c r="CB129" s="222">
        <f>SUM(Table1[[#This Row],[LEQ1]:[LEQ3]])</f>
        <v>3600</v>
      </c>
      <c r="CC129" s="276">
        <v>0</v>
      </c>
      <c r="CD129" s="276">
        <v>0</v>
      </c>
      <c r="CE129" s="276">
        <v>0</v>
      </c>
      <c r="CF129" s="222">
        <f>SUM(Table1[[#This Row],[OthCostQ1]:[OthCostQ3]])</f>
        <v>0</v>
      </c>
      <c r="CG129" s="222">
        <f>(Table1[[#This Row],[T&amp;FTot]]+Table1[[#This Row],[B&amp;STot]]+Table1[[#This Row],[HousTot]]+Table1[[#This Row],[LETot]]+Table1[[#This Row],[OthCostTot]])</f>
        <v>39515</v>
      </c>
      <c r="CH129" s="253">
        <v>0</v>
      </c>
      <c r="CI129" s="253">
        <v>0</v>
      </c>
      <c r="CJ129" s="253">
        <v>0</v>
      </c>
      <c r="CK129" s="254">
        <f>SUM(Table1[[#This Row],[SEOGQ1]:[SEOGQ3]])</f>
        <v>0</v>
      </c>
      <c r="CL129" s="253">
        <f>IFERROR(ROUNDUP(Table1[[#This Row],[PellTot]]/3,0),0)</f>
        <v>1749</v>
      </c>
      <c r="CM129" s="253">
        <f>IFERROR(ROUND(Table1[[#This Row],[PellTot]]/3,0),0)</f>
        <v>1748</v>
      </c>
      <c r="CN129" s="253">
        <f>IFERROR(ROUNDDOWN(Table1[[#This Row],[PellTot]]/3,0),0)</f>
        <v>1748</v>
      </c>
      <c r="CO129" s="254">
        <f>IFERROR(LOOKUP(Table1[EFC],Pell_Table[#Data],Pell_Table[Pell Amt]),0)</f>
        <v>5245</v>
      </c>
      <c r="CP129" s="253">
        <f>Table1[[#This Row],[AccessTot]]/3</f>
        <v>500</v>
      </c>
      <c r="CQ129" s="253">
        <f>Table1[[#This Row],[AccessTot]]/3</f>
        <v>500</v>
      </c>
      <c r="CR129" s="253">
        <f>Table1[[#This Row],[AccessTot]]/3</f>
        <v>500</v>
      </c>
      <c r="CS129" s="254">
        <f>IF(Table1[[#This Row],[PellTot]]&gt;0,1500,0)</f>
        <v>1500</v>
      </c>
      <c r="CT129" s="253">
        <f>Table1[[#This Row],[AchiTot]]/3</f>
        <v>1700</v>
      </c>
      <c r="CU129" s="253">
        <f>Table1[[#This Row],[AchiTot]]/3</f>
        <v>1700</v>
      </c>
      <c r="CV129" s="253">
        <f>Table1[[#This Row],[AchiTot]]/3</f>
        <v>1700</v>
      </c>
      <c r="CW129" s="255">
        <f>IF(Table1[[#This Row],[Rank]]="","",IF(Table1[[#This Row],[Rank]]=1,5100,IF(Table1[[#This Row],[Rank]]=2,4500,IF(Table1[[#This Row],[Rank]]=3,3900,IF(Table1[[#This Row],[Rank]]=4,3750,IF(Table1[[#This Row],[Rank]]=5,3000,IF(Table1[[#This Row],[Rank]]=6,2250,0)))))))</f>
        <v>5100</v>
      </c>
      <c r="CX129" s="253">
        <f>Table1[[#This Row],[UTTot]]/3</f>
        <v>0</v>
      </c>
      <c r="CY129" s="253">
        <f>Table1[[#This Row],[UTTot]]/3</f>
        <v>0</v>
      </c>
      <c r="CZ129" s="253">
        <f>Table1[[#This Row],[UTTot]]/3</f>
        <v>0</v>
      </c>
      <c r="DA129" s="254">
        <f>IF(Table1[[#This Row],[State]]="UT",9000,0)</f>
        <v>0</v>
      </c>
      <c r="DB129" s="253">
        <f>Table1[[#This Row],[WITTot]]/3</f>
        <v>0</v>
      </c>
      <c r="DC129" s="253">
        <f>Table1[[#This Row],[WITTot]]/3</f>
        <v>0</v>
      </c>
      <c r="DD129" s="253">
        <f>Table1[[#This Row],[WITTot]]/3</f>
        <v>0</v>
      </c>
      <c r="DE129" s="254">
        <f>IF(Table1[[#This Row],[Gender]]="Female",3000,0)</f>
        <v>0</v>
      </c>
      <c r="DF129" s="253">
        <f>Table1[[#This Row],[SerTot]]/3</f>
        <v>0</v>
      </c>
      <c r="DG129" s="253">
        <f>Table1[[#This Row],[SerTot]]/3</f>
        <v>0</v>
      </c>
      <c r="DH129" s="253">
        <f>Table1[[#This Row],[SerTot]]/3</f>
        <v>0</v>
      </c>
      <c r="DI129" s="255">
        <v>0</v>
      </c>
      <c r="DJ129" s="253">
        <f>IFERROR(ROUNDUP(Table1[[#This Row],[TranTot]]/3,0),0)</f>
        <v>0</v>
      </c>
      <c r="DK129" s="253">
        <f>IFERROR(ROUND(Table1[[#This Row],[TranTot]]/3,0),0)</f>
        <v>0</v>
      </c>
      <c r="DL129" s="253">
        <f>IFERROR(ROUNDDOWN(Table1[[#This Row],[TranTot]]/3,0),0)</f>
        <v>0</v>
      </c>
      <c r="DM129" s="255">
        <v>0</v>
      </c>
      <c r="DN129" s="253">
        <f>Table1[[#This Row],[MatTot]]/3</f>
        <v>0</v>
      </c>
      <c r="DO129" s="253">
        <f>Table1[[#This Row],[MatTot]]/3</f>
        <v>0</v>
      </c>
      <c r="DP129" s="253">
        <f>Table1[[#This Row],[MatTot]]/3</f>
        <v>0</v>
      </c>
      <c r="DQ129" s="255">
        <v>0</v>
      </c>
      <c r="DR129" s="253">
        <f>Table1[[#This Row],[OutTot]]/3</f>
        <v>0</v>
      </c>
      <c r="DS129" s="253">
        <f>Table1[[#This Row],[OutTot]]/3</f>
        <v>0</v>
      </c>
      <c r="DT129" s="253">
        <f>Table1[[#This Row],[OutTot]]/3</f>
        <v>0</v>
      </c>
      <c r="DU129" s="255">
        <v>0</v>
      </c>
      <c r="DV129" s="259">
        <v>0</v>
      </c>
      <c r="DW129" s="259">
        <v>0</v>
      </c>
      <c r="DX129" s="259">
        <v>0</v>
      </c>
      <c r="DY129" s="261">
        <f>SUM(Table1[[#This Row],[VAQ1]:[VAQ3]])</f>
        <v>0</v>
      </c>
      <c r="DZ129" s="253">
        <v>0</v>
      </c>
      <c r="EA129" s="253">
        <v>0</v>
      </c>
      <c r="EB129" s="253">
        <v>0</v>
      </c>
      <c r="EC129" s="278">
        <f>SUM(Table1[[#This Row],[OthGrantQ1]:[OthGrantQ3]])</f>
        <v>0</v>
      </c>
      <c r="ED129" s="264">
        <f>Table1[[#This Row],[SEOGTot]]+Table1[[#This Row],[PellTot]]+Table1[[#This Row],[AccessTot]]+Table1[[#This Row],[AchiTot]]+Table1[[#This Row],[UTTot]]+Table1[[#This Row],[WITTot]]+Table1[[#This Row],[SerTot]]+Table1[[#This Row],[TranTot]]+Table1[[#This Row],[MatTot]]+Table1[[#This Row],[OutTot]]+Table1[[#This Row],[VATot]]+Table1[[#This Row],[OthGrantTot]]</f>
        <v>11845</v>
      </c>
      <c r="EE129" s="226">
        <v>0</v>
      </c>
      <c r="EF129" s="227">
        <v>0</v>
      </c>
      <c r="EG129" s="227">
        <v>0</v>
      </c>
      <c r="EH129" s="228">
        <f>SUM(Table1[[#This Row],[CashQ1]]:Table1[[#This Row],[CashQ3]])</f>
        <v>0</v>
      </c>
      <c r="EI129" s="229">
        <f>ROUND((Table1[[#This Row],[SubTot]]/3)/1.01059,0)</f>
        <v>1154</v>
      </c>
      <c r="EJ129" s="230">
        <f>ROUND((Table1[[#This Row],[SubTot]]/3)/1.01059,0)</f>
        <v>1154</v>
      </c>
      <c r="EK129" s="230">
        <f>ROUNDUP((Table1[[#This Row],[SubTot]]/3)/1.01059,0)</f>
        <v>1155</v>
      </c>
      <c r="EL129" s="231">
        <v>3500</v>
      </c>
      <c r="EM129" s="233">
        <f>Table1[[#This Row],[SubTot]]*0.01059</f>
        <v>37.065000000000005</v>
      </c>
      <c r="EN129" s="230">
        <f>ROUND((Table1[[#This Row],[UnsubTot]]/3)/1.01062,0)</f>
        <v>660</v>
      </c>
      <c r="EO129" s="230">
        <f>ROUND((Table1[[#This Row],[UnsubTot]]/3)/1.01062,0)</f>
        <v>660</v>
      </c>
      <c r="EP129" s="230">
        <f>ROUNDDOWN((Table1[[#This Row],[UnsubTot]]/3)/1.01062,0)</f>
        <v>659</v>
      </c>
      <c r="EQ129" s="231">
        <f>IF(Table1[D/I]="I",6000,2000)</f>
        <v>2000</v>
      </c>
      <c r="ER129" s="233">
        <f>Table1[[#This Row],[UnsubTot]]*0.01059</f>
        <v>21.18</v>
      </c>
      <c r="ES129" s="230">
        <f>ROUND((Table1[[#This Row],[PLUSTot]]/3)/1.04236,0)</f>
        <v>0</v>
      </c>
      <c r="ET129" s="230">
        <f>ROUND((Table1[[#This Row],[PLUSTot]]/3)/1.04236,0)</f>
        <v>0</v>
      </c>
      <c r="EU129" s="230">
        <f>ROUND((Table1[[#This Row],[PLUSTot]]/3)/1.04236,0)</f>
        <v>0</v>
      </c>
      <c r="EV129" s="231">
        <v>0</v>
      </c>
      <c r="EW129" s="236">
        <f>Table1[[#This Row],[PLUSTot]]*0.04236</f>
        <v>0</v>
      </c>
      <c r="EX129" s="227"/>
      <c r="EY129" s="227"/>
      <c r="EZ129" s="227"/>
      <c r="FA129" s="228">
        <f>SUM(Table1[[#This Row],[PrivQ1]:[PrivQ3]])</f>
        <v>0</v>
      </c>
      <c r="FB129" s="227"/>
      <c r="FC129" s="227"/>
      <c r="FD129" s="227"/>
      <c r="FE129" s="228">
        <f>SUM(Table1[[#This Row],[TOQ1]:[TOQ3]])</f>
        <v>0</v>
      </c>
      <c r="FF129" s="227"/>
      <c r="FG129" s="227"/>
      <c r="FH129" s="227"/>
      <c r="FI129" s="228">
        <f>SUM(Table1[[#This Row],[OFundQ1]:[OFundQ3]])</f>
        <v>0</v>
      </c>
      <c r="FJ129" s="236">
        <f>(Table1[[#This Row],[SubTot]]-Table1[[#This Row],[SubFee]])+(Table1[[#This Row],[UnsubTot]]-Table1[[#This Row],[UnsubFee]])+(Table1[[#This Row],[PLUSTot]]-Table1[[#This Row],[PLUSFee]])+Table1[[#This Row],[PrivTot]]+Table1[[#This Row],[TOTot]]+Table1[[#This Row],[OFundTot]]</f>
        <v>5441.7550000000001</v>
      </c>
      <c r="FK129" s="159">
        <f>Table1[[#This Row],[CostTot]]-Table1[[#This Row],[GiftTot]]</f>
        <v>27670</v>
      </c>
      <c r="FL129" s="174">
        <f>Table1[[#This Row],[NetNeed]]/(1-0.04236)</f>
        <v>23211.483438452862</v>
      </c>
      <c r="FM129" s="176">
        <f>Table1[[#This Row],[NetCost]]-Table1[[#This Row],[CashTot]]-(Table1[[#This Row],[SubTot]]-Table1[[#This Row],[SubFee]])-(Table1[[#This Row],[UnsubTot]]-Table1[[#This Row],[UnsubFee]])-(Table1[[#This Row],[PLUSTot]]-Table1[[#This Row],[PLUSFee]])-Table1[[#This Row],[PrivTot]]-Table1[[#This Row],[TOTot]]-Table1[[#This Row],[OFundTot]]</f>
        <v>22228.244999999999</v>
      </c>
      <c r="FN129" s="217"/>
      <c r="FO129" s="162"/>
      <c r="FP129" s="162"/>
    </row>
    <row r="130" spans="1:172" ht="15" x14ac:dyDescent="0.25">
      <c r="A130" s="296">
        <v>195856</v>
      </c>
      <c r="B130" s="160" t="str">
        <f>VLOOKUP(Table1[[#This Row],[SyStudentId]],SSR!$A$2:$CC$4982,4,FALSE)</f>
        <v>Sebastian-Ortiz</v>
      </c>
      <c r="C130" s="160" t="str">
        <f>VLOOKUP(Table1[[#This Row],[SyStudentId]],SSR!$A$2:$CC$4982,5,FALSE)</f>
        <v>Victor</v>
      </c>
      <c r="D130" s="160" t="str">
        <f>VLOOKUP(Table1[[#This Row],[SyStudentId]],SSR!$A$2:$CC$4982,6,FALSE)</f>
        <v>Sebastian-Ortiz, Victor</v>
      </c>
      <c r="E130" s="113" t="str">
        <f>CONCATENATE(Table1[[#This Row],[FirstName]]," ",Table1[[#This Row],[LastName]])</f>
        <v>Victor Sebastian-Ortiz</v>
      </c>
      <c r="F130" s="158"/>
      <c r="G130" s="114"/>
      <c r="H130" s="114"/>
      <c r="I130" s="114"/>
      <c r="J130" s="163"/>
      <c r="K130" s="164"/>
      <c r="L130" s="158" t="str">
        <f>IFERROR(VLOOKUP(Table1[[#This Row],[SyStudentId]],ISIR!$A$2:$X$4999,11,FALSE),"")</f>
        <v>X</v>
      </c>
      <c r="M130" s="160" t="str">
        <f>VLOOKUP(Table1[[#This Row],[SyStudentId]],SSR!$A$2:$CC$4982,7,FALSE)</f>
        <v>vsebastian@bucs.fsw.edu</v>
      </c>
      <c r="N130" s="160" t="str">
        <f>VLOOKUP(Table1[[#This Row],[SyStudentId]],SSR!$A$2:$CC$4982,8,FALSE)</f>
        <v>18284 Troon Ave</v>
      </c>
      <c r="O130" s="160" t="str">
        <f>VLOOKUP(Table1[[#This Row],[SyStudentId]],SSR!$A$2:$CC$4982,9,FALSE)</f>
        <v>Port Charlotte</v>
      </c>
      <c r="P130" s="304" t="str">
        <f>VLOOKUP(Table1[[#This Row],[SyStudentId]],SSR!$A$2:$CC$4982,10,FALSE)</f>
        <v>FL</v>
      </c>
      <c r="Q130" s="165" t="str">
        <f>VLOOKUP(Table1[[#This Row],[SyStudentId]],SSR!$A$2:$CC$4982,11,FALSE)</f>
        <v xml:space="preserve">33948     </v>
      </c>
      <c r="R130" s="166">
        <f>VLOOKUP(Table1[[#This Row],[SyStudentId]],SSR!$A$2:$CC$4982,15,FALSE)</f>
        <v>3.38</v>
      </c>
      <c r="S130" s="167">
        <f>VLOOKUP(Table1[[#This Row],[SyStudentId]],SSR!$A$2:$CC$4982,22,FALSE)</f>
        <v>44109</v>
      </c>
      <c r="T130" s="160" t="str">
        <f>VLOOKUP(Table1[[#This Row],[SyStudentId]],SSR!$A$2:$CC$4982,24,FALSE)</f>
        <v>MN</v>
      </c>
      <c r="U130" s="160" t="str">
        <f>IF(VLOOKUP(Table1[[#This Row],[SyStudentId]],SSR!$A$2:$CC$4982,26,FALSE)=0,"Not Selected",VLOOKUP(Table1[[#This Row],[SyStudentId]],SSR!$A$2:$CC$4982,26,FALSE))</f>
        <v>Male</v>
      </c>
      <c r="V130" s="160" t="str">
        <f>VLOOKUP(Table1[[#This Row],[SyStudentId]],SSR!$A$2:$CC$4982,27,FALSE)</f>
        <v xml:space="preserve">HS2020  </v>
      </c>
      <c r="W130" s="160" t="str">
        <f>VLOOKUP(LEFT(Table1[[#This Row],[LastName]],1),Alpha!$A$1:$B$26,2,FALSE)</f>
        <v>Maureen Ranks</v>
      </c>
      <c r="X130" s="179" t="str">
        <f>VLOOKUP(Table1[[#This Row],[FAA]],Alpha!$B$1:$D$26,2,FALSE)</f>
        <v>mranks@neumont.edu</v>
      </c>
      <c r="Y130" s="160">
        <f>VLOOKUP(Table1[[#This Row],[FAA]],Alpha!$B$1:$D$26,3,FALSE)</f>
        <v>8883022894</v>
      </c>
      <c r="Z130" s="160" t="str">
        <f>VLOOKUP(Table1[[#This Row],[SyStudentId]],SSR!$A$2:$CC$4982,30,FALSE)</f>
        <v>16-Accepted</v>
      </c>
      <c r="AA130" s="160" t="str">
        <f>IF(VLOOKUP(Table1[[#This Row],[SyStudentId]],SSR!$A$2:$CC$4982,36,FALSE)="Bachelor of Science","BS Computer Science","Check Program")</f>
        <v>BS Computer Science</v>
      </c>
      <c r="AB130" s="160">
        <f>VLOOKUP(Table1[[#This Row],[SyStudentId]],SSR!$A$2:$CC$4982,37,FALSE)</f>
        <v>0</v>
      </c>
      <c r="AC130" s="160" t="str">
        <f>VLOOKUP(Table1[[#This Row],[SyStudentId]],SSR!$A$2:$CC$4982,42,FALSE)</f>
        <v xml:space="preserve">1140    </v>
      </c>
      <c r="AD130" s="160" t="str">
        <f>VLOOKUP(Table1[[#This Row],[SyStudentId]],SSR!$A$2:$CC$4982,46,FALSE)</f>
        <v>112</v>
      </c>
      <c r="AE130" s="160" t="str">
        <f>VLOOKUP(Table1[[#This Row],[SyStudentId]],SSR!$A$2:$CC$4982,65,FALSE)</f>
        <v>I</v>
      </c>
      <c r="AF130"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30" s="160" t="str">
        <f>VLOOKUP(Table1[[#This Row],[SyStudentId]],SSR!$A$2:$CC$4982,66,FALSE)</f>
        <v>July-October</v>
      </c>
      <c r="AH130" s="160">
        <f>IFERROR(VLOOKUP(Table1[[#This Row],[SyStudentId]],ISIR!$A$2:$X$1999,7,FALSE),"")</f>
        <v>0</v>
      </c>
      <c r="AI130" s="170">
        <f>IF(Table1[[#This Row],[EFCRaw]]="","",IF(Table1[[#This Row],[EFCRaw]]="No EFC","No EFC",_xlfn.NUMBERVALUE(Table1[[#This Row],[EFCRaw]])))</f>
        <v>0</v>
      </c>
      <c r="AJ130" s="167">
        <f>IFERROR(VLOOKUP(Table1[[#This Row],[SyStudentId]],ISIR!$A$2:$X$4999,19,FALSE),"")</f>
        <v>43804</v>
      </c>
      <c r="AK130" s="160" t="str">
        <f>IFERROR(VLOOKUP(Table1[[#This Row],[SyStudentId]],ISIR!$A$2:$X$4999,8,FALSE),"")</f>
        <v>N</v>
      </c>
      <c r="AL130" s="178" t="str">
        <f>IF(Table1[[#This Row],[VerReq]]="N","n/a","")</f>
        <v>n/a</v>
      </c>
      <c r="AM130" s="122"/>
      <c r="AN130" s="122"/>
      <c r="AO130" s="122"/>
      <c r="AP130" s="122"/>
      <c r="AQ130" s="122"/>
      <c r="AR130" s="122"/>
      <c r="AS130" s="122"/>
      <c r="AT130" s="122"/>
      <c r="AU130" s="122"/>
      <c r="AV130" s="122"/>
      <c r="AW130" s="122"/>
      <c r="AX130" s="122"/>
      <c r="AY130" s="122"/>
      <c r="AZ130" s="122"/>
      <c r="BA130" s="122"/>
      <c r="BB130" s="122"/>
      <c r="BC130" s="148"/>
      <c r="BD130" s="140" t="str">
        <f>IF(Table1[[#This Row],[VerReq]]="N","x","")</f>
        <v>x</v>
      </c>
      <c r="BE130" s="140" t="str">
        <f>IF(Table1[[#This Row],[VerReq]]="N","x","")</f>
        <v>x</v>
      </c>
      <c r="BF130" s="140" t="str">
        <f>IF(Table1[[#This Row],[VerReq]]="N","x","")</f>
        <v>x</v>
      </c>
      <c r="BG130" s="140" t="str">
        <f>IF(Table1[[#This Row],[VerReq]]="N","x","")</f>
        <v>x</v>
      </c>
      <c r="BH130" s="140" t="str">
        <f>IF(Table1[[#This Row],[VerReq]]="N","x","")</f>
        <v>x</v>
      </c>
      <c r="BI130" s="140" t="str">
        <f>IF(Table1[[#This Row],[VerReq]]="N","x","")</f>
        <v>x</v>
      </c>
      <c r="BJ130" s="181">
        <f>1-((COUNTBLANK(Table1[[#This Row],[ALESent]:[TaxTran]]))/(COUNT(Table1[[#This Row],[ALESent]:[TaxTran]])+COUNTBLANK(Table1[[#This Row],[ALESent]:[TaxTran]])))</f>
        <v>0</v>
      </c>
      <c r="BK130" s="216">
        <f>IF(VLOOKUP(Table1[[#This Row],[SyStudentId]],SSR!$A$2:$CC$4982,22,FALSE)=44109,44109,"Check Program")</f>
        <v>44109</v>
      </c>
      <c r="BL130" s="173">
        <f>IF(Table1[[#This Row],[AYStart]]=44109,44356,"Check Program")</f>
        <v>44356</v>
      </c>
      <c r="BM130" s="219">
        <v>8505</v>
      </c>
      <c r="BN130" s="219">
        <v>8505</v>
      </c>
      <c r="BO130" s="219">
        <v>8505</v>
      </c>
      <c r="BP130" s="220">
        <f t="shared" ref="BP130:BP193" si="6">SUM(BM130:BO130)</f>
        <v>25515</v>
      </c>
      <c r="BQ130" s="221">
        <v>3300</v>
      </c>
      <c r="BR130" s="219">
        <v>400</v>
      </c>
      <c r="BS130" s="219">
        <v>400</v>
      </c>
      <c r="BT130" s="222">
        <f t="shared" ref="BT130:BT193" si="7">SUM(BQ130:BS130)</f>
        <v>4100</v>
      </c>
      <c r="BU130" s="219">
        <v>2100</v>
      </c>
      <c r="BV130" s="219">
        <v>2100</v>
      </c>
      <c r="BW130" s="219">
        <v>2100</v>
      </c>
      <c r="BX130" s="222">
        <f t="shared" ref="BX130:BX193" si="8">SUM(BU130:BW130)</f>
        <v>6300</v>
      </c>
      <c r="BY130" s="275">
        <v>1200</v>
      </c>
      <c r="BZ130" s="275">
        <v>1200</v>
      </c>
      <c r="CA130" s="275">
        <v>1200</v>
      </c>
      <c r="CB130" s="222">
        <f>SUM(Table1[[#This Row],[LEQ1]:[LEQ3]])</f>
        <v>3600</v>
      </c>
      <c r="CC130" s="276">
        <v>0</v>
      </c>
      <c r="CD130" s="276">
        <v>0</v>
      </c>
      <c r="CE130" s="276">
        <v>0</v>
      </c>
      <c r="CF130" s="222">
        <f>SUM(Table1[[#This Row],[OthCostQ1]:[OthCostQ3]])</f>
        <v>0</v>
      </c>
      <c r="CG130" s="222">
        <f>(Table1[[#This Row],[T&amp;FTot]]+Table1[[#This Row],[B&amp;STot]]+Table1[[#This Row],[HousTot]]+Table1[[#This Row],[LETot]]+Table1[[#This Row],[OthCostTot]])</f>
        <v>39515</v>
      </c>
      <c r="CH130" s="253">
        <v>0</v>
      </c>
      <c r="CI130" s="253">
        <v>0</v>
      </c>
      <c r="CJ130" s="253">
        <v>0</v>
      </c>
      <c r="CK130" s="254">
        <f>SUM(Table1[[#This Row],[SEOGQ1]:[SEOGQ3]])</f>
        <v>0</v>
      </c>
      <c r="CL130" s="253">
        <f>IFERROR(ROUNDUP(Table1[[#This Row],[PellTot]]/3,0),0)</f>
        <v>2065</v>
      </c>
      <c r="CM130" s="253">
        <f>IFERROR(ROUND(Table1[[#This Row],[PellTot]]/3,0),0)</f>
        <v>2065</v>
      </c>
      <c r="CN130" s="253">
        <f>IFERROR(ROUNDDOWN(Table1[[#This Row],[PellTot]]/3,0),0)</f>
        <v>2065</v>
      </c>
      <c r="CO130" s="254">
        <f>IFERROR(LOOKUP(Table1[EFC],Pell_Table[#Data],Pell_Table[Pell Amt]),0)</f>
        <v>6195</v>
      </c>
      <c r="CP130" s="253">
        <f>Table1[[#This Row],[AccessTot]]/3</f>
        <v>500</v>
      </c>
      <c r="CQ130" s="253">
        <f>Table1[[#This Row],[AccessTot]]/3</f>
        <v>500</v>
      </c>
      <c r="CR130" s="253">
        <f>Table1[[#This Row],[AccessTot]]/3</f>
        <v>500</v>
      </c>
      <c r="CS130" s="254">
        <f>IF(Table1[[#This Row],[PellTot]]&gt;0,1500,0)</f>
        <v>1500</v>
      </c>
      <c r="CT130" s="253">
        <f>Table1[[#This Row],[AchiTot]]/3</f>
        <v>1700</v>
      </c>
      <c r="CU130" s="253">
        <f>Table1[[#This Row],[AchiTot]]/3</f>
        <v>1700</v>
      </c>
      <c r="CV130" s="253">
        <f>Table1[[#This Row],[AchiTot]]/3</f>
        <v>1700</v>
      </c>
      <c r="CW130" s="255">
        <f>IF(Table1[[#This Row],[Rank]]="","",IF(Table1[[#This Row],[Rank]]=1,5100,IF(Table1[[#This Row],[Rank]]=2,4500,IF(Table1[[#This Row],[Rank]]=3,3900,IF(Table1[[#This Row],[Rank]]=4,3750,IF(Table1[[#This Row],[Rank]]=5,3000,IF(Table1[[#This Row],[Rank]]=6,2250,0)))))))</f>
        <v>5100</v>
      </c>
      <c r="CX130" s="253">
        <f>Table1[[#This Row],[UTTot]]/3</f>
        <v>0</v>
      </c>
      <c r="CY130" s="253">
        <f>Table1[[#This Row],[UTTot]]/3</f>
        <v>0</v>
      </c>
      <c r="CZ130" s="253">
        <f>Table1[[#This Row],[UTTot]]/3</f>
        <v>0</v>
      </c>
      <c r="DA130" s="254">
        <f>IF(Table1[[#This Row],[State]]="UT",9000,0)</f>
        <v>0</v>
      </c>
      <c r="DB130" s="253">
        <f>Table1[[#This Row],[WITTot]]/3</f>
        <v>0</v>
      </c>
      <c r="DC130" s="253">
        <f>Table1[[#This Row],[WITTot]]/3</f>
        <v>0</v>
      </c>
      <c r="DD130" s="253">
        <f>Table1[[#This Row],[WITTot]]/3</f>
        <v>0</v>
      </c>
      <c r="DE130" s="254">
        <f>IF(Table1[[#This Row],[Gender]]="Female",3000,0)</f>
        <v>0</v>
      </c>
      <c r="DF130" s="253">
        <f>Table1[[#This Row],[SerTot]]/3</f>
        <v>0</v>
      </c>
      <c r="DG130" s="253">
        <f>Table1[[#This Row],[SerTot]]/3</f>
        <v>0</v>
      </c>
      <c r="DH130" s="253">
        <f>Table1[[#This Row],[SerTot]]/3</f>
        <v>0</v>
      </c>
      <c r="DI130" s="255">
        <v>0</v>
      </c>
      <c r="DJ130" s="253">
        <f>IFERROR(ROUNDUP(Table1[[#This Row],[TranTot]]/3,0),0)</f>
        <v>0</v>
      </c>
      <c r="DK130" s="253">
        <f>IFERROR(ROUND(Table1[[#This Row],[TranTot]]/3,0),0)</f>
        <v>0</v>
      </c>
      <c r="DL130" s="253">
        <f>IFERROR(ROUNDDOWN(Table1[[#This Row],[TranTot]]/3,0),0)</f>
        <v>0</v>
      </c>
      <c r="DM130" s="255">
        <v>0</v>
      </c>
      <c r="DN130" s="253">
        <f>Table1[[#This Row],[MatTot]]/3</f>
        <v>0</v>
      </c>
      <c r="DO130" s="253">
        <f>Table1[[#This Row],[MatTot]]/3</f>
        <v>0</v>
      </c>
      <c r="DP130" s="253">
        <f>Table1[[#This Row],[MatTot]]/3</f>
        <v>0</v>
      </c>
      <c r="DQ130" s="255">
        <v>0</v>
      </c>
      <c r="DR130" s="253">
        <f>Table1[[#This Row],[OutTot]]/3</f>
        <v>0</v>
      </c>
      <c r="DS130" s="253">
        <f>Table1[[#This Row],[OutTot]]/3</f>
        <v>0</v>
      </c>
      <c r="DT130" s="253">
        <f>Table1[[#This Row],[OutTot]]/3</f>
        <v>0</v>
      </c>
      <c r="DU130" s="255">
        <v>0</v>
      </c>
      <c r="DV130" s="259">
        <v>0</v>
      </c>
      <c r="DW130" s="259">
        <v>0</v>
      </c>
      <c r="DX130" s="259">
        <v>0</v>
      </c>
      <c r="DY130" s="261">
        <f>SUM(Table1[[#This Row],[VAQ1]:[VAQ3]])</f>
        <v>0</v>
      </c>
      <c r="DZ130" s="253">
        <v>0</v>
      </c>
      <c r="EA130" s="253">
        <v>0</v>
      </c>
      <c r="EB130" s="253">
        <v>0</v>
      </c>
      <c r="EC130" s="278">
        <f>SUM(Table1[[#This Row],[OthGrantQ1]:[OthGrantQ3]])</f>
        <v>0</v>
      </c>
      <c r="ED130" s="264">
        <f>Table1[[#This Row],[SEOGTot]]+Table1[[#This Row],[PellTot]]+Table1[[#This Row],[AccessTot]]+Table1[[#This Row],[AchiTot]]+Table1[[#This Row],[UTTot]]+Table1[[#This Row],[WITTot]]+Table1[[#This Row],[SerTot]]+Table1[[#This Row],[TranTot]]+Table1[[#This Row],[MatTot]]+Table1[[#This Row],[OutTot]]+Table1[[#This Row],[VATot]]+Table1[[#This Row],[OthGrantTot]]</f>
        <v>12795</v>
      </c>
      <c r="EE130" s="226">
        <v>0</v>
      </c>
      <c r="EF130" s="227">
        <v>0</v>
      </c>
      <c r="EG130" s="227">
        <v>0</v>
      </c>
      <c r="EH130" s="228">
        <f>SUM(Table1[[#This Row],[CashQ1]]:Table1[[#This Row],[CashQ3]])</f>
        <v>0</v>
      </c>
      <c r="EI130" s="229">
        <f>ROUND((Table1[[#This Row],[SubTot]]/3)/1.01059,0)</f>
        <v>1154</v>
      </c>
      <c r="EJ130" s="230">
        <f>ROUND((Table1[[#This Row],[SubTot]]/3)/1.01059,0)</f>
        <v>1154</v>
      </c>
      <c r="EK130" s="230">
        <f>ROUNDUP((Table1[[#This Row],[SubTot]]/3)/1.01059,0)</f>
        <v>1155</v>
      </c>
      <c r="EL130" s="231">
        <v>3500</v>
      </c>
      <c r="EM130" s="233">
        <f>Table1[[#This Row],[SubTot]]*0.01059</f>
        <v>37.065000000000005</v>
      </c>
      <c r="EN130" s="230">
        <f>ROUND((Table1[[#This Row],[UnsubTot]]/3)/1.01062,0)</f>
        <v>660</v>
      </c>
      <c r="EO130" s="230">
        <f>ROUND((Table1[[#This Row],[UnsubTot]]/3)/1.01062,0)</f>
        <v>660</v>
      </c>
      <c r="EP130" s="230">
        <f>ROUNDDOWN((Table1[[#This Row],[UnsubTot]]/3)/1.01062,0)</f>
        <v>659</v>
      </c>
      <c r="EQ130" s="231">
        <f>IF(Table1[D/I]="I",6000,2000)</f>
        <v>2000</v>
      </c>
      <c r="ER130" s="233">
        <f>Table1[[#This Row],[UnsubTot]]*0.01059</f>
        <v>21.18</v>
      </c>
      <c r="ES130" s="230">
        <f>ROUND((Table1[[#This Row],[PLUSTot]]/3)/1.04236,0)</f>
        <v>0</v>
      </c>
      <c r="ET130" s="230">
        <f>ROUND((Table1[[#This Row],[PLUSTot]]/3)/1.04236,0)</f>
        <v>0</v>
      </c>
      <c r="EU130" s="230">
        <f>ROUND((Table1[[#This Row],[PLUSTot]]/3)/1.04236,0)</f>
        <v>0</v>
      </c>
      <c r="EV130" s="231">
        <v>0</v>
      </c>
      <c r="EW130" s="236">
        <f>Table1[[#This Row],[PLUSTot]]*0.04236</f>
        <v>0</v>
      </c>
      <c r="EX130" s="227"/>
      <c r="EY130" s="227"/>
      <c r="EZ130" s="227"/>
      <c r="FA130" s="228">
        <f>SUM(Table1[[#This Row],[PrivQ1]:[PrivQ3]])</f>
        <v>0</v>
      </c>
      <c r="FB130" s="227"/>
      <c r="FC130" s="227"/>
      <c r="FD130" s="227"/>
      <c r="FE130" s="228">
        <f>SUM(Table1[[#This Row],[TOQ1]:[TOQ3]])</f>
        <v>0</v>
      </c>
      <c r="FF130" s="227"/>
      <c r="FG130" s="227"/>
      <c r="FH130" s="227"/>
      <c r="FI130" s="228">
        <f>SUM(Table1[[#This Row],[OFundQ1]:[OFundQ3]])</f>
        <v>0</v>
      </c>
      <c r="FJ130" s="236">
        <f>(Table1[[#This Row],[SubTot]]-Table1[[#This Row],[SubFee]])+(Table1[[#This Row],[UnsubTot]]-Table1[[#This Row],[UnsubFee]])+(Table1[[#This Row],[PLUSTot]]-Table1[[#This Row],[PLUSFee]])+Table1[[#This Row],[PrivTot]]+Table1[[#This Row],[TOTot]]+Table1[[#This Row],[OFundTot]]</f>
        <v>5441.7550000000001</v>
      </c>
      <c r="FK130" s="159">
        <f>Table1[[#This Row],[CostTot]]-Table1[[#This Row],[GiftTot]]</f>
        <v>26720</v>
      </c>
      <c r="FL130" s="174">
        <f>Table1[[#This Row],[NetNeed]]/(1-0.04236)</f>
        <v>22219.461384236245</v>
      </c>
      <c r="FM130" s="176">
        <f>Table1[[#This Row],[NetCost]]-Table1[[#This Row],[CashTot]]-(Table1[[#This Row],[SubTot]]-Table1[[#This Row],[SubFee]])-(Table1[[#This Row],[UnsubTot]]-Table1[[#This Row],[UnsubFee]])-(Table1[[#This Row],[PLUSTot]]-Table1[[#This Row],[PLUSFee]])-Table1[[#This Row],[PrivTot]]-Table1[[#This Row],[TOTot]]-Table1[[#This Row],[OFundTot]]</f>
        <v>21278.244999999999</v>
      </c>
      <c r="FN130" s="217"/>
      <c r="FO130" s="162"/>
      <c r="FP130" s="162"/>
    </row>
    <row r="131" spans="1:172" ht="15" x14ac:dyDescent="0.25">
      <c r="A131" s="296">
        <v>196572</v>
      </c>
      <c r="B131" s="160" t="str">
        <f>VLOOKUP(Table1[[#This Row],[SyStudentId]],SSR!$A$2:$CC$4982,4,FALSE)</f>
        <v>Shannon</v>
      </c>
      <c r="C131" s="160" t="str">
        <f>VLOOKUP(Table1[[#This Row],[SyStudentId]],SSR!$A$2:$CC$4982,5,FALSE)</f>
        <v>Heather</v>
      </c>
      <c r="D131" s="160" t="str">
        <f>VLOOKUP(Table1[[#This Row],[SyStudentId]],SSR!$A$2:$CC$4982,6,FALSE)</f>
        <v>Shannon, Heather</v>
      </c>
      <c r="E131" s="113" t="str">
        <f>CONCATENATE(Table1[[#This Row],[FirstName]]," ",Table1[[#This Row],[LastName]])</f>
        <v>Heather Shannon</v>
      </c>
      <c r="F131" s="158"/>
      <c r="G131" s="114"/>
      <c r="H131" s="114"/>
      <c r="I131" s="114"/>
      <c r="J131" s="163"/>
      <c r="K131" s="164"/>
      <c r="L131" s="158" t="str">
        <f>IFERROR(VLOOKUP(Table1[[#This Row],[SyStudentId]],ISIR!$A$2:$X$4999,11,FALSE),"")</f>
        <v>D</v>
      </c>
      <c r="M131" s="160" t="str">
        <f>VLOOKUP(Table1[[#This Row],[SyStudentId]],SSR!$A$2:$CC$4982,7,FALSE)</f>
        <v>heather216shannon@gmail.com</v>
      </c>
      <c r="N131" s="160" t="str">
        <f>VLOOKUP(Table1[[#This Row],[SyStudentId]],SSR!$A$2:$CC$4982,8,FALSE)</f>
        <v>1880 Elvester Rd</v>
      </c>
      <c r="O131" s="160" t="str">
        <f>VLOOKUP(Table1[[#This Row],[SyStudentId]],SSR!$A$2:$CC$4982,9,FALSE)</f>
        <v>Warrior</v>
      </c>
      <c r="P131" s="294" t="str">
        <f>VLOOKUP(Table1[[#This Row],[SyStudentId]],SSR!$A$2:$CC$4982,10,FALSE)</f>
        <v>AL</v>
      </c>
      <c r="Q131" s="165" t="str">
        <f>VLOOKUP(Table1[[#This Row],[SyStudentId]],SSR!$A$2:$CC$4982,11,FALSE)</f>
        <v xml:space="preserve">35180     </v>
      </c>
      <c r="R131" s="166">
        <f>VLOOKUP(Table1[[#This Row],[SyStudentId]],SSR!$A$2:$CC$4982,15,FALSE)</f>
        <v>3.6269999999999998</v>
      </c>
      <c r="S131" s="167">
        <f>VLOOKUP(Table1[[#This Row],[SyStudentId]],SSR!$A$2:$CC$4982,22,FALSE)</f>
        <v>44109</v>
      </c>
      <c r="T131" s="160" t="str">
        <f>VLOOKUP(Table1[[#This Row],[SyStudentId]],SSR!$A$2:$CC$4982,24,FALSE)</f>
        <v>JT</v>
      </c>
      <c r="U131" s="160" t="str">
        <f>IF(VLOOKUP(Table1[[#This Row],[SyStudentId]],SSR!$A$2:$CC$4982,26,FALSE)=0,"Not Selected",VLOOKUP(Table1[[#This Row],[SyStudentId]],SSR!$A$2:$CC$4982,26,FALSE))</f>
        <v>Female</v>
      </c>
      <c r="V131" s="160" t="str">
        <f>VLOOKUP(Table1[[#This Row],[SyStudentId]],SSR!$A$2:$CC$4982,27,FALSE)</f>
        <v xml:space="preserve">HS2020  </v>
      </c>
      <c r="W131" s="160" t="str">
        <f>VLOOKUP(LEFT(Table1[[#This Row],[LastName]],1),Alpha!$A$1:$B$26,2,FALSE)</f>
        <v>Maureen Ranks</v>
      </c>
      <c r="X131" s="168" t="str">
        <f>VLOOKUP(Table1[[#This Row],[FAA]],Alpha!$B$1:$D$26,2,FALSE)</f>
        <v>mranks@neumont.edu</v>
      </c>
      <c r="Y131" s="160">
        <f>VLOOKUP(Table1[[#This Row],[FAA]],Alpha!$B$1:$D$26,3,FALSE)</f>
        <v>8883022894</v>
      </c>
      <c r="Z131" s="215" t="str">
        <f>VLOOKUP(Table1[[#This Row],[SyStudentId]],SSR!$A$2:$CC$4982,30,FALSE)</f>
        <v>16-Accepted</v>
      </c>
      <c r="AA131" s="160" t="str">
        <f>IF(VLOOKUP(Table1[[#This Row],[SyStudentId]],SSR!$A$2:$CC$4982,36,FALSE)="Bachelor of Science","BS Computer Science","Check Program")</f>
        <v>BS Computer Science</v>
      </c>
      <c r="AB131" s="160">
        <f>VLOOKUP(Table1[[#This Row],[SyStudentId]],SSR!$A$2:$CC$4982,37,FALSE)</f>
        <v>0</v>
      </c>
      <c r="AC131" s="160">
        <f>VLOOKUP(Table1[[#This Row],[SyStudentId]],SSR!$A$2:$CC$4982,42,FALSE)</f>
        <v>0</v>
      </c>
      <c r="AD131" s="160" t="str">
        <f>VLOOKUP(Table1[[#This Row],[SyStudentId]],SSR!$A$2:$CC$4982,46,FALSE)</f>
        <v>0</v>
      </c>
      <c r="AE131" s="160" t="str">
        <f>VLOOKUP(Table1[[#This Row],[SyStudentId]],SSR!$A$2:$CC$4982,65,FALSE)</f>
        <v>VI</v>
      </c>
      <c r="AF131"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6</v>
      </c>
      <c r="AG131" s="160" t="str">
        <f>VLOOKUP(Table1[[#This Row],[SyStudentId]],SSR!$A$2:$CC$4982,66,FALSE)</f>
        <v>July-October</v>
      </c>
      <c r="AH131" s="160" t="str">
        <f>IFERROR(VLOOKUP(Table1[[#This Row],[SyStudentId]],ISIR!$A$2:$X$1999,7,FALSE),"")</f>
        <v>000000</v>
      </c>
      <c r="AI131" s="170">
        <f>IF(Table1[[#This Row],[EFCRaw]]="","",IF(Table1[[#This Row],[EFCRaw]]="No EFC","No EFC",_xlfn.NUMBERVALUE(Table1[[#This Row],[EFCRaw]])))</f>
        <v>0</v>
      </c>
      <c r="AJ131" s="167">
        <f>IFERROR(VLOOKUP(Table1[[#This Row],[SyStudentId]],ISIR!$A$2:$X$4999,19,FALSE),"")</f>
        <v>43776</v>
      </c>
      <c r="AK131" s="160" t="str">
        <f>IFERROR(VLOOKUP(Table1[[#This Row],[SyStudentId]],ISIR!$A$2:$X$4999,8,FALSE),"")</f>
        <v>N</v>
      </c>
      <c r="AL131" s="171" t="str">
        <f>IF(Table1[[#This Row],[VerReq]]="N","n/a","")</f>
        <v>n/a</v>
      </c>
      <c r="AM131" s="122"/>
      <c r="AN131" s="122"/>
      <c r="AO131" s="122"/>
      <c r="AP131" s="122"/>
      <c r="AQ131" s="122"/>
      <c r="AR131" s="122"/>
      <c r="AS131" s="122"/>
      <c r="AT131" s="122"/>
      <c r="AU131" s="122"/>
      <c r="AV131" s="122"/>
      <c r="AW131" s="122"/>
      <c r="AX131" s="122"/>
      <c r="AY131" s="122"/>
      <c r="AZ131" s="122"/>
      <c r="BA131" s="122"/>
      <c r="BB131" s="122"/>
      <c r="BC131" s="148"/>
      <c r="BD131" s="140" t="str">
        <f>IF(Table1[[#This Row],[VerReq]]="N","x","")</f>
        <v>x</v>
      </c>
      <c r="BE131" s="140" t="str">
        <f>IF(Table1[[#This Row],[VerReq]]="N","x","")</f>
        <v>x</v>
      </c>
      <c r="BF131" s="140" t="str">
        <f>IF(Table1[[#This Row],[VerReq]]="N","x","")</f>
        <v>x</v>
      </c>
      <c r="BG131" s="140" t="str">
        <f>IF(Table1[[#This Row],[VerReq]]="N","x","")</f>
        <v>x</v>
      </c>
      <c r="BH131" s="140" t="str">
        <f>IF(Table1[[#This Row],[VerReq]]="N","x","")</f>
        <v>x</v>
      </c>
      <c r="BI131" s="140" t="str">
        <f>IF(Table1[[#This Row],[VerReq]]="N","x","")</f>
        <v>x</v>
      </c>
      <c r="BJ131" s="181">
        <f>1-((COUNTBLANK(Table1[[#This Row],[ALESent]:[TaxTran]]))/(COUNT(Table1[[#This Row],[ALESent]:[TaxTran]])+COUNTBLANK(Table1[[#This Row],[ALESent]:[TaxTran]])))</f>
        <v>0</v>
      </c>
      <c r="BK131" s="216">
        <f>IF(VLOOKUP(Table1[[#This Row],[SyStudentId]],SSR!$A$2:$CC$4982,22,FALSE)=44109,44109,"Check Program")</f>
        <v>44109</v>
      </c>
      <c r="BL131" s="173">
        <f>IF(Table1[[#This Row],[AYStart]]=44109,44356,"Check Program")</f>
        <v>44356</v>
      </c>
      <c r="BM131" s="219">
        <v>8505</v>
      </c>
      <c r="BN131" s="219">
        <v>8505</v>
      </c>
      <c r="BO131" s="219">
        <v>8505</v>
      </c>
      <c r="BP131" s="220">
        <f t="shared" si="6"/>
        <v>25515</v>
      </c>
      <c r="BQ131" s="221">
        <v>3300</v>
      </c>
      <c r="BR131" s="219">
        <v>400</v>
      </c>
      <c r="BS131" s="219">
        <v>400</v>
      </c>
      <c r="BT131" s="222">
        <f t="shared" si="7"/>
        <v>4100</v>
      </c>
      <c r="BU131" s="219">
        <v>2100</v>
      </c>
      <c r="BV131" s="219">
        <v>2100</v>
      </c>
      <c r="BW131" s="219">
        <v>2100</v>
      </c>
      <c r="BX131" s="222">
        <f t="shared" si="8"/>
        <v>6300</v>
      </c>
      <c r="BY131" s="275">
        <v>1200</v>
      </c>
      <c r="BZ131" s="275">
        <v>1200</v>
      </c>
      <c r="CA131" s="275">
        <v>1200</v>
      </c>
      <c r="CB131" s="222">
        <f>SUM(Table1[[#This Row],[LEQ1]:[LEQ3]])</f>
        <v>3600</v>
      </c>
      <c r="CC131" s="276">
        <v>0</v>
      </c>
      <c r="CD131" s="276">
        <v>0</v>
      </c>
      <c r="CE131" s="276">
        <v>0</v>
      </c>
      <c r="CF131" s="222">
        <f>SUM(Table1[[#This Row],[OthCostQ1]:[OthCostQ3]])</f>
        <v>0</v>
      </c>
      <c r="CG131" s="222">
        <f>(Table1[[#This Row],[T&amp;FTot]]+Table1[[#This Row],[B&amp;STot]]+Table1[[#This Row],[HousTot]]+Table1[[#This Row],[LETot]]+Table1[[#This Row],[OthCostTot]])</f>
        <v>39515</v>
      </c>
      <c r="CH131" s="253">
        <v>0</v>
      </c>
      <c r="CI131" s="253">
        <v>0</v>
      </c>
      <c r="CJ131" s="253">
        <v>0</v>
      </c>
      <c r="CK131" s="254">
        <f>SUM(Table1[[#This Row],[SEOGQ1]:[SEOGQ3]])</f>
        <v>0</v>
      </c>
      <c r="CL131" s="253">
        <f>IFERROR(ROUNDUP(Table1[[#This Row],[PellTot]]/3,0),0)</f>
        <v>2065</v>
      </c>
      <c r="CM131" s="253">
        <f>IFERROR(ROUND(Table1[[#This Row],[PellTot]]/3,0),0)</f>
        <v>2065</v>
      </c>
      <c r="CN131" s="253">
        <f>IFERROR(ROUNDDOWN(Table1[[#This Row],[PellTot]]/3,0),0)</f>
        <v>2065</v>
      </c>
      <c r="CO131" s="254">
        <f>IFERROR(LOOKUP(Table1[EFC],Pell_Table[#Data],Pell_Table[Pell Amt]),0)</f>
        <v>6195</v>
      </c>
      <c r="CP131" s="253">
        <f>Table1[[#This Row],[AccessTot]]/3</f>
        <v>500</v>
      </c>
      <c r="CQ131" s="253">
        <f>Table1[[#This Row],[AccessTot]]/3</f>
        <v>500</v>
      </c>
      <c r="CR131" s="253">
        <f>Table1[[#This Row],[AccessTot]]/3</f>
        <v>500</v>
      </c>
      <c r="CS131" s="254">
        <f>IF(Table1[[#This Row],[PellTot]]&gt;0,1500,0)</f>
        <v>1500</v>
      </c>
      <c r="CT131" s="253">
        <f>Table1[[#This Row],[AchiTot]]/3</f>
        <v>750</v>
      </c>
      <c r="CU131" s="253">
        <f>Table1[[#This Row],[AchiTot]]/3</f>
        <v>750</v>
      </c>
      <c r="CV131" s="253">
        <f>Table1[[#This Row],[AchiTot]]/3</f>
        <v>750</v>
      </c>
      <c r="CW131" s="255">
        <f>IF(Table1[[#This Row],[Rank]]="","",IF(Table1[[#This Row],[Rank]]=1,5100,IF(Table1[[#This Row],[Rank]]=2,4500,IF(Table1[[#This Row],[Rank]]=3,3900,IF(Table1[[#This Row],[Rank]]=4,3750,IF(Table1[[#This Row],[Rank]]=5,3000,IF(Table1[[#This Row],[Rank]]=6,2250,0)))))))</f>
        <v>2250</v>
      </c>
      <c r="CX131" s="253">
        <f>Table1[[#This Row],[UTTot]]/3</f>
        <v>0</v>
      </c>
      <c r="CY131" s="253">
        <f>Table1[[#This Row],[UTTot]]/3</f>
        <v>0</v>
      </c>
      <c r="CZ131" s="253">
        <f>Table1[[#This Row],[UTTot]]/3</f>
        <v>0</v>
      </c>
      <c r="DA131" s="254">
        <f>IF(Table1[[#This Row],[State]]="UT",9000,0)</f>
        <v>0</v>
      </c>
      <c r="DB131" s="253">
        <f>Table1[[#This Row],[WITTot]]/3</f>
        <v>1000</v>
      </c>
      <c r="DC131" s="253">
        <f>Table1[[#This Row],[WITTot]]/3</f>
        <v>1000</v>
      </c>
      <c r="DD131" s="253">
        <f>Table1[[#This Row],[WITTot]]/3</f>
        <v>1000</v>
      </c>
      <c r="DE131" s="254">
        <f>IF(Table1[[#This Row],[Gender]]="Female",3000,0)</f>
        <v>3000</v>
      </c>
      <c r="DF131" s="253">
        <f>Table1[[#This Row],[SerTot]]/3</f>
        <v>0</v>
      </c>
      <c r="DG131" s="253">
        <f>Table1[[#This Row],[SerTot]]/3</f>
        <v>0</v>
      </c>
      <c r="DH131" s="253">
        <f>Table1[[#This Row],[SerTot]]/3</f>
        <v>0</v>
      </c>
      <c r="DI131" s="255">
        <v>0</v>
      </c>
      <c r="DJ131" s="253">
        <f>IFERROR(ROUNDUP(Table1[[#This Row],[TranTot]]/3,0),0)</f>
        <v>0</v>
      </c>
      <c r="DK131" s="253">
        <f>IFERROR(ROUND(Table1[[#This Row],[TranTot]]/3,0),0)</f>
        <v>0</v>
      </c>
      <c r="DL131" s="253">
        <f>IFERROR(ROUNDDOWN(Table1[[#This Row],[TranTot]]/3,0),0)</f>
        <v>0</v>
      </c>
      <c r="DM131" s="255">
        <v>0</v>
      </c>
      <c r="DN131" s="253">
        <f>Table1[[#This Row],[MatTot]]/3</f>
        <v>0</v>
      </c>
      <c r="DO131" s="253">
        <f>Table1[[#This Row],[MatTot]]/3</f>
        <v>0</v>
      </c>
      <c r="DP131" s="253">
        <f>Table1[[#This Row],[MatTot]]/3</f>
        <v>0</v>
      </c>
      <c r="DQ131" s="255">
        <v>0</v>
      </c>
      <c r="DR131" s="253">
        <f>Table1[[#This Row],[OutTot]]/3</f>
        <v>0</v>
      </c>
      <c r="DS131" s="253">
        <f>Table1[[#This Row],[OutTot]]/3</f>
        <v>0</v>
      </c>
      <c r="DT131" s="253">
        <f>Table1[[#This Row],[OutTot]]/3</f>
        <v>0</v>
      </c>
      <c r="DU131" s="255">
        <v>0</v>
      </c>
      <c r="DV131" s="259">
        <v>0</v>
      </c>
      <c r="DW131" s="259">
        <v>0</v>
      </c>
      <c r="DX131" s="259">
        <v>0</v>
      </c>
      <c r="DY131" s="261">
        <f>SUM(Table1[[#This Row],[VAQ1]:[VAQ3]])</f>
        <v>0</v>
      </c>
      <c r="DZ131" s="253">
        <v>0</v>
      </c>
      <c r="EA131" s="253">
        <v>0</v>
      </c>
      <c r="EB131" s="253">
        <v>0</v>
      </c>
      <c r="EC131" s="278">
        <f>SUM(Table1[[#This Row],[OthGrantQ1]:[OthGrantQ3]])</f>
        <v>0</v>
      </c>
      <c r="ED131" s="264">
        <f>Table1[[#This Row],[SEOGTot]]+Table1[[#This Row],[PellTot]]+Table1[[#This Row],[AccessTot]]+Table1[[#This Row],[AchiTot]]+Table1[[#This Row],[UTTot]]+Table1[[#This Row],[WITTot]]+Table1[[#This Row],[SerTot]]+Table1[[#This Row],[TranTot]]+Table1[[#This Row],[MatTot]]+Table1[[#This Row],[OutTot]]+Table1[[#This Row],[VATot]]+Table1[[#This Row],[OthGrantTot]]</f>
        <v>12945</v>
      </c>
      <c r="EE131" s="226">
        <v>0</v>
      </c>
      <c r="EF131" s="227">
        <v>0</v>
      </c>
      <c r="EG131" s="227">
        <v>0</v>
      </c>
      <c r="EH131" s="228">
        <f>SUM(Table1[[#This Row],[CashQ1]]:Table1[[#This Row],[CashQ3]])</f>
        <v>0</v>
      </c>
      <c r="EI131" s="229">
        <f>ROUND((Table1[[#This Row],[SubTot]]/3)/1.01059,0)</f>
        <v>1154</v>
      </c>
      <c r="EJ131" s="230">
        <f>ROUND((Table1[[#This Row],[SubTot]]/3)/1.01059,0)</f>
        <v>1154</v>
      </c>
      <c r="EK131" s="230">
        <f>ROUNDUP((Table1[[#This Row],[SubTot]]/3)/1.01059,0)</f>
        <v>1155</v>
      </c>
      <c r="EL131" s="231">
        <v>3500</v>
      </c>
      <c r="EM131" s="233">
        <f>Table1[[#This Row],[SubTot]]*0.01059</f>
        <v>37.065000000000005</v>
      </c>
      <c r="EN131" s="230">
        <f>ROUND((Table1[[#This Row],[UnsubTot]]/3)/1.01062,0)</f>
        <v>660</v>
      </c>
      <c r="EO131" s="230">
        <f>ROUND((Table1[[#This Row],[UnsubTot]]/3)/1.01062,0)</f>
        <v>660</v>
      </c>
      <c r="EP131" s="230">
        <f>ROUNDDOWN((Table1[[#This Row],[UnsubTot]]/3)/1.01062,0)</f>
        <v>659</v>
      </c>
      <c r="EQ131" s="231">
        <f>IF(Table1[D/I]="I",6000,2000)</f>
        <v>2000</v>
      </c>
      <c r="ER131" s="233">
        <f>Table1[[#This Row],[UnsubTot]]*0.01059</f>
        <v>21.18</v>
      </c>
      <c r="ES131" s="230">
        <f>ROUND((Table1[[#This Row],[PLUSTot]]/3)/1.04236,0)</f>
        <v>0</v>
      </c>
      <c r="ET131" s="230">
        <f>ROUND((Table1[[#This Row],[PLUSTot]]/3)/1.04236,0)</f>
        <v>0</v>
      </c>
      <c r="EU131" s="230">
        <f>ROUND((Table1[[#This Row],[PLUSTot]]/3)/1.04236,0)</f>
        <v>0</v>
      </c>
      <c r="EV131" s="231">
        <v>0</v>
      </c>
      <c r="EW131" s="236">
        <f>Table1[[#This Row],[PLUSTot]]*0.04236</f>
        <v>0</v>
      </c>
      <c r="EX131" s="227"/>
      <c r="EY131" s="227"/>
      <c r="EZ131" s="227"/>
      <c r="FA131" s="228">
        <f>SUM(Table1[[#This Row],[PrivQ1]:[PrivQ3]])</f>
        <v>0</v>
      </c>
      <c r="FB131" s="227"/>
      <c r="FC131" s="227"/>
      <c r="FD131" s="227"/>
      <c r="FE131" s="228">
        <f>SUM(Table1[[#This Row],[TOQ1]:[TOQ3]])</f>
        <v>0</v>
      </c>
      <c r="FF131" s="227"/>
      <c r="FG131" s="227"/>
      <c r="FH131" s="227"/>
      <c r="FI131" s="228">
        <f>SUM(Table1[[#This Row],[OFundQ1]:[OFundQ3]])</f>
        <v>0</v>
      </c>
      <c r="FJ131" s="236">
        <f>(Table1[[#This Row],[SubTot]]-Table1[[#This Row],[SubFee]])+(Table1[[#This Row],[UnsubTot]]-Table1[[#This Row],[UnsubFee]])+(Table1[[#This Row],[PLUSTot]]-Table1[[#This Row],[PLUSFee]])+Table1[[#This Row],[PrivTot]]+Table1[[#This Row],[TOTot]]+Table1[[#This Row],[OFundTot]]</f>
        <v>5441.7550000000001</v>
      </c>
      <c r="FK131" s="159">
        <f>Table1[[#This Row],[CostTot]]-Table1[[#This Row],[GiftTot]]</f>
        <v>26570</v>
      </c>
      <c r="FL131" s="174">
        <f>Table1[[#This Row],[NetNeed]]/(1-0.04236)</f>
        <v>22062.826323044148</v>
      </c>
      <c r="FM131" s="176">
        <f>Table1[[#This Row],[NetCost]]-Table1[[#This Row],[CashTot]]-(Table1[[#This Row],[SubTot]]-Table1[[#This Row],[SubFee]])-(Table1[[#This Row],[UnsubTot]]-Table1[[#This Row],[UnsubFee]])-(Table1[[#This Row],[PLUSTot]]-Table1[[#This Row],[PLUSFee]])-Table1[[#This Row],[PrivTot]]-Table1[[#This Row],[TOTot]]-Table1[[#This Row],[OFundTot]]</f>
        <v>21128.244999999999</v>
      </c>
      <c r="FN131" s="217"/>
      <c r="FO131" s="162"/>
      <c r="FP131" s="162"/>
    </row>
    <row r="132" spans="1:172" ht="15" x14ac:dyDescent="0.25">
      <c r="A132" s="296">
        <v>198251</v>
      </c>
      <c r="B132" s="160" t="str">
        <f>VLOOKUP(Table1[[#This Row],[SyStudentId]],SSR!$A$2:$CC$4982,4,FALSE)</f>
        <v>Sharbaugh</v>
      </c>
      <c r="C132" s="160" t="str">
        <f>VLOOKUP(Table1[[#This Row],[SyStudentId]],SSR!$A$2:$CC$4982,5,FALSE)</f>
        <v>Michael</v>
      </c>
      <c r="D132" s="160" t="str">
        <f>VLOOKUP(Table1[[#This Row],[SyStudentId]],SSR!$A$2:$CC$4982,6,FALSE)</f>
        <v>Sharbaugh, Michael</v>
      </c>
      <c r="E132" s="113" t="str">
        <f>CONCATENATE(Table1[[#This Row],[FirstName]]," ",Table1[[#This Row],[LastName]])</f>
        <v>Michael Sharbaugh</v>
      </c>
      <c r="F132" s="158">
        <v>1</v>
      </c>
      <c r="G132" s="114"/>
      <c r="H132" s="114"/>
      <c r="I132" s="114">
        <v>43801</v>
      </c>
      <c r="J132" s="163" t="s">
        <v>6154</v>
      </c>
      <c r="K132" s="164"/>
      <c r="L132" s="158" t="str">
        <f>IFERROR(VLOOKUP(Table1[[#This Row],[SyStudentId]],ISIR!$A$2:$X$4999,11,FALSE),"")</f>
        <v>D</v>
      </c>
      <c r="M132" s="160" t="str">
        <f>VLOOKUP(Table1[[#This Row],[SyStudentId]],SSR!$A$2:$CC$4982,7,FALSE)</f>
        <v>mikeyandjacksmom@gmail.com</v>
      </c>
      <c r="N132" s="160" t="str">
        <f>VLOOKUP(Table1[[#This Row],[SyStudentId]],SSR!$A$2:$CC$4982,8,FALSE)</f>
        <v>520 Cumberland trl</v>
      </c>
      <c r="O132" s="160" t="str">
        <f>VLOOKUP(Table1[[#This Row],[SyStudentId]],SSR!$A$2:$CC$4982,9,FALSE)</f>
        <v>Roselle</v>
      </c>
      <c r="P132" s="294" t="str">
        <f>VLOOKUP(Table1[[#This Row],[SyStudentId]],SSR!$A$2:$CC$4982,10,FALSE)</f>
        <v>IL</v>
      </c>
      <c r="Q132" s="165" t="str">
        <f>VLOOKUP(Table1[[#This Row],[SyStudentId]],SSR!$A$2:$CC$4982,11,FALSE)</f>
        <v xml:space="preserve">60172     </v>
      </c>
      <c r="R132" s="166">
        <f>VLOOKUP(Table1[[#This Row],[SyStudentId]],SSR!$A$2:$CC$4982,15,FALSE)</f>
        <v>2.919</v>
      </c>
      <c r="S132" s="167">
        <f>VLOOKUP(Table1[[#This Row],[SyStudentId]],SSR!$A$2:$CC$4982,22,FALSE)</f>
        <v>44109</v>
      </c>
      <c r="T132" s="160" t="str">
        <f>VLOOKUP(Table1[[#This Row],[SyStudentId]],SSR!$A$2:$CC$4982,24,FALSE)</f>
        <v>JT</v>
      </c>
      <c r="U132" s="160" t="str">
        <f>IF(VLOOKUP(Table1[[#This Row],[SyStudentId]],SSR!$A$2:$CC$4982,26,FALSE)=0,"Not Selected",VLOOKUP(Table1[[#This Row],[SyStudentId]],SSR!$A$2:$CC$4982,26,FALSE))</f>
        <v>Male</v>
      </c>
      <c r="V132" s="160" t="str">
        <f>VLOOKUP(Table1[[#This Row],[SyStudentId]],SSR!$A$2:$CC$4982,27,FALSE)</f>
        <v xml:space="preserve">HS2020  </v>
      </c>
      <c r="W132" s="160" t="str">
        <f>VLOOKUP(LEFT(Table1[[#This Row],[LastName]],1),Alpha!$A$1:$B$26,2,FALSE)</f>
        <v>Maureen Ranks</v>
      </c>
      <c r="X132" s="168" t="str">
        <f>VLOOKUP(Table1[[#This Row],[FAA]],Alpha!$B$1:$D$26,2,FALSE)</f>
        <v>mranks@neumont.edu</v>
      </c>
      <c r="Y132" s="160">
        <f>VLOOKUP(Table1[[#This Row],[FAA]],Alpha!$B$1:$D$26,3,FALSE)</f>
        <v>8883022894</v>
      </c>
      <c r="Z132" s="160" t="str">
        <f>VLOOKUP(Table1[[#This Row],[SyStudentId]],SSR!$A$2:$CC$4982,30,FALSE)</f>
        <v>16-Accepted</v>
      </c>
      <c r="AA132" s="160" t="str">
        <f>IF(VLOOKUP(Table1[[#This Row],[SyStudentId]],SSR!$A$2:$CC$4982,36,FALSE)="Bachelor of Science","BS Computer Science","Check Program")</f>
        <v>BS Computer Science</v>
      </c>
      <c r="AB132" s="160">
        <f>VLOOKUP(Table1[[#This Row],[SyStudentId]],SSR!$A$2:$CC$4982,37,FALSE)</f>
        <v>0</v>
      </c>
      <c r="AC132" s="160" t="str">
        <f>VLOOKUP(Table1[[#This Row],[SyStudentId]],SSR!$A$2:$CC$4982,42,FALSE)</f>
        <v xml:space="preserve">1090    </v>
      </c>
      <c r="AD132" s="160" t="str">
        <f>VLOOKUP(Table1[[#This Row],[SyStudentId]],SSR!$A$2:$CC$4982,46,FALSE)</f>
        <v>101</v>
      </c>
      <c r="AE132" s="160" t="str">
        <f>VLOOKUP(Table1[[#This Row],[SyStudentId]],SSR!$A$2:$CC$4982,65,FALSE)</f>
        <v>V</v>
      </c>
      <c r="AF132"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5</v>
      </c>
      <c r="AG132" s="160" t="str">
        <f>VLOOKUP(Table1[[#This Row],[SyStudentId]],SSR!$A$2:$CC$4982,66,FALSE)</f>
        <v>July-October</v>
      </c>
      <c r="AH132" s="160" t="str">
        <f>IFERROR(VLOOKUP(Table1[[#This Row],[SyStudentId]],ISIR!$A$2:$X$1999,7,FALSE),"")</f>
        <v>003622</v>
      </c>
      <c r="AI132" s="170">
        <f>IF(Table1[[#This Row],[EFCRaw]]="","",IF(Table1[[#This Row],[EFCRaw]]="No EFC","No EFC",_xlfn.NUMBERVALUE(Table1[[#This Row],[EFCRaw]])))</f>
        <v>3622</v>
      </c>
      <c r="AJ132" s="167">
        <f>IFERROR(VLOOKUP(Table1[[#This Row],[SyStudentId]],ISIR!$A$2:$X$4999,19,FALSE),"")</f>
        <v>43774</v>
      </c>
      <c r="AK132" s="160" t="str">
        <f>IFERROR(VLOOKUP(Table1[[#This Row],[SyStudentId]],ISIR!$A$2:$X$4999,8,FALSE),"")</f>
        <v>Y</v>
      </c>
      <c r="AL132" s="171" t="str">
        <f>IF(Table1[[#This Row],[VerReq]]="N","n/a","")</f>
        <v/>
      </c>
      <c r="AM132" s="122"/>
      <c r="AN132" s="122"/>
      <c r="AO132" s="122">
        <v>43789</v>
      </c>
      <c r="AP132" s="122">
        <v>43789</v>
      </c>
      <c r="AQ132" s="122"/>
      <c r="AR132" s="122"/>
      <c r="AS132" s="122"/>
      <c r="AT132" s="122"/>
      <c r="AU132" s="122"/>
      <c r="AV132" s="122"/>
      <c r="AW132" s="122"/>
      <c r="AX132" s="122"/>
      <c r="AY132" s="122"/>
      <c r="AZ132" s="122"/>
      <c r="BA132" s="122"/>
      <c r="BB132" s="122"/>
      <c r="BC132" s="148"/>
      <c r="BD132" s="140" t="str">
        <f>IF(Table1[[#This Row],[VerReq]]="N","x","")</f>
        <v/>
      </c>
      <c r="BE132" s="140" t="str">
        <f>IF(Table1[[#This Row],[VerReq]]="N","x","")</f>
        <v/>
      </c>
      <c r="BF132" s="140" t="str">
        <f>IF(Table1[[#This Row],[VerReq]]="N","x","")</f>
        <v/>
      </c>
      <c r="BG132" s="140" t="str">
        <f>IF(Table1[[#This Row],[VerReq]]="N","x","")</f>
        <v/>
      </c>
      <c r="BH132" s="140" t="str">
        <f>IF(Table1[[#This Row],[VerReq]]="N","x","")</f>
        <v/>
      </c>
      <c r="BI132" s="140" t="str">
        <f>IF(Table1[[#This Row],[VerReq]]="N","x","")</f>
        <v/>
      </c>
      <c r="BJ132" s="181">
        <f>1-((COUNTBLANK(Table1[[#This Row],[ALESent]:[TaxTran]]))/(COUNT(Table1[[#This Row],[ALESent]:[TaxTran]])+COUNTBLANK(Table1[[#This Row],[ALESent]:[TaxTran]])))</f>
        <v>8.6956521739130488E-2</v>
      </c>
      <c r="BK132" s="216">
        <f>IF(VLOOKUP(Table1[[#This Row],[SyStudentId]],SSR!$A$2:$CC$4982,22,FALSE)=44109,44109,"Check Program")</f>
        <v>44109</v>
      </c>
      <c r="BL132" s="173">
        <f>IF(Table1[[#This Row],[AYStart]]=44109,44356,"Check Program")</f>
        <v>44356</v>
      </c>
      <c r="BM132" s="219">
        <v>8505</v>
      </c>
      <c r="BN132" s="219">
        <v>8505</v>
      </c>
      <c r="BO132" s="219">
        <v>8505</v>
      </c>
      <c r="BP132" s="220">
        <f t="shared" si="6"/>
        <v>25515</v>
      </c>
      <c r="BQ132" s="221">
        <v>3300</v>
      </c>
      <c r="BR132" s="219">
        <v>400</v>
      </c>
      <c r="BS132" s="219">
        <v>400</v>
      </c>
      <c r="BT132" s="222">
        <f t="shared" si="7"/>
        <v>4100</v>
      </c>
      <c r="BU132" s="219">
        <v>2100</v>
      </c>
      <c r="BV132" s="219">
        <v>2100</v>
      </c>
      <c r="BW132" s="219">
        <v>2100</v>
      </c>
      <c r="BX132" s="222">
        <f t="shared" si="8"/>
        <v>6300</v>
      </c>
      <c r="BY132" s="275">
        <v>1200</v>
      </c>
      <c r="BZ132" s="275">
        <v>1200</v>
      </c>
      <c r="CA132" s="275">
        <v>1200</v>
      </c>
      <c r="CB132" s="222">
        <f>SUM(Table1[[#This Row],[LEQ1]:[LEQ3]])</f>
        <v>3600</v>
      </c>
      <c r="CC132" s="276">
        <v>0</v>
      </c>
      <c r="CD132" s="276">
        <v>0</v>
      </c>
      <c r="CE132" s="276">
        <v>0</v>
      </c>
      <c r="CF132" s="222">
        <f>SUM(Table1[[#This Row],[OthCostQ1]:[OthCostQ3]])</f>
        <v>0</v>
      </c>
      <c r="CG132" s="222">
        <f>(Table1[[#This Row],[T&amp;FTot]]+Table1[[#This Row],[B&amp;STot]]+Table1[[#This Row],[HousTot]]+Table1[[#This Row],[LETot]]+Table1[[#This Row],[OthCostTot]])</f>
        <v>39515</v>
      </c>
      <c r="CH132" s="253">
        <v>0</v>
      </c>
      <c r="CI132" s="253">
        <v>0</v>
      </c>
      <c r="CJ132" s="253">
        <v>0</v>
      </c>
      <c r="CK132" s="254">
        <f>SUM(Table1[[#This Row],[SEOGQ1]:[SEOGQ3]])</f>
        <v>0</v>
      </c>
      <c r="CL132" s="253">
        <f>IFERROR(ROUNDUP(Table1[[#This Row],[PellTot]]/3,0),0)</f>
        <v>849</v>
      </c>
      <c r="CM132" s="253">
        <f>IFERROR(ROUND(Table1[[#This Row],[PellTot]]/3,0),0)</f>
        <v>848</v>
      </c>
      <c r="CN132" s="253">
        <f>IFERROR(ROUNDDOWN(Table1[[#This Row],[PellTot]]/3,0),0)</f>
        <v>848</v>
      </c>
      <c r="CO132" s="254">
        <f>IFERROR(LOOKUP(Table1[EFC],Pell_Table[#Data],Pell_Table[Pell Amt]),0)</f>
        <v>2545</v>
      </c>
      <c r="CP132" s="253">
        <f>Table1[[#This Row],[AccessTot]]/3</f>
        <v>500</v>
      </c>
      <c r="CQ132" s="253">
        <f>Table1[[#This Row],[AccessTot]]/3</f>
        <v>500</v>
      </c>
      <c r="CR132" s="253">
        <f>Table1[[#This Row],[AccessTot]]/3</f>
        <v>500</v>
      </c>
      <c r="CS132" s="254">
        <f>IF(Table1[[#This Row],[PellTot]]&gt;0,1500,0)</f>
        <v>1500</v>
      </c>
      <c r="CT132" s="253">
        <f>Table1[[#This Row],[AchiTot]]/3</f>
        <v>1000</v>
      </c>
      <c r="CU132" s="253">
        <f>Table1[[#This Row],[AchiTot]]/3</f>
        <v>1000</v>
      </c>
      <c r="CV132" s="253">
        <f>Table1[[#This Row],[AchiTot]]/3</f>
        <v>1000</v>
      </c>
      <c r="CW132" s="255">
        <f>IF(Table1[[#This Row],[Rank]]="","",IF(Table1[[#This Row],[Rank]]=1,5100,IF(Table1[[#This Row],[Rank]]=2,4500,IF(Table1[[#This Row],[Rank]]=3,3900,IF(Table1[[#This Row],[Rank]]=4,3750,IF(Table1[[#This Row],[Rank]]=5,3000,IF(Table1[[#This Row],[Rank]]=6,2250,0)))))))</f>
        <v>3000</v>
      </c>
      <c r="CX132" s="253">
        <f>Table1[[#This Row],[UTTot]]/3</f>
        <v>0</v>
      </c>
      <c r="CY132" s="253">
        <f>Table1[[#This Row],[UTTot]]/3</f>
        <v>0</v>
      </c>
      <c r="CZ132" s="253">
        <f>Table1[[#This Row],[UTTot]]/3</f>
        <v>0</v>
      </c>
      <c r="DA132" s="254">
        <f>IF(Table1[[#This Row],[State]]="UT",9000,0)</f>
        <v>0</v>
      </c>
      <c r="DB132" s="253">
        <f>Table1[[#This Row],[WITTot]]/3</f>
        <v>0</v>
      </c>
      <c r="DC132" s="253">
        <f>Table1[[#This Row],[WITTot]]/3</f>
        <v>0</v>
      </c>
      <c r="DD132" s="253">
        <f>Table1[[#This Row],[WITTot]]/3</f>
        <v>0</v>
      </c>
      <c r="DE132" s="254">
        <f>IF(Table1[[#This Row],[Gender]]="Female",3000,0)</f>
        <v>0</v>
      </c>
      <c r="DF132" s="253">
        <f>Table1[[#This Row],[SerTot]]/3</f>
        <v>0</v>
      </c>
      <c r="DG132" s="253">
        <f>Table1[[#This Row],[SerTot]]/3</f>
        <v>0</v>
      </c>
      <c r="DH132" s="253">
        <f>Table1[[#This Row],[SerTot]]/3</f>
        <v>0</v>
      </c>
      <c r="DI132" s="255">
        <v>0</v>
      </c>
      <c r="DJ132" s="253">
        <f>IFERROR(ROUNDUP(Table1[[#This Row],[TranTot]]/3,0),0)</f>
        <v>0</v>
      </c>
      <c r="DK132" s="253">
        <f>IFERROR(ROUND(Table1[[#This Row],[TranTot]]/3,0),0)</f>
        <v>0</v>
      </c>
      <c r="DL132" s="253">
        <f>IFERROR(ROUNDDOWN(Table1[[#This Row],[TranTot]]/3,0),0)</f>
        <v>0</v>
      </c>
      <c r="DM132" s="255">
        <v>0</v>
      </c>
      <c r="DN132" s="253">
        <f>Table1[[#This Row],[MatTot]]/3</f>
        <v>0</v>
      </c>
      <c r="DO132" s="253">
        <f>Table1[[#This Row],[MatTot]]/3</f>
        <v>0</v>
      </c>
      <c r="DP132" s="253">
        <f>Table1[[#This Row],[MatTot]]/3</f>
        <v>0</v>
      </c>
      <c r="DQ132" s="255">
        <v>0</v>
      </c>
      <c r="DR132" s="253">
        <f>Table1[[#This Row],[OutTot]]/3</f>
        <v>0</v>
      </c>
      <c r="DS132" s="253">
        <f>Table1[[#This Row],[OutTot]]/3</f>
        <v>0</v>
      </c>
      <c r="DT132" s="253">
        <f>Table1[[#This Row],[OutTot]]/3</f>
        <v>0</v>
      </c>
      <c r="DU132" s="255">
        <v>0</v>
      </c>
      <c r="DV132" s="259">
        <v>0</v>
      </c>
      <c r="DW132" s="259">
        <v>0</v>
      </c>
      <c r="DX132" s="259">
        <v>0</v>
      </c>
      <c r="DY132" s="261">
        <f>SUM(Table1[[#This Row],[VAQ1]:[VAQ3]])</f>
        <v>0</v>
      </c>
      <c r="DZ132" s="253">
        <v>0</v>
      </c>
      <c r="EA132" s="253">
        <v>0</v>
      </c>
      <c r="EB132" s="253">
        <v>0</v>
      </c>
      <c r="EC132" s="278">
        <f>SUM(Table1[[#This Row],[OthGrantQ1]:[OthGrantQ3]])</f>
        <v>0</v>
      </c>
      <c r="ED132" s="264">
        <f>Table1[[#This Row],[SEOGTot]]+Table1[[#This Row],[PellTot]]+Table1[[#This Row],[AccessTot]]+Table1[[#This Row],[AchiTot]]+Table1[[#This Row],[UTTot]]+Table1[[#This Row],[WITTot]]+Table1[[#This Row],[SerTot]]+Table1[[#This Row],[TranTot]]+Table1[[#This Row],[MatTot]]+Table1[[#This Row],[OutTot]]+Table1[[#This Row],[VATot]]+Table1[[#This Row],[OthGrantTot]]</f>
        <v>7045</v>
      </c>
      <c r="EE132" s="226">
        <v>0</v>
      </c>
      <c r="EF132" s="227">
        <v>0</v>
      </c>
      <c r="EG132" s="227">
        <v>0</v>
      </c>
      <c r="EH132" s="228">
        <f>SUM(Table1[[#This Row],[CashQ1]]:Table1[[#This Row],[CashQ3]])</f>
        <v>0</v>
      </c>
      <c r="EI132" s="229">
        <f>ROUND((Table1[[#This Row],[SubTot]]/3)/1.01059,0)</f>
        <v>1154</v>
      </c>
      <c r="EJ132" s="230">
        <f>ROUND((Table1[[#This Row],[SubTot]]/3)/1.01059,0)</f>
        <v>1154</v>
      </c>
      <c r="EK132" s="230">
        <f>ROUNDUP((Table1[[#This Row],[SubTot]]/3)/1.01059,0)</f>
        <v>1155</v>
      </c>
      <c r="EL132" s="231">
        <v>3500</v>
      </c>
      <c r="EM132" s="233">
        <f>Table1[[#This Row],[SubTot]]*0.01059</f>
        <v>37.065000000000005</v>
      </c>
      <c r="EN132" s="230">
        <f>ROUND((Table1[[#This Row],[UnsubTot]]/3)/1.01062,0)</f>
        <v>660</v>
      </c>
      <c r="EO132" s="230">
        <f>ROUND((Table1[[#This Row],[UnsubTot]]/3)/1.01062,0)</f>
        <v>660</v>
      </c>
      <c r="EP132" s="230">
        <f>ROUNDDOWN((Table1[[#This Row],[UnsubTot]]/3)/1.01062,0)</f>
        <v>659</v>
      </c>
      <c r="EQ132" s="231">
        <f>IF(Table1[D/I]="I",6000,2000)</f>
        <v>2000</v>
      </c>
      <c r="ER132" s="233">
        <f>Table1[[#This Row],[UnsubTot]]*0.01059</f>
        <v>21.18</v>
      </c>
      <c r="ES132" s="230">
        <f>ROUND((Table1[[#This Row],[PLUSTot]]/3)/1.04236,0)</f>
        <v>0</v>
      </c>
      <c r="ET132" s="230">
        <f>ROUND((Table1[[#This Row],[PLUSTot]]/3)/1.04236,0)</f>
        <v>0</v>
      </c>
      <c r="EU132" s="230">
        <f>ROUND((Table1[[#This Row],[PLUSTot]]/3)/1.04236,0)</f>
        <v>0</v>
      </c>
      <c r="EV132" s="231">
        <v>0</v>
      </c>
      <c r="EW132" s="236">
        <f>Table1[[#This Row],[PLUSTot]]*0.04236</f>
        <v>0</v>
      </c>
      <c r="EX132" s="227"/>
      <c r="EY132" s="227"/>
      <c r="EZ132" s="227"/>
      <c r="FA132" s="228">
        <f>SUM(Table1[[#This Row],[PrivQ1]:[PrivQ3]])</f>
        <v>0</v>
      </c>
      <c r="FB132" s="227"/>
      <c r="FC132" s="227"/>
      <c r="FD132" s="227"/>
      <c r="FE132" s="228">
        <f>SUM(Table1[[#This Row],[TOQ1]:[TOQ3]])</f>
        <v>0</v>
      </c>
      <c r="FF132" s="227"/>
      <c r="FG132" s="227"/>
      <c r="FH132" s="227"/>
      <c r="FI132" s="228">
        <f>SUM(Table1[[#This Row],[OFundQ1]:[OFundQ3]])</f>
        <v>0</v>
      </c>
      <c r="FJ132" s="236">
        <f>(Table1[[#This Row],[SubTot]]-Table1[[#This Row],[SubFee]])+(Table1[[#This Row],[UnsubTot]]-Table1[[#This Row],[UnsubFee]])+(Table1[[#This Row],[PLUSTot]]-Table1[[#This Row],[PLUSFee]])+Table1[[#This Row],[PrivTot]]+Table1[[#This Row],[TOTot]]+Table1[[#This Row],[OFundTot]]</f>
        <v>5441.7550000000001</v>
      </c>
      <c r="FK132" s="159">
        <f>Table1[[#This Row],[CostTot]]-Table1[[#This Row],[GiftTot]]</f>
        <v>32470</v>
      </c>
      <c r="FL132" s="174">
        <f>Table1[[#This Row],[NetNeed]]/(1-0.04236)</f>
        <v>28223.805396599972</v>
      </c>
      <c r="FM132" s="176">
        <f>Table1[[#This Row],[NetCost]]-Table1[[#This Row],[CashTot]]-(Table1[[#This Row],[SubTot]]-Table1[[#This Row],[SubFee]])-(Table1[[#This Row],[UnsubTot]]-Table1[[#This Row],[UnsubFee]])-(Table1[[#This Row],[PLUSTot]]-Table1[[#This Row],[PLUSFee]])-Table1[[#This Row],[PrivTot]]-Table1[[#This Row],[TOTot]]-Table1[[#This Row],[OFundTot]]</f>
        <v>27028.244999999999</v>
      </c>
      <c r="FN132" s="217"/>
      <c r="FO132" s="162"/>
      <c r="FP132" s="162"/>
    </row>
    <row r="133" spans="1:172" ht="15" x14ac:dyDescent="0.25">
      <c r="A133" s="296">
        <v>194399</v>
      </c>
      <c r="B133" s="160" t="str">
        <f>VLOOKUP(Table1[[#This Row],[SyStudentId]],SSR!$A$2:$CC$4982,4,FALSE)</f>
        <v>Shawver</v>
      </c>
      <c r="C133" s="160" t="str">
        <f>VLOOKUP(Table1[[#This Row],[SyStudentId]],SSR!$A$2:$CC$4982,5,FALSE)</f>
        <v>Hannah</v>
      </c>
      <c r="D133" s="160" t="str">
        <f>VLOOKUP(Table1[[#This Row],[SyStudentId]],SSR!$A$2:$CC$4982,6,FALSE)</f>
        <v>Shawver, Hannah</v>
      </c>
      <c r="E133" s="113" t="str">
        <f>CONCATENATE(Table1[[#This Row],[FirstName]]," ",Table1[[#This Row],[LastName]])</f>
        <v>Hannah Shawver</v>
      </c>
      <c r="F133" s="158"/>
      <c r="G133" s="114"/>
      <c r="H133" s="114"/>
      <c r="I133" s="114"/>
      <c r="J133" s="163"/>
      <c r="K133" s="164"/>
      <c r="L133" s="158" t="str">
        <f>IFERROR(VLOOKUP(Table1[[#This Row],[SyStudentId]],ISIR!$A$2:$X$4999,11,FALSE),"")</f>
        <v>X</v>
      </c>
      <c r="M133" s="160" t="str">
        <f>VLOOKUP(Table1[[#This Row],[SyStudentId]],SSR!$A$2:$CC$4982,7,FALSE)</f>
        <v>hannahshawver19@gmail.com</v>
      </c>
      <c r="N133" s="160" t="str">
        <f>VLOOKUP(Table1[[#This Row],[SyStudentId]],SSR!$A$2:$CC$4982,8,FALSE)</f>
        <v>4573 Meadowlark Dr</v>
      </c>
      <c r="O133" s="160" t="str">
        <f>VLOOKUP(Table1[[#This Row],[SyStudentId]],SSR!$A$2:$CC$4982,9,FALSE)</f>
        <v>Windsor</v>
      </c>
      <c r="P133" s="230" t="str">
        <f>VLOOKUP(Table1[[#This Row],[SyStudentId]],SSR!$A$2:$CC$4982,10,FALSE)</f>
        <v>CO</v>
      </c>
      <c r="Q133" s="165" t="str">
        <f>VLOOKUP(Table1[[#This Row],[SyStudentId]],SSR!$A$2:$CC$4982,11,FALSE)</f>
        <v xml:space="preserve">80550     </v>
      </c>
      <c r="R133" s="166">
        <f>VLOOKUP(Table1[[#This Row],[SyStudentId]],SSR!$A$2:$CC$4982,15,FALSE)</f>
        <v>3.3130000000000002</v>
      </c>
      <c r="S133" s="167">
        <f>VLOOKUP(Table1[[#This Row],[SyStudentId]],SSR!$A$2:$CC$4982,22,FALSE)</f>
        <v>44109</v>
      </c>
      <c r="T133" s="160" t="str">
        <f>VLOOKUP(Table1[[#This Row],[SyStudentId]],SSR!$A$2:$CC$4982,24,FALSE)</f>
        <v>MN</v>
      </c>
      <c r="U133" s="160" t="str">
        <f>IF(VLOOKUP(Table1[[#This Row],[SyStudentId]],SSR!$A$2:$CC$4982,26,FALSE)=0,"Not Selected",VLOOKUP(Table1[[#This Row],[SyStudentId]],SSR!$A$2:$CC$4982,26,FALSE))</f>
        <v>Female</v>
      </c>
      <c r="V133" s="160" t="str">
        <f>VLOOKUP(Table1[[#This Row],[SyStudentId]],SSR!$A$2:$CC$4982,27,FALSE)</f>
        <v xml:space="preserve">HS2020  </v>
      </c>
      <c r="W133" s="160" t="str">
        <f>VLOOKUP(LEFT(Table1[[#This Row],[LastName]],1),Alpha!$A$1:$B$26,2,FALSE)</f>
        <v>Maureen Ranks</v>
      </c>
      <c r="X133" s="179" t="str">
        <f>VLOOKUP(Table1[[#This Row],[FAA]],Alpha!$B$1:$D$26,2,FALSE)</f>
        <v>mranks@neumont.edu</v>
      </c>
      <c r="Y133" s="160">
        <f>VLOOKUP(Table1[[#This Row],[FAA]],Alpha!$B$1:$D$26,3,FALSE)</f>
        <v>8883022894</v>
      </c>
      <c r="Z133" s="160" t="str">
        <f>VLOOKUP(Table1[[#This Row],[SyStudentId]],SSR!$A$2:$CC$4982,30,FALSE)</f>
        <v>18-Pending Enrollment</v>
      </c>
      <c r="AA133" s="160" t="str">
        <f>IF(VLOOKUP(Table1[[#This Row],[SyStudentId]],SSR!$A$2:$CC$4982,36,FALSE)="Bachelor of Science","BS Computer Science","Check Program")</f>
        <v>BS Computer Science</v>
      </c>
      <c r="AB133" s="160">
        <f>VLOOKUP(Table1[[#This Row],[SyStudentId]],SSR!$A$2:$CC$4982,37,FALSE)</f>
        <v>0</v>
      </c>
      <c r="AC133" s="160" t="str">
        <f>VLOOKUP(Table1[[#This Row],[SyStudentId]],SSR!$A$2:$CC$4982,42,FALSE)</f>
        <v xml:space="preserve">830     </v>
      </c>
      <c r="AD133" s="160" t="str">
        <f>VLOOKUP(Table1[[#This Row],[SyStudentId]],SSR!$A$2:$CC$4982,46,FALSE)</f>
        <v>96</v>
      </c>
      <c r="AE133" s="160" t="str">
        <f>VLOOKUP(Table1[[#This Row],[SyStudentId]],SSR!$A$2:$CC$4982,65,FALSE)</f>
        <v>III</v>
      </c>
      <c r="AF133"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133" s="160" t="str">
        <f>VLOOKUP(Table1[[#This Row],[SyStudentId]],SSR!$A$2:$CC$4982,66,FALSE)</f>
        <v>July-October</v>
      </c>
      <c r="AH133" s="285">
        <f>IFERROR(VLOOKUP(Table1[[#This Row],[SyStudentId]],ISIR!$A$2:$X$1999,7,FALSE),"")</f>
        <v>0</v>
      </c>
      <c r="AI133" s="170">
        <f>IF(Table1[[#This Row],[EFCRaw]]="","",IF(Table1[[#This Row],[EFCRaw]]="No EFC","No EFC",_xlfn.NUMBERVALUE(Table1[[#This Row],[EFCRaw]])))</f>
        <v>0</v>
      </c>
      <c r="AJ133" s="167">
        <f>IFERROR(VLOOKUP(Table1[[#This Row],[SyStudentId]],ISIR!$A$2:$X$4999,19,FALSE),"")</f>
        <v>43783</v>
      </c>
      <c r="AK133" s="160" t="str">
        <f>IFERROR(VLOOKUP(Table1[[#This Row],[SyStudentId]],ISIR!$A$2:$X$4999,8,FALSE),"")</f>
        <v>N</v>
      </c>
      <c r="AL133" s="171" t="str">
        <f>IF(Table1[[#This Row],[VerReq]]="N","n/a","")</f>
        <v>n/a</v>
      </c>
      <c r="AM133" s="122"/>
      <c r="AN133" s="122"/>
      <c r="AO133" s="122"/>
      <c r="AP133" s="122"/>
      <c r="AQ133" s="122"/>
      <c r="AR133" s="122"/>
      <c r="AS133" s="122"/>
      <c r="AT133" s="122"/>
      <c r="AU133" s="122"/>
      <c r="AV133" s="122"/>
      <c r="AW133" s="122"/>
      <c r="AX133" s="122"/>
      <c r="AY133" s="122"/>
      <c r="AZ133" s="122"/>
      <c r="BA133" s="122"/>
      <c r="BB133" s="122"/>
      <c r="BC133" s="148"/>
      <c r="BD133" s="140" t="str">
        <f>IF(Table1[[#This Row],[VerReq]]="N","x","")</f>
        <v>x</v>
      </c>
      <c r="BE133" s="140" t="str">
        <f>IF(Table1[[#This Row],[VerReq]]="N","x","")</f>
        <v>x</v>
      </c>
      <c r="BF133" s="140" t="str">
        <f>IF(Table1[[#This Row],[VerReq]]="N","x","")</f>
        <v>x</v>
      </c>
      <c r="BG133" s="140" t="str">
        <f>IF(Table1[[#This Row],[VerReq]]="N","x","")</f>
        <v>x</v>
      </c>
      <c r="BH133" s="140" t="str">
        <f>IF(Table1[[#This Row],[VerReq]]="N","x","")</f>
        <v>x</v>
      </c>
      <c r="BI133" s="140" t="str">
        <f>IF(Table1[[#This Row],[VerReq]]="N","x","")</f>
        <v>x</v>
      </c>
      <c r="BJ133" s="181">
        <f>1-((COUNTBLANK(Table1[[#This Row],[ALESent]:[TaxTran]]))/(COUNT(Table1[[#This Row],[ALESent]:[TaxTran]])+COUNTBLANK(Table1[[#This Row],[ALESent]:[TaxTran]])))</f>
        <v>0</v>
      </c>
      <c r="BK133" s="216">
        <f>IF(VLOOKUP(Table1[[#This Row],[SyStudentId]],SSR!$A$2:$CC$4982,22,FALSE)=44109,44109,"Check Program")</f>
        <v>44109</v>
      </c>
      <c r="BL133" s="173">
        <f>IF(Table1[[#This Row],[AYStart]]=44109,44356,"Check Program")</f>
        <v>44356</v>
      </c>
      <c r="BM133" s="219">
        <v>8505</v>
      </c>
      <c r="BN133" s="219">
        <v>8505</v>
      </c>
      <c r="BO133" s="219">
        <v>8505</v>
      </c>
      <c r="BP133" s="220">
        <f t="shared" si="6"/>
        <v>25515</v>
      </c>
      <c r="BQ133" s="221">
        <v>3300</v>
      </c>
      <c r="BR133" s="219">
        <v>400</v>
      </c>
      <c r="BS133" s="219">
        <v>400</v>
      </c>
      <c r="BT133" s="222">
        <f t="shared" si="7"/>
        <v>4100</v>
      </c>
      <c r="BU133" s="219">
        <v>2100</v>
      </c>
      <c r="BV133" s="219">
        <v>2100</v>
      </c>
      <c r="BW133" s="219">
        <v>2100</v>
      </c>
      <c r="BX133" s="222">
        <f t="shared" si="8"/>
        <v>6300</v>
      </c>
      <c r="BY133" s="275">
        <v>1200</v>
      </c>
      <c r="BZ133" s="275">
        <v>1200</v>
      </c>
      <c r="CA133" s="275">
        <v>1200</v>
      </c>
      <c r="CB133" s="222">
        <f>SUM(Table1[[#This Row],[LEQ1]:[LEQ3]])</f>
        <v>3600</v>
      </c>
      <c r="CC133" s="276">
        <v>0</v>
      </c>
      <c r="CD133" s="276">
        <v>0</v>
      </c>
      <c r="CE133" s="276">
        <v>0</v>
      </c>
      <c r="CF133" s="222">
        <f>SUM(Table1[[#This Row],[OthCostQ1]:[OthCostQ3]])</f>
        <v>0</v>
      </c>
      <c r="CG133" s="222">
        <f>(Table1[[#This Row],[T&amp;FTot]]+Table1[[#This Row],[B&amp;STot]]+Table1[[#This Row],[HousTot]]+Table1[[#This Row],[LETot]]+Table1[[#This Row],[OthCostTot]])</f>
        <v>39515</v>
      </c>
      <c r="CH133" s="253">
        <v>0</v>
      </c>
      <c r="CI133" s="253">
        <v>0</v>
      </c>
      <c r="CJ133" s="253">
        <v>0</v>
      </c>
      <c r="CK133" s="254">
        <f>SUM(Table1[[#This Row],[SEOGQ1]:[SEOGQ3]])</f>
        <v>0</v>
      </c>
      <c r="CL133" s="253">
        <f>IFERROR(ROUNDUP(Table1[[#This Row],[PellTot]]/3,0),0)</f>
        <v>2065</v>
      </c>
      <c r="CM133" s="253">
        <f>IFERROR(ROUND(Table1[[#This Row],[PellTot]]/3,0),0)</f>
        <v>2065</v>
      </c>
      <c r="CN133" s="253">
        <f>IFERROR(ROUNDDOWN(Table1[[#This Row],[PellTot]]/3,0),0)</f>
        <v>2065</v>
      </c>
      <c r="CO133" s="254">
        <f>IFERROR(LOOKUP(Table1[EFC],Pell_Table[#Data],Pell_Table[Pell Amt]),0)</f>
        <v>6195</v>
      </c>
      <c r="CP133" s="253">
        <f>Table1[[#This Row],[AccessTot]]/3</f>
        <v>500</v>
      </c>
      <c r="CQ133" s="253">
        <f>Table1[[#This Row],[AccessTot]]/3</f>
        <v>500</v>
      </c>
      <c r="CR133" s="253">
        <f>Table1[[#This Row],[AccessTot]]/3</f>
        <v>500</v>
      </c>
      <c r="CS133" s="254">
        <f>IF(Table1[[#This Row],[PellTot]]&gt;0,1500,0)</f>
        <v>1500</v>
      </c>
      <c r="CT133" s="253">
        <f>Table1[[#This Row],[AchiTot]]/3</f>
        <v>1300</v>
      </c>
      <c r="CU133" s="253">
        <f>Table1[[#This Row],[AchiTot]]/3</f>
        <v>1300</v>
      </c>
      <c r="CV133" s="253">
        <f>Table1[[#This Row],[AchiTot]]/3</f>
        <v>1300</v>
      </c>
      <c r="CW133" s="255">
        <f>IF(Table1[[#This Row],[Rank]]="","",IF(Table1[[#This Row],[Rank]]=1,5100,IF(Table1[[#This Row],[Rank]]=2,4500,IF(Table1[[#This Row],[Rank]]=3,3900,IF(Table1[[#This Row],[Rank]]=4,3750,IF(Table1[[#This Row],[Rank]]=5,3000,IF(Table1[[#This Row],[Rank]]=6,2250,0)))))))</f>
        <v>3900</v>
      </c>
      <c r="CX133" s="253">
        <f>Table1[[#This Row],[UTTot]]/3</f>
        <v>0</v>
      </c>
      <c r="CY133" s="253">
        <f>Table1[[#This Row],[UTTot]]/3</f>
        <v>0</v>
      </c>
      <c r="CZ133" s="253">
        <f>Table1[[#This Row],[UTTot]]/3</f>
        <v>0</v>
      </c>
      <c r="DA133" s="254">
        <f>IF(Table1[[#This Row],[State]]="UT",9000,0)</f>
        <v>0</v>
      </c>
      <c r="DB133" s="253">
        <f>Table1[[#This Row],[WITTot]]/3</f>
        <v>1000</v>
      </c>
      <c r="DC133" s="253">
        <f>Table1[[#This Row],[WITTot]]/3</f>
        <v>1000</v>
      </c>
      <c r="DD133" s="253">
        <f>Table1[[#This Row],[WITTot]]/3</f>
        <v>1000</v>
      </c>
      <c r="DE133" s="254">
        <f>IF(Table1[[#This Row],[Gender]]="Female",3000,0)</f>
        <v>3000</v>
      </c>
      <c r="DF133" s="253">
        <v>1000</v>
      </c>
      <c r="DG133" s="253">
        <v>1000</v>
      </c>
      <c r="DH133" s="253">
        <v>1000</v>
      </c>
      <c r="DI133" s="255">
        <v>3000</v>
      </c>
      <c r="DJ133" s="253">
        <f>IFERROR(ROUNDUP(Table1[[#This Row],[TranTot]]/3,0),0)</f>
        <v>0</v>
      </c>
      <c r="DK133" s="253">
        <f>IFERROR(ROUND(Table1[[#This Row],[TranTot]]/3,0),0)</f>
        <v>0</v>
      </c>
      <c r="DL133" s="253">
        <f>IFERROR(ROUNDDOWN(Table1[[#This Row],[TranTot]]/3,0),0)</f>
        <v>0</v>
      </c>
      <c r="DM133" s="255">
        <v>0</v>
      </c>
      <c r="DN133" s="253">
        <f>Table1[[#This Row],[MatTot]]/3</f>
        <v>0</v>
      </c>
      <c r="DO133" s="253">
        <f>Table1[[#This Row],[MatTot]]/3</f>
        <v>0</v>
      </c>
      <c r="DP133" s="253">
        <f>Table1[[#This Row],[MatTot]]/3</f>
        <v>0</v>
      </c>
      <c r="DQ133" s="255">
        <v>0</v>
      </c>
      <c r="DR133" s="253">
        <f>Table1[[#This Row],[OutTot]]/3</f>
        <v>0</v>
      </c>
      <c r="DS133" s="253">
        <f>Table1[[#This Row],[OutTot]]/3</f>
        <v>0</v>
      </c>
      <c r="DT133" s="253">
        <f>Table1[[#This Row],[OutTot]]/3</f>
        <v>0</v>
      </c>
      <c r="DU133" s="255">
        <v>0</v>
      </c>
      <c r="DV133" s="259">
        <v>0</v>
      </c>
      <c r="DW133" s="259">
        <v>0</v>
      </c>
      <c r="DX133" s="259">
        <v>0</v>
      </c>
      <c r="DY133" s="261">
        <f>SUM(Table1[[#This Row],[VAQ1]:[VAQ3]])</f>
        <v>0</v>
      </c>
      <c r="DZ133" s="253">
        <v>0</v>
      </c>
      <c r="EA133" s="253">
        <v>0</v>
      </c>
      <c r="EB133" s="253">
        <v>0</v>
      </c>
      <c r="EC133" s="278">
        <f>SUM(Table1[[#This Row],[OthGrantQ1]:[OthGrantQ3]])</f>
        <v>0</v>
      </c>
      <c r="ED133" s="264">
        <f>Table1[[#This Row],[SEOGTot]]+Table1[[#This Row],[PellTot]]+Table1[[#This Row],[AccessTot]]+Table1[[#This Row],[AchiTot]]+Table1[[#This Row],[UTTot]]+Table1[[#This Row],[WITTot]]+Table1[[#This Row],[SerTot]]+Table1[[#This Row],[TranTot]]+Table1[[#This Row],[MatTot]]+Table1[[#This Row],[OutTot]]+Table1[[#This Row],[VATot]]+Table1[[#This Row],[OthGrantTot]]</f>
        <v>17595</v>
      </c>
      <c r="EE133" s="226">
        <v>0</v>
      </c>
      <c r="EF133" s="227">
        <v>0</v>
      </c>
      <c r="EG133" s="227">
        <v>0</v>
      </c>
      <c r="EH133" s="228">
        <f>SUM(Table1[[#This Row],[CashQ1]]:Table1[[#This Row],[CashQ3]])</f>
        <v>0</v>
      </c>
      <c r="EI133" s="229">
        <f>ROUND((Table1[[#This Row],[SubTot]]/3)/1.01059,0)</f>
        <v>1154</v>
      </c>
      <c r="EJ133" s="230">
        <f>ROUND((Table1[[#This Row],[SubTot]]/3)/1.01059,0)</f>
        <v>1154</v>
      </c>
      <c r="EK133" s="230">
        <f>ROUNDUP((Table1[[#This Row],[SubTot]]/3)/1.01059,0)</f>
        <v>1155</v>
      </c>
      <c r="EL133" s="231">
        <v>3500</v>
      </c>
      <c r="EM133" s="233">
        <f>Table1[[#This Row],[SubTot]]*0.01059</f>
        <v>37.065000000000005</v>
      </c>
      <c r="EN133" s="230">
        <f>ROUND((Table1[[#This Row],[UnsubTot]]/3)/1.01062,0)</f>
        <v>660</v>
      </c>
      <c r="EO133" s="230">
        <f>ROUND((Table1[[#This Row],[UnsubTot]]/3)/1.01062,0)</f>
        <v>660</v>
      </c>
      <c r="EP133" s="230">
        <f>ROUNDDOWN((Table1[[#This Row],[UnsubTot]]/3)/1.01062,0)</f>
        <v>659</v>
      </c>
      <c r="EQ133" s="231">
        <f>IF(Table1[D/I]="I",6000,2000)</f>
        <v>2000</v>
      </c>
      <c r="ER133" s="233">
        <f>Table1[[#This Row],[UnsubTot]]*0.01059</f>
        <v>21.18</v>
      </c>
      <c r="ES133" s="230">
        <f>ROUND((Table1[[#This Row],[PLUSTot]]/3)/1.04236,0)</f>
        <v>0</v>
      </c>
      <c r="ET133" s="230">
        <f>ROUND((Table1[[#This Row],[PLUSTot]]/3)/1.04236,0)</f>
        <v>0</v>
      </c>
      <c r="EU133" s="230">
        <f>ROUND((Table1[[#This Row],[PLUSTot]]/3)/1.04236,0)</f>
        <v>0</v>
      </c>
      <c r="EV133" s="231">
        <v>0</v>
      </c>
      <c r="EW133" s="236">
        <f>Table1[[#This Row],[PLUSTot]]*0.04236</f>
        <v>0</v>
      </c>
      <c r="EX133" s="227"/>
      <c r="EY133" s="227"/>
      <c r="EZ133" s="227"/>
      <c r="FA133" s="228">
        <f>SUM(Table1[[#This Row],[PrivQ1]:[PrivQ3]])</f>
        <v>0</v>
      </c>
      <c r="FB133" s="227"/>
      <c r="FC133" s="227"/>
      <c r="FD133" s="227"/>
      <c r="FE133" s="228">
        <f>SUM(Table1[[#This Row],[TOQ1]:[TOQ3]])</f>
        <v>0</v>
      </c>
      <c r="FF133" s="227">
        <v>0</v>
      </c>
      <c r="FG133" s="227">
        <v>0</v>
      </c>
      <c r="FH133" s="227">
        <v>0</v>
      </c>
      <c r="FI133" s="228">
        <v>0</v>
      </c>
      <c r="FJ133" s="236">
        <f>(Table1[[#This Row],[SubTot]]-Table1[[#This Row],[SubFee]])+(Table1[[#This Row],[UnsubTot]]-Table1[[#This Row],[UnsubFee]])+(Table1[[#This Row],[PLUSTot]]-Table1[[#This Row],[PLUSFee]])+Table1[[#This Row],[PrivTot]]+Table1[[#This Row],[TOTot]]+Table1[[#This Row],[OFundTot]]</f>
        <v>5441.7550000000001</v>
      </c>
      <c r="FK133" s="159">
        <f>Table1[[#This Row],[CostTot]]-Table1[[#This Row],[GiftTot]]</f>
        <v>21920</v>
      </c>
      <c r="FL133" s="174">
        <f>Table1[[#This Row],[NetNeed]]/(1-0.04236)</f>
        <v>17207.139426089136</v>
      </c>
      <c r="FM133" s="176">
        <f>Table1[[#This Row],[NetCost]]-Table1[[#This Row],[CashTot]]-(Table1[[#This Row],[SubTot]]-Table1[[#This Row],[SubFee]])-(Table1[[#This Row],[UnsubTot]]-Table1[[#This Row],[UnsubFee]])-(Table1[[#This Row],[PLUSTot]]-Table1[[#This Row],[PLUSFee]])-Table1[[#This Row],[PrivTot]]-Table1[[#This Row],[TOTot]]-Table1[[#This Row],[OFundTot]]</f>
        <v>16478.244999999999</v>
      </c>
      <c r="FN133" s="217"/>
      <c r="FO133" s="162"/>
      <c r="FP133" s="162"/>
    </row>
    <row r="134" spans="1:172" ht="15" x14ac:dyDescent="0.25">
      <c r="A134" s="296">
        <v>197509</v>
      </c>
      <c r="B134" s="160" t="str">
        <f>VLOOKUP(Table1[[#This Row],[SyStudentId]],SSR!$A$2:$CC$4982,4,FALSE)</f>
        <v>Shipman</v>
      </c>
      <c r="C134" s="160" t="str">
        <f>VLOOKUP(Table1[[#This Row],[SyStudentId]],SSR!$A$2:$CC$4982,5,FALSE)</f>
        <v>Isabella</v>
      </c>
      <c r="D134" s="160" t="str">
        <f>VLOOKUP(Table1[[#This Row],[SyStudentId]],SSR!$A$2:$CC$4982,6,FALSE)</f>
        <v>Shipman, Isabella</v>
      </c>
      <c r="E134" s="113" t="str">
        <f>CONCATENATE(Table1[[#This Row],[FirstName]]," ",Table1[[#This Row],[LastName]])</f>
        <v>Isabella Shipman</v>
      </c>
      <c r="F134" s="158"/>
      <c r="G134" s="114"/>
      <c r="H134" s="114"/>
      <c r="I134" s="114"/>
      <c r="J134" s="163"/>
      <c r="K134" s="164"/>
      <c r="L134" s="158" t="str">
        <f>IFERROR(VLOOKUP(Table1[[#This Row],[SyStudentId]],ISIR!$A$2:$X$4999,11,FALSE),"")</f>
        <v/>
      </c>
      <c r="M134" s="160" t="str">
        <f>VLOOKUP(Table1[[#This Row],[SyStudentId]],SSR!$A$2:$CC$4982,7,FALSE)</f>
        <v>kallenkozuki314@gmail.com</v>
      </c>
      <c r="N134" s="160" t="str">
        <f>VLOOKUP(Table1[[#This Row],[SyStudentId]],SSR!$A$2:$CC$4982,8,FALSE)</f>
        <v>228 E. Main St.</v>
      </c>
      <c r="O134" s="160" t="str">
        <f>VLOOKUP(Table1[[#This Row],[SyStudentId]],SSR!$A$2:$CC$4982,9,FALSE)</f>
        <v>Norwalk</v>
      </c>
      <c r="P134" s="304" t="str">
        <f>VLOOKUP(Table1[[#This Row],[SyStudentId]],SSR!$A$2:$CC$4982,10,FALSE)</f>
        <v>OH</v>
      </c>
      <c r="Q134" s="165" t="str">
        <f>VLOOKUP(Table1[[#This Row],[SyStudentId]],SSR!$A$2:$CC$4982,11,FALSE)</f>
        <v xml:space="preserve">44857     </v>
      </c>
      <c r="R134" s="166">
        <f>VLOOKUP(Table1[[#This Row],[SyStudentId]],SSR!$A$2:$CC$4982,15,FALSE)</f>
        <v>3.992</v>
      </c>
      <c r="S134" s="167">
        <f>VLOOKUP(Table1[[#This Row],[SyStudentId]],SSR!$A$2:$CC$4982,22,FALSE)</f>
        <v>44109</v>
      </c>
      <c r="T134" s="160" t="str">
        <f>VLOOKUP(Table1[[#This Row],[SyStudentId]],SSR!$A$2:$CC$4982,24,FALSE)</f>
        <v>JT</v>
      </c>
      <c r="U134" s="160" t="str">
        <f>IF(VLOOKUP(Table1[[#This Row],[SyStudentId]],SSR!$A$2:$CC$4982,26,FALSE)=0,"Not Selected",VLOOKUP(Table1[[#This Row],[SyStudentId]],SSR!$A$2:$CC$4982,26,FALSE))</f>
        <v>Not specified</v>
      </c>
      <c r="V134" s="160" t="str">
        <f>VLOOKUP(Table1[[#This Row],[SyStudentId]],SSR!$A$2:$CC$4982,27,FALSE)</f>
        <v xml:space="preserve">HS2020  </v>
      </c>
      <c r="W134" s="160" t="str">
        <f>VLOOKUP(LEFT(Table1[[#This Row],[LastName]],1),Alpha!$A$1:$B$26,2,FALSE)</f>
        <v>Maureen Ranks</v>
      </c>
      <c r="X134" s="179" t="str">
        <f>VLOOKUP(Table1[[#This Row],[FAA]],Alpha!$B$1:$D$26,2,FALSE)</f>
        <v>mranks@neumont.edu</v>
      </c>
      <c r="Y134" s="160">
        <f>VLOOKUP(Table1[[#This Row],[FAA]],Alpha!$B$1:$D$26,3,FALSE)</f>
        <v>8883022894</v>
      </c>
      <c r="Z134" s="160" t="str">
        <f>VLOOKUP(Table1[[#This Row],[SyStudentId]],SSR!$A$2:$CC$4982,30,FALSE)</f>
        <v>16-Accepted</v>
      </c>
      <c r="AA134" s="160" t="str">
        <f>IF(VLOOKUP(Table1[[#This Row],[SyStudentId]],SSR!$A$2:$CC$4982,36,FALSE)="Bachelor of Science","BS Computer Science","Check Program")</f>
        <v>BS Computer Science</v>
      </c>
      <c r="AB134" s="160" t="str">
        <f>VLOOKUP(Table1[[#This Row],[SyStudentId]],SSR!$A$2:$CC$4982,37,FALSE)</f>
        <v xml:space="preserve">34      </v>
      </c>
      <c r="AC134" s="160">
        <f>VLOOKUP(Table1[[#This Row],[SyStudentId]],SSR!$A$2:$CC$4982,42,FALSE)</f>
        <v>0</v>
      </c>
      <c r="AD134" s="160" t="str">
        <f>VLOOKUP(Table1[[#This Row],[SyStudentId]],SSR!$A$2:$CC$4982,46,FALSE)</f>
        <v>136</v>
      </c>
      <c r="AE134" s="160" t="str">
        <f>VLOOKUP(Table1[[#This Row],[SyStudentId]],SSR!$A$2:$CC$4982,65,FALSE)</f>
        <v>I</v>
      </c>
      <c r="AF134"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34" s="160" t="str">
        <f>VLOOKUP(Table1[[#This Row],[SyStudentId]],SSR!$A$2:$CC$4982,66,FALSE)</f>
        <v>July-October</v>
      </c>
      <c r="AH134" s="160" t="str">
        <f>IFERROR(VLOOKUP(Table1[[#This Row],[SyStudentId]],ISIR!$A$2:$X$1999,7,FALSE),"")</f>
        <v/>
      </c>
      <c r="AI134" s="170" t="str">
        <f>IF(Table1[[#This Row],[EFCRaw]]="","",IF(Table1[[#This Row],[EFCRaw]]="No EFC","No EFC",_xlfn.NUMBERVALUE(Table1[[#This Row],[EFCRaw]])))</f>
        <v/>
      </c>
      <c r="AJ134" s="167" t="str">
        <f>IFERROR(VLOOKUP(Table1[[#This Row],[SyStudentId]],ISIR!$A$2:$X$4999,19,FALSE),"")</f>
        <v/>
      </c>
      <c r="AK134" s="160" t="str">
        <f>IFERROR(VLOOKUP(Table1[[#This Row],[SyStudentId]],ISIR!$A$2:$X$4999,8,FALSE),"")</f>
        <v/>
      </c>
      <c r="AL134" s="178" t="str">
        <f>IF(Table1[[#This Row],[VerReq]]="N","n/a","")</f>
        <v/>
      </c>
      <c r="AM134" s="122"/>
      <c r="AN134" s="122"/>
      <c r="AO134" s="122"/>
      <c r="AP134" s="122"/>
      <c r="AQ134" s="122"/>
      <c r="AR134" s="122"/>
      <c r="AS134" s="122"/>
      <c r="AT134" s="122"/>
      <c r="AU134" s="122"/>
      <c r="AV134" s="122"/>
      <c r="AW134" s="122"/>
      <c r="AX134" s="122"/>
      <c r="AY134" s="122"/>
      <c r="AZ134" s="122"/>
      <c r="BA134" s="122"/>
      <c r="BB134" s="122"/>
      <c r="BC134" s="148"/>
      <c r="BD134" s="140" t="str">
        <f>IF(Table1[[#This Row],[VerReq]]="N","x","")</f>
        <v/>
      </c>
      <c r="BE134" s="140" t="str">
        <f>IF(Table1[[#This Row],[VerReq]]="N","x","")</f>
        <v/>
      </c>
      <c r="BF134" s="140" t="str">
        <f>IF(Table1[[#This Row],[VerReq]]="N","x","")</f>
        <v/>
      </c>
      <c r="BG134" s="140" t="str">
        <f>IF(Table1[[#This Row],[VerReq]]="N","x","")</f>
        <v/>
      </c>
      <c r="BH134" s="140" t="str">
        <f>IF(Table1[[#This Row],[VerReq]]="N","x","")</f>
        <v/>
      </c>
      <c r="BI134" s="140" t="str">
        <f>IF(Table1[[#This Row],[VerReq]]="N","x","")</f>
        <v/>
      </c>
      <c r="BJ134" s="181">
        <f>1-((COUNTBLANK(Table1[[#This Row],[ALESent]:[TaxTran]]))/(COUNT(Table1[[#This Row],[ALESent]:[TaxTran]])+COUNTBLANK(Table1[[#This Row],[ALESent]:[TaxTran]])))</f>
        <v>0</v>
      </c>
      <c r="BK134" s="216">
        <f>IF(VLOOKUP(Table1[[#This Row],[SyStudentId]],SSR!$A$2:$CC$4982,22,FALSE)=44109,44109,"Check Program")</f>
        <v>44109</v>
      </c>
      <c r="BL134" s="173">
        <f>IF(Table1[[#This Row],[AYStart]]=44109,44356,"Check Program")</f>
        <v>44356</v>
      </c>
      <c r="BM134" s="219">
        <v>8505</v>
      </c>
      <c r="BN134" s="219">
        <v>8505</v>
      </c>
      <c r="BO134" s="219">
        <v>8505</v>
      </c>
      <c r="BP134" s="220">
        <f t="shared" si="6"/>
        <v>25515</v>
      </c>
      <c r="BQ134" s="221">
        <v>3300</v>
      </c>
      <c r="BR134" s="219">
        <v>400</v>
      </c>
      <c r="BS134" s="219">
        <v>400</v>
      </c>
      <c r="BT134" s="222">
        <f t="shared" si="7"/>
        <v>4100</v>
      </c>
      <c r="BU134" s="219">
        <v>2100</v>
      </c>
      <c r="BV134" s="219">
        <v>2100</v>
      </c>
      <c r="BW134" s="219">
        <v>2100</v>
      </c>
      <c r="BX134" s="222">
        <f t="shared" si="8"/>
        <v>6300</v>
      </c>
      <c r="BY134" s="275">
        <v>1200</v>
      </c>
      <c r="BZ134" s="275">
        <v>1200</v>
      </c>
      <c r="CA134" s="275">
        <v>1200</v>
      </c>
      <c r="CB134" s="222">
        <f>SUM(Table1[[#This Row],[LEQ1]:[LEQ3]])</f>
        <v>3600</v>
      </c>
      <c r="CC134" s="276">
        <v>0</v>
      </c>
      <c r="CD134" s="276">
        <v>0</v>
      </c>
      <c r="CE134" s="276">
        <v>0</v>
      </c>
      <c r="CF134" s="222">
        <f>SUM(Table1[[#This Row],[OthCostQ1]:[OthCostQ3]])</f>
        <v>0</v>
      </c>
      <c r="CG134" s="222">
        <f>(Table1[[#This Row],[T&amp;FTot]]+Table1[[#This Row],[B&amp;STot]]+Table1[[#This Row],[HousTot]]+Table1[[#This Row],[LETot]]+Table1[[#This Row],[OthCostTot]])</f>
        <v>39515</v>
      </c>
      <c r="CH134" s="253">
        <v>0</v>
      </c>
      <c r="CI134" s="253">
        <v>0</v>
      </c>
      <c r="CJ134" s="253">
        <v>0</v>
      </c>
      <c r="CK134" s="254">
        <f>SUM(Table1[[#This Row],[SEOGQ1]:[SEOGQ3]])</f>
        <v>0</v>
      </c>
      <c r="CL134" s="253">
        <f>IFERROR(ROUNDUP(Table1[[#This Row],[PellTot]]/3,0),0)</f>
        <v>0</v>
      </c>
      <c r="CM134" s="253">
        <f>IFERROR(ROUND(Table1[[#This Row],[PellTot]]/3,0),0)</f>
        <v>0</v>
      </c>
      <c r="CN134" s="253">
        <f>IFERROR(ROUNDDOWN(Table1[[#This Row],[PellTot]]/3,0),0)</f>
        <v>0</v>
      </c>
      <c r="CO134" s="254">
        <f>IFERROR(LOOKUP(Table1[EFC],Pell_Table[#Data],Pell_Table[Pell Amt]),0)</f>
        <v>0</v>
      </c>
      <c r="CP134" s="253">
        <f>Table1[[#This Row],[AccessTot]]/3</f>
        <v>0</v>
      </c>
      <c r="CQ134" s="253">
        <f>Table1[[#This Row],[AccessTot]]/3</f>
        <v>0</v>
      </c>
      <c r="CR134" s="253">
        <f>Table1[[#This Row],[AccessTot]]/3</f>
        <v>0</v>
      </c>
      <c r="CS134" s="254">
        <f>IF(Table1[[#This Row],[PellTot]]&gt;0,1500,0)</f>
        <v>0</v>
      </c>
      <c r="CT134" s="253">
        <f>Table1[[#This Row],[AchiTot]]/3</f>
        <v>1700</v>
      </c>
      <c r="CU134" s="253">
        <f>Table1[[#This Row],[AchiTot]]/3</f>
        <v>1700</v>
      </c>
      <c r="CV134" s="253">
        <f>Table1[[#This Row],[AchiTot]]/3</f>
        <v>1700</v>
      </c>
      <c r="CW134" s="255">
        <f>IF(Table1[[#This Row],[Rank]]="","",IF(Table1[[#This Row],[Rank]]=1,5100,IF(Table1[[#This Row],[Rank]]=2,4500,IF(Table1[[#This Row],[Rank]]=3,3900,IF(Table1[[#This Row],[Rank]]=4,3750,IF(Table1[[#This Row],[Rank]]=5,3000,IF(Table1[[#This Row],[Rank]]=6,2250,0)))))))</f>
        <v>5100</v>
      </c>
      <c r="CX134" s="253">
        <f>Table1[[#This Row],[UTTot]]/3</f>
        <v>0</v>
      </c>
      <c r="CY134" s="253">
        <f>Table1[[#This Row],[UTTot]]/3</f>
        <v>0</v>
      </c>
      <c r="CZ134" s="253">
        <f>Table1[[#This Row],[UTTot]]/3</f>
        <v>0</v>
      </c>
      <c r="DA134" s="254">
        <f>IF(Table1[[#This Row],[State]]="UT",9000,0)</f>
        <v>0</v>
      </c>
      <c r="DB134" s="253">
        <f>Table1[[#This Row],[WITTot]]/3</f>
        <v>0</v>
      </c>
      <c r="DC134" s="253">
        <f>Table1[[#This Row],[WITTot]]/3</f>
        <v>0</v>
      </c>
      <c r="DD134" s="253">
        <f>Table1[[#This Row],[WITTot]]/3</f>
        <v>0</v>
      </c>
      <c r="DE134" s="254">
        <f>IF(Table1[[#This Row],[Gender]]="Female",3000,0)</f>
        <v>0</v>
      </c>
      <c r="DF134" s="253">
        <f>Table1[[#This Row],[SerTot]]/3</f>
        <v>0</v>
      </c>
      <c r="DG134" s="253">
        <f>Table1[[#This Row],[SerTot]]/3</f>
        <v>0</v>
      </c>
      <c r="DH134" s="253">
        <f>Table1[[#This Row],[SerTot]]/3</f>
        <v>0</v>
      </c>
      <c r="DI134" s="255">
        <v>0</v>
      </c>
      <c r="DJ134" s="253">
        <f>IFERROR(ROUNDUP(Table1[[#This Row],[TranTot]]/3,0),0)</f>
        <v>0</v>
      </c>
      <c r="DK134" s="253">
        <f>IFERROR(ROUND(Table1[[#This Row],[TranTot]]/3,0),0)</f>
        <v>0</v>
      </c>
      <c r="DL134" s="253">
        <f>IFERROR(ROUNDDOWN(Table1[[#This Row],[TranTot]]/3,0),0)</f>
        <v>0</v>
      </c>
      <c r="DM134" s="255">
        <v>0</v>
      </c>
      <c r="DN134" s="253">
        <f>Table1[[#This Row],[MatTot]]/3</f>
        <v>0</v>
      </c>
      <c r="DO134" s="253">
        <f>Table1[[#This Row],[MatTot]]/3</f>
        <v>0</v>
      </c>
      <c r="DP134" s="253">
        <f>Table1[[#This Row],[MatTot]]/3</f>
        <v>0</v>
      </c>
      <c r="DQ134" s="255">
        <v>0</v>
      </c>
      <c r="DR134" s="253">
        <f>Table1[[#This Row],[OutTot]]/3</f>
        <v>0</v>
      </c>
      <c r="DS134" s="253">
        <f>Table1[[#This Row],[OutTot]]/3</f>
        <v>0</v>
      </c>
      <c r="DT134" s="253">
        <f>Table1[[#This Row],[OutTot]]/3</f>
        <v>0</v>
      </c>
      <c r="DU134" s="255">
        <v>0</v>
      </c>
      <c r="DV134" s="259">
        <v>0</v>
      </c>
      <c r="DW134" s="259">
        <v>0</v>
      </c>
      <c r="DX134" s="259">
        <v>0</v>
      </c>
      <c r="DY134" s="261">
        <f>SUM(Table1[[#This Row],[VAQ1]:[VAQ3]])</f>
        <v>0</v>
      </c>
      <c r="DZ134" s="253">
        <v>0</v>
      </c>
      <c r="EA134" s="253">
        <v>0</v>
      </c>
      <c r="EB134" s="253">
        <v>0</v>
      </c>
      <c r="EC134" s="278">
        <f>SUM(Table1[[#This Row],[OthGrantQ1]:[OthGrantQ3]])</f>
        <v>0</v>
      </c>
      <c r="ED134" s="264">
        <f>Table1[[#This Row],[SEOGTot]]+Table1[[#This Row],[PellTot]]+Table1[[#This Row],[AccessTot]]+Table1[[#This Row],[AchiTot]]+Table1[[#This Row],[UTTot]]+Table1[[#This Row],[WITTot]]+Table1[[#This Row],[SerTot]]+Table1[[#This Row],[TranTot]]+Table1[[#This Row],[MatTot]]+Table1[[#This Row],[OutTot]]+Table1[[#This Row],[VATot]]+Table1[[#This Row],[OthGrantTot]]</f>
        <v>5100</v>
      </c>
      <c r="EE134" s="226">
        <v>0</v>
      </c>
      <c r="EF134" s="227">
        <v>0</v>
      </c>
      <c r="EG134" s="227">
        <v>0</v>
      </c>
      <c r="EH134" s="228">
        <f>SUM(Table1[[#This Row],[CashQ1]]:Table1[[#This Row],[CashQ3]])</f>
        <v>0</v>
      </c>
      <c r="EI134" s="229">
        <f>ROUND((Table1[[#This Row],[SubTot]]/3)/1.01059,0)</f>
        <v>1154</v>
      </c>
      <c r="EJ134" s="230">
        <f>ROUND((Table1[[#This Row],[SubTot]]/3)/1.01059,0)</f>
        <v>1154</v>
      </c>
      <c r="EK134" s="230">
        <f>ROUNDUP((Table1[[#This Row],[SubTot]]/3)/1.01059,0)</f>
        <v>1155</v>
      </c>
      <c r="EL134" s="231">
        <v>3500</v>
      </c>
      <c r="EM134" s="233">
        <f>Table1[[#This Row],[SubTot]]*0.01059</f>
        <v>37.065000000000005</v>
      </c>
      <c r="EN134" s="230">
        <f>ROUND((Table1[[#This Row],[UnsubTot]]/3)/1.01062,0)</f>
        <v>660</v>
      </c>
      <c r="EO134" s="230">
        <f>ROUND((Table1[[#This Row],[UnsubTot]]/3)/1.01062,0)</f>
        <v>660</v>
      </c>
      <c r="EP134" s="230">
        <f>ROUNDDOWN((Table1[[#This Row],[UnsubTot]]/3)/1.01062,0)</f>
        <v>659</v>
      </c>
      <c r="EQ134" s="231">
        <f>IF(Table1[D/I]="I",6000,2000)</f>
        <v>2000</v>
      </c>
      <c r="ER134" s="233">
        <f>Table1[[#This Row],[UnsubTot]]*0.01059</f>
        <v>21.18</v>
      </c>
      <c r="ES134" s="230">
        <f>ROUND((Table1[[#This Row],[PLUSTot]]/3)/1.04236,0)</f>
        <v>0</v>
      </c>
      <c r="ET134" s="230">
        <f>ROUND((Table1[[#This Row],[PLUSTot]]/3)/1.04236,0)</f>
        <v>0</v>
      </c>
      <c r="EU134" s="230">
        <f>ROUND((Table1[[#This Row],[PLUSTot]]/3)/1.04236,0)</f>
        <v>0</v>
      </c>
      <c r="EV134" s="231">
        <v>0</v>
      </c>
      <c r="EW134" s="236">
        <f>Table1[[#This Row],[PLUSTot]]*0.04236</f>
        <v>0</v>
      </c>
      <c r="EX134" s="227"/>
      <c r="EY134" s="227"/>
      <c r="EZ134" s="227"/>
      <c r="FA134" s="228">
        <f>SUM(Table1[[#This Row],[PrivQ1]:[PrivQ3]])</f>
        <v>0</v>
      </c>
      <c r="FB134" s="227"/>
      <c r="FC134" s="227"/>
      <c r="FD134" s="227"/>
      <c r="FE134" s="228">
        <f>SUM(Table1[[#This Row],[TOQ1]:[TOQ3]])</f>
        <v>0</v>
      </c>
      <c r="FF134" s="227"/>
      <c r="FG134" s="227"/>
      <c r="FH134" s="227"/>
      <c r="FI134" s="228">
        <f>SUM(Table1[[#This Row],[OFundQ1]:[OFundQ3]])</f>
        <v>0</v>
      </c>
      <c r="FJ134" s="236">
        <f>(Table1[[#This Row],[SubTot]]-Table1[[#This Row],[SubFee]])+(Table1[[#This Row],[UnsubTot]]-Table1[[#This Row],[UnsubFee]])+(Table1[[#This Row],[PLUSTot]]-Table1[[#This Row],[PLUSFee]])+Table1[[#This Row],[PrivTot]]+Table1[[#This Row],[TOTot]]+Table1[[#This Row],[OFundTot]]</f>
        <v>5441.7550000000001</v>
      </c>
      <c r="FK134" s="159">
        <f>Table1[[#This Row],[CostTot]]-Table1[[#This Row],[GiftTot]]</f>
        <v>34415</v>
      </c>
      <c r="FL134" s="174">
        <f>Table1[[#This Row],[NetNeed]]/(1-0.04236)</f>
        <v>30254.840023390832</v>
      </c>
      <c r="FM134" s="176">
        <f>Table1[[#This Row],[NetCost]]-Table1[[#This Row],[CashTot]]-(Table1[[#This Row],[SubTot]]-Table1[[#This Row],[SubFee]])-(Table1[[#This Row],[UnsubTot]]-Table1[[#This Row],[UnsubFee]])-(Table1[[#This Row],[PLUSTot]]-Table1[[#This Row],[PLUSFee]])-Table1[[#This Row],[PrivTot]]-Table1[[#This Row],[TOTot]]-Table1[[#This Row],[OFundTot]]</f>
        <v>28973.244999999999</v>
      </c>
      <c r="FN134" s="217"/>
      <c r="FO134" s="162"/>
      <c r="FP134" s="162"/>
    </row>
    <row r="135" spans="1:172" ht="15" x14ac:dyDescent="0.25">
      <c r="A135" s="296">
        <v>198728</v>
      </c>
      <c r="B135" s="113" t="str">
        <f>VLOOKUP(Table1[[#This Row],[SyStudentId]],SSR!$A$2:$CC$4982,4,FALSE)</f>
        <v>Shumard</v>
      </c>
      <c r="C135" s="113" t="str">
        <f>VLOOKUP(Table1[[#This Row],[SyStudentId]],SSR!$A$2:$CC$4982,5,FALSE)</f>
        <v>Parker</v>
      </c>
      <c r="D135" s="113" t="str">
        <f>VLOOKUP(Table1[[#This Row],[SyStudentId]],SSR!$A$2:$CC$4982,6,FALSE)</f>
        <v>Shumard, Parker</v>
      </c>
      <c r="E135" s="113" t="str">
        <f>CONCATENATE(Table1[[#This Row],[FirstName]]," ",Table1[[#This Row],[LastName]])</f>
        <v>Parker Shumard</v>
      </c>
      <c r="F135" s="112"/>
      <c r="G135" s="114"/>
      <c r="H135" s="114"/>
      <c r="I135" s="114"/>
      <c r="J135" s="115"/>
      <c r="K135" s="116"/>
      <c r="L135" s="112" t="str">
        <f>IFERROR(VLOOKUP(Table1[[#This Row],[SyStudentId]],ISIR!$A$2:$X$999,11,FALSE),"")</f>
        <v>D</v>
      </c>
      <c r="M135" s="113" t="str">
        <f>VLOOKUP(Table1[[#This Row],[SyStudentId]],SSR!$A$2:$CC$4982,7,FALSE)</f>
        <v>parkersam@gmail.com</v>
      </c>
      <c r="N135" s="113" t="str">
        <f>VLOOKUP(Table1[[#This Row],[SyStudentId]],SSR!$A$2:$CC$4982,8,FALSE)</f>
        <v>164 River View Drive</v>
      </c>
      <c r="O135" s="113" t="str">
        <f>VLOOKUP(Table1[[#This Row],[SyStudentId]],SSR!$A$2:$CC$4982,9,FALSE)</f>
        <v>Kalispell</v>
      </c>
      <c r="P135" s="234" t="str">
        <f>VLOOKUP(Table1[[#This Row],[SyStudentId]],SSR!$A$2:$CC$4982,10,FALSE)</f>
        <v>MT</v>
      </c>
      <c r="Q135" s="117" t="str">
        <f>VLOOKUP(Table1[[#This Row],[SyStudentId]],SSR!$A$2:$CC$4982,11,FALSE)</f>
        <v xml:space="preserve">59901     </v>
      </c>
      <c r="R135" s="118">
        <f>VLOOKUP(Table1[[#This Row],[SyStudentId]],SSR!$A$2:$CC$4982,15,FALSE)</f>
        <v>4</v>
      </c>
      <c r="S135" s="119">
        <f>VLOOKUP(Table1[[#This Row],[SyStudentId]],SSR!$A$2:$CC$4982,22,FALSE)</f>
        <v>44109</v>
      </c>
      <c r="T135" s="113" t="str">
        <f>VLOOKUP(Table1[[#This Row],[SyStudentId]],SSR!$A$2:$CC$4982,24,FALSE)</f>
        <v>MN</v>
      </c>
      <c r="U135" s="113" t="str">
        <f>IF(VLOOKUP(Table1[[#This Row],[SyStudentId]],SSR!$A$2:$CC$4982,26,FALSE)=0,"Not Selected",VLOOKUP(Table1[[#This Row],[SyStudentId]],SSR!$A$2:$CC$4982,26,FALSE))</f>
        <v>Male</v>
      </c>
      <c r="V135" s="113" t="str">
        <f>VLOOKUP(Table1[[#This Row],[SyStudentId]],SSR!$A$2:$CC$4982,27,FALSE)</f>
        <v xml:space="preserve">HS2020  </v>
      </c>
      <c r="W135" s="113" t="str">
        <f>VLOOKUP(LEFT(Table1[[#This Row],[LastName]],1),Alpha!$A$1:$B$26,2,FALSE)</f>
        <v>Maureen Ranks</v>
      </c>
      <c r="X135" s="149" t="str">
        <f>VLOOKUP(Table1[[#This Row],[FAA]],Alpha!$B$1:$D$26,2,FALSE)</f>
        <v>mranks@neumont.edu</v>
      </c>
      <c r="Y135" s="113">
        <f>VLOOKUP(Table1[[#This Row],[FAA]],Alpha!$B$1:$D$26,3,FALSE)</f>
        <v>8883022894</v>
      </c>
      <c r="Z135" s="113" t="str">
        <f>VLOOKUP(Table1[[#This Row],[SyStudentId]],SSR!$A$2:$CC$4982,30,FALSE)</f>
        <v>16-Accepted</v>
      </c>
      <c r="AA135" s="113" t="str">
        <f>IF(VLOOKUP(Table1[[#This Row],[SyStudentId]],SSR!$A$2:$CC$4982,36,FALSE)="Bachelor of Science","BS Computer Science","Check Program")</f>
        <v>BS Computer Science</v>
      </c>
      <c r="AB135" s="113" t="str">
        <f>VLOOKUP(Table1[[#This Row],[SyStudentId]],SSR!$A$2:$CC$4982,37,FALSE)</f>
        <v xml:space="preserve">30      </v>
      </c>
      <c r="AC135" s="113">
        <f>VLOOKUP(Table1[[#This Row],[SyStudentId]],SSR!$A$2:$CC$4982,42,FALSE)</f>
        <v>0</v>
      </c>
      <c r="AD135" s="113" t="str">
        <f>VLOOKUP(Table1[[#This Row],[SyStudentId]],SSR!$A$2:$CC$4982,46,FALSE)</f>
        <v>131</v>
      </c>
      <c r="AE135" s="113" t="str">
        <f>VLOOKUP(Table1[[#This Row],[SyStudentId]],SSR!$A$2:$CC$4982,65,FALSE)</f>
        <v>I</v>
      </c>
      <c r="AF135"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35" s="113" t="str">
        <f>VLOOKUP(Table1[[#This Row],[SyStudentId]],SSR!$A$2:$CC$4982,66,FALSE)</f>
        <v>October</v>
      </c>
      <c r="AH135" s="113" t="str">
        <f>IFERROR(VLOOKUP(Table1[[#This Row],[SyStudentId]],ISIR!$A$2:$X$999,7,FALSE),"")</f>
        <v>000180</v>
      </c>
      <c r="AI135" s="121">
        <f>IF(Table1[[#This Row],[EFCRaw]]="","",IF(Table1[[#This Row],[EFCRaw]]="No EFC","No EFC",_xlfn.NUMBERVALUE(Table1[[#This Row],[EFCRaw]])))</f>
        <v>180</v>
      </c>
      <c r="AJ135" s="119">
        <f>IFERROR(VLOOKUP(Table1[[#This Row],[SyStudentId]],ISIR!$A$2:$X$4999,19,FALSE),"")</f>
        <v>43783</v>
      </c>
      <c r="AK135" s="113" t="str">
        <f>IFERROR(VLOOKUP(Table1[[#This Row],[SyStudentId]],ISIR!$A$2:$X$4999,8,FALSE),"")</f>
        <v>Y</v>
      </c>
      <c r="AL135" s="132" t="str">
        <f>IF(Table1[[#This Row],[VerReq]]="N","n/a","")</f>
        <v/>
      </c>
      <c r="AM135" s="122"/>
      <c r="AN135" s="122"/>
      <c r="AO135" s="122"/>
      <c r="AP135" s="122"/>
      <c r="AQ135" s="122"/>
      <c r="AR135" s="122"/>
      <c r="AS135" s="122"/>
      <c r="AT135" s="122"/>
      <c r="AU135" s="122"/>
      <c r="AV135" s="122"/>
      <c r="AW135" s="122"/>
      <c r="AX135" s="122"/>
      <c r="AY135" s="122"/>
      <c r="AZ135" s="122"/>
      <c r="BA135" s="122"/>
      <c r="BB135" s="122"/>
      <c r="BC135" s="148"/>
      <c r="BD135" s="140" t="str">
        <f>IF(Table1[[#This Row],[VerReq]]="N","x","")</f>
        <v/>
      </c>
      <c r="BE135" s="140" t="str">
        <f>IF(Table1[[#This Row],[VerReq]]="N","x","")</f>
        <v/>
      </c>
      <c r="BF135" s="140" t="str">
        <f>IF(Table1[[#This Row],[VerReq]]="N","x","")</f>
        <v/>
      </c>
      <c r="BG135" s="140" t="str">
        <f>IF(Table1[[#This Row],[VerReq]]="N","x","")</f>
        <v/>
      </c>
      <c r="BH135" s="140" t="str">
        <f>IF(Table1[[#This Row],[VerReq]]="N","x","")</f>
        <v/>
      </c>
      <c r="BI135" s="140" t="str">
        <f>IF(Table1[[#This Row],[VerReq]]="N","x","")</f>
        <v/>
      </c>
      <c r="BJ135" s="123">
        <f>1-((COUNTBLANK(Table1[[#This Row],[ALESent]:[TaxTran]]))/(COUNT(Table1[[#This Row],[ALESent]:[TaxTran]])+COUNTBLANK(Table1[[#This Row],[ALESent]:[TaxTran]])))</f>
        <v>0</v>
      </c>
      <c r="BK135" s="150">
        <f>IF(VLOOKUP(Table1[[#This Row],[SyStudentId]],SSR!$A$2:$CC$4982,22,FALSE)=44109,44109,"Check Program")</f>
        <v>44109</v>
      </c>
      <c r="BL135" s="124">
        <f>IF(Table1[[#This Row],[AYStart]]=44109,44356,"Check Program")</f>
        <v>44356</v>
      </c>
      <c r="BM135" s="219">
        <v>8505</v>
      </c>
      <c r="BN135" s="219">
        <v>8505</v>
      </c>
      <c r="BO135" s="219">
        <v>8505</v>
      </c>
      <c r="BP135" s="220">
        <f t="shared" si="6"/>
        <v>25515</v>
      </c>
      <c r="BQ135" s="221">
        <v>3300</v>
      </c>
      <c r="BR135" s="219">
        <v>400</v>
      </c>
      <c r="BS135" s="219">
        <v>400</v>
      </c>
      <c r="BT135" s="220">
        <f t="shared" si="7"/>
        <v>4100</v>
      </c>
      <c r="BU135" s="219">
        <v>2100</v>
      </c>
      <c r="BV135" s="219">
        <v>2100</v>
      </c>
      <c r="BW135" s="219">
        <v>2100</v>
      </c>
      <c r="BX135" s="220">
        <f t="shared" si="8"/>
        <v>6300</v>
      </c>
      <c r="BY135" s="275">
        <v>1200</v>
      </c>
      <c r="BZ135" s="275">
        <v>1200</v>
      </c>
      <c r="CA135" s="275">
        <v>1200</v>
      </c>
      <c r="CB135" s="220">
        <f>SUM(Table1[[#This Row],[LEQ1]:[LEQ3]])</f>
        <v>3600</v>
      </c>
      <c r="CC135" s="269"/>
      <c r="CD135" s="269"/>
      <c r="CE135" s="269"/>
      <c r="CF135" s="220">
        <f>SUM(Table1[[#This Row],[OthCostQ1]:[OthCostQ3]])</f>
        <v>0</v>
      </c>
      <c r="CG135" s="220">
        <f>(Table1[[#This Row],[T&amp;FTot]]+Table1[[#This Row],[B&amp;STot]]+Table1[[#This Row],[HousTot]]+Table1[[#This Row],[LETot]]+Table1[[#This Row],[OthCostTot]])</f>
        <v>39515</v>
      </c>
      <c r="CH135" s="250"/>
      <c r="CI135" s="250"/>
      <c r="CJ135" s="250"/>
      <c r="CK135" s="251">
        <f>SUM(Table1[[#This Row],[SEOGQ1]:[SEOGQ3]])</f>
        <v>0</v>
      </c>
      <c r="CL135" s="250">
        <f>IFERROR(ROUNDUP(Table1[[#This Row],[PellTot]]/3,0),0)</f>
        <v>2015</v>
      </c>
      <c r="CM135" s="250">
        <f>IFERROR(ROUND(Table1[[#This Row],[PellTot]]/3,0),0)</f>
        <v>2015</v>
      </c>
      <c r="CN135" s="250">
        <f>IFERROR(ROUNDDOWN(Table1[[#This Row],[PellTot]]/3,0),0)</f>
        <v>2015</v>
      </c>
      <c r="CO135" s="251">
        <f>IFERROR(LOOKUP(Table1[EFC],Pell_Table[#Data],Pell_Table[Pell Amt]),0)</f>
        <v>6045</v>
      </c>
      <c r="CP135" s="250">
        <f>Table1[[#This Row],[AccessTot]]/3</f>
        <v>500</v>
      </c>
      <c r="CQ135" s="250">
        <f>Table1[[#This Row],[AccessTot]]/3</f>
        <v>500</v>
      </c>
      <c r="CR135" s="250">
        <f>Table1[[#This Row],[AccessTot]]/3</f>
        <v>500</v>
      </c>
      <c r="CS135" s="251">
        <f>IF(Table1[[#This Row],[PellTot]]&gt;0,1500,0)</f>
        <v>1500</v>
      </c>
      <c r="CT135" s="250">
        <f>Table1[[#This Row],[AchiTot]]/3</f>
        <v>1700</v>
      </c>
      <c r="CU135" s="250">
        <f>Table1[[#This Row],[AchiTot]]/3</f>
        <v>1700</v>
      </c>
      <c r="CV135" s="250">
        <f>Table1[[#This Row],[AchiTot]]/3</f>
        <v>1700</v>
      </c>
      <c r="CW135" s="252">
        <f>IF(Table1[[#This Row],[Rank]]="","",IF(Table1[[#This Row],[Rank]]=1,5100,IF(Table1[[#This Row],[Rank]]=2,4500,IF(Table1[[#This Row],[Rank]]=3,3900,IF(Table1[[#This Row],[Rank]]=4,3750,IF(Table1[[#This Row],[Rank]]=5,3000,IF(Table1[[#This Row],[Rank]]=6,2250,0)))))))</f>
        <v>5100</v>
      </c>
      <c r="CX135" s="250">
        <f>Table1[[#This Row],[UTTot]]/3</f>
        <v>0</v>
      </c>
      <c r="CY135" s="250">
        <f>Table1[[#This Row],[UTTot]]/3</f>
        <v>0</v>
      </c>
      <c r="CZ135" s="250">
        <f>Table1[[#This Row],[UTTot]]/3</f>
        <v>0</v>
      </c>
      <c r="DA135" s="251">
        <f>IF(Table1[[#This Row],[State]]="UT",9000,0)</f>
        <v>0</v>
      </c>
      <c r="DB135" s="250">
        <f>Table1[[#This Row],[WITTot]]/3</f>
        <v>0</v>
      </c>
      <c r="DC135" s="250">
        <f>Table1[[#This Row],[WITTot]]/3</f>
        <v>0</v>
      </c>
      <c r="DD135" s="250">
        <f>Table1[[#This Row],[WITTot]]/3</f>
        <v>0</v>
      </c>
      <c r="DE135" s="251">
        <f>IF(Table1[[#This Row],[Gender]]="Female",3000,0)</f>
        <v>0</v>
      </c>
      <c r="DF135" s="250">
        <f>Table1[[#This Row],[SerTot]]/3</f>
        <v>0</v>
      </c>
      <c r="DG135" s="250">
        <f>Table1[[#This Row],[SerTot]]/3</f>
        <v>0</v>
      </c>
      <c r="DH135" s="250">
        <f>Table1[[#This Row],[SerTot]]/3</f>
        <v>0</v>
      </c>
      <c r="DI135" s="252"/>
      <c r="DJ135" s="250"/>
      <c r="DK135" s="250"/>
      <c r="DL135" s="250"/>
      <c r="DM135" s="252"/>
      <c r="DN135" s="250">
        <f>Table1[[#This Row],[MatTot]]/3</f>
        <v>0</v>
      </c>
      <c r="DO135" s="250">
        <f>Table1[[#This Row],[MatTot]]/3</f>
        <v>0</v>
      </c>
      <c r="DP135" s="250">
        <f>Table1[[#This Row],[MatTot]]/3</f>
        <v>0</v>
      </c>
      <c r="DQ135" s="252"/>
      <c r="DR135" s="250">
        <f>Table1[[#This Row],[OutTot]]/3</f>
        <v>0</v>
      </c>
      <c r="DS135" s="250">
        <f>Table1[[#This Row],[OutTot]]/3</f>
        <v>0</v>
      </c>
      <c r="DT135" s="250">
        <f>Table1[[#This Row],[OutTot]]/3</f>
        <v>0</v>
      </c>
      <c r="DU135" s="252"/>
      <c r="DV135" s="250"/>
      <c r="DW135" s="250"/>
      <c r="DX135" s="250"/>
      <c r="DY135" s="252">
        <f>SUM(Table1[[#This Row],[VAQ1]:[VAQ3]])</f>
        <v>0</v>
      </c>
      <c r="DZ135" s="250"/>
      <c r="EA135" s="250"/>
      <c r="EB135" s="250"/>
      <c r="EC135" s="270">
        <f>SUM(Table1[[#This Row],[OthGrantQ1]:[OthGrantQ3]])</f>
        <v>0</v>
      </c>
      <c r="ED135" s="263">
        <f>Table1[[#This Row],[SEOGTot]]+Table1[[#This Row],[PellTot]]+Table1[[#This Row],[AccessTot]]+Table1[[#This Row],[AchiTot]]+Table1[[#This Row],[UTTot]]+Table1[[#This Row],[WITTot]]+Table1[[#This Row],[SerTot]]+Table1[[#This Row],[TranTot]]+Table1[[#This Row],[MatTot]]+Table1[[#This Row],[OutTot]]+Table1[[#This Row],[VATot]]+Table1[[#This Row],[OthGrantTot]]</f>
        <v>12645</v>
      </c>
      <c r="EE135" s="249"/>
      <c r="EF135" s="237"/>
      <c r="EG135" s="237"/>
      <c r="EH135" s="232">
        <f>SUM(Table1[[#This Row],[CashQ1]]:Table1[[#This Row],[CashQ3]])</f>
        <v>0</v>
      </c>
      <c r="EI135" s="271">
        <f>ROUND((Table1[[#This Row],[SubTot]]/3)/1.01059,0)</f>
        <v>0</v>
      </c>
      <c r="EJ135" s="234">
        <f>ROUND((Table1[[#This Row],[SubTot]]/3)/1.01059,0)</f>
        <v>0</v>
      </c>
      <c r="EK135" s="234">
        <f>ROUNDUP((Table1[[#This Row],[SubTot]]/3)/1.01059,0)</f>
        <v>0</v>
      </c>
      <c r="EL135" s="235"/>
      <c r="EM135" s="240">
        <f>Table1[[#This Row],[SubTot]]*0.01059</f>
        <v>0</v>
      </c>
      <c r="EN135" s="234">
        <f>ROUND((Table1[[#This Row],[UnsubTot]]/3)/1.01062,0)</f>
        <v>660</v>
      </c>
      <c r="EO135" s="234">
        <f>ROUND((Table1[[#This Row],[UnsubTot]]/3)/1.01062,0)</f>
        <v>660</v>
      </c>
      <c r="EP135" s="234">
        <f>ROUNDDOWN((Table1[[#This Row],[UnsubTot]]/3)/1.01062,0)</f>
        <v>659</v>
      </c>
      <c r="EQ135" s="235">
        <f>IF(Table1[D/I]="I",6000,2000)</f>
        <v>2000</v>
      </c>
      <c r="ER135" s="240">
        <f>Table1[[#This Row],[UnsubTot]]*0.01062</f>
        <v>21.24</v>
      </c>
      <c r="ES135" s="234">
        <f>ROUND((Table1[[#This Row],[PLUSTot]]/3)/1.04248,0)</f>
        <v>0</v>
      </c>
      <c r="ET135" s="234">
        <f>ROUND((Table1[[#This Row],[PLUSTot]]/3)/1.04248,0)</f>
        <v>0</v>
      </c>
      <c r="EU135" s="234">
        <f>ROUND((Table1[[#This Row],[PLUSTot]]/3)/1.04248,0)</f>
        <v>0</v>
      </c>
      <c r="EV135" s="235"/>
      <c r="EW135" s="239">
        <f>Table1[[#This Row],[PLUSTot]]*0.04248</f>
        <v>0</v>
      </c>
      <c r="EX135" s="237"/>
      <c r="EY135" s="237"/>
      <c r="EZ135" s="237"/>
      <c r="FA135" s="232">
        <f>SUM(Table1[[#This Row],[PrivQ1]:[PrivQ3]])</f>
        <v>0</v>
      </c>
      <c r="FB135" s="237"/>
      <c r="FC135" s="237"/>
      <c r="FD135" s="237"/>
      <c r="FE135" s="232">
        <f>SUM(Table1[[#This Row],[TOQ1]:[TOQ3]])</f>
        <v>0</v>
      </c>
      <c r="FF135" s="237"/>
      <c r="FG135" s="237"/>
      <c r="FH135" s="237"/>
      <c r="FI135" s="232">
        <f>SUM(Table1[[#This Row],[OFundQ1]:[OFundQ3]])</f>
        <v>0</v>
      </c>
      <c r="FJ135" s="239">
        <f>(Table1[[#This Row],[SubTot]]-Table1[[#This Row],[SubFee]])+(Table1[[#This Row],[UnsubTot]]-Table1[[#This Row],[UnsubFee]])+(Table1[[#This Row],[PLUSTot]]-Table1[[#This Row],[PLUSFee]])+Table1[[#This Row],[PrivTot]]+Table1[[#This Row],[TOTot]]+Table1[[#This Row],[OFundTot]]</f>
        <v>1978.76</v>
      </c>
      <c r="FK135" s="125">
        <f>Table1[[#This Row],[CostTot]]-Table1[[#This Row],[GiftTot]]</f>
        <v>26870</v>
      </c>
      <c r="FL135" s="130">
        <f>Table1[[#This Row],[NetNeed]]/(1-0.04248)</f>
        <v>25995.530119475312</v>
      </c>
      <c r="FM135" s="131">
        <f>Table1[[#This Row],[NetCost]]-Table1[[#This Row],[CashTot]]-(Table1[[#This Row],[SubTot]]-Table1[[#This Row],[SubFee]])-(Table1[[#This Row],[UnsubTot]]-Table1[[#This Row],[UnsubFee]])-(Table1[[#This Row],[PLUSTot]]-Table1[[#This Row],[PLUSFee]])-Table1[[#This Row],[PrivTot]]-Table1[[#This Row],[TOTot]]-Table1[[#This Row],[OFundTot]]</f>
        <v>24891.24</v>
      </c>
      <c r="FN135" s="156"/>
      <c r="FO135" s="113"/>
      <c r="FP135" s="113"/>
    </row>
    <row r="136" spans="1:172" ht="15" x14ac:dyDescent="0.25">
      <c r="A136" s="296">
        <v>198543</v>
      </c>
      <c r="B136" s="113" t="str">
        <f>VLOOKUP(Table1[[#This Row],[SyStudentId]],SSR!$A$2:$CC$4982,4,FALSE)</f>
        <v>Sickler</v>
      </c>
      <c r="C136" s="113" t="str">
        <f>VLOOKUP(Table1[[#This Row],[SyStudentId]],SSR!$A$2:$CC$4982,5,FALSE)</f>
        <v>Noah</v>
      </c>
      <c r="D136" s="113" t="str">
        <f>VLOOKUP(Table1[[#This Row],[SyStudentId]],SSR!$A$2:$CC$4982,6,FALSE)</f>
        <v>Sickler, Noah</v>
      </c>
      <c r="E136" s="113" t="str">
        <f>CONCATENATE(Table1[[#This Row],[FirstName]]," ",Table1[[#This Row],[LastName]])</f>
        <v>Noah Sickler</v>
      </c>
      <c r="F136" s="112">
        <v>1</v>
      </c>
      <c r="G136" s="114">
        <v>43802</v>
      </c>
      <c r="H136" s="114">
        <v>43802</v>
      </c>
      <c r="I136" s="114">
        <v>43802</v>
      </c>
      <c r="J136" s="115" t="s">
        <v>6155</v>
      </c>
      <c r="K136" s="116"/>
      <c r="L136" s="112" t="str">
        <f>IFERROR(VLOOKUP(Table1[[#This Row],[SyStudentId]],ISIR!$A$2:$X$999,11,FALSE),"")</f>
        <v/>
      </c>
      <c r="M136" s="113" t="str">
        <f>VLOOKUP(Table1[[#This Row],[SyStudentId]],SSR!$A$2:$CC$4982,7,FALSE)</f>
        <v>noahsickler1023@gmail.com</v>
      </c>
      <c r="N136" s="113" t="str">
        <f>VLOOKUP(Table1[[#This Row],[SyStudentId]],SSR!$A$2:$CC$4982,8,FALSE)</f>
        <v>1103 Ann Place, 1103</v>
      </c>
      <c r="O136" s="113" t="str">
        <f>VLOOKUP(Table1[[#This Row],[SyStudentId]],SSR!$A$2:$CC$4982,9,FALSE)</f>
        <v>Platteville</v>
      </c>
      <c r="P136" s="234" t="str">
        <f>VLOOKUP(Table1[[#This Row],[SyStudentId]],SSR!$A$2:$CC$4982,10,FALSE)</f>
        <v>CO</v>
      </c>
      <c r="Q136" s="117" t="str">
        <f>VLOOKUP(Table1[[#This Row],[SyStudentId]],SSR!$A$2:$CC$4982,11,FALSE)</f>
        <v xml:space="preserve">80652     </v>
      </c>
      <c r="R136" s="118">
        <f>VLOOKUP(Table1[[#This Row],[SyStudentId]],SSR!$A$2:$CC$4982,15,FALSE)</f>
        <v>2.14</v>
      </c>
      <c r="S136" s="119">
        <f>VLOOKUP(Table1[[#This Row],[SyStudentId]],SSR!$A$2:$CC$4982,22,FALSE)</f>
        <v>44109</v>
      </c>
      <c r="T136" s="113" t="str">
        <f>VLOOKUP(Table1[[#This Row],[SyStudentId]],SSR!$A$2:$CC$4982,24,FALSE)</f>
        <v>JT</v>
      </c>
      <c r="U136" s="113" t="str">
        <f>IF(VLOOKUP(Table1[[#This Row],[SyStudentId]],SSR!$A$2:$CC$4982,26,FALSE)=0,"Not Selected",VLOOKUP(Table1[[#This Row],[SyStudentId]],SSR!$A$2:$CC$4982,26,FALSE))</f>
        <v>Male</v>
      </c>
      <c r="V136" s="113" t="str">
        <f>VLOOKUP(Table1[[#This Row],[SyStudentId]],SSR!$A$2:$CC$4982,27,FALSE)</f>
        <v xml:space="preserve">HS2020  </v>
      </c>
      <c r="W136" s="113" t="str">
        <f>VLOOKUP(LEFT(Table1[[#This Row],[LastName]],1),Alpha!$A$1:$B$26,2,FALSE)</f>
        <v>Maureen Ranks</v>
      </c>
      <c r="X136" s="149" t="str">
        <f>VLOOKUP(Table1[[#This Row],[FAA]],Alpha!$B$1:$D$26,2,FALSE)</f>
        <v>mranks@neumont.edu</v>
      </c>
      <c r="Y136" s="113">
        <f>VLOOKUP(Table1[[#This Row],[FAA]],Alpha!$B$1:$D$26,3,FALSE)</f>
        <v>8883022894</v>
      </c>
      <c r="Z136" s="113" t="str">
        <f>VLOOKUP(Table1[[#This Row],[SyStudentId]],SSR!$A$2:$CC$4982,30,FALSE)</f>
        <v>18-Pending Enrollment</v>
      </c>
      <c r="AA136" s="113" t="str">
        <f>IF(VLOOKUP(Table1[[#This Row],[SyStudentId]],SSR!$A$2:$CC$4982,36,FALSE)="Bachelor of Science","BS Computer Science","Check Program")</f>
        <v>BS Computer Science</v>
      </c>
      <c r="AB136" s="113">
        <f>VLOOKUP(Table1[[#This Row],[SyStudentId]],SSR!$A$2:$CC$4982,37,FALSE)</f>
        <v>0</v>
      </c>
      <c r="AC136" s="113" t="str">
        <f>VLOOKUP(Table1[[#This Row],[SyStudentId]],SSR!$A$2:$CC$4982,42,FALSE)</f>
        <v xml:space="preserve">1080    </v>
      </c>
      <c r="AD136" s="113" t="str">
        <f>VLOOKUP(Table1[[#This Row],[SyStudentId]],SSR!$A$2:$CC$4982,46,FALSE)</f>
        <v>84</v>
      </c>
      <c r="AE136" s="113" t="str">
        <f>VLOOKUP(Table1[[#This Row],[SyStudentId]],SSR!$A$2:$CC$4982,65,FALSE)</f>
        <v>X</v>
      </c>
      <c r="AF136"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10</v>
      </c>
      <c r="AG136" s="113" t="str">
        <f>VLOOKUP(Table1[[#This Row],[SyStudentId]],SSR!$A$2:$CC$4982,66,FALSE)</f>
        <v>October</v>
      </c>
      <c r="AH136" s="113" t="str">
        <f>IFERROR(VLOOKUP(Table1[[#This Row],[SyStudentId]],ISIR!$A$2:$X$999,7,FALSE),"")</f>
        <v/>
      </c>
      <c r="AI136" s="121" t="str">
        <f>IF(Table1[[#This Row],[EFCRaw]]="","",IF(Table1[[#This Row],[EFCRaw]]="No EFC","No EFC",_xlfn.NUMBERVALUE(Table1[[#This Row],[EFCRaw]])))</f>
        <v/>
      </c>
      <c r="AJ136" s="119" t="str">
        <f>IFERROR(VLOOKUP(Table1[[#This Row],[SyStudentId]],ISIR!$A$2:$X$4999,19,FALSE),"")</f>
        <v/>
      </c>
      <c r="AK136" s="113" t="str">
        <f>IFERROR(VLOOKUP(Table1[[#This Row],[SyStudentId]],ISIR!$A$2:$X$4999,8,FALSE),"")</f>
        <v/>
      </c>
      <c r="AL136" s="132" t="str">
        <f>IF(Table1[[#This Row],[VerReq]]="N","n/a","")</f>
        <v/>
      </c>
      <c r="AM136" s="122"/>
      <c r="AN136" s="122"/>
      <c r="AO136" s="122">
        <v>43805</v>
      </c>
      <c r="AP136" s="122">
        <v>43805</v>
      </c>
      <c r="AQ136" s="122">
        <v>43805</v>
      </c>
      <c r="AR136" s="122"/>
      <c r="AS136" s="122"/>
      <c r="AT136" s="122"/>
      <c r="AU136" s="122"/>
      <c r="AV136" s="122"/>
      <c r="AW136" s="122"/>
      <c r="AX136" s="122"/>
      <c r="AY136" s="122"/>
      <c r="AZ136" s="122"/>
      <c r="BA136" s="122"/>
      <c r="BB136" s="122"/>
      <c r="BC136" s="148"/>
      <c r="BD136" s="140" t="str">
        <f>IF(Table1[[#This Row],[VerReq]]="N","x","")</f>
        <v/>
      </c>
      <c r="BE136" s="140" t="str">
        <f>IF(Table1[[#This Row],[VerReq]]="N","x","")</f>
        <v/>
      </c>
      <c r="BF136" s="140" t="str">
        <f>IF(Table1[[#This Row],[VerReq]]="N","x","")</f>
        <v/>
      </c>
      <c r="BG136" s="140" t="str">
        <f>IF(Table1[[#This Row],[VerReq]]="N","x","")</f>
        <v/>
      </c>
      <c r="BH136" s="140" t="str">
        <f>IF(Table1[[#This Row],[VerReq]]="N","x","")</f>
        <v/>
      </c>
      <c r="BI136" s="140" t="str">
        <f>IF(Table1[[#This Row],[VerReq]]="N","x","")</f>
        <v/>
      </c>
      <c r="BJ136" s="123">
        <f>1-((COUNTBLANK(Table1[[#This Row],[ALESent]:[TaxTran]]))/(COUNT(Table1[[#This Row],[ALESent]:[TaxTran]])+COUNTBLANK(Table1[[#This Row],[ALESent]:[TaxTran]])))</f>
        <v>0.13043478260869568</v>
      </c>
      <c r="BK136" s="150">
        <f>IF(VLOOKUP(Table1[[#This Row],[SyStudentId]],SSR!$A$2:$CC$4982,22,FALSE)=44109,44109,"Check Program")</f>
        <v>44109</v>
      </c>
      <c r="BL136" s="124">
        <f>IF(Table1[[#This Row],[AYStart]]=44109,44356,"Check Program")</f>
        <v>44356</v>
      </c>
      <c r="BM136" s="219">
        <v>8505</v>
      </c>
      <c r="BN136" s="219">
        <v>8505</v>
      </c>
      <c r="BO136" s="219">
        <v>8505</v>
      </c>
      <c r="BP136" s="220">
        <f t="shared" si="6"/>
        <v>25515</v>
      </c>
      <c r="BQ136" s="221">
        <v>3300</v>
      </c>
      <c r="BR136" s="219">
        <v>400</v>
      </c>
      <c r="BS136" s="219">
        <v>400</v>
      </c>
      <c r="BT136" s="220">
        <f t="shared" si="7"/>
        <v>4100</v>
      </c>
      <c r="BU136" s="219">
        <v>2100</v>
      </c>
      <c r="BV136" s="219">
        <v>2100</v>
      </c>
      <c r="BW136" s="219">
        <v>2100</v>
      </c>
      <c r="BX136" s="220">
        <f t="shared" si="8"/>
        <v>6300</v>
      </c>
      <c r="BY136" s="275">
        <v>1200</v>
      </c>
      <c r="BZ136" s="275">
        <v>1200</v>
      </c>
      <c r="CA136" s="275">
        <v>1200</v>
      </c>
      <c r="CB136" s="220">
        <f>SUM(Table1[[#This Row],[LEQ1]:[LEQ3]])</f>
        <v>3600</v>
      </c>
      <c r="CC136" s="269"/>
      <c r="CD136" s="269"/>
      <c r="CE136" s="269"/>
      <c r="CF136" s="220">
        <f>SUM(Table1[[#This Row],[OthCostQ1]:[OthCostQ3]])</f>
        <v>0</v>
      </c>
      <c r="CG136" s="220">
        <f>(Table1[[#This Row],[T&amp;FTot]]+Table1[[#This Row],[B&amp;STot]]+Table1[[#This Row],[HousTot]]+Table1[[#This Row],[LETot]]+Table1[[#This Row],[OthCostTot]])</f>
        <v>39515</v>
      </c>
      <c r="CH136" s="250"/>
      <c r="CI136" s="250"/>
      <c r="CJ136" s="250"/>
      <c r="CK136" s="251">
        <f>SUM(Table1[[#This Row],[SEOGQ1]:[SEOGQ3]])</f>
        <v>0</v>
      </c>
      <c r="CL136" s="250">
        <f>IFERROR(ROUNDUP(Table1[[#This Row],[PellTot]]/3,0),0)</f>
        <v>0</v>
      </c>
      <c r="CM136" s="250">
        <f>IFERROR(ROUND(Table1[[#This Row],[PellTot]]/3,0),0)</f>
        <v>0</v>
      </c>
      <c r="CN136" s="250">
        <f>IFERROR(ROUNDDOWN(Table1[[#This Row],[PellTot]]/3,0),0)</f>
        <v>0</v>
      </c>
      <c r="CO136" s="251">
        <f>IFERROR(LOOKUP(Table1[EFC],Pell_Table[#Data],Pell_Table[Pell Amt]),0)</f>
        <v>0</v>
      </c>
      <c r="CP136" s="250">
        <f>Table1[[#This Row],[AccessTot]]/3</f>
        <v>0</v>
      </c>
      <c r="CQ136" s="250">
        <f>Table1[[#This Row],[AccessTot]]/3</f>
        <v>0</v>
      </c>
      <c r="CR136" s="250">
        <f>Table1[[#This Row],[AccessTot]]/3</f>
        <v>0</v>
      </c>
      <c r="CS136" s="251">
        <f>IF(Table1[[#This Row],[PellTot]]&gt;0,1500,0)</f>
        <v>0</v>
      </c>
      <c r="CT136" s="250">
        <f>Table1[[#This Row],[AchiTot]]/3</f>
        <v>0</v>
      </c>
      <c r="CU136" s="250">
        <f>Table1[[#This Row],[AchiTot]]/3</f>
        <v>0</v>
      </c>
      <c r="CV136" s="250">
        <f>Table1[[#This Row],[AchiTot]]/3</f>
        <v>0</v>
      </c>
      <c r="CW136" s="252">
        <f>IF(Table1[[#This Row],[Rank]]="","",IF(Table1[[#This Row],[Rank]]=1,5100,IF(Table1[[#This Row],[Rank]]=2,4500,IF(Table1[[#This Row],[Rank]]=3,3900,IF(Table1[[#This Row],[Rank]]=4,3750,IF(Table1[[#This Row],[Rank]]=5,3000,IF(Table1[[#This Row],[Rank]]=6,2250,0)))))))</f>
        <v>0</v>
      </c>
      <c r="CX136" s="250">
        <f>Table1[[#This Row],[UTTot]]/3</f>
        <v>0</v>
      </c>
      <c r="CY136" s="250">
        <f>Table1[[#This Row],[UTTot]]/3</f>
        <v>0</v>
      </c>
      <c r="CZ136" s="250">
        <f>Table1[[#This Row],[UTTot]]/3</f>
        <v>0</v>
      </c>
      <c r="DA136" s="251">
        <f>IF(Table1[[#This Row],[State]]="UT",9000,0)</f>
        <v>0</v>
      </c>
      <c r="DB136" s="250">
        <f>Table1[[#This Row],[WITTot]]/3</f>
        <v>0</v>
      </c>
      <c r="DC136" s="250">
        <f>Table1[[#This Row],[WITTot]]/3</f>
        <v>0</v>
      </c>
      <c r="DD136" s="250">
        <f>Table1[[#This Row],[WITTot]]/3</f>
        <v>0</v>
      </c>
      <c r="DE136" s="251">
        <f>IF(Table1[[#This Row],[Gender]]="Female",3000,0)</f>
        <v>0</v>
      </c>
      <c r="DF136" s="250">
        <f>Table1[[#This Row],[SerTot]]/3</f>
        <v>0</v>
      </c>
      <c r="DG136" s="250">
        <f>Table1[[#This Row],[SerTot]]/3</f>
        <v>0</v>
      </c>
      <c r="DH136" s="250">
        <f>Table1[[#This Row],[SerTot]]/3</f>
        <v>0</v>
      </c>
      <c r="DI136" s="252"/>
      <c r="DJ136" s="250"/>
      <c r="DK136" s="250"/>
      <c r="DL136" s="250"/>
      <c r="DM136" s="252"/>
      <c r="DN136" s="250">
        <f>Table1[[#This Row],[MatTot]]/3</f>
        <v>0</v>
      </c>
      <c r="DO136" s="250">
        <f>Table1[[#This Row],[MatTot]]/3</f>
        <v>0</v>
      </c>
      <c r="DP136" s="250">
        <f>Table1[[#This Row],[MatTot]]/3</f>
        <v>0</v>
      </c>
      <c r="DQ136" s="252"/>
      <c r="DR136" s="250">
        <f>Table1[[#This Row],[OutTot]]/3</f>
        <v>0</v>
      </c>
      <c r="DS136" s="250">
        <f>Table1[[#This Row],[OutTot]]/3</f>
        <v>0</v>
      </c>
      <c r="DT136" s="250">
        <f>Table1[[#This Row],[OutTot]]/3</f>
        <v>0</v>
      </c>
      <c r="DU136" s="252"/>
      <c r="DV136" s="250"/>
      <c r="DW136" s="250"/>
      <c r="DX136" s="250"/>
      <c r="DY136" s="252">
        <f>SUM(Table1[[#This Row],[VAQ1]:[VAQ3]])</f>
        <v>0</v>
      </c>
      <c r="DZ136" s="250"/>
      <c r="EA136" s="250"/>
      <c r="EB136" s="250"/>
      <c r="EC136" s="270">
        <f>SUM(Table1[[#This Row],[OthGrantQ1]:[OthGrantQ3]])</f>
        <v>0</v>
      </c>
      <c r="ED136" s="263">
        <f>Table1[[#This Row],[SEOGTot]]+Table1[[#This Row],[PellTot]]+Table1[[#This Row],[AccessTot]]+Table1[[#This Row],[AchiTot]]+Table1[[#This Row],[UTTot]]+Table1[[#This Row],[WITTot]]+Table1[[#This Row],[SerTot]]+Table1[[#This Row],[TranTot]]+Table1[[#This Row],[MatTot]]+Table1[[#This Row],[OutTot]]+Table1[[#This Row],[VATot]]+Table1[[#This Row],[OthGrantTot]]</f>
        <v>0</v>
      </c>
      <c r="EE136" s="249"/>
      <c r="EF136" s="237"/>
      <c r="EG136" s="237"/>
      <c r="EH136" s="232">
        <f>SUM(Table1[[#This Row],[CashQ1]]:Table1[[#This Row],[CashQ3]])</f>
        <v>0</v>
      </c>
      <c r="EI136" s="271">
        <f>ROUND((Table1[[#This Row],[SubTot]]/3)/1.01059,0)</f>
        <v>0</v>
      </c>
      <c r="EJ136" s="234">
        <f>ROUND((Table1[[#This Row],[SubTot]]/3)/1.01059,0)</f>
        <v>0</v>
      </c>
      <c r="EK136" s="234">
        <f>ROUNDUP((Table1[[#This Row],[SubTot]]/3)/1.01059,0)</f>
        <v>0</v>
      </c>
      <c r="EL136" s="235"/>
      <c r="EM136" s="240">
        <f>Table1[[#This Row],[SubTot]]*0.01059</f>
        <v>0</v>
      </c>
      <c r="EN136" s="234">
        <f>ROUND((Table1[[#This Row],[UnsubTot]]/3)/1.01062,0)</f>
        <v>660</v>
      </c>
      <c r="EO136" s="234">
        <f>ROUND((Table1[[#This Row],[UnsubTot]]/3)/1.01062,0)</f>
        <v>660</v>
      </c>
      <c r="EP136" s="234">
        <f>ROUNDDOWN((Table1[[#This Row],[UnsubTot]]/3)/1.01062,0)</f>
        <v>659</v>
      </c>
      <c r="EQ136" s="235">
        <f>IF(Table1[D/I]="I",6000,2000)</f>
        <v>2000</v>
      </c>
      <c r="ER136" s="240">
        <f>Table1[[#This Row],[UnsubTot]]*0.01062</f>
        <v>21.24</v>
      </c>
      <c r="ES136" s="234">
        <f>ROUND((Table1[[#This Row],[PLUSTot]]/3)/1.04248,0)</f>
        <v>0</v>
      </c>
      <c r="ET136" s="234">
        <f>ROUND((Table1[[#This Row],[PLUSTot]]/3)/1.04248,0)</f>
        <v>0</v>
      </c>
      <c r="EU136" s="234">
        <f>ROUND((Table1[[#This Row],[PLUSTot]]/3)/1.04248,0)</f>
        <v>0</v>
      </c>
      <c r="EV136" s="235"/>
      <c r="EW136" s="239">
        <f>Table1[[#This Row],[PLUSTot]]*0.04248</f>
        <v>0</v>
      </c>
      <c r="EX136" s="237"/>
      <c r="EY136" s="237"/>
      <c r="EZ136" s="237"/>
      <c r="FA136" s="232">
        <f>SUM(Table1[[#This Row],[PrivQ1]:[PrivQ3]])</f>
        <v>0</v>
      </c>
      <c r="FB136" s="237"/>
      <c r="FC136" s="237"/>
      <c r="FD136" s="237"/>
      <c r="FE136" s="232">
        <f>SUM(Table1[[#This Row],[TOQ1]:[TOQ3]])</f>
        <v>0</v>
      </c>
      <c r="FF136" s="237"/>
      <c r="FG136" s="237"/>
      <c r="FH136" s="237"/>
      <c r="FI136" s="232">
        <f>SUM(Table1[[#This Row],[OFundQ1]:[OFundQ3]])</f>
        <v>0</v>
      </c>
      <c r="FJ136" s="239">
        <f>(Table1[[#This Row],[SubTot]]-Table1[[#This Row],[SubFee]])+(Table1[[#This Row],[UnsubTot]]-Table1[[#This Row],[UnsubFee]])+(Table1[[#This Row],[PLUSTot]]-Table1[[#This Row],[PLUSFee]])+Table1[[#This Row],[PrivTot]]+Table1[[#This Row],[TOTot]]+Table1[[#This Row],[OFundTot]]</f>
        <v>1978.76</v>
      </c>
      <c r="FK136" s="125">
        <f>Table1[[#This Row],[CostTot]]-Table1[[#This Row],[GiftTot]]</f>
        <v>39515</v>
      </c>
      <c r="FL136" s="130">
        <f>Table1[[#This Row],[NetNeed]]/(1-0.04248)</f>
        <v>39201.520594870075</v>
      </c>
      <c r="FM136" s="131">
        <f>Table1[[#This Row],[NetCost]]-Table1[[#This Row],[CashTot]]-(Table1[[#This Row],[SubTot]]-Table1[[#This Row],[SubFee]])-(Table1[[#This Row],[UnsubTot]]-Table1[[#This Row],[UnsubFee]])-(Table1[[#This Row],[PLUSTot]]-Table1[[#This Row],[PLUSFee]])-Table1[[#This Row],[PrivTot]]-Table1[[#This Row],[TOTot]]-Table1[[#This Row],[OFundTot]]</f>
        <v>37536.239999999998</v>
      </c>
      <c r="FN136" s="156"/>
      <c r="FO136" s="113"/>
      <c r="FP136" s="113"/>
    </row>
    <row r="137" spans="1:172" ht="15" x14ac:dyDescent="0.25">
      <c r="A137" s="296">
        <v>195357</v>
      </c>
      <c r="B137" s="113" t="str">
        <f>VLOOKUP(Table1[[#This Row],[SyStudentId]],SSR!$A$2:$CC$4982,4,FALSE)</f>
        <v>Sierra</v>
      </c>
      <c r="C137" s="113" t="str">
        <f>VLOOKUP(Table1[[#This Row],[SyStudentId]],SSR!$A$2:$CC$4982,5,FALSE)</f>
        <v>Daniel</v>
      </c>
      <c r="D137" s="113" t="str">
        <f>VLOOKUP(Table1[[#This Row],[SyStudentId]],SSR!$A$2:$CC$4982,6,FALSE)</f>
        <v>Sierra, Daniel</v>
      </c>
      <c r="E137" s="113" t="str">
        <f>CONCATENATE(Table1[[#This Row],[FirstName]]," ",Table1[[#This Row],[LastName]])</f>
        <v>Daniel Sierra</v>
      </c>
      <c r="F137" s="112"/>
      <c r="G137" s="114"/>
      <c r="H137" s="114"/>
      <c r="I137" s="114"/>
      <c r="J137" s="115"/>
      <c r="K137" s="116"/>
      <c r="L137" s="112" t="str">
        <f>IFERROR(VLOOKUP(Table1[[#This Row],[SyStudentId]],ISIR!$A$2:$X$999,11,FALSE),"")</f>
        <v/>
      </c>
      <c r="M137" s="113" t="str">
        <f>VLOOKUP(Table1[[#This Row],[SyStudentId]],SSR!$A$2:$CC$4982,7,FALSE)</f>
        <v>daniel.sierra3@verizon.net</v>
      </c>
      <c r="N137" s="113" t="str">
        <f>VLOOKUP(Table1[[#This Row],[SyStudentId]],SSR!$A$2:$CC$4982,8,FALSE)</f>
        <v>798 Appleton Rd</v>
      </c>
      <c r="O137" s="113" t="str">
        <f>VLOOKUP(Table1[[#This Row],[SyStudentId]],SSR!$A$2:$CC$4982,9,FALSE)</f>
        <v>Simi Valley</v>
      </c>
      <c r="P137" s="290" t="str">
        <f>VLOOKUP(Table1[[#This Row],[SyStudentId]],SSR!$A$2:$CC$4982,10,FALSE)</f>
        <v>CA</v>
      </c>
      <c r="Q137" s="117" t="str">
        <f>VLOOKUP(Table1[[#This Row],[SyStudentId]],SSR!$A$2:$CC$4982,11,FALSE)</f>
        <v xml:space="preserve">93065     </v>
      </c>
      <c r="R137" s="118">
        <f>VLOOKUP(Table1[[#This Row],[SyStudentId]],SSR!$A$2:$CC$4982,15,FALSE)</f>
        <v>3</v>
      </c>
      <c r="S137" s="119">
        <f>VLOOKUP(Table1[[#This Row],[SyStudentId]],SSR!$A$2:$CC$4982,22,FALSE)</f>
        <v>44109</v>
      </c>
      <c r="T137" s="113" t="str">
        <f>VLOOKUP(Table1[[#This Row],[SyStudentId]],SSR!$A$2:$CC$4982,24,FALSE)</f>
        <v>GM</v>
      </c>
      <c r="U137" s="113" t="str">
        <f>IF(VLOOKUP(Table1[[#This Row],[SyStudentId]],SSR!$A$2:$CC$4982,26,FALSE)=0,"Not Selected",VLOOKUP(Table1[[#This Row],[SyStudentId]],SSR!$A$2:$CC$4982,26,FALSE))</f>
        <v>Male</v>
      </c>
      <c r="V137" s="113" t="str">
        <f>VLOOKUP(Table1[[#This Row],[SyStudentId]],SSR!$A$2:$CC$4982,27,FALSE)</f>
        <v xml:space="preserve">HS2020  </v>
      </c>
      <c r="W137" s="113" t="str">
        <f>VLOOKUP(LEFT(Table1[[#This Row],[LastName]],1),Alpha!$A$1:$B$26,2,FALSE)</f>
        <v>Maureen Ranks</v>
      </c>
      <c r="X137" s="149" t="str">
        <f>VLOOKUP(Table1[[#This Row],[FAA]],Alpha!$B$1:$D$26,2,FALSE)</f>
        <v>mranks@neumont.edu</v>
      </c>
      <c r="Y137" s="113">
        <f>VLOOKUP(Table1[[#This Row],[FAA]],Alpha!$B$1:$D$26,3,FALSE)</f>
        <v>8883022894</v>
      </c>
      <c r="Z137" s="113" t="str">
        <f>VLOOKUP(Table1[[#This Row],[SyStudentId]],SSR!$A$2:$CC$4982,30,FALSE)</f>
        <v>18-Pending Enrollment</v>
      </c>
      <c r="AA137" s="113" t="str">
        <f>IF(VLOOKUP(Table1[[#This Row],[SyStudentId]],SSR!$A$2:$CC$4982,36,FALSE)="Bachelor of Science","BS Computer Science","Check Program")</f>
        <v>BS Computer Science</v>
      </c>
      <c r="AB137" s="113">
        <f>VLOOKUP(Table1[[#This Row],[SyStudentId]],SSR!$A$2:$CC$4982,37,FALSE)</f>
        <v>0</v>
      </c>
      <c r="AC137" s="113">
        <f>VLOOKUP(Table1[[#This Row],[SyStudentId]],SSR!$A$2:$CC$4982,42,FALSE)</f>
        <v>0</v>
      </c>
      <c r="AD137" s="113" t="str">
        <f>VLOOKUP(Table1[[#This Row],[SyStudentId]],SSR!$A$2:$CC$4982,46,FALSE)</f>
        <v>0</v>
      </c>
      <c r="AE137" s="113" t="str">
        <f>VLOOKUP(Table1[[#This Row],[SyStudentId]],SSR!$A$2:$CC$4982,65,FALSE)</f>
        <v>IX</v>
      </c>
      <c r="AF137"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137" s="113" t="str">
        <f>VLOOKUP(Table1[[#This Row],[SyStudentId]],SSR!$A$2:$CC$4982,66,FALSE)</f>
        <v>October</v>
      </c>
      <c r="AH137" s="113" t="str">
        <f>IFERROR(VLOOKUP(Table1[[#This Row],[SyStudentId]],ISIR!$A$2:$X$999,7,FALSE),"")</f>
        <v/>
      </c>
      <c r="AI137" s="121" t="str">
        <f>IF(Table1[[#This Row],[EFCRaw]]="","",IF(Table1[[#This Row],[EFCRaw]]="No EFC","No EFC",_xlfn.NUMBERVALUE(Table1[[#This Row],[EFCRaw]])))</f>
        <v/>
      </c>
      <c r="AJ137" s="119" t="str">
        <f>IFERROR(VLOOKUP(Table1[[#This Row],[SyStudentId]],ISIR!$A$2:$X$4999,19,FALSE),"")</f>
        <v/>
      </c>
      <c r="AK137" s="113" t="str">
        <f>IFERROR(VLOOKUP(Table1[[#This Row],[SyStudentId]],ISIR!$A$2:$X$4999,8,FALSE),"")</f>
        <v/>
      </c>
      <c r="AL137" s="132" t="str">
        <f>IF(Table1[[#This Row],[VerReq]]="N","n/a","")</f>
        <v/>
      </c>
      <c r="AM137" s="122"/>
      <c r="AN137" s="122"/>
      <c r="AO137" s="122"/>
      <c r="AP137" s="122"/>
      <c r="AQ137" s="122"/>
      <c r="AR137" s="122"/>
      <c r="AS137" s="122"/>
      <c r="AT137" s="122"/>
      <c r="AU137" s="122"/>
      <c r="AV137" s="122"/>
      <c r="AW137" s="122"/>
      <c r="AX137" s="122"/>
      <c r="AY137" s="122"/>
      <c r="AZ137" s="122"/>
      <c r="BA137" s="122"/>
      <c r="BB137" s="122"/>
      <c r="BC137" s="148"/>
      <c r="BD137" s="140" t="str">
        <f>IF(Table1[[#This Row],[VerReq]]="N","x","")</f>
        <v/>
      </c>
      <c r="BE137" s="140" t="str">
        <f>IF(Table1[[#This Row],[VerReq]]="N","x","")</f>
        <v/>
      </c>
      <c r="BF137" s="140" t="str">
        <f>IF(Table1[[#This Row],[VerReq]]="N","x","")</f>
        <v/>
      </c>
      <c r="BG137" s="140" t="str">
        <f>IF(Table1[[#This Row],[VerReq]]="N","x","")</f>
        <v/>
      </c>
      <c r="BH137" s="140" t="str">
        <f>IF(Table1[[#This Row],[VerReq]]="N","x","")</f>
        <v/>
      </c>
      <c r="BI137" s="140" t="str">
        <f>IF(Table1[[#This Row],[VerReq]]="N","x","")</f>
        <v/>
      </c>
      <c r="BJ137" s="123">
        <f>1-((COUNTBLANK(Table1[[#This Row],[ALESent]:[TaxTran]]))/(COUNT(Table1[[#This Row],[ALESent]:[TaxTran]])+COUNTBLANK(Table1[[#This Row],[ALESent]:[TaxTran]])))</f>
        <v>0</v>
      </c>
      <c r="BK137" s="150">
        <f>IF(VLOOKUP(Table1[[#This Row],[SyStudentId]],SSR!$A$2:$CC$4982,22,FALSE)=44109,44109,"Check Program")</f>
        <v>44109</v>
      </c>
      <c r="BL137" s="124">
        <f>IF(Table1[[#This Row],[AYStart]]=44109,44356,"Check Program")</f>
        <v>44356</v>
      </c>
      <c r="BM137" s="219">
        <v>8505</v>
      </c>
      <c r="BN137" s="219">
        <v>8505</v>
      </c>
      <c r="BO137" s="219">
        <v>8505</v>
      </c>
      <c r="BP137" s="220">
        <f t="shared" si="6"/>
        <v>25515</v>
      </c>
      <c r="BQ137" s="221">
        <v>3300</v>
      </c>
      <c r="BR137" s="219">
        <v>400</v>
      </c>
      <c r="BS137" s="219">
        <v>400</v>
      </c>
      <c r="BT137" s="220">
        <f t="shared" si="7"/>
        <v>4100</v>
      </c>
      <c r="BU137" s="219">
        <v>2100</v>
      </c>
      <c r="BV137" s="219">
        <v>2100</v>
      </c>
      <c r="BW137" s="219">
        <v>2100</v>
      </c>
      <c r="BX137" s="220">
        <f t="shared" si="8"/>
        <v>6300</v>
      </c>
      <c r="BY137" s="275">
        <v>1200</v>
      </c>
      <c r="BZ137" s="275">
        <v>1200</v>
      </c>
      <c r="CA137" s="275">
        <v>1200</v>
      </c>
      <c r="CB137" s="220">
        <f>SUM(Table1[[#This Row],[LEQ1]:[LEQ3]])</f>
        <v>3600</v>
      </c>
      <c r="CC137" s="269"/>
      <c r="CD137" s="269"/>
      <c r="CE137" s="269"/>
      <c r="CF137" s="220">
        <f>SUM(Table1[[#This Row],[OthCostQ1]:[OthCostQ3]])</f>
        <v>0</v>
      </c>
      <c r="CG137" s="220">
        <f>(Table1[[#This Row],[T&amp;FTot]]+Table1[[#This Row],[B&amp;STot]]+Table1[[#This Row],[HousTot]]+Table1[[#This Row],[LETot]]+Table1[[#This Row],[OthCostTot]])</f>
        <v>39515</v>
      </c>
      <c r="CH137" s="250"/>
      <c r="CI137" s="250"/>
      <c r="CJ137" s="250"/>
      <c r="CK137" s="251">
        <f>SUM(Table1[[#This Row],[SEOGQ1]:[SEOGQ3]])</f>
        <v>0</v>
      </c>
      <c r="CL137" s="250">
        <f>IFERROR(ROUNDUP(Table1[[#This Row],[PellTot]]/3,0),0)</f>
        <v>0</v>
      </c>
      <c r="CM137" s="250">
        <f>IFERROR(ROUND(Table1[[#This Row],[PellTot]]/3,0),0)</f>
        <v>0</v>
      </c>
      <c r="CN137" s="250">
        <f>IFERROR(ROUNDDOWN(Table1[[#This Row],[PellTot]]/3,0),0)</f>
        <v>0</v>
      </c>
      <c r="CO137" s="251">
        <f>IFERROR(LOOKUP(Table1[EFC],Pell_Table[#Data],Pell_Table[Pell Amt]),0)</f>
        <v>0</v>
      </c>
      <c r="CP137" s="250">
        <f>Table1[[#This Row],[AccessTot]]/3</f>
        <v>0</v>
      </c>
      <c r="CQ137" s="250">
        <f>Table1[[#This Row],[AccessTot]]/3</f>
        <v>0</v>
      </c>
      <c r="CR137" s="250">
        <f>Table1[[#This Row],[AccessTot]]/3</f>
        <v>0</v>
      </c>
      <c r="CS137" s="251">
        <f>IF(Table1[[#This Row],[PellTot]]&gt;0,1500,0)</f>
        <v>0</v>
      </c>
      <c r="CT137" s="250">
        <f>Table1[[#This Row],[AchiTot]]/3</f>
        <v>0</v>
      </c>
      <c r="CU137" s="250">
        <f>Table1[[#This Row],[AchiTot]]/3</f>
        <v>0</v>
      </c>
      <c r="CV137" s="250">
        <f>Table1[[#This Row],[AchiTot]]/3</f>
        <v>0</v>
      </c>
      <c r="CW137" s="252">
        <f>IF(Table1[[#This Row],[Rank]]="","",IF(Table1[[#This Row],[Rank]]=1,5100,IF(Table1[[#This Row],[Rank]]=2,4500,IF(Table1[[#This Row],[Rank]]=3,3900,IF(Table1[[#This Row],[Rank]]=4,3750,IF(Table1[[#This Row],[Rank]]=5,3000,IF(Table1[[#This Row],[Rank]]=6,2250,0)))))))</f>
        <v>0</v>
      </c>
      <c r="CX137" s="250">
        <f>Table1[[#This Row],[UTTot]]/3</f>
        <v>0</v>
      </c>
      <c r="CY137" s="250">
        <f>Table1[[#This Row],[UTTot]]/3</f>
        <v>0</v>
      </c>
      <c r="CZ137" s="250">
        <f>Table1[[#This Row],[UTTot]]/3</f>
        <v>0</v>
      </c>
      <c r="DA137" s="251">
        <f>IF(Table1[[#This Row],[State]]="UT",9000,0)</f>
        <v>0</v>
      </c>
      <c r="DB137" s="250">
        <f>Table1[[#This Row],[WITTot]]/3</f>
        <v>0</v>
      </c>
      <c r="DC137" s="250">
        <f>Table1[[#This Row],[WITTot]]/3</f>
        <v>0</v>
      </c>
      <c r="DD137" s="250">
        <f>Table1[[#This Row],[WITTot]]/3</f>
        <v>0</v>
      </c>
      <c r="DE137" s="251">
        <f>IF(Table1[[#This Row],[Gender]]="Female",3000,0)</f>
        <v>0</v>
      </c>
      <c r="DF137" s="250">
        <f>Table1[[#This Row],[SerTot]]/3</f>
        <v>0</v>
      </c>
      <c r="DG137" s="250">
        <f>Table1[[#This Row],[SerTot]]/3</f>
        <v>0</v>
      </c>
      <c r="DH137" s="250">
        <f>Table1[[#This Row],[SerTot]]/3</f>
        <v>0</v>
      </c>
      <c r="DI137" s="252"/>
      <c r="DJ137" s="250"/>
      <c r="DK137" s="250"/>
      <c r="DL137" s="250"/>
      <c r="DM137" s="252"/>
      <c r="DN137" s="250">
        <f>Table1[[#This Row],[MatTot]]/3</f>
        <v>0</v>
      </c>
      <c r="DO137" s="250">
        <f>Table1[[#This Row],[MatTot]]/3</f>
        <v>0</v>
      </c>
      <c r="DP137" s="250">
        <f>Table1[[#This Row],[MatTot]]/3</f>
        <v>0</v>
      </c>
      <c r="DQ137" s="252"/>
      <c r="DR137" s="250">
        <f>Table1[[#This Row],[OutTot]]/3</f>
        <v>0</v>
      </c>
      <c r="DS137" s="250">
        <f>Table1[[#This Row],[OutTot]]/3</f>
        <v>0</v>
      </c>
      <c r="DT137" s="250">
        <f>Table1[[#This Row],[OutTot]]/3</f>
        <v>0</v>
      </c>
      <c r="DU137" s="252"/>
      <c r="DV137" s="250"/>
      <c r="DW137" s="250"/>
      <c r="DX137" s="250"/>
      <c r="DY137" s="252">
        <f>SUM(Table1[[#This Row],[VAQ1]:[VAQ3]])</f>
        <v>0</v>
      </c>
      <c r="DZ137" s="250"/>
      <c r="EA137" s="250"/>
      <c r="EB137" s="250"/>
      <c r="EC137" s="270">
        <f>SUM(Table1[[#This Row],[OthGrantQ1]:[OthGrantQ3]])</f>
        <v>0</v>
      </c>
      <c r="ED137" s="263">
        <f>Table1[[#This Row],[SEOGTot]]+Table1[[#This Row],[PellTot]]+Table1[[#This Row],[AccessTot]]+Table1[[#This Row],[AchiTot]]+Table1[[#This Row],[UTTot]]+Table1[[#This Row],[WITTot]]+Table1[[#This Row],[SerTot]]+Table1[[#This Row],[TranTot]]+Table1[[#This Row],[MatTot]]+Table1[[#This Row],[OutTot]]+Table1[[#This Row],[VATot]]+Table1[[#This Row],[OthGrantTot]]</f>
        <v>0</v>
      </c>
      <c r="EE137" s="249"/>
      <c r="EF137" s="237"/>
      <c r="EG137" s="237"/>
      <c r="EH137" s="232">
        <f>SUM(Table1[[#This Row],[CashQ1]]:Table1[[#This Row],[CashQ3]])</f>
        <v>0</v>
      </c>
      <c r="EI137" s="271">
        <f>ROUND((Table1[[#This Row],[SubTot]]/3)/1.01059,0)</f>
        <v>0</v>
      </c>
      <c r="EJ137" s="234">
        <f>ROUND((Table1[[#This Row],[SubTot]]/3)/1.01059,0)</f>
        <v>0</v>
      </c>
      <c r="EK137" s="234">
        <f>ROUNDUP((Table1[[#This Row],[SubTot]]/3)/1.01059,0)</f>
        <v>0</v>
      </c>
      <c r="EL137" s="235"/>
      <c r="EM137" s="240">
        <f>Table1[[#This Row],[SubTot]]*0.01059</f>
        <v>0</v>
      </c>
      <c r="EN137" s="234">
        <f>ROUND((Table1[[#This Row],[UnsubTot]]/3)/1.01062,0)</f>
        <v>660</v>
      </c>
      <c r="EO137" s="234">
        <f>ROUND((Table1[[#This Row],[UnsubTot]]/3)/1.01062,0)</f>
        <v>660</v>
      </c>
      <c r="EP137" s="234">
        <f>ROUNDDOWN((Table1[[#This Row],[UnsubTot]]/3)/1.01062,0)</f>
        <v>659</v>
      </c>
      <c r="EQ137" s="235">
        <f>IF(Table1[D/I]="I",6000,2000)</f>
        <v>2000</v>
      </c>
      <c r="ER137" s="240">
        <f>Table1[[#This Row],[UnsubTot]]*0.01062</f>
        <v>21.24</v>
      </c>
      <c r="ES137" s="234">
        <f>ROUND((Table1[[#This Row],[PLUSTot]]/3)/1.04248,0)</f>
        <v>0</v>
      </c>
      <c r="ET137" s="234">
        <f>ROUND((Table1[[#This Row],[PLUSTot]]/3)/1.04248,0)</f>
        <v>0</v>
      </c>
      <c r="EU137" s="234">
        <f>ROUND((Table1[[#This Row],[PLUSTot]]/3)/1.04248,0)</f>
        <v>0</v>
      </c>
      <c r="EV137" s="235"/>
      <c r="EW137" s="239">
        <f>Table1[[#This Row],[PLUSTot]]*0.04248</f>
        <v>0</v>
      </c>
      <c r="EX137" s="237"/>
      <c r="EY137" s="237"/>
      <c r="EZ137" s="237"/>
      <c r="FA137" s="232">
        <f>SUM(Table1[[#This Row],[PrivQ1]:[PrivQ3]])</f>
        <v>0</v>
      </c>
      <c r="FB137" s="237"/>
      <c r="FC137" s="237"/>
      <c r="FD137" s="237"/>
      <c r="FE137" s="232">
        <f>SUM(Table1[[#This Row],[TOQ1]:[TOQ3]])</f>
        <v>0</v>
      </c>
      <c r="FF137" s="237"/>
      <c r="FG137" s="237"/>
      <c r="FH137" s="237"/>
      <c r="FI137" s="232">
        <f>SUM(Table1[[#This Row],[OFundQ1]:[OFundQ3]])</f>
        <v>0</v>
      </c>
      <c r="FJ137" s="239">
        <f>(Table1[[#This Row],[SubTot]]-Table1[[#This Row],[SubFee]])+(Table1[[#This Row],[UnsubTot]]-Table1[[#This Row],[UnsubFee]])+(Table1[[#This Row],[PLUSTot]]-Table1[[#This Row],[PLUSFee]])+Table1[[#This Row],[PrivTot]]+Table1[[#This Row],[TOTot]]+Table1[[#This Row],[OFundTot]]</f>
        <v>1978.76</v>
      </c>
      <c r="FK137" s="125">
        <f>Table1[[#This Row],[CostTot]]-Table1[[#This Row],[GiftTot]]</f>
        <v>39515</v>
      </c>
      <c r="FL137" s="130">
        <f>Table1[[#This Row],[NetNeed]]/(1-0.04248)</f>
        <v>39201.520594870075</v>
      </c>
      <c r="FM137" s="131">
        <f>Table1[[#This Row],[NetCost]]-Table1[[#This Row],[CashTot]]-(Table1[[#This Row],[SubTot]]-Table1[[#This Row],[SubFee]])-(Table1[[#This Row],[UnsubTot]]-Table1[[#This Row],[UnsubFee]])-(Table1[[#This Row],[PLUSTot]]-Table1[[#This Row],[PLUSFee]])-Table1[[#This Row],[PrivTot]]-Table1[[#This Row],[TOTot]]-Table1[[#This Row],[OFundTot]]</f>
        <v>37536.239999999998</v>
      </c>
      <c r="FN137" s="156"/>
      <c r="FO137" s="113"/>
      <c r="FP137" s="113"/>
    </row>
    <row r="138" spans="1:172" ht="15" x14ac:dyDescent="0.25">
      <c r="A138" s="296">
        <v>197252</v>
      </c>
      <c r="B138" s="160" t="str">
        <f>VLOOKUP(Table1[[#This Row],[SyStudentId]],SSR!$A$2:$CC$4982,4,FALSE)</f>
        <v>Silverman</v>
      </c>
      <c r="C138" s="160" t="str">
        <f>VLOOKUP(Table1[[#This Row],[SyStudentId]],SSR!$A$2:$CC$4982,5,FALSE)</f>
        <v>Simon</v>
      </c>
      <c r="D138" s="160" t="str">
        <f>VLOOKUP(Table1[[#This Row],[SyStudentId]],SSR!$A$2:$CC$4982,6,FALSE)</f>
        <v>Silverman, Simon</v>
      </c>
      <c r="E138" s="113" t="str">
        <f>CONCATENATE(Table1[[#This Row],[FirstName]]," ",Table1[[#This Row],[LastName]])</f>
        <v>Simon Silverman</v>
      </c>
      <c r="F138" s="158">
        <v>1</v>
      </c>
      <c r="G138" s="114">
        <v>43776</v>
      </c>
      <c r="H138" s="114">
        <v>43805</v>
      </c>
      <c r="I138" s="114">
        <v>43805</v>
      </c>
      <c r="J138" s="200" t="s">
        <v>6586</v>
      </c>
      <c r="K138" s="164" t="s">
        <v>708</v>
      </c>
      <c r="L138" s="158" t="str">
        <f>IFERROR(VLOOKUP(Table1[[#This Row],[SyStudentId]],ISIR!$A$2:$X$4999,11,FALSE),"")</f>
        <v>D</v>
      </c>
      <c r="M138" s="160" t="str">
        <f>VLOOKUP(Table1[[#This Row],[SyStudentId]],SSR!$A$2:$CC$4982,7,FALSE)</f>
        <v>simonsilverman03@gmail.com</v>
      </c>
      <c r="N138" s="160" t="str">
        <f>VLOOKUP(Table1[[#This Row],[SyStudentId]],SSR!$A$2:$CC$4982,8,FALSE)</f>
        <v>2560 Arbor Lake Lane #1018</v>
      </c>
      <c r="O138" s="160" t="str">
        <f>VLOOKUP(Table1[[#This Row],[SyStudentId]],SSR!$A$2:$CC$4982,9,FALSE)</f>
        <v>Indianapolis</v>
      </c>
      <c r="P138" s="304" t="str">
        <f>VLOOKUP(Table1[[#This Row],[SyStudentId]],SSR!$A$2:$CC$4982,10,FALSE)</f>
        <v>IN</v>
      </c>
      <c r="Q138" s="165" t="str">
        <f>VLOOKUP(Table1[[#This Row],[SyStudentId]],SSR!$A$2:$CC$4982,11,FALSE)</f>
        <v xml:space="preserve">46268     </v>
      </c>
      <c r="R138" s="166">
        <f>VLOOKUP(Table1[[#This Row],[SyStudentId]],SSR!$A$2:$CC$4982,15,FALSE)</f>
        <v>2.97</v>
      </c>
      <c r="S138" s="167">
        <f>VLOOKUP(Table1[[#This Row],[SyStudentId]],SSR!$A$2:$CC$4982,22,FALSE)</f>
        <v>44109</v>
      </c>
      <c r="T138" s="160" t="str">
        <f>VLOOKUP(Table1[[#This Row],[SyStudentId]],SSR!$A$2:$CC$4982,24,FALSE)</f>
        <v>GM</v>
      </c>
      <c r="U138" s="160" t="str">
        <f>IF(VLOOKUP(Table1[[#This Row],[SyStudentId]],SSR!$A$2:$CC$4982,26,FALSE)=0,"Not Selected",VLOOKUP(Table1[[#This Row],[SyStudentId]],SSR!$A$2:$CC$4982,26,FALSE))</f>
        <v>Male</v>
      </c>
      <c r="V138" s="160" t="str">
        <f>VLOOKUP(Table1[[#This Row],[SyStudentId]],SSR!$A$2:$CC$4982,27,FALSE)</f>
        <v xml:space="preserve">HS2020  </v>
      </c>
      <c r="W138" s="160" t="str">
        <f>VLOOKUP(LEFT(Table1[[#This Row],[LastName]],1),Alpha!$A$1:$B$26,2,FALSE)</f>
        <v>Maureen Ranks</v>
      </c>
      <c r="X138" s="168" t="str">
        <f>VLOOKUP(Table1[[#This Row],[FAA]],Alpha!$B$1:$D$26,2,FALSE)</f>
        <v>mranks@neumont.edu</v>
      </c>
      <c r="Y138" s="160">
        <f>VLOOKUP(Table1[[#This Row],[FAA]],Alpha!$B$1:$D$26,3,FALSE)</f>
        <v>8883022894</v>
      </c>
      <c r="Z138" s="160" t="str">
        <f>VLOOKUP(Table1[[#This Row],[SyStudentId]],SSR!$A$2:$CC$4982,30,FALSE)</f>
        <v>16-Accepted</v>
      </c>
      <c r="AA138" s="160" t="str">
        <f>IF(VLOOKUP(Table1[[#This Row],[SyStudentId]],SSR!$A$2:$CC$4982,36,FALSE)="Bachelor of Science","BS Computer Science","Check Program")</f>
        <v>BS Computer Science</v>
      </c>
      <c r="AB138" s="160" t="str">
        <f>VLOOKUP(Table1[[#This Row],[SyStudentId]],SSR!$A$2:$CC$4982,37,FALSE)</f>
        <v xml:space="preserve">27      </v>
      </c>
      <c r="AC138" s="160">
        <f>VLOOKUP(Table1[[#This Row],[SyStudentId]],SSR!$A$2:$CC$4982,42,FALSE)</f>
        <v>0</v>
      </c>
      <c r="AD138" s="160" t="str">
        <f>VLOOKUP(Table1[[#This Row],[SyStudentId]],SSR!$A$2:$CC$4982,46,FALSE)</f>
        <v>108</v>
      </c>
      <c r="AE138" s="160" t="str">
        <f>VLOOKUP(Table1[[#This Row],[SyStudentId]],SSR!$A$2:$CC$4982,65,FALSE)</f>
        <v>IV</v>
      </c>
      <c r="AF138"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4</v>
      </c>
      <c r="AG138" s="160" t="str">
        <f>VLOOKUP(Table1[[#This Row],[SyStudentId]],SSR!$A$2:$CC$4982,66,FALSE)</f>
        <v>July-October</v>
      </c>
      <c r="AH138" s="160" t="str">
        <f>IFERROR(VLOOKUP(Table1[[#This Row],[SyStudentId]],ISIR!$A$2:$X$1999,7,FALSE),"")</f>
        <v>026746</v>
      </c>
      <c r="AI138" s="170">
        <f>IF(Table1[[#This Row],[EFCRaw]]="","",IF(Table1[[#This Row],[EFCRaw]]="No EFC","No EFC",_xlfn.NUMBERVALUE(Table1[[#This Row],[EFCRaw]])))</f>
        <v>26746</v>
      </c>
      <c r="AJ138" s="167">
        <f>IFERROR(VLOOKUP(Table1[[#This Row],[SyStudentId]],ISIR!$A$2:$X$4999,19,FALSE),"")</f>
        <v>43774</v>
      </c>
      <c r="AK138" s="160" t="str">
        <f>IFERROR(VLOOKUP(Table1[[#This Row],[SyStudentId]],ISIR!$A$2:$X$4999,8,FALSE),"")</f>
        <v>N</v>
      </c>
      <c r="AL138" s="171" t="str">
        <f>IF(Table1[[#This Row],[VerReq]]="N","n/a","")</f>
        <v>n/a</v>
      </c>
      <c r="AM138" s="122">
        <v>43781</v>
      </c>
      <c r="AN138" s="122">
        <v>43781</v>
      </c>
      <c r="AO138" s="122">
        <v>43765</v>
      </c>
      <c r="AP138" s="122">
        <v>43767</v>
      </c>
      <c r="AQ138" s="122">
        <v>43767</v>
      </c>
      <c r="AR138" s="122"/>
      <c r="AS138" s="122"/>
      <c r="AT138" s="122"/>
      <c r="AU138" s="122"/>
      <c r="AV138" s="122"/>
      <c r="AW138" s="122"/>
      <c r="AX138" s="122"/>
      <c r="AY138" s="122"/>
      <c r="AZ138" s="122"/>
      <c r="BA138" s="122"/>
      <c r="BB138" s="122"/>
      <c r="BC138" s="148"/>
      <c r="BD138" s="140" t="str">
        <f>IF(Table1[[#This Row],[VerReq]]="N","x","")</f>
        <v>x</v>
      </c>
      <c r="BE138" s="140" t="str">
        <f>IF(Table1[[#This Row],[VerReq]]="N","x","")</f>
        <v>x</v>
      </c>
      <c r="BF138" s="140" t="str">
        <f>IF(Table1[[#This Row],[VerReq]]="N","x","")</f>
        <v>x</v>
      </c>
      <c r="BG138" s="140" t="str">
        <f>IF(Table1[[#This Row],[VerReq]]="N","x","")</f>
        <v>x</v>
      </c>
      <c r="BH138" s="140" t="str">
        <f>IF(Table1[[#This Row],[VerReq]]="N","x","")</f>
        <v>x</v>
      </c>
      <c r="BI138" s="140" t="str">
        <f>IF(Table1[[#This Row],[VerReq]]="N","x","")</f>
        <v>x</v>
      </c>
      <c r="BJ138" s="181">
        <f>1-((COUNTBLANK(Table1[[#This Row],[ALESent]:[TaxTran]]))/(COUNT(Table1[[#This Row],[ALESent]:[TaxTran]])+COUNTBLANK(Table1[[#This Row],[ALESent]:[TaxTran]])))</f>
        <v>0.29411764705882348</v>
      </c>
      <c r="BK138" s="216">
        <f>IF(VLOOKUP(Table1[[#This Row],[SyStudentId]],SSR!$A$2:$CC$4982,22,FALSE)=44109,44109,"Check Program")</f>
        <v>44109</v>
      </c>
      <c r="BL138" s="173">
        <f>IF(Table1[[#This Row],[AYStart]]=44109,44356,"Check Program")</f>
        <v>44356</v>
      </c>
      <c r="BM138" s="219">
        <v>8505</v>
      </c>
      <c r="BN138" s="219">
        <v>8505</v>
      </c>
      <c r="BO138" s="219">
        <v>8505</v>
      </c>
      <c r="BP138" s="220">
        <f t="shared" si="6"/>
        <v>25515</v>
      </c>
      <c r="BQ138" s="221">
        <v>3300</v>
      </c>
      <c r="BR138" s="219">
        <v>400</v>
      </c>
      <c r="BS138" s="219">
        <v>400</v>
      </c>
      <c r="BT138" s="222">
        <f t="shared" si="7"/>
        <v>4100</v>
      </c>
      <c r="BU138" s="219">
        <v>2100</v>
      </c>
      <c r="BV138" s="219">
        <v>2100</v>
      </c>
      <c r="BW138" s="219">
        <v>2100</v>
      </c>
      <c r="BX138" s="222">
        <f t="shared" si="8"/>
        <v>6300</v>
      </c>
      <c r="BY138" s="275">
        <v>1200</v>
      </c>
      <c r="BZ138" s="275">
        <v>1200</v>
      </c>
      <c r="CA138" s="275">
        <v>1200</v>
      </c>
      <c r="CB138" s="222">
        <f>SUM(Table1[[#This Row],[LEQ1]:[LEQ3]])</f>
        <v>3600</v>
      </c>
      <c r="CC138" s="276">
        <v>0</v>
      </c>
      <c r="CD138" s="276">
        <v>0</v>
      </c>
      <c r="CE138" s="276">
        <v>0</v>
      </c>
      <c r="CF138" s="222">
        <f>SUM(Table1[[#This Row],[OthCostQ1]:[OthCostQ3]])</f>
        <v>0</v>
      </c>
      <c r="CG138" s="222">
        <f>(Table1[[#This Row],[T&amp;FTot]]+Table1[[#This Row],[B&amp;STot]]+Table1[[#This Row],[HousTot]]+Table1[[#This Row],[LETot]]+Table1[[#This Row],[OthCostTot]])</f>
        <v>39515</v>
      </c>
      <c r="CH138" s="253">
        <v>0</v>
      </c>
      <c r="CI138" s="253">
        <v>0</v>
      </c>
      <c r="CJ138" s="253">
        <v>0</v>
      </c>
      <c r="CK138" s="254">
        <f>SUM(Table1[[#This Row],[SEOGQ1]:[SEOGQ3]])</f>
        <v>0</v>
      </c>
      <c r="CL138" s="253">
        <f>IFERROR(ROUNDUP(Table1[[#This Row],[PellTot]]/3,0),0)</f>
        <v>0</v>
      </c>
      <c r="CM138" s="253">
        <f>IFERROR(ROUND(Table1[[#This Row],[PellTot]]/3,0),0)</f>
        <v>0</v>
      </c>
      <c r="CN138" s="253">
        <f>IFERROR(ROUNDDOWN(Table1[[#This Row],[PellTot]]/3,0),0)</f>
        <v>0</v>
      </c>
      <c r="CO138" s="254">
        <f>IFERROR(LOOKUP(Table1[EFC],Pell_Table[#Data],Pell_Table[Pell Amt]),0)</f>
        <v>0</v>
      </c>
      <c r="CP138" s="253">
        <f>Table1[[#This Row],[AccessTot]]/3</f>
        <v>0</v>
      </c>
      <c r="CQ138" s="253">
        <f>Table1[[#This Row],[AccessTot]]/3</f>
        <v>0</v>
      </c>
      <c r="CR138" s="253">
        <f>Table1[[#This Row],[AccessTot]]/3</f>
        <v>0</v>
      </c>
      <c r="CS138" s="254">
        <f>IF(Table1[[#This Row],[PellTot]]&gt;0,1500,0)</f>
        <v>0</v>
      </c>
      <c r="CT138" s="253">
        <f>Table1[[#This Row],[AchiTot]]/3</f>
        <v>1250</v>
      </c>
      <c r="CU138" s="253">
        <f>Table1[[#This Row],[AchiTot]]/3</f>
        <v>1250</v>
      </c>
      <c r="CV138" s="253">
        <f>Table1[[#This Row],[AchiTot]]/3</f>
        <v>1250</v>
      </c>
      <c r="CW138" s="255">
        <f>IF(Table1[[#This Row],[Rank]]="","",IF(Table1[[#This Row],[Rank]]=1,5100,IF(Table1[[#This Row],[Rank]]=2,4500,IF(Table1[[#This Row],[Rank]]=3,3900,IF(Table1[[#This Row],[Rank]]=4,3750,IF(Table1[[#This Row],[Rank]]=5,3000,IF(Table1[[#This Row],[Rank]]=6,2250,0)))))))</f>
        <v>3750</v>
      </c>
      <c r="CX138" s="253">
        <f>Table1[[#This Row],[UTTot]]/3</f>
        <v>0</v>
      </c>
      <c r="CY138" s="253">
        <f>Table1[[#This Row],[UTTot]]/3</f>
        <v>0</v>
      </c>
      <c r="CZ138" s="253">
        <f>Table1[[#This Row],[UTTot]]/3</f>
        <v>0</v>
      </c>
      <c r="DA138" s="254">
        <f>IF(Table1[[#This Row],[State]]="UT",9000,0)</f>
        <v>0</v>
      </c>
      <c r="DB138" s="253">
        <f>Table1[[#This Row],[WITTot]]/3</f>
        <v>0</v>
      </c>
      <c r="DC138" s="253">
        <f>Table1[[#This Row],[WITTot]]/3</f>
        <v>0</v>
      </c>
      <c r="DD138" s="253">
        <f>Table1[[#This Row],[WITTot]]/3</f>
        <v>0</v>
      </c>
      <c r="DE138" s="254">
        <f>IF(Table1[[#This Row],[Gender]]="Female",3000,0)</f>
        <v>0</v>
      </c>
      <c r="DF138" s="253">
        <f>Table1[[#This Row],[SerTot]]/3</f>
        <v>0</v>
      </c>
      <c r="DG138" s="253">
        <f>Table1[[#This Row],[SerTot]]/3</f>
        <v>0</v>
      </c>
      <c r="DH138" s="253">
        <f>Table1[[#This Row],[SerTot]]/3</f>
        <v>0</v>
      </c>
      <c r="DI138" s="255">
        <v>0</v>
      </c>
      <c r="DJ138" s="253">
        <f>IFERROR(ROUNDUP(Table1[[#This Row],[TranTot]]/3,0),0)</f>
        <v>0</v>
      </c>
      <c r="DK138" s="253">
        <f>IFERROR(ROUND(Table1[[#This Row],[TranTot]]/3,0),0)</f>
        <v>0</v>
      </c>
      <c r="DL138" s="253">
        <f>IFERROR(ROUNDDOWN(Table1[[#This Row],[TranTot]]/3,0),0)</f>
        <v>0</v>
      </c>
      <c r="DM138" s="255">
        <v>0</v>
      </c>
      <c r="DN138" s="253">
        <f>Table1[[#This Row],[MatTot]]/3</f>
        <v>0</v>
      </c>
      <c r="DO138" s="253">
        <f>Table1[[#This Row],[MatTot]]/3</f>
        <v>0</v>
      </c>
      <c r="DP138" s="253">
        <f>Table1[[#This Row],[MatTot]]/3</f>
        <v>0</v>
      </c>
      <c r="DQ138" s="255">
        <v>0</v>
      </c>
      <c r="DR138" s="253">
        <f>Table1[[#This Row],[OutTot]]/3</f>
        <v>0</v>
      </c>
      <c r="DS138" s="253">
        <f>Table1[[#This Row],[OutTot]]/3</f>
        <v>0</v>
      </c>
      <c r="DT138" s="253">
        <f>Table1[[#This Row],[OutTot]]/3</f>
        <v>0</v>
      </c>
      <c r="DU138" s="255">
        <v>0</v>
      </c>
      <c r="DV138" s="259">
        <v>0</v>
      </c>
      <c r="DW138" s="259">
        <v>0</v>
      </c>
      <c r="DX138" s="259">
        <v>0</v>
      </c>
      <c r="DY138" s="261">
        <f>SUM(Table1[[#This Row],[VAQ1]:[VAQ3]])</f>
        <v>0</v>
      </c>
      <c r="DZ138" s="253">
        <v>0</v>
      </c>
      <c r="EA138" s="253">
        <v>0</v>
      </c>
      <c r="EB138" s="253">
        <v>0</v>
      </c>
      <c r="EC138" s="278">
        <f>SUM(Table1[[#This Row],[OthGrantQ1]:[OthGrantQ3]])</f>
        <v>0</v>
      </c>
      <c r="ED138" s="264">
        <f>Table1[[#This Row],[SEOGTot]]+Table1[[#This Row],[PellTot]]+Table1[[#This Row],[AccessTot]]+Table1[[#This Row],[AchiTot]]+Table1[[#This Row],[UTTot]]+Table1[[#This Row],[WITTot]]+Table1[[#This Row],[SerTot]]+Table1[[#This Row],[TranTot]]+Table1[[#This Row],[MatTot]]+Table1[[#This Row],[OutTot]]+Table1[[#This Row],[VATot]]+Table1[[#This Row],[OthGrantTot]]</f>
        <v>3750</v>
      </c>
      <c r="EE138" s="226">
        <v>3334</v>
      </c>
      <c r="EF138" s="227">
        <v>3333</v>
      </c>
      <c r="EG138" s="227">
        <v>3333</v>
      </c>
      <c r="EH138" s="228">
        <v>10000</v>
      </c>
      <c r="EI138" s="229">
        <f>ROUND((Table1[[#This Row],[SubTot]]/3)/1.01059,0)</f>
        <v>1154</v>
      </c>
      <c r="EJ138" s="230">
        <f>ROUND((Table1[[#This Row],[SubTot]]/3)/1.01059,0)</f>
        <v>1154</v>
      </c>
      <c r="EK138" s="230">
        <f>ROUNDUP((Table1[[#This Row],[SubTot]]/3)/1.01059,0)</f>
        <v>1155</v>
      </c>
      <c r="EL138" s="231">
        <v>3500</v>
      </c>
      <c r="EM138" s="233">
        <f>Table1[[#This Row],[SubTot]]*0.01059</f>
        <v>37.065000000000005</v>
      </c>
      <c r="EN138" s="230">
        <f>ROUND((Table1[[#This Row],[UnsubTot]]/3)/1.01062,0)</f>
        <v>660</v>
      </c>
      <c r="EO138" s="230">
        <f>ROUND((Table1[[#This Row],[UnsubTot]]/3)/1.01062,0)</f>
        <v>660</v>
      </c>
      <c r="EP138" s="230">
        <f>ROUNDDOWN((Table1[[#This Row],[UnsubTot]]/3)/1.01062,0)</f>
        <v>659</v>
      </c>
      <c r="EQ138" s="231">
        <f>IF(Table1[D/I]="I",6000,2000)</f>
        <v>2000</v>
      </c>
      <c r="ER138" s="233">
        <f>Table1[[#This Row],[UnsubTot]]*0.01059</f>
        <v>21.18</v>
      </c>
      <c r="ES138" s="230">
        <f>ROUND((Table1[[#This Row],[PLUSTot]]/3)/1.04236,0)</f>
        <v>6787</v>
      </c>
      <c r="ET138" s="230">
        <f>ROUND((Table1[[#This Row],[PLUSTot]]/3)/1.04236,0)</f>
        <v>6787</v>
      </c>
      <c r="EU138" s="230">
        <f>ROUND((Table1[[#This Row],[PLUSTot]]/3)/1.04236,0)</f>
        <v>6787</v>
      </c>
      <c r="EV138" s="231">
        <v>21222</v>
      </c>
      <c r="EW138" s="236">
        <f>Table1[[#This Row],[PLUSTot]]*0.04236</f>
        <v>898.96392000000003</v>
      </c>
      <c r="EX138" s="227"/>
      <c r="EY138" s="227"/>
      <c r="EZ138" s="227"/>
      <c r="FA138" s="228">
        <f>SUM(Table1[[#This Row],[PrivQ1]:[PrivQ3]])</f>
        <v>0</v>
      </c>
      <c r="FB138" s="227"/>
      <c r="FC138" s="227"/>
      <c r="FD138" s="227"/>
      <c r="FE138" s="228">
        <f>SUM(Table1[[#This Row],[TOQ1]:[TOQ3]])</f>
        <v>0</v>
      </c>
      <c r="FF138" s="227"/>
      <c r="FG138" s="227"/>
      <c r="FH138" s="227"/>
      <c r="FI138" s="228">
        <f>SUM(Table1[[#This Row],[OFundQ1]:[OFundQ3]])</f>
        <v>0</v>
      </c>
      <c r="FJ138" s="236">
        <f>(Table1[[#This Row],[SubTot]]-Table1[[#This Row],[SubFee]])+(Table1[[#This Row],[UnsubTot]]-Table1[[#This Row],[UnsubFee]])+(Table1[[#This Row],[PLUSTot]]-Table1[[#This Row],[PLUSFee]])+Table1[[#This Row],[PrivTot]]+Table1[[#This Row],[TOTot]]+Table1[[#This Row],[OFundTot]]</f>
        <v>25764.791080000003</v>
      </c>
      <c r="FK138" s="159">
        <f>Table1[[#This Row],[CostTot]]-Table1[[#This Row],[GiftTot]]</f>
        <v>35765</v>
      </c>
      <c r="FL138" s="174">
        <f>Table1[[#This Row],[NetNeed]]/(1-0.04236)</f>
        <v>0.21816131322554003</v>
      </c>
      <c r="FM138" s="176">
        <f>Table1[[#This Row],[NetCost]]-Table1[[#This Row],[CashTot]]-(Table1[[#This Row],[SubTot]]-Table1[[#This Row],[SubFee]])-(Table1[[#This Row],[UnsubTot]]-Table1[[#This Row],[UnsubFee]])-(Table1[[#This Row],[PLUSTot]]-Table1[[#This Row],[PLUSFee]])-Table1[[#This Row],[PrivTot]]-Table1[[#This Row],[TOTot]]-Table1[[#This Row],[OFundTot]]</f>
        <v>0.20891999999730615</v>
      </c>
      <c r="FN138" s="217"/>
      <c r="FO138" s="162"/>
      <c r="FP138" s="162"/>
    </row>
    <row r="139" spans="1:172" ht="15" x14ac:dyDescent="0.25">
      <c r="A139" s="296">
        <v>198988</v>
      </c>
      <c r="B139" s="113" t="str">
        <f>VLOOKUP(Table1[[#This Row],[SyStudentId]],SSR!$A$2:$CC$4982,4,FALSE)</f>
        <v>Simpson</v>
      </c>
      <c r="C139" s="113" t="str">
        <f>VLOOKUP(Table1[[#This Row],[SyStudentId]],SSR!$A$2:$CC$4982,5,FALSE)</f>
        <v>Hayden</v>
      </c>
      <c r="D139" s="113" t="str">
        <f>VLOOKUP(Table1[[#This Row],[SyStudentId]],SSR!$A$2:$CC$4982,6,FALSE)</f>
        <v>Simpson, Hayden</v>
      </c>
      <c r="E139" s="113" t="str">
        <f>CONCATENATE(Table1[[#This Row],[FirstName]]," ",Table1[[#This Row],[LastName]])</f>
        <v>Hayden Simpson</v>
      </c>
      <c r="F139" s="112"/>
      <c r="G139" s="114"/>
      <c r="H139" s="114"/>
      <c r="I139" s="114"/>
      <c r="J139" s="115"/>
      <c r="K139" s="116"/>
      <c r="L139" s="112" t="str">
        <f>IFERROR(VLOOKUP(Table1[[#This Row],[SyStudentId]],ISIR!$A$2:$X$999,11,FALSE),"")</f>
        <v/>
      </c>
      <c r="M139" s="113" t="str">
        <f>VLOOKUP(Table1[[#This Row],[SyStudentId]],SSR!$A$2:$CC$4982,7,FALSE)</f>
        <v>simpson.hayden2002@gmail.com</v>
      </c>
      <c r="N139" s="113" t="str">
        <f>VLOOKUP(Table1[[#This Row],[SyStudentId]],SSR!$A$2:$CC$4982,8,FALSE)</f>
        <v>PO Box 335</v>
      </c>
      <c r="O139" s="113" t="str">
        <f>VLOOKUP(Table1[[#This Row],[SyStudentId]],SSR!$A$2:$CC$4982,9,FALSE)</f>
        <v>Island Park</v>
      </c>
      <c r="P139" s="234" t="str">
        <f>VLOOKUP(Table1[[#This Row],[SyStudentId]],SSR!$A$2:$CC$4982,10,FALSE)</f>
        <v>ID</v>
      </c>
      <c r="Q139" s="117" t="str">
        <f>VLOOKUP(Table1[[#This Row],[SyStudentId]],SSR!$A$2:$CC$4982,11,FALSE)</f>
        <v>83429-0335</v>
      </c>
      <c r="R139" s="118">
        <f>VLOOKUP(Table1[[#This Row],[SyStudentId]],SSR!$A$2:$CC$4982,15,FALSE)</f>
        <v>3.8</v>
      </c>
      <c r="S139" s="119">
        <f>VLOOKUP(Table1[[#This Row],[SyStudentId]],SSR!$A$2:$CC$4982,22,FALSE)</f>
        <v>44109</v>
      </c>
      <c r="T139" s="113" t="str">
        <f>VLOOKUP(Table1[[#This Row],[SyStudentId]],SSR!$A$2:$CC$4982,24,FALSE)</f>
        <v>GM</v>
      </c>
      <c r="U139" s="113" t="str">
        <f>IF(VLOOKUP(Table1[[#This Row],[SyStudentId]],SSR!$A$2:$CC$4982,26,FALSE)=0,"Not Selected",VLOOKUP(Table1[[#This Row],[SyStudentId]],SSR!$A$2:$CC$4982,26,FALSE))</f>
        <v>Male</v>
      </c>
      <c r="V139" s="113" t="str">
        <f>VLOOKUP(Table1[[#This Row],[SyStudentId]],SSR!$A$2:$CC$4982,27,FALSE)</f>
        <v xml:space="preserve">HS2020  </v>
      </c>
      <c r="W139" s="113" t="str">
        <f>VLOOKUP(LEFT(Table1[[#This Row],[LastName]],1),Alpha!$A$1:$B$26,2,FALSE)</f>
        <v>Maureen Ranks</v>
      </c>
      <c r="X139" s="149" t="str">
        <f>VLOOKUP(Table1[[#This Row],[FAA]],Alpha!$B$1:$D$26,2,FALSE)</f>
        <v>mranks@neumont.edu</v>
      </c>
      <c r="Y139" s="113">
        <f>VLOOKUP(Table1[[#This Row],[FAA]],Alpha!$B$1:$D$26,3,FALSE)</f>
        <v>8883022894</v>
      </c>
      <c r="Z139" s="113" t="str">
        <f>VLOOKUP(Table1[[#This Row],[SyStudentId]],SSR!$A$2:$CC$4982,30,FALSE)</f>
        <v>16-Accepted</v>
      </c>
      <c r="AA139" s="113" t="str">
        <f>IF(VLOOKUP(Table1[[#This Row],[SyStudentId]],SSR!$A$2:$CC$4982,36,FALSE)="Bachelor of Science","BS Computer Science","Check Program")</f>
        <v>BS Computer Science</v>
      </c>
      <c r="AB139" s="113" t="str">
        <f>VLOOKUP(Table1[[#This Row],[SyStudentId]],SSR!$A$2:$CC$4982,37,FALSE)</f>
        <v xml:space="preserve">27      </v>
      </c>
      <c r="AC139" s="113" t="str">
        <f>VLOOKUP(Table1[[#This Row],[SyStudentId]],SSR!$A$2:$CC$4982,42,FALSE)</f>
        <v xml:space="preserve">1160    </v>
      </c>
      <c r="AD139" s="113" t="str">
        <f>VLOOKUP(Table1[[#This Row],[SyStudentId]],SSR!$A$2:$CC$4982,46,FALSE)</f>
        <v>123</v>
      </c>
      <c r="AE139" s="113" t="str">
        <f>VLOOKUP(Table1[[#This Row],[SyStudentId]],SSR!$A$2:$CC$4982,65,FALSE)</f>
        <v>I</v>
      </c>
      <c r="AF139"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39" s="113" t="str">
        <f>VLOOKUP(Table1[[#This Row],[SyStudentId]],SSR!$A$2:$CC$4982,66,FALSE)</f>
        <v>October</v>
      </c>
      <c r="AH139" s="113" t="str">
        <f>IFERROR(VLOOKUP(Table1[[#This Row],[SyStudentId]],ISIR!$A$2:$X$999,7,FALSE),"")</f>
        <v/>
      </c>
      <c r="AI139" s="121" t="str">
        <f>IF(Table1[[#This Row],[EFCRaw]]="","",IF(Table1[[#This Row],[EFCRaw]]="No EFC","No EFC",_xlfn.NUMBERVALUE(Table1[[#This Row],[EFCRaw]])))</f>
        <v/>
      </c>
      <c r="AJ139" s="119" t="str">
        <f>IFERROR(VLOOKUP(Table1[[#This Row],[SyStudentId]],ISIR!$A$2:$X$4999,19,FALSE),"")</f>
        <v/>
      </c>
      <c r="AK139" s="113" t="str">
        <f>IFERROR(VLOOKUP(Table1[[#This Row],[SyStudentId]],ISIR!$A$2:$X$4999,8,FALSE),"")</f>
        <v/>
      </c>
      <c r="AL139" s="132" t="str">
        <f>IF(Table1[[#This Row],[VerReq]]="N","n/a","")</f>
        <v/>
      </c>
      <c r="AM139" s="122"/>
      <c r="AN139" s="122"/>
      <c r="AO139" s="122"/>
      <c r="AP139" s="122"/>
      <c r="AQ139" s="122"/>
      <c r="AR139" s="122"/>
      <c r="AS139" s="122"/>
      <c r="AT139" s="122"/>
      <c r="AU139" s="122"/>
      <c r="AV139" s="122"/>
      <c r="AW139" s="122"/>
      <c r="AX139" s="122"/>
      <c r="AY139" s="122"/>
      <c r="AZ139" s="122"/>
      <c r="BA139" s="122"/>
      <c r="BB139" s="122"/>
      <c r="BC139" s="148"/>
      <c r="BD139" s="140" t="str">
        <f>IF(Table1[[#This Row],[VerReq]]="N","x","")</f>
        <v/>
      </c>
      <c r="BE139" s="140" t="str">
        <f>IF(Table1[[#This Row],[VerReq]]="N","x","")</f>
        <v/>
      </c>
      <c r="BF139" s="140" t="str">
        <f>IF(Table1[[#This Row],[VerReq]]="N","x","")</f>
        <v/>
      </c>
      <c r="BG139" s="140" t="str">
        <f>IF(Table1[[#This Row],[VerReq]]="N","x","")</f>
        <v/>
      </c>
      <c r="BH139" s="140" t="str">
        <f>IF(Table1[[#This Row],[VerReq]]="N","x","")</f>
        <v/>
      </c>
      <c r="BI139" s="140" t="str">
        <f>IF(Table1[[#This Row],[VerReq]]="N","x","")</f>
        <v/>
      </c>
      <c r="BJ139" s="123">
        <f>1-((COUNTBLANK(Table1[[#This Row],[ALESent]:[TaxTran]]))/(COUNT(Table1[[#This Row],[ALESent]:[TaxTran]])+COUNTBLANK(Table1[[#This Row],[ALESent]:[TaxTran]])))</f>
        <v>0</v>
      </c>
      <c r="BK139" s="150">
        <f>IF(VLOOKUP(Table1[[#This Row],[SyStudentId]],SSR!$A$2:$CC$4982,22,FALSE)=44109,44109,"Check Program")</f>
        <v>44109</v>
      </c>
      <c r="BL139" s="124">
        <f>IF(Table1[[#This Row],[AYStart]]=44109,44356,"Check Program")</f>
        <v>44356</v>
      </c>
      <c r="BM139" s="219">
        <v>8505</v>
      </c>
      <c r="BN139" s="219">
        <v>8505</v>
      </c>
      <c r="BO139" s="219">
        <v>8505</v>
      </c>
      <c r="BP139" s="220">
        <f t="shared" si="6"/>
        <v>25515</v>
      </c>
      <c r="BQ139" s="221">
        <v>3300</v>
      </c>
      <c r="BR139" s="219">
        <v>400</v>
      </c>
      <c r="BS139" s="219">
        <v>400</v>
      </c>
      <c r="BT139" s="220">
        <f t="shared" si="7"/>
        <v>4100</v>
      </c>
      <c r="BU139" s="219">
        <v>2100</v>
      </c>
      <c r="BV139" s="219">
        <v>2100</v>
      </c>
      <c r="BW139" s="219">
        <v>2100</v>
      </c>
      <c r="BX139" s="220">
        <f t="shared" si="8"/>
        <v>6300</v>
      </c>
      <c r="BY139" s="275">
        <v>1200</v>
      </c>
      <c r="BZ139" s="275">
        <v>1200</v>
      </c>
      <c r="CA139" s="275">
        <v>1200</v>
      </c>
      <c r="CB139" s="220">
        <f>SUM(Table1[[#This Row],[LEQ1]:[LEQ3]])</f>
        <v>3600</v>
      </c>
      <c r="CC139" s="269"/>
      <c r="CD139" s="269"/>
      <c r="CE139" s="269"/>
      <c r="CF139" s="220">
        <f>SUM(Table1[[#This Row],[OthCostQ1]:[OthCostQ3]])</f>
        <v>0</v>
      </c>
      <c r="CG139" s="220">
        <f>(Table1[[#This Row],[T&amp;FTot]]+Table1[[#This Row],[B&amp;STot]]+Table1[[#This Row],[HousTot]]+Table1[[#This Row],[LETot]]+Table1[[#This Row],[OthCostTot]])</f>
        <v>39515</v>
      </c>
      <c r="CH139" s="250"/>
      <c r="CI139" s="250"/>
      <c r="CJ139" s="250"/>
      <c r="CK139" s="251">
        <f>SUM(Table1[[#This Row],[SEOGQ1]:[SEOGQ3]])</f>
        <v>0</v>
      </c>
      <c r="CL139" s="250">
        <f>IFERROR(ROUNDUP(Table1[[#This Row],[PellTot]]/3,0),0)</f>
        <v>0</v>
      </c>
      <c r="CM139" s="250">
        <f>IFERROR(ROUND(Table1[[#This Row],[PellTot]]/3,0),0)</f>
        <v>0</v>
      </c>
      <c r="CN139" s="250">
        <f>IFERROR(ROUNDDOWN(Table1[[#This Row],[PellTot]]/3,0),0)</f>
        <v>0</v>
      </c>
      <c r="CO139" s="251">
        <f>IFERROR(LOOKUP(Table1[EFC],Pell_Table[#Data],Pell_Table[Pell Amt]),0)</f>
        <v>0</v>
      </c>
      <c r="CP139" s="250">
        <f>Table1[[#This Row],[AccessTot]]/3</f>
        <v>0</v>
      </c>
      <c r="CQ139" s="250">
        <f>Table1[[#This Row],[AccessTot]]/3</f>
        <v>0</v>
      </c>
      <c r="CR139" s="250">
        <f>Table1[[#This Row],[AccessTot]]/3</f>
        <v>0</v>
      </c>
      <c r="CS139" s="251">
        <f>IF(Table1[[#This Row],[PellTot]]&gt;0,1500,0)</f>
        <v>0</v>
      </c>
      <c r="CT139" s="250">
        <f>Table1[[#This Row],[AchiTot]]/3</f>
        <v>1700</v>
      </c>
      <c r="CU139" s="250">
        <f>Table1[[#This Row],[AchiTot]]/3</f>
        <v>1700</v>
      </c>
      <c r="CV139" s="250">
        <f>Table1[[#This Row],[AchiTot]]/3</f>
        <v>1700</v>
      </c>
      <c r="CW139" s="252">
        <f>IF(Table1[[#This Row],[Rank]]="","",IF(Table1[[#This Row],[Rank]]=1,5100,IF(Table1[[#This Row],[Rank]]=2,4500,IF(Table1[[#This Row],[Rank]]=3,3900,IF(Table1[[#This Row],[Rank]]=4,3750,IF(Table1[[#This Row],[Rank]]=5,3000,IF(Table1[[#This Row],[Rank]]=6,2250,0)))))))</f>
        <v>5100</v>
      </c>
      <c r="CX139" s="250">
        <f>Table1[[#This Row],[UTTot]]/3</f>
        <v>0</v>
      </c>
      <c r="CY139" s="250">
        <f>Table1[[#This Row],[UTTot]]/3</f>
        <v>0</v>
      </c>
      <c r="CZ139" s="250">
        <f>Table1[[#This Row],[UTTot]]/3</f>
        <v>0</v>
      </c>
      <c r="DA139" s="251">
        <f>IF(Table1[[#This Row],[State]]="UT",9000,0)</f>
        <v>0</v>
      </c>
      <c r="DB139" s="250">
        <f>Table1[[#This Row],[WITTot]]/3</f>
        <v>0</v>
      </c>
      <c r="DC139" s="250">
        <f>Table1[[#This Row],[WITTot]]/3</f>
        <v>0</v>
      </c>
      <c r="DD139" s="250">
        <f>Table1[[#This Row],[WITTot]]/3</f>
        <v>0</v>
      </c>
      <c r="DE139" s="251">
        <f>IF(Table1[[#This Row],[Gender]]="Female",3000,0)</f>
        <v>0</v>
      </c>
      <c r="DF139" s="250">
        <f>Table1[[#This Row],[SerTot]]/3</f>
        <v>0</v>
      </c>
      <c r="DG139" s="250">
        <f>Table1[[#This Row],[SerTot]]/3</f>
        <v>0</v>
      </c>
      <c r="DH139" s="250">
        <f>Table1[[#This Row],[SerTot]]/3</f>
        <v>0</v>
      </c>
      <c r="DI139" s="252"/>
      <c r="DJ139" s="250"/>
      <c r="DK139" s="250"/>
      <c r="DL139" s="250"/>
      <c r="DM139" s="252"/>
      <c r="DN139" s="250">
        <f>Table1[[#This Row],[MatTot]]/3</f>
        <v>0</v>
      </c>
      <c r="DO139" s="250">
        <f>Table1[[#This Row],[MatTot]]/3</f>
        <v>0</v>
      </c>
      <c r="DP139" s="250">
        <f>Table1[[#This Row],[MatTot]]/3</f>
        <v>0</v>
      </c>
      <c r="DQ139" s="252"/>
      <c r="DR139" s="250">
        <f>Table1[[#This Row],[OutTot]]/3</f>
        <v>0</v>
      </c>
      <c r="DS139" s="250">
        <f>Table1[[#This Row],[OutTot]]/3</f>
        <v>0</v>
      </c>
      <c r="DT139" s="250">
        <f>Table1[[#This Row],[OutTot]]/3</f>
        <v>0</v>
      </c>
      <c r="DU139" s="252"/>
      <c r="DV139" s="250"/>
      <c r="DW139" s="250"/>
      <c r="DX139" s="250"/>
      <c r="DY139" s="252">
        <f>SUM(Table1[[#This Row],[VAQ1]:[VAQ3]])</f>
        <v>0</v>
      </c>
      <c r="DZ139" s="250"/>
      <c r="EA139" s="250"/>
      <c r="EB139" s="250"/>
      <c r="EC139" s="270">
        <f>SUM(Table1[[#This Row],[OthGrantQ1]:[OthGrantQ3]])</f>
        <v>0</v>
      </c>
      <c r="ED139" s="263">
        <f>Table1[[#This Row],[SEOGTot]]+Table1[[#This Row],[PellTot]]+Table1[[#This Row],[AccessTot]]+Table1[[#This Row],[AchiTot]]+Table1[[#This Row],[UTTot]]+Table1[[#This Row],[WITTot]]+Table1[[#This Row],[SerTot]]+Table1[[#This Row],[TranTot]]+Table1[[#This Row],[MatTot]]+Table1[[#This Row],[OutTot]]+Table1[[#This Row],[VATot]]+Table1[[#This Row],[OthGrantTot]]</f>
        <v>5100</v>
      </c>
      <c r="EE139" s="249"/>
      <c r="EF139" s="237"/>
      <c r="EG139" s="237"/>
      <c r="EH139" s="232">
        <f>SUM(Table1[[#This Row],[CashQ1]]:Table1[[#This Row],[CashQ3]])</f>
        <v>0</v>
      </c>
      <c r="EI139" s="271">
        <f>ROUND((Table1[[#This Row],[SubTot]]/3)/1.01059,0)</f>
        <v>0</v>
      </c>
      <c r="EJ139" s="234">
        <f>ROUND((Table1[[#This Row],[SubTot]]/3)/1.01059,0)</f>
        <v>0</v>
      </c>
      <c r="EK139" s="234">
        <f>ROUNDUP((Table1[[#This Row],[SubTot]]/3)/1.01059,0)</f>
        <v>0</v>
      </c>
      <c r="EL139" s="235"/>
      <c r="EM139" s="240">
        <f>Table1[[#This Row],[SubTot]]*0.01059</f>
        <v>0</v>
      </c>
      <c r="EN139" s="234">
        <f>ROUND((Table1[[#This Row],[UnsubTot]]/3)/1.01062,0)</f>
        <v>660</v>
      </c>
      <c r="EO139" s="234">
        <f>ROUND((Table1[[#This Row],[UnsubTot]]/3)/1.01062,0)</f>
        <v>660</v>
      </c>
      <c r="EP139" s="234">
        <f>ROUNDDOWN((Table1[[#This Row],[UnsubTot]]/3)/1.01062,0)</f>
        <v>659</v>
      </c>
      <c r="EQ139" s="235">
        <f>IF(Table1[D/I]="I",6000,2000)</f>
        <v>2000</v>
      </c>
      <c r="ER139" s="240">
        <f>Table1[[#This Row],[UnsubTot]]*0.01062</f>
        <v>21.24</v>
      </c>
      <c r="ES139" s="234">
        <f>ROUND((Table1[[#This Row],[PLUSTot]]/3)/1.04248,0)</f>
        <v>0</v>
      </c>
      <c r="ET139" s="234">
        <f>ROUND((Table1[[#This Row],[PLUSTot]]/3)/1.04248,0)</f>
        <v>0</v>
      </c>
      <c r="EU139" s="234">
        <f>ROUND((Table1[[#This Row],[PLUSTot]]/3)/1.04248,0)</f>
        <v>0</v>
      </c>
      <c r="EV139" s="235"/>
      <c r="EW139" s="239">
        <f>Table1[[#This Row],[PLUSTot]]*0.04248</f>
        <v>0</v>
      </c>
      <c r="EX139" s="237"/>
      <c r="EY139" s="237"/>
      <c r="EZ139" s="237"/>
      <c r="FA139" s="232">
        <f>SUM(Table1[[#This Row],[PrivQ1]:[PrivQ3]])</f>
        <v>0</v>
      </c>
      <c r="FB139" s="237"/>
      <c r="FC139" s="237"/>
      <c r="FD139" s="237"/>
      <c r="FE139" s="232">
        <f>SUM(Table1[[#This Row],[TOQ1]:[TOQ3]])</f>
        <v>0</v>
      </c>
      <c r="FF139" s="237"/>
      <c r="FG139" s="237"/>
      <c r="FH139" s="237"/>
      <c r="FI139" s="232">
        <f>SUM(Table1[[#This Row],[OFundQ1]:[OFundQ3]])</f>
        <v>0</v>
      </c>
      <c r="FJ139" s="239">
        <f>(Table1[[#This Row],[SubTot]]-Table1[[#This Row],[SubFee]])+(Table1[[#This Row],[UnsubTot]]-Table1[[#This Row],[UnsubFee]])+(Table1[[#This Row],[PLUSTot]]-Table1[[#This Row],[PLUSFee]])+Table1[[#This Row],[PrivTot]]+Table1[[#This Row],[TOTot]]+Table1[[#This Row],[OFundTot]]</f>
        <v>1978.76</v>
      </c>
      <c r="FK139" s="125">
        <f>Table1[[#This Row],[CostTot]]-Table1[[#This Row],[GiftTot]]</f>
        <v>34415</v>
      </c>
      <c r="FL139" s="130">
        <f>Table1[[#This Row],[NetNeed]]/(1-0.04248)</f>
        <v>33875.261091152141</v>
      </c>
      <c r="FM139" s="131">
        <f>Table1[[#This Row],[NetCost]]-Table1[[#This Row],[CashTot]]-(Table1[[#This Row],[SubTot]]-Table1[[#This Row],[SubFee]])-(Table1[[#This Row],[UnsubTot]]-Table1[[#This Row],[UnsubFee]])-(Table1[[#This Row],[PLUSTot]]-Table1[[#This Row],[PLUSFee]])-Table1[[#This Row],[PrivTot]]-Table1[[#This Row],[TOTot]]-Table1[[#This Row],[OFundTot]]</f>
        <v>32436.240000000002</v>
      </c>
      <c r="FN139" s="156"/>
      <c r="FO139" s="113"/>
      <c r="FP139" s="113"/>
    </row>
    <row r="140" spans="1:172" ht="15" x14ac:dyDescent="0.25">
      <c r="A140" s="296">
        <v>198300</v>
      </c>
      <c r="B140" s="160" t="str">
        <f>VLOOKUP(Table1[[#This Row],[SyStudentId]],SSR!$A$2:$CC$4982,4,FALSE)</f>
        <v>Simpson</v>
      </c>
      <c r="C140" s="160" t="str">
        <f>VLOOKUP(Table1[[#This Row],[SyStudentId]],SSR!$A$2:$CC$4982,5,FALSE)</f>
        <v>Kaelib</v>
      </c>
      <c r="D140" s="160" t="str">
        <f>VLOOKUP(Table1[[#This Row],[SyStudentId]],SSR!$A$2:$CC$4982,6,FALSE)</f>
        <v>Simpson, Kaelib</v>
      </c>
      <c r="E140" s="113" t="str">
        <f>CONCATENATE(Table1[[#This Row],[FirstName]]," ",Table1[[#This Row],[LastName]])</f>
        <v>Kaelib Simpson</v>
      </c>
      <c r="F140" s="158"/>
      <c r="G140" s="114"/>
      <c r="H140" s="114"/>
      <c r="I140" s="114"/>
      <c r="J140" s="163"/>
      <c r="K140" s="164"/>
      <c r="L140" s="158" t="str">
        <f>IFERROR(VLOOKUP(Table1[[#This Row],[SyStudentId]],ISIR!$A$2:$X$4999,11,FALSE),"")</f>
        <v/>
      </c>
      <c r="M140" s="160" t="str">
        <f>VLOOKUP(Table1[[#This Row],[SyStudentId]],SSR!$A$2:$CC$4982,7,FALSE)</f>
        <v>Kaelibrs@gmail.com</v>
      </c>
      <c r="N140" s="160" t="str">
        <f>VLOOKUP(Table1[[#This Row],[SyStudentId]],SSR!$A$2:$CC$4982,8,FALSE)</f>
        <v>409 Dunn Ave</v>
      </c>
      <c r="O140" s="160" t="str">
        <f>VLOOKUP(Table1[[#This Row],[SyStudentId]],SSR!$A$2:$CC$4982,9,FALSE)</f>
        <v>Clinton</v>
      </c>
      <c r="P140" s="294" t="str">
        <f>VLOOKUP(Table1[[#This Row],[SyStudentId]],SSR!$A$2:$CC$4982,10,FALSE)</f>
        <v>OK</v>
      </c>
      <c r="Q140" s="165" t="str">
        <f>VLOOKUP(Table1[[#This Row],[SyStudentId]],SSR!$A$2:$CC$4982,11,FALSE)</f>
        <v xml:space="preserve">73601     </v>
      </c>
      <c r="R140" s="166">
        <f>VLOOKUP(Table1[[#This Row],[SyStudentId]],SSR!$A$2:$CC$4982,15,FALSE)</f>
        <v>3.95</v>
      </c>
      <c r="S140" s="167">
        <f>VLOOKUP(Table1[[#This Row],[SyStudentId]],SSR!$A$2:$CC$4982,22,FALSE)</f>
        <v>44109</v>
      </c>
      <c r="T140" s="160" t="str">
        <f>VLOOKUP(Table1[[#This Row],[SyStudentId]],SSR!$A$2:$CC$4982,24,FALSE)</f>
        <v>MN</v>
      </c>
      <c r="U140" s="160" t="str">
        <f>IF(VLOOKUP(Table1[[#This Row],[SyStudentId]],SSR!$A$2:$CC$4982,26,FALSE)=0,"Not Selected",VLOOKUP(Table1[[#This Row],[SyStudentId]],SSR!$A$2:$CC$4982,26,FALSE))</f>
        <v>Male</v>
      </c>
      <c r="V140" s="160" t="str">
        <f>VLOOKUP(Table1[[#This Row],[SyStudentId]],SSR!$A$2:$CC$4982,27,FALSE)</f>
        <v xml:space="preserve">HS2020  </v>
      </c>
      <c r="W140" s="160" t="str">
        <f>VLOOKUP(LEFT(Table1[[#This Row],[LastName]],1),Alpha!$A$1:$B$26,2,FALSE)</f>
        <v>Maureen Ranks</v>
      </c>
      <c r="X140" s="168" t="str">
        <f>VLOOKUP(Table1[[#This Row],[FAA]],Alpha!$B$1:$D$26,2,FALSE)</f>
        <v>mranks@neumont.edu</v>
      </c>
      <c r="Y140" s="160">
        <f>VLOOKUP(Table1[[#This Row],[FAA]],Alpha!$B$1:$D$26,3,FALSE)</f>
        <v>8883022894</v>
      </c>
      <c r="Z140" s="160" t="str">
        <f>VLOOKUP(Table1[[#This Row],[SyStudentId]],SSR!$A$2:$CC$4982,30,FALSE)</f>
        <v>16-Accepted</v>
      </c>
      <c r="AA140" s="160" t="str">
        <f>IF(VLOOKUP(Table1[[#This Row],[SyStudentId]],SSR!$A$2:$CC$4982,36,FALSE)="Bachelor of Science","BS Computer Science","Check Program")</f>
        <v>BS Computer Science</v>
      </c>
      <c r="AB140" s="160" t="str">
        <f>VLOOKUP(Table1[[#This Row],[SyStudentId]],SSR!$A$2:$CC$4982,37,FALSE)</f>
        <v xml:space="preserve">23      </v>
      </c>
      <c r="AC140" s="160">
        <f>VLOOKUP(Table1[[#This Row],[SyStudentId]],SSR!$A$2:$CC$4982,42,FALSE)</f>
        <v>0</v>
      </c>
      <c r="AD140" s="160" t="str">
        <f>VLOOKUP(Table1[[#This Row],[SyStudentId]],SSR!$A$2:$CC$4982,46,FALSE)</f>
        <v>118</v>
      </c>
      <c r="AE140" s="160" t="str">
        <f>VLOOKUP(Table1[[#This Row],[SyStudentId]],SSR!$A$2:$CC$4982,65,FALSE)</f>
        <v>I</v>
      </c>
      <c r="AF140"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40" s="160" t="str">
        <f>VLOOKUP(Table1[[#This Row],[SyStudentId]],SSR!$A$2:$CC$4982,66,FALSE)</f>
        <v>July-October</v>
      </c>
      <c r="AH140" s="160" t="str">
        <f>IFERROR(VLOOKUP(Table1[[#This Row],[SyStudentId]],ISIR!$A$2:$X$1999,7,FALSE),"")</f>
        <v/>
      </c>
      <c r="AI140" s="170" t="str">
        <f>IF(Table1[[#This Row],[EFCRaw]]="","",IF(Table1[[#This Row],[EFCRaw]]="No EFC","No EFC",_xlfn.NUMBERVALUE(Table1[[#This Row],[EFCRaw]])))</f>
        <v/>
      </c>
      <c r="AJ140" s="167" t="str">
        <f>IFERROR(VLOOKUP(Table1[[#This Row],[SyStudentId]],ISIR!$A$2:$X$4999,19,FALSE),"")</f>
        <v/>
      </c>
      <c r="AK140" s="160" t="str">
        <f>IFERROR(VLOOKUP(Table1[[#This Row],[SyStudentId]],ISIR!$A$2:$X$4999,8,FALSE),"")</f>
        <v/>
      </c>
      <c r="AL140" s="171" t="str">
        <f>IF(Table1[[#This Row],[VerReq]]="N","n/a","")</f>
        <v/>
      </c>
      <c r="AM140" s="122"/>
      <c r="AN140" s="122"/>
      <c r="AO140" s="122"/>
      <c r="AP140" s="122"/>
      <c r="AQ140" s="122"/>
      <c r="AR140" s="122"/>
      <c r="AS140" s="122"/>
      <c r="AT140" s="122"/>
      <c r="AU140" s="122"/>
      <c r="AV140" s="122"/>
      <c r="AW140" s="122"/>
      <c r="AX140" s="122"/>
      <c r="AY140" s="122"/>
      <c r="AZ140" s="122"/>
      <c r="BA140" s="122"/>
      <c r="BB140" s="122"/>
      <c r="BC140" s="148"/>
      <c r="BD140" s="140" t="str">
        <f>IF(Table1[[#This Row],[VerReq]]="N","x","")</f>
        <v/>
      </c>
      <c r="BE140" s="140" t="str">
        <f>IF(Table1[[#This Row],[VerReq]]="N","x","")</f>
        <v/>
      </c>
      <c r="BF140" s="140" t="str">
        <f>IF(Table1[[#This Row],[VerReq]]="N","x","")</f>
        <v/>
      </c>
      <c r="BG140" s="140" t="str">
        <f>IF(Table1[[#This Row],[VerReq]]="N","x","")</f>
        <v/>
      </c>
      <c r="BH140" s="140" t="str">
        <f>IF(Table1[[#This Row],[VerReq]]="N","x","")</f>
        <v/>
      </c>
      <c r="BI140" s="140" t="str">
        <f>IF(Table1[[#This Row],[VerReq]]="N","x","")</f>
        <v/>
      </c>
      <c r="BJ140" s="181">
        <f>1-((COUNTBLANK(Table1[[#This Row],[ALESent]:[TaxTran]]))/(COUNT(Table1[[#This Row],[ALESent]:[TaxTran]])+COUNTBLANK(Table1[[#This Row],[ALESent]:[TaxTran]])))</f>
        <v>0</v>
      </c>
      <c r="BK140" s="216">
        <f>IF(VLOOKUP(Table1[[#This Row],[SyStudentId]],SSR!$A$2:$CC$4982,22,FALSE)=44109,44109,"Check Program")</f>
        <v>44109</v>
      </c>
      <c r="BL140" s="173">
        <f>IF(Table1[[#This Row],[AYStart]]=44109,44356,"Check Program")</f>
        <v>44356</v>
      </c>
      <c r="BM140" s="219">
        <v>8505</v>
      </c>
      <c r="BN140" s="219">
        <v>8505</v>
      </c>
      <c r="BO140" s="219">
        <v>8505</v>
      </c>
      <c r="BP140" s="220">
        <f t="shared" si="6"/>
        <v>25515</v>
      </c>
      <c r="BQ140" s="221">
        <v>3300</v>
      </c>
      <c r="BR140" s="219">
        <v>400</v>
      </c>
      <c r="BS140" s="219">
        <v>400</v>
      </c>
      <c r="BT140" s="222">
        <f t="shared" si="7"/>
        <v>4100</v>
      </c>
      <c r="BU140" s="219">
        <v>2100</v>
      </c>
      <c r="BV140" s="219">
        <v>2100</v>
      </c>
      <c r="BW140" s="219">
        <v>2100</v>
      </c>
      <c r="BX140" s="222">
        <f t="shared" si="8"/>
        <v>6300</v>
      </c>
      <c r="BY140" s="275">
        <v>1200</v>
      </c>
      <c r="BZ140" s="275">
        <v>1200</v>
      </c>
      <c r="CA140" s="275">
        <v>1200</v>
      </c>
      <c r="CB140" s="222">
        <f>SUM(Table1[[#This Row],[LEQ1]:[LEQ3]])</f>
        <v>3600</v>
      </c>
      <c r="CC140" s="276">
        <v>0</v>
      </c>
      <c r="CD140" s="276">
        <v>0</v>
      </c>
      <c r="CE140" s="276">
        <v>0</v>
      </c>
      <c r="CF140" s="222">
        <f>SUM(Table1[[#This Row],[OthCostQ1]:[OthCostQ3]])</f>
        <v>0</v>
      </c>
      <c r="CG140" s="222">
        <f>(Table1[[#This Row],[T&amp;FTot]]+Table1[[#This Row],[B&amp;STot]]+Table1[[#This Row],[HousTot]]+Table1[[#This Row],[LETot]]+Table1[[#This Row],[OthCostTot]])</f>
        <v>39515</v>
      </c>
      <c r="CH140" s="253">
        <v>0</v>
      </c>
      <c r="CI140" s="253">
        <v>0</v>
      </c>
      <c r="CJ140" s="253">
        <v>0</v>
      </c>
      <c r="CK140" s="254">
        <f>SUM(Table1[[#This Row],[SEOGQ1]:[SEOGQ3]])</f>
        <v>0</v>
      </c>
      <c r="CL140" s="253">
        <f>IFERROR(ROUNDUP(Table1[[#This Row],[PellTot]]/3,0),0)</f>
        <v>0</v>
      </c>
      <c r="CM140" s="253">
        <f>IFERROR(ROUND(Table1[[#This Row],[PellTot]]/3,0),0)</f>
        <v>0</v>
      </c>
      <c r="CN140" s="253">
        <f>IFERROR(ROUNDDOWN(Table1[[#This Row],[PellTot]]/3,0),0)</f>
        <v>0</v>
      </c>
      <c r="CO140" s="254">
        <f>IFERROR(LOOKUP(Table1[EFC],Pell_Table[#Data],Pell_Table[Pell Amt]),0)</f>
        <v>0</v>
      </c>
      <c r="CP140" s="253">
        <f>Table1[[#This Row],[AccessTot]]/3</f>
        <v>0</v>
      </c>
      <c r="CQ140" s="253">
        <f>Table1[[#This Row],[AccessTot]]/3</f>
        <v>0</v>
      </c>
      <c r="CR140" s="253">
        <f>Table1[[#This Row],[AccessTot]]/3</f>
        <v>0</v>
      </c>
      <c r="CS140" s="254">
        <f>IF(Table1[[#This Row],[PellTot]]&gt;0,1500,0)</f>
        <v>0</v>
      </c>
      <c r="CT140" s="253">
        <f>Table1[[#This Row],[AchiTot]]/3</f>
        <v>1700</v>
      </c>
      <c r="CU140" s="253">
        <f>Table1[[#This Row],[AchiTot]]/3</f>
        <v>1700</v>
      </c>
      <c r="CV140" s="253">
        <f>Table1[[#This Row],[AchiTot]]/3</f>
        <v>1700</v>
      </c>
      <c r="CW140" s="255">
        <f>IF(Table1[[#This Row],[Rank]]="","",IF(Table1[[#This Row],[Rank]]=1,5100,IF(Table1[[#This Row],[Rank]]=2,4500,IF(Table1[[#This Row],[Rank]]=3,3900,IF(Table1[[#This Row],[Rank]]=4,3750,IF(Table1[[#This Row],[Rank]]=5,3000,IF(Table1[[#This Row],[Rank]]=6,2250,0)))))))</f>
        <v>5100</v>
      </c>
      <c r="CX140" s="253">
        <f>Table1[[#This Row],[UTTot]]/3</f>
        <v>0</v>
      </c>
      <c r="CY140" s="253">
        <f>Table1[[#This Row],[UTTot]]/3</f>
        <v>0</v>
      </c>
      <c r="CZ140" s="253">
        <f>Table1[[#This Row],[UTTot]]/3</f>
        <v>0</v>
      </c>
      <c r="DA140" s="254">
        <f>IF(Table1[[#This Row],[State]]="UT",9000,0)</f>
        <v>0</v>
      </c>
      <c r="DB140" s="253">
        <f>Table1[[#This Row],[WITTot]]/3</f>
        <v>0</v>
      </c>
      <c r="DC140" s="253">
        <f>Table1[[#This Row],[WITTot]]/3</f>
        <v>0</v>
      </c>
      <c r="DD140" s="253">
        <f>Table1[[#This Row],[WITTot]]/3</f>
        <v>0</v>
      </c>
      <c r="DE140" s="254">
        <f>IF(Table1[[#This Row],[Gender]]="Female",3000,0)</f>
        <v>0</v>
      </c>
      <c r="DF140" s="253">
        <f>Table1[[#This Row],[SerTot]]/3</f>
        <v>0</v>
      </c>
      <c r="DG140" s="253">
        <f>Table1[[#This Row],[SerTot]]/3</f>
        <v>0</v>
      </c>
      <c r="DH140" s="253">
        <f>Table1[[#This Row],[SerTot]]/3</f>
        <v>0</v>
      </c>
      <c r="DI140" s="255">
        <v>0</v>
      </c>
      <c r="DJ140" s="253">
        <f>IFERROR(ROUNDUP(Table1[[#This Row],[TranTot]]/3,0),0)</f>
        <v>0</v>
      </c>
      <c r="DK140" s="253">
        <f>IFERROR(ROUND(Table1[[#This Row],[TranTot]]/3,0),0)</f>
        <v>0</v>
      </c>
      <c r="DL140" s="253">
        <f>IFERROR(ROUNDDOWN(Table1[[#This Row],[TranTot]]/3,0),0)</f>
        <v>0</v>
      </c>
      <c r="DM140" s="255">
        <v>0</v>
      </c>
      <c r="DN140" s="253">
        <f>Table1[[#This Row],[MatTot]]/3</f>
        <v>0</v>
      </c>
      <c r="DO140" s="253">
        <f>Table1[[#This Row],[MatTot]]/3</f>
        <v>0</v>
      </c>
      <c r="DP140" s="253">
        <f>Table1[[#This Row],[MatTot]]/3</f>
        <v>0</v>
      </c>
      <c r="DQ140" s="255">
        <v>0</v>
      </c>
      <c r="DR140" s="253">
        <f>Table1[[#This Row],[OutTot]]/3</f>
        <v>0</v>
      </c>
      <c r="DS140" s="253">
        <f>Table1[[#This Row],[OutTot]]/3</f>
        <v>0</v>
      </c>
      <c r="DT140" s="253">
        <f>Table1[[#This Row],[OutTot]]/3</f>
        <v>0</v>
      </c>
      <c r="DU140" s="255">
        <v>0</v>
      </c>
      <c r="DV140" s="259">
        <v>0</v>
      </c>
      <c r="DW140" s="259">
        <v>0</v>
      </c>
      <c r="DX140" s="259">
        <v>0</v>
      </c>
      <c r="DY140" s="261">
        <f>SUM(Table1[[#This Row],[VAQ1]:[VAQ3]])</f>
        <v>0</v>
      </c>
      <c r="DZ140" s="253">
        <v>0</v>
      </c>
      <c r="EA140" s="253">
        <v>0</v>
      </c>
      <c r="EB140" s="253">
        <v>0</v>
      </c>
      <c r="EC140" s="278">
        <f>SUM(Table1[[#This Row],[OthGrantQ1]:[OthGrantQ3]])</f>
        <v>0</v>
      </c>
      <c r="ED140" s="264">
        <f>Table1[[#This Row],[SEOGTot]]+Table1[[#This Row],[PellTot]]+Table1[[#This Row],[AccessTot]]+Table1[[#This Row],[AchiTot]]+Table1[[#This Row],[UTTot]]+Table1[[#This Row],[WITTot]]+Table1[[#This Row],[SerTot]]+Table1[[#This Row],[TranTot]]+Table1[[#This Row],[MatTot]]+Table1[[#This Row],[OutTot]]+Table1[[#This Row],[VATot]]+Table1[[#This Row],[OthGrantTot]]</f>
        <v>5100</v>
      </c>
      <c r="EE140" s="226">
        <v>0</v>
      </c>
      <c r="EF140" s="227">
        <v>0</v>
      </c>
      <c r="EG140" s="227">
        <v>0</v>
      </c>
      <c r="EH140" s="228">
        <f>SUM(Table1[[#This Row],[CashQ1]]:Table1[[#This Row],[CashQ3]])</f>
        <v>0</v>
      </c>
      <c r="EI140" s="229">
        <f>ROUND((Table1[[#This Row],[SubTot]]/3)/1.01059,0)</f>
        <v>1154</v>
      </c>
      <c r="EJ140" s="230">
        <f>ROUND((Table1[[#This Row],[SubTot]]/3)/1.01059,0)</f>
        <v>1154</v>
      </c>
      <c r="EK140" s="230">
        <f>ROUNDUP((Table1[[#This Row],[SubTot]]/3)/1.01059,0)</f>
        <v>1155</v>
      </c>
      <c r="EL140" s="231">
        <v>3500</v>
      </c>
      <c r="EM140" s="233">
        <f>Table1[[#This Row],[SubTot]]*0.01059</f>
        <v>37.065000000000005</v>
      </c>
      <c r="EN140" s="230">
        <f>ROUND((Table1[[#This Row],[UnsubTot]]/3)/1.01062,0)</f>
        <v>660</v>
      </c>
      <c r="EO140" s="230">
        <f>ROUND((Table1[[#This Row],[UnsubTot]]/3)/1.01062,0)</f>
        <v>660</v>
      </c>
      <c r="EP140" s="230">
        <f>ROUNDDOWN((Table1[[#This Row],[UnsubTot]]/3)/1.01062,0)</f>
        <v>659</v>
      </c>
      <c r="EQ140" s="231">
        <f>IF(Table1[D/I]="I",6000,2000)</f>
        <v>2000</v>
      </c>
      <c r="ER140" s="233">
        <f>Table1[[#This Row],[UnsubTot]]*0.01059</f>
        <v>21.18</v>
      </c>
      <c r="ES140" s="230">
        <f>ROUND((Table1[[#This Row],[PLUSTot]]/3)/1.04236,0)</f>
        <v>0</v>
      </c>
      <c r="ET140" s="230">
        <f>ROUND((Table1[[#This Row],[PLUSTot]]/3)/1.04236,0)</f>
        <v>0</v>
      </c>
      <c r="EU140" s="230">
        <f>ROUND((Table1[[#This Row],[PLUSTot]]/3)/1.04236,0)</f>
        <v>0</v>
      </c>
      <c r="EV140" s="231">
        <v>0</v>
      </c>
      <c r="EW140" s="236">
        <f>Table1[[#This Row],[PLUSTot]]*0.04236</f>
        <v>0</v>
      </c>
      <c r="EX140" s="227"/>
      <c r="EY140" s="227"/>
      <c r="EZ140" s="227"/>
      <c r="FA140" s="228">
        <f>SUM(Table1[[#This Row],[PrivQ1]:[PrivQ3]])</f>
        <v>0</v>
      </c>
      <c r="FB140" s="227"/>
      <c r="FC140" s="227"/>
      <c r="FD140" s="227"/>
      <c r="FE140" s="228">
        <f>SUM(Table1[[#This Row],[TOQ1]:[TOQ3]])</f>
        <v>0</v>
      </c>
      <c r="FF140" s="227">
        <v>0</v>
      </c>
      <c r="FG140" s="227">
        <v>0</v>
      </c>
      <c r="FH140" s="227">
        <v>0</v>
      </c>
      <c r="FI140" s="228">
        <f>SUM(Table1[[#This Row],[OFundQ1]:[OFundQ3]])</f>
        <v>0</v>
      </c>
      <c r="FJ140" s="236">
        <f>(Table1[[#This Row],[SubTot]]-Table1[[#This Row],[SubFee]])+(Table1[[#This Row],[UnsubTot]]-Table1[[#This Row],[UnsubFee]])+(Table1[[#This Row],[PLUSTot]]-Table1[[#This Row],[PLUSFee]])+Table1[[#This Row],[PrivTot]]+Table1[[#This Row],[TOTot]]+Table1[[#This Row],[OFundTot]]</f>
        <v>5441.7550000000001</v>
      </c>
      <c r="FK140" s="159">
        <f>Table1[[#This Row],[CostTot]]-Table1[[#This Row],[GiftTot]]</f>
        <v>34415</v>
      </c>
      <c r="FL140" s="174">
        <f>Table1[[#This Row],[NetNeed]]/(1-0.04236)</f>
        <v>30254.840023390832</v>
      </c>
      <c r="FM140" s="176">
        <f>Table1[[#This Row],[NetCost]]-Table1[[#This Row],[CashTot]]-(Table1[[#This Row],[SubTot]]-Table1[[#This Row],[SubFee]])-(Table1[[#This Row],[UnsubTot]]-Table1[[#This Row],[UnsubFee]])-(Table1[[#This Row],[PLUSTot]]-Table1[[#This Row],[PLUSFee]])-Table1[[#This Row],[PrivTot]]-Table1[[#This Row],[TOTot]]-Table1[[#This Row],[OFundTot]]</f>
        <v>28973.244999999999</v>
      </c>
      <c r="FN140" s="217"/>
      <c r="FO140" s="162"/>
      <c r="FP140" s="162"/>
    </row>
    <row r="141" spans="1:172" ht="15" x14ac:dyDescent="0.25">
      <c r="A141" s="296">
        <v>196267</v>
      </c>
      <c r="B141" s="160" t="str">
        <f>VLOOKUP(Table1[[#This Row],[SyStudentId]],SSR!$A$2:$CC$4982,4,FALSE)</f>
        <v>Simpson</v>
      </c>
      <c r="C141" s="160" t="str">
        <f>VLOOKUP(Table1[[#This Row],[SyStudentId]],SSR!$A$2:$CC$4982,5,FALSE)</f>
        <v>Malachai</v>
      </c>
      <c r="D141" s="160" t="str">
        <f>VLOOKUP(Table1[[#This Row],[SyStudentId]],SSR!$A$2:$CC$4982,6,FALSE)</f>
        <v>Simpson, Malachai</v>
      </c>
      <c r="E141" s="113" t="str">
        <f>CONCATENATE(Table1[[#This Row],[FirstName]]," ",Table1[[#This Row],[LastName]])</f>
        <v>Malachai Simpson</v>
      </c>
      <c r="F141" s="158">
        <v>1</v>
      </c>
      <c r="G141" s="114">
        <v>43794</v>
      </c>
      <c r="H141" s="114">
        <v>43794</v>
      </c>
      <c r="I141" s="114">
        <v>43794</v>
      </c>
      <c r="J141" s="115" t="s">
        <v>6119</v>
      </c>
      <c r="K141" s="164"/>
      <c r="L141" s="158" t="str">
        <f>IFERROR(VLOOKUP(Table1[[#This Row],[SyStudentId]],ISIR!$A$2:$X$4999,11,FALSE),"")</f>
        <v>D</v>
      </c>
      <c r="M141" s="160" t="str">
        <f>VLOOKUP(Table1[[#This Row],[SyStudentId]],SSR!$A$2:$CC$4982,7,FALSE)</f>
        <v>fe26v1@gmail.com</v>
      </c>
      <c r="N141" s="160" t="str">
        <f>VLOOKUP(Table1[[#This Row],[SyStudentId]],SSR!$A$2:$CC$4982,8,FALSE)</f>
        <v>1005 E Burlington</v>
      </c>
      <c r="O141" s="160" t="str">
        <f>VLOOKUP(Table1[[#This Row],[SyStudentId]],SSR!$A$2:$CC$4982,9,FALSE)</f>
        <v>Fairfield</v>
      </c>
      <c r="P141" s="294" t="str">
        <f>VLOOKUP(Table1[[#This Row],[SyStudentId]],SSR!$A$2:$CC$4982,10,FALSE)</f>
        <v>IA</v>
      </c>
      <c r="Q141" s="165" t="str">
        <f>VLOOKUP(Table1[[#This Row],[SyStudentId]],SSR!$A$2:$CC$4982,11,FALSE)</f>
        <v xml:space="preserve">52556     </v>
      </c>
      <c r="R141" s="166">
        <f>VLOOKUP(Table1[[#This Row],[SyStudentId]],SSR!$A$2:$CC$4982,15,FALSE)</f>
        <v>3.1110000000000002</v>
      </c>
      <c r="S141" s="167">
        <f>VLOOKUP(Table1[[#This Row],[SyStudentId]],SSR!$A$2:$CC$4982,22,FALSE)</f>
        <v>44109</v>
      </c>
      <c r="T141" s="313" t="str">
        <f>VLOOKUP(Table1[[#This Row],[SyStudentId]],SSR!$A$2:$CC$4982,24,FALSE)</f>
        <v>JT</v>
      </c>
      <c r="U141" s="160" t="str">
        <f>IF(VLOOKUP(Table1[[#This Row],[SyStudentId]],SSR!$A$2:$CC$4982,26,FALSE)=0,"Not Selected",VLOOKUP(Table1[[#This Row],[SyStudentId]],SSR!$A$2:$CC$4982,26,FALSE))</f>
        <v>Male</v>
      </c>
      <c r="V141" s="160" t="str">
        <f>VLOOKUP(Table1[[#This Row],[SyStudentId]],SSR!$A$2:$CC$4982,27,FALSE)</f>
        <v xml:space="preserve">HS2020  </v>
      </c>
      <c r="W141" s="160" t="str">
        <f>VLOOKUP(LEFT(Table1[[#This Row],[LastName]],1),Alpha!$A$1:$B$26,2,FALSE)</f>
        <v>Maureen Ranks</v>
      </c>
      <c r="X141" s="168" t="str">
        <f>VLOOKUP(Table1[[#This Row],[FAA]],Alpha!$B$1:$D$26,2,FALSE)</f>
        <v>mranks@neumont.edu</v>
      </c>
      <c r="Y141" s="160">
        <f>VLOOKUP(Table1[[#This Row],[FAA]],Alpha!$B$1:$D$26,3,FALSE)</f>
        <v>8883022894</v>
      </c>
      <c r="Z141" s="160" t="str">
        <f>VLOOKUP(Table1[[#This Row],[SyStudentId]],SSR!$A$2:$CC$4982,30,FALSE)</f>
        <v>16-Accepted</v>
      </c>
      <c r="AA141" s="160" t="str">
        <f>IF(VLOOKUP(Table1[[#This Row],[SyStudentId]],SSR!$A$2:$CC$4982,36,FALSE)="Bachelor of Science","BS Computer Science","Check Program")</f>
        <v>BS Computer Science</v>
      </c>
      <c r="AB141" s="160" t="str">
        <f>VLOOKUP(Table1[[#This Row],[SyStudentId]],SSR!$A$2:$CC$4982,37,FALSE)</f>
        <v xml:space="preserve">33      </v>
      </c>
      <c r="AC141" s="160">
        <f>VLOOKUP(Table1[[#This Row],[SyStudentId]],SSR!$A$2:$CC$4982,42,FALSE)</f>
        <v>0</v>
      </c>
      <c r="AD141" s="160" t="str">
        <f>VLOOKUP(Table1[[#This Row],[SyStudentId]],SSR!$A$2:$CC$4982,46,FALSE)</f>
        <v>122</v>
      </c>
      <c r="AE141" s="160" t="str">
        <f>VLOOKUP(Table1[[#This Row],[SyStudentId]],SSR!$A$2:$CC$4982,65,FALSE)</f>
        <v>I</v>
      </c>
      <c r="AF141"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41" s="160" t="str">
        <f>VLOOKUP(Table1[[#This Row],[SyStudentId]],SSR!$A$2:$CC$4982,66,FALSE)</f>
        <v>July-October</v>
      </c>
      <c r="AH141" s="160" t="str">
        <f>IFERROR(VLOOKUP(Table1[[#This Row],[SyStudentId]],ISIR!$A$2:$X$1999,7,FALSE),"")</f>
        <v>026606</v>
      </c>
      <c r="AI141" s="170">
        <f>IF(Table1[[#This Row],[EFCRaw]]="","",IF(Table1[[#This Row],[EFCRaw]]="No EFC","No EFC",_xlfn.NUMBERVALUE(Table1[[#This Row],[EFCRaw]])))</f>
        <v>26606</v>
      </c>
      <c r="AJ141" s="167">
        <f>IFERROR(VLOOKUP(Table1[[#This Row],[SyStudentId]],ISIR!$A$2:$X$4999,19,FALSE),"")</f>
        <v>43774</v>
      </c>
      <c r="AK141" s="160" t="str">
        <f>IFERROR(VLOOKUP(Table1[[#This Row],[SyStudentId]],ISIR!$A$2:$X$4999,8,FALSE),"")</f>
        <v>N</v>
      </c>
      <c r="AL141" s="178" t="str">
        <f>IF(Table1[[#This Row],[VerReq]]="N","n/a","")</f>
        <v>n/a</v>
      </c>
      <c r="AM141" s="122"/>
      <c r="AN141" s="122"/>
      <c r="AO141" s="122">
        <v>43798</v>
      </c>
      <c r="AP141" s="122">
        <v>43777</v>
      </c>
      <c r="AQ141" s="122"/>
      <c r="AR141" s="122"/>
      <c r="AS141" s="122"/>
      <c r="AT141" s="122"/>
      <c r="AU141" s="122"/>
      <c r="AV141" s="122"/>
      <c r="AW141" s="122"/>
      <c r="AX141" s="122"/>
      <c r="AY141" s="122"/>
      <c r="AZ141" s="122"/>
      <c r="BA141" s="122"/>
      <c r="BB141" s="122"/>
      <c r="BC141" s="148"/>
      <c r="BD141" s="140" t="str">
        <f>IF(Table1[[#This Row],[VerReq]]="N","x","")</f>
        <v>x</v>
      </c>
      <c r="BE141" s="140" t="str">
        <f>IF(Table1[[#This Row],[VerReq]]="N","x","")</f>
        <v>x</v>
      </c>
      <c r="BF141" s="140" t="str">
        <f>IF(Table1[[#This Row],[VerReq]]="N","x","")</f>
        <v>x</v>
      </c>
      <c r="BG141" s="140" t="str">
        <f>IF(Table1[[#This Row],[VerReq]]="N","x","")</f>
        <v>x</v>
      </c>
      <c r="BH141" s="140" t="str">
        <f>IF(Table1[[#This Row],[VerReq]]="N","x","")</f>
        <v>x</v>
      </c>
      <c r="BI141" s="140" t="str">
        <f>IF(Table1[[#This Row],[VerReq]]="N","x","")</f>
        <v>x</v>
      </c>
      <c r="BJ141" s="181">
        <f>1-((COUNTBLANK(Table1[[#This Row],[ALESent]:[TaxTran]]))/(COUNT(Table1[[#This Row],[ALESent]:[TaxTran]])+COUNTBLANK(Table1[[#This Row],[ALESent]:[TaxTran]])))</f>
        <v>0.11764705882352944</v>
      </c>
      <c r="BK141" s="216">
        <f>IF(VLOOKUP(Table1[[#This Row],[SyStudentId]],SSR!$A$2:$CC$4982,22,FALSE)=44109,44109,"Check Program")</f>
        <v>44109</v>
      </c>
      <c r="BL141" s="173">
        <f>IF(Table1[[#This Row],[AYStart]]=44109,44356,"Check Program")</f>
        <v>44356</v>
      </c>
      <c r="BM141" s="219">
        <v>8505</v>
      </c>
      <c r="BN141" s="219">
        <v>8505</v>
      </c>
      <c r="BO141" s="219">
        <v>8505</v>
      </c>
      <c r="BP141" s="220">
        <f t="shared" si="6"/>
        <v>25515</v>
      </c>
      <c r="BQ141" s="221">
        <v>3300</v>
      </c>
      <c r="BR141" s="219">
        <v>400</v>
      </c>
      <c r="BS141" s="219">
        <v>400</v>
      </c>
      <c r="BT141" s="222">
        <f t="shared" si="7"/>
        <v>4100</v>
      </c>
      <c r="BU141" s="219">
        <v>2100</v>
      </c>
      <c r="BV141" s="219">
        <v>2100</v>
      </c>
      <c r="BW141" s="219">
        <v>2100</v>
      </c>
      <c r="BX141" s="222">
        <f t="shared" si="8"/>
        <v>6300</v>
      </c>
      <c r="BY141" s="275">
        <v>1200</v>
      </c>
      <c r="BZ141" s="275">
        <v>1200</v>
      </c>
      <c r="CA141" s="275">
        <v>1200</v>
      </c>
      <c r="CB141" s="222">
        <f>SUM(Table1[[#This Row],[LEQ1]:[LEQ3]])</f>
        <v>3600</v>
      </c>
      <c r="CC141" s="276">
        <v>0</v>
      </c>
      <c r="CD141" s="276">
        <v>0</v>
      </c>
      <c r="CE141" s="276">
        <v>0</v>
      </c>
      <c r="CF141" s="222">
        <f>SUM(Table1[[#This Row],[OthCostQ1]:[OthCostQ3]])</f>
        <v>0</v>
      </c>
      <c r="CG141" s="222">
        <f>(Table1[[#This Row],[T&amp;FTot]]+Table1[[#This Row],[B&amp;STot]]+Table1[[#This Row],[HousTot]]+Table1[[#This Row],[LETot]]+Table1[[#This Row],[OthCostTot]])</f>
        <v>39515</v>
      </c>
      <c r="CH141" s="253">
        <v>0</v>
      </c>
      <c r="CI141" s="253">
        <v>0</v>
      </c>
      <c r="CJ141" s="253">
        <v>0</v>
      </c>
      <c r="CK141" s="254">
        <f>SUM(Table1[[#This Row],[SEOGQ1]:[SEOGQ3]])</f>
        <v>0</v>
      </c>
      <c r="CL141" s="253">
        <f>IFERROR(ROUNDUP(Table1[[#This Row],[PellTot]]/3,0),0)</f>
        <v>0</v>
      </c>
      <c r="CM141" s="253">
        <f>IFERROR(ROUND(Table1[[#This Row],[PellTot]]/3,0),0)</f>
        <v>0</v>
      </c>
      <c r="CN141" s="253">
        <f>IFERROR(ROUNDDOWN(Table1[[#This Row],[PellTot]]/3,0),0)</f>
        <v>0</v>
      </c>
      <c r="CO141" s="254">
        <f>IFERROR(LOOKUP(Table1[EFC],Pell_Table[#Data],Pell_Table[Pell Amt]),0)</f>
        <v>0</v>
      </c>
      <c r="CP141" s="253">
        <f>Table1[[#This Row],[AccessTot]]/3</f>
        <v>0</v>
      </c>
      <c r="CQ141" s="253">
        <f>Table1[[#This Row],[AccessTot]]/3</f>
        <v>0</v>
      </c>
      <c r="CR141" s="253">
        <f>Table1[[#This Row],[AccessTot]]/3</f>
        <v>0</v>
      </c>
      <c r="CS141" s="254">
        <f>IF(Table1[[#This Row],[PellTot]]&gt;0,1500,0)</f>
        <v>0</v>
      </c>
      <c r="CT141" s="253">
        <f>Table1[[#This Row],[AchiTot]]/3</f>
        <v>1700</v>
      </c>
      <c r="CU141" s="253">
        <f>Table1[[#This Row],[AchiTot]]/3</f>
        <v>1700</v>
      </c>
      <c r="CV141" s="253">
        <f>Table1[[#This Row],[AchiTot]]/3</f>
        <v>1700</v>
      </c>
      <c r="CW141" s="255">
        <f>IF(Table1[[#This Row],[Rank]]="","",IF(Table1[[#This Row],[Rank]]=1,5100,IF(Table1[[#This Row],[Rank]]=2,4500,IF(Table1[[#This Row],[Rank]]=3,3900,IF(Table1[[#This Row],[Rank]]=4,3750,IF(Table1[[#This Row],[Rank]]=5,3000,IF(Table1[[#This Row],[Rank]]=6,2250,0)))))))</f>
        <v>5100</v>
      </c>
      <c r="CX141" s="253">
        <f>Table1[[#This Row],[UTTot]]/3</f>
        <v>0</v>
      </c>
      <c r="CY141" s="253">
        <f>Table1[[#This Row],[UTTot]]/3</f>
        <v>0</v>
      </c>
      <c r="CZ141" s="253">
        <f>Table1[[#This Row],[UTTot]]/3</f>
        <v>0</v>
      </c>
      <c r="DA141" s="254">
        <f>IF(Table1[[#This Row],[State]]="UT",9000,0)</f>
        <v>0</v>
      </c>
      <c r="DB141" s="253">
        <f>Table1[[#This Row],[WITTot]]/3</f>
        <v>0</v>
      </c>
      <c r="DC141" s="253">
        <f>Table1[[#This Row],[WITTot]]/3</f>
        <v>0</v>
      </c>
      <c r="DD141" s="253">
        <f>Table1[[#This Row],[WITTot]]/3</f>
        <v>0</v>
      </c>
      <c r="DE141" s="254">
        <f>IF(Table1[[#This Row],[Gender]]="Female",3000,0)</f>
        <v>0</v>
      </c>
      <c r="DF141" s="253">
        <f>Table1[[#This Row],[SerTot]]/3</f>
        <v>0</v>
      </c>
      <c r="DG141" s="253">
        <f>Table1[[#This Row],[SerTot]]/3</f>
        <v>0</v>
      </c>
      <c r="DH141" s="253">
        <f>Table1[[#This Row],[SerTot]]/3</f>
        <v>0</v>
      </c>
      <c r="DI141" s="255">
        <v>0</v>
      </c>
      <c r="DJ141" s="253">
        <f>IFERROR(ROUNDUP(Table1[[#This Row],[TranTot]]/3,0),0)</f>
        <v>0</v>
      </c>
      <c r="DK141" s="253">
        <f>IFERROR(ROUND(Table1[[#This Row],[TranTot]]/3,0),0)</f>
        <v>0</v>
      </c>
      <c r="DL141" s="253">
        <f>IFERROR(ROUNDDOWN(Table1[[#This Row],[TranTot]]/3,0),0)</f>
        <v>0</v>
      </c>
      <c r="DM141" s="255">
        <v>0</v>
      </c>
      <c r="DN141" s="253">
        <f>Table1[[#This Row],[MatTot]]/3</f>
        <v>0</v>
      </c>
      <c r="DO141" s="253">
        <f>Table1[[#This Row],[MatTot]]/3</f>
        <v>0</v>
      </c>
      <c r="DP141" s="253">
        <f>Table1[[#This Row],[MatTot]]/3</f>
        <v>0</v>
      </c>
      <c r="DQ141" s="255">
        <v>0</v>
      </c>
      <c r="DR141" s="253">
        <f>Table1[[#This Row],[OutTot]]/3</f>
        <v>0</v>
      </c>
      <c r="DS141" s="253">
        <f>Table1[[#This Row],[OutTot]]/3</f>
        <v>0</v>
      </c>
      <c r="DT141" s="253">
        <f>Table1[[#This Row],[OutTot]]/3</f>
        <v>0</v>
      </c>
      <c r="DU141" s="255">
        <v>0</v>
      </c>
      <c r="DV141" s="259">
        <v>0</v>
      </c>
      <c r="DW141" s="259">
        <v>0</v>
      </c>
      <c r="DX141" s="259">
        <v>0</v>
      </c>
      <c r="DY141" s="261">
        <f>SUM(Table1[[#This Row],[VAQ1]:[VAQ3]])</f>
        <v>0</v>
      </c>
      <c r="DZ141" s="253">
        <v>0</v>
      </c>
      <c r="EA141" s="253">
        <v>0</v>
      </c>
      <c r="EB141" s="253">
        <v>0</v>
      </c>
      <c r="EC141" s="278">
        <f>SUM(Table1[[#This Row],[OthGrantQ1]:[OthGrantQ3]])</f>
        <v>0</v>
      </c>
      <c r="ED141" s="264">
        <f>Table1[[#This Row],[SEOGTot]]+Table1[[#This Row],[PellTot]]+Table1[[#This Row],[AccessTot]]+Table1[[#This Row],[AchiTot]]+Table1[[#This Row],[UTTot]]+Table1[[#This Row],[WITTot]]+Table1[[#This Row],[SerTot]]+Table1[[#This Row],[TranTot]]+Table1[[#This Row],[MatTot]]+Table1[[#This Row],[OutTot]]+Table1[[#This Row],[VATot]]+Table1[[#This Row],[OthGrantTot]]</f>
        <v>5100</v>
      </c>
      <c r="EE141" s="226">
        <v>0</v>
      </c>
      <c r="EF141" s="227">
        <v>0</v>
      </c>
      <c r="EG141" s="227">
        <v>0</v>
      </c>
      <c r="EH141" s="228">
        <f>SUM(Table1[[#This Row],[CashQ1]]:Table1[[#This Row],[CashQ3]])</f>
        <v>0</v>
      </c>
      <c r="EI141" s="229">
        <f>ROUND((Table1[[#This Row],[SubTot]]/3)/1.01059,0)</f>
        <v>1154</v>
      </c>
      <c r="EJ141" s="230">
        <f>ROUND((Table1[[#This Row],[SubTot]]/3)/1.01059,0)</f>
        <v>1154</v>
      </c>
      <c r="EK141" s="230">
        <f>ROUNDUP((Table1[[#This Row],[SubTot]]/3)/1.01059,0)</f>
        <v>1155</v>
      </c>
      <c r="EL141" s="231">
        <v>3500</v>
      </c>
      <c r="EM141" s="233">
        <f>Table1[[#This Row],[SubTot]]*0.01059</f>
        <v>37.065000000000005</v>
      </c>
      <c r="EN141" s="230">
        <f>ROUND((Table1[[#This Row],[UnsubTot]]/3)/1.01062,0)</f>
        <v>660</v>
      </c>
      <c r="EO141" s="230">
        <f>ROUND((Table1[[#This Row],[UnsubTot]]/3)/1.01062,0)</f>
        <v>660</v>
      </c>
      <c r="EP141" s="230">
        <f>ROUNDDOWN((Table1[[#This Row],[UnsubTot]]/3)/1.01062,0)</f>
        <v>659</v>
      </c>
      <c r="EQ141" s="231">
        <f>IF(Table1[D/I]="I",6000,2000)</f>
        <v>2000</v>
      </c>
      <c r="ER141" s="233">
        <f>Table1[[#This Row],[UnsubTot]]*0.01059</f>
        <v>21.18</v>
      </c>
      <c r="ES141" s="230">
        <f>ROUND((Table1[[#This Row],[PLUSTot]]/3)/1.04236,0)</f>
        <v>0</v>
      </c>
      <c r="ET141" s="230">
        <f>ROUND((Table1[[#This Row],[PLUSTot]]/3)/1.04236,0)</f>
        <v>0</v>
      </c>
      <c r="EU141" s="230">
        <f>ROUND((Table1[[#This Row],[PLUSTot]]/3)/1.04236,0)</f>
        <v>0</v>
      </c>
      <c r="EV141" s="231">
        <v>0</v>
      </c>
      <c r="EW141" s="236">
        <f>Table1[[#This Row],[PLUSTot]]*0.04236</f>
        <v>0</v>
      </c>
      <c r="EX141" s="227"/>
      <c r="EY141" s="227"/>
      <c r="EZ141" s="227"/>
      <c r="FA141" s="228">
        <f>SUM(Table1[[#This Row],[PrivQ1]:[PrivQ3]])</f>
        <v>0</v>
      </c>
      <c r="FB141" s="227"/>
      <c r="FC141" s="227"/>
      <c r="FD141" s="227"/>
      <c r="FE141" s="228">
        <f>SUM(Table1[[#This Row],[TOQ1]:[TOQ3]])</f>
        <v>0</v>
      </c>
      <c r="FF141" s="227"/>
      <c r="FG141" s="227"/>
      <c r="FH141" s="227"/>
      <c r="FI141" s="228">
        <f>SUM(Table1[[#This Row],[OFundQ1]:[OFundQ3]])</f>
        <v>0</v>
      </c>
      <c r="FJ141" s="236">
        <f>(Table1[[#This Row],[SubTot]]-Table1[[#This Row],[SubFee]])+(Table1[[#This Row],[UnsubTot]]-Table1[[#This Row],[UnsubFee]])+(Table1[[#This Row],[PLUSTot]]-Table1[[#This Row],[PLUSFee]])+Table1[[#This Row],[PrivTot]]+Table1[[#This Row],[TOTot]]+Table1[[#This Row],[OFundTot]]</f>
        <v>5441.7550000000001</v>
      </c>
      <c r="FK141" s="159">
        <f>Table1[[#This Row],[CostTot]]-Table1[[#This Row],[GiftTot]]</f>
        <v>34415</v>
      </c>
      <c r="FL141" s="174">
        <f>Table1[[#This Row],[NetNeed]]/(1-0.04236)</f>
        <v>30254.840023390832</v>
      </c>
      <c r="FM141" s="176">
        <f>Table1[[#This Row],[NetCost]]-Table1[[#This Row],[CashTot]]-(Table1[[#This Row],[SubTot]]-Table1[[#This Row],[SubFee]])-(Table1[[#This Row],[UnsubTot]]-Table1[[#This Row],[UnsubFee]])-(Table1[[#This Row],[PLUSTot]]-Table1[[#This Row],[PLUSFee]])-Table1[[#This Row],[PrivTot]]-Table1[[#This Row],[TOTot]]-Table1[[#This Row],[OFundTot]]</f>
        <v>28973.244999999999</v>
      </c>
      <c r="FN141" s="217"/>
      <c r="FO141" s="162"/>
      <c r="FP141" s="162"/>
    </row>
    <row r="142" spans="1:172" ht="15" x14ac:dyDescent="0.25">
      <c r="A142" s="296">
        <v>192827</v>
      </c>
      <c r="B142" s="113" t="str">
        <f>VLOOKUP(Table1[[#This Row],[SyStudentId]],SSR!$A$2:$CC$4982,4,FALSE)</f>
        <v>Sisneros</v>
      </c>
      <c r="C142" s="113" t="str">
        <f>VLOOKUP(Table1[[#This Row],[SyStudentId]],SSR!$A$2:$CC$4982,5,FALSE)</f>
        <v>Brandon</v>
      </c>
      <c r="D142" s="113" t="str">
        <f>VLOOKUP(Table1[[#This Row],[SyStudentId]],SSR!$A$2:$CC$4982,6,FALSE)</f>
        <v>Sisneros, Brandon</v>
      </c>
      <c r="E142" s="113" t="str">
        <f>CONCATENATE(Table1[[#This Row],[FirstName]]," ",Table1[[#This Row],[LastName]])</f>
        <v>Brandon Sisneros</v>
      </c>
      <c r="F142" s="112"/>
      <c r="G142" s="114"/>
      <c r="H142" s="114"/>
      <c r="I142" s="114"/>
      <c r="J142" s="115" t="s">
        <v>6041</v>
      </c>
      <c r="K142" s="116"/>
      <c r="L142" s="112" t="str">
        <f>IFERROR(VLOOKUP(Table1[[#This Row],[SyStudentId]],ISIR!$A$2:$X$999,11,FALSE),"")</f>
        <v/>
      </c>
      <c r="M142" s="113" t="str">
        <f>VLOOKUP(Table1[[#This Row],[SyStudentId]],SSR!$A$2:$CC$4982,7,FALSE)</f>
        <v>brandonsisneros02@live.com</v>
      </c>
      <c r="N142" s="113" t="str">
        <f>VLOOKUP(Table1[[#This Row],[SyStudentId]],SSR!$A$2:$CC$4982,8,FALSE)</f>
        <v>30141 ANTELOPE RD, SUITE D235</v>
      </c>
      <c r="O142" s="113" t="str">
        <f>VLOOKUP(Table1[[#This Row],[SyStudentId]],SSR!$A$2:$CC$4982,9,FALSE)</f>
        <v>MENIFEE</v>
      </c>
      <c r="P142" s="113" t="str">
        <f>VLOOKUP(Table1[[#This Row],[SyStudentId]],SSR!$A$2:$CC$4982,10,FALSE)</f>
        <v>CA</v>
      </c>
      <c r="Q142" s="117" t="str">
        <f>VLOOKUP(Table1[[#This Row],[SyStudentId]],SSR!$A$2:$CC$4982,11,FALSE)</f>
        <v xml:space="preserve">92584     </v>
      </c>
      <c r="R142" s="118">
        <f>VLOOKUP(Table1[[#This Row],[SyStudentId]],SSR!$A$2:$CC$4982,15,FALSE)</f>
        <v>3.254</v>
      </c>
      <c r="S142" s="119">
        <f>VLOOKUP(Table1[[#This Row],[SyStudentId]],SSR!$A$2:$CC$4982,22,FALSE)</f>
        <v>44109</v>
      </c>
      <c r="T142" s="113" t="str">
        <f>VLOOKUP(Table1[[#This Row],[SyStudentId]],SSR!$A$2:$CC$4982,24,FALSE)</f>
        <v>JT</v>
      </c>
      <c r="U142" s="113" t="str">
        <f>IF(VLOOKUP(Table1[[#This Row],[SyStudentId]],SSR!$A$2:$CC$4982,26,FALSE)=0,"Not Selected",VLOOKUP(Table1[[#This Row],[SyStudentId]],SSR!$A$2:$CC$4982,26,FALSE))</f>
        <v>Male</v>
      </c>
      <c r="V142" s="113" t="str">
        <f>VLOOKUP(Table1[[#This Row],[SyStudentId]],SSR!$A$2:$CC$4982,27,FALSE)</f>
        <v xml:space="preserve">HS2020  </v>
      </c>
      <c r="W142" s="113" t="str">
        <f>VLOOKUP(LEFT(Table1[[#This Row],[LastName]],1),Alpha!$A$1:$B$26,2,FALSE)</f>
        <v>Maureen Ranks</v>
      </c>
      <c r="X142" s="149" t="str">
        <f>VLOOKUP(Table1[[#This Row],[FAA]],Alpha!$B$1:$D$26,2,FALSE)</f>
        <v>mranks@neumont.edu</v>
      </c>
      <c r="Y142" s="113">
        <f>VLOOKUP(Table1[[#This Row],[FAA]],Alpha!$B$1:$D$26,3,FALSE)</f>
        <v>8883022894</v>
      </c>
      <c r="Z142" s="113" t="str">
        <f>VLOOKUP(Table1[[#This Row],[SyStudentId]],SSR!$A$2:$CC$4982,30,FALSE)</f>
        <v>16-Accepted</v>
      </c>
      <c r="AA142" s="113" t="str">
        <f>IF(VLOOKUP(Table1[[#This Row],[SyStudentId]],SSR!$A$2:$CC$4982,36,FALSE)="Bachelor of Science","BS Computer Science","Check Program")</f>
        <v>BS Computer Science</v>
      </c>
      <c r="AB142" s="113">
        <f>VLOOKUP(Table1[[#This Row],[SyStudentId]],SSR!$A$2:$CC$4982,37,FALSE)</f>
        <v>0</v>
      </c>
      <c r="AC142" s="113" t="str">
        <f>VLOOKUP(Table1[[#This Row],[SyStudentId]],SSR!$A$2:$CC$4982,42,FALSE)</f>
        <v xml:space="preserve">1080    </v>
      </c>
      <c r="AD142" s="113" t="str">
        <f>VLOOKUP(Table1[[#This Row],[SyStudentId]],SSR!$A$2:$CC$4982,46,FALSE)</f>
        <v>106</v>
      </c>
      <c r="AE142" s="113" t="str">
        <f>VLOOKUP(Table1[[#This Row],[SyStudentId]],SSR!$A$2:$CC$4982,65,FALSE)</f>
        <v>I</v>
      </c>
      <c r="AF142"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42" s="113" t="str">
        <f>VLOOKUP(Table1[[#This Row],[SyStudentId]],SSR!$A$2:$CC$4982,66,FALSE)</f>
        <v>November</v>
      </c>
      <c r="AH142" s="113" t="str">
        <f>IFERROR(VLOOKUP(Table1[[#This Row],[SyStudentId]],ISIR!$A$2:$X$999,7,FALSE),"")</f>
        <v/>
      </c>
      <c r="AI142" s="121" t="str">
        <f>IF(Table1[[#This Row],[EFCRaw]]="","",IF(Table1[[#This Row],[EFCRaw]]="No EFC","No EFC",_xlfn.NUMBERVALUE(Table1[[#This Row],[EFCRaw]])))</f>
        <v/>
      </c>
      <c r="AJ142" s="119" t="str">
        <f>IFERROR(VLOOKUP(Table1[[#This Row],[SyStudentId]],ISIR!$A$2:$X$4999,19,FALSE),"")</f>
        <v/>
      </c>
      <c r="AK142" s="113" t="str">
        <f>IFERROR(VLOOKUP(Table1[[#This Row],[SyStudentId]],ISIR!$A$2:$X$4999,8,FALSE),"")</f>
        <v/>
      </c>
      <c r="AL142" s="132" t="str">
        <f>IF(Table1[[#This Row],[VerReq]]="N","n/a","")</f>
        <v/>
      </c>
      <c r="AM142" s="122"/>
      <c r="AN142" s="122"/>
      <c r="AO142" s="122"/>
      <c r="AP142" s="122"/>
      <c r="AQ142" s="122"/>
      <c r="AR142" s="122"/>
      <c r="AS142" s="122"/>
      <c r="AT142" s="122"/>
      <c r="AU142" s="122"/>
      <c r="AV142" s="122"/>
      <c r="AW142" s="122"/>
      <c r="AX142" s="122"/>
      <c r="AY142" s="122"/>
      <c r="AZ142" s="122"/>
      <c r="BA142" s="122"/>
      <c r="BB142" s="122"/>
      <c r="BC142" s="148"/>
      <c r="BD142" s="140" t="str">
        <f>IF(Table1[[#This Row],[VerReq]]="N","x","")</f>
        <v/>
      </c>
      <c r="BE142" s="140" t="str">
        <f>IF(Table1[[#This Row],[VerReq]]="N","x","")</f>
        <v/>
      </c>
      <c r="BF142" s="140" t="str">
        <f>IF(Table1[[#This Row],[VerReq]]="N","x","")</f>
        <v/>
      </c>
      <c r="BG142" s="140" t="str">
        <f>IF(Table1[[#This Row],[VerReq]]="N","x","")</f>
        <v/>
      </c>
      <c r="BH142" s="140" t="str">
        <f>IF(Table1[[#This Row],[VerReq]]="N","x","")</f>
        <v/>
      </c>
      <c r="BI142" s="140" t="str">
        <f>IF(Table1[[#This Row],[VerReq]]="N","x","")</f>
        <v/>
      </c>
      <c r="BJ142" s="123">
        <f>1-((COUNTBLANK(Table1[[#This Row],[ALESent]:[TaxTran]]))/(COUNT(Table1[[#This Row],[ALESent]:[TaxTran]])+COUNTBLANK(Table1[[#This Row],[ALESent]:[TaxTran]])))</f>
        <v>0</v>
      </c>
      <c r="BK142" s="150">
        <f>IF(VLOOKUP(Table1[[#This Row],[SyStudentId]],SSR!$A$2:$CC$4982,22,FALSE)=44109,44109,"Check Program")</f>
        <v>44109</v>
      </c>
      <c r="BL142" s="124">
        <f>IF(Table1[[#This Row],[AYStart]]=44109,44356,"Check Program")</f>
        <v>44356</v>
      </c>
      <c r="BM142" s="219"/>
      <c r="BN142" s="219"/>
      <c r="BO142" s="219"/>
      <c r="BP142" s="220">
        <f t="shared" si="6"/>
        <v>0</v>
      </c>
      <c r="BQ142" s="221"/>
      <c r="BR142" s="219"/>
      <c r="BS142" s="219"/>
      <c r="BT142" s="220">
        <f t="shared" si="7"/>
        <v>0</v>
      </c>
      <c r="BU142" s="219"/>
      <c r="BV142" s="219"/>
      <c r="BW142" s="219"/>
      <c r="BX142" s="220">
        <f t="shared" si="8"/>
        <v>0</v>
      </c>
      <c r="BY142" s="275"/>
      <c r="BZ142" s="275"/>
      <c r="CA142" s="275"/>
      <c r="CB142" s="220">
        <f>SUM(Table1[[#This Row],[LEQ1]:[LEQ3]])</f>
        <v>0</v>
      </c>
      <c r="CC142" s="269"/>
      <c r="CD142" s="269"/>
      <c r="CE142" s="269"/>
      <c r="CF142" s="220">
        <f>SUM(Table1[[#This Row],[OthCostQ1]:[OthCostQ3]])</f>
        <v>0</v>
      </c>
      <c r="CG142" s="220">
        <f>(Table1[[#This Row],[T&amp;FTot]]+Table1[[#This Row],[B&amp;STot]]+Table1[[#This Row],[HousTot]]+Table1[[#This Row],[LETot]]+Table1[[#This Row],[OthCostTot]])</f>
        <v>0</v>
      </c>
      <c r="CH142" s="250"/>
      <c r="CI142" s="250"/>
      <c r="CJ142" s="250"/>
      <c r="CK142" s="251">
        <f>SUM(Table1[[#This Row],[SEOGQ1]:[SEOGQ3]])</f>
        <v>0</v>
      </c>
      <c r="CL142" s="250">
        <f>IFERROR(ROUNDUP(Table1[[#This Row],[PellTot]]/3,0),0)</f>
        <v>0</v>
      </c>
      <c r="CM142" s="250">
        <f>IFERROR(ROUND(Table1[[#This Row],[PellTot]]/3,0),0)</f>
        <v>0</v>
      </c>
      <c r="CN142" s="250">
        <f>IFERROR(ROUNDDOWN(Table1[[#This Row],[PellTot]]/3,0),0)</f>
        <v>0</v>
      </c>
      <c r="CO142" s="251">
        <f>IFERROR(LOOKUP(Table1[EFC],Pell_Table[#Data],Pell_Table[Pell Amt]),0)</f>
        <v>0</v>
      </c>
      <c r="CP142" s="250">
        <f>Table1[[#This Row],[AccessTot]]/3</f>
        <v>0</v>
      </c>
      <c r="CQ142" s="250">
        <f>Table1[[#This Row],[AccessTot]]/3</f>
        <v>0</v>
      </c>
      <c r="CR142" s="250">
        <f>Table1[[#This Row],[AccessTot]]/3</f>
        <v>0</v>
      </c>
      <c r="CS142" s="251">
        <f>IF(Table1[[#This Row],[PellTot]]&gt;0,1500,0)</f>
        <v>0</v>
      </c>
      <c r="CT142" s="250">
        <f>Table1[[#This Row],[AchiTot]]/3</f>
        <v>1700</v>
      </c>
      <c r="CU142" s="250">
        <f>Table1[[#This Row],[AchiTot]]/3</f>
        <v>1700</v>
      </c>
      <c r="CV142" s="250">
        <f>Table1[[#This Row],[AchiTot]]/3</f>
        <v>1700</v>
      </c>
      <c r="CW142" s="252">
        <f>IF(Table1[[#This Row],[Rank]]="","",IF(Table1[[#This Row],[Rank]]=1,5100,IF(Table1[[#This Row],[Rank]]=2,4500,IF(Table1[[#This Row],[Rank]]=3,3900,IF(Table1[[#This Row],[Rank]]=4,3750,IF(Table1[[#This Row],[Rank]]=5,3000,IF(Table1[[#This Row],[Rank]]=6,2250,0)))))))</f>
        <v>5100</v>
      </c>
      <c r="CX142" s="250">
        <f>Table1[[#This Row],[UTTot]]/3</f>
        <v>0</v>
      </c>
      <c r="CY142" s="250">
        <f>Table1[[#This Row],[UTTot]]/3</f>
        <v>0</v>
      </c>
      <c r="CZ142" s="250">
        <f>Table1[[#This Row],[UTTot]]/3</f>
        <v>0</v>
      </c>
      <c r="DA142" s="251">
        <f>IF(Table1[[#This Row],[State]]="UT",9000,0)</f>
        <v>0</v>
      </c>
      <c r="DB142" s="250">
        <f>Table1[[#This Row],[WITTot]]/3</f>
        <v>0</v>
      </c>
      <c r="DC142" s="250">
        <f>Table1[[#This Row],[WITTot]]/3</f>
        <v>0</v>
      </c>
      <c r="DD142" s="250">
        <f>Table1[[#This Row],[WITTot]]/3</f>
        <v>0</v>
      </c>
      <c r="DE142" s="251">
        <f>IF(Table1[[#This Row],[Gender]]="Female",3000,0)</f>
        <v>0</v>
      </c>
      <c r="DF142" s="250">
        <f>Table1[[#This Row],[SerTot]]/3</f>
        <v>0</v>
      </c>
      <c r="DG142" s="250">
        <f>Table1[[#This Row],[SerTot]]/3</f>
        <v>0</v>
      </c>
      <c r="DH142" s="250">
        <f>Table1[[#This Row],[SerTot]]/3</f>
        <v>0</v>
      </c>
      <c r="DI142" s="252"/>
      <c r="DJ142" s="250"/>
      <c r="DK142" s="250"/>
      <c r="DL142" s="250"/>
      <c r="DM142" s="252"/>
      <c r="DN142" s="250">
        <f>Table1[[#This Row],[MatTot]]/3</f>
        <v>0</v>
      </c>
      <c r="DO142" s="250">
        <f>Table1[[#This Row],[MatTot]]/3</f>
        <v>0</v>
      </c>
      <c r="DP142" s="250">
        <f>Table1[[#This Row],[MatTot]]/3</f>
        <v>0</v>
      </c>
      <c r="DQ142" s="252"/>
      <c r="DR142" s="250">
        <f>Table1[[#This Row],[OutTot]]/3</f>
        <v>0</v>
      </c>
      <c r="DS142" s="250">
        <f>Table1[[#This Row],[OutTot]]/3</f>
        <v>0</v>
      </c>
      <c r="DT142" s="250">
        <f>Table1[[#This Row],[OutTot]]/3</f>
        <v>0</v>
      </c>
      <c r="DU142" s="252"/>
      <c r="DV142" s="250"/>
      <c r="DW142" s="250"/>
      <c r="DX142" s="250"/>
      <c r="DY142" s="252">
        <f>SUM(Table1[[#This Row],[VAQ1]:[VAQ3]])</f>
        <v>0</v>
      </c>
      <c r="DZ142" s="250"/>
      <c r="EA142" s="250"/>
      <c r="EB142" s="250"/>
      <c r="EC142" s="270">
        <f>SUM(Table1[[#This Row],[OthGrantQ1]:[OthGrantQ3]])</f>
        <v>0</v>
      </c>
      <c r="ED142" s="263">
        <f>Table1[[#This Row],[SEOGTot]]+Table1[[#This Row],[PellTot]]+Table1[[#This Row],[AccessTot]]+Table1[[#This Row],[AchiTot]]+Table1[[#This Row],[UTTot]]+Table1[[#This Row],[WITTot]]+Table1[[#This Row],[SerTot]]+Table1[[#This Row],[TranTot]]+Table1[[#This Row],[MatTot]]+Table1[[#This Row],[OutTot]]+Table1[[#This Row],[VATot]]+Table1[[#This Row],[OthGrantTot]]</f>
        <v>5100</v>
      </c>
      <c r="EE142" s="249"/>
      <c r="EF142" s="237"/>
      <c r="EG142" s="237"/>
      <c r="EH142" s="232">
        <f>SUM(Table1[[#This Row],[CashQ1]]:Table1[[#This Row],[CashQ3]])</f>
        <v>0</v>
      </c>
      <c r="EI142" s="271">
        <f>ROUND((Table1[[#This Row],[SubTot]]/3)/1.01059,0)</f>
        <v>0</v>
      </c>
      <c r="EJ142" s="234">
        <f>ROUND((Table1[[#This Row],[SubTot]]/3)/1.01059,0)</f>
        <v>0</v>
      </c>
      <c r="EK142" s="234">
        <f>ROUNDUP((Table1[[#This Row],[SubTot]]/3)/1.01059,0)</f>
        <v>0</v>
      </c>
      <c r="EL142" s="235"/>
      <c r="EM142" s="240">
        <f>Table1[[#This Row],[SubTot]]*0.01059</f>
        <v>0</v>
      </c>
      <c r="EN142" s="234">
        <f>ROUND((Table1[[#This Row],[UnsubTot]]/3)/1.01062,0)</f>
        <v>660</v>
      </c>
      <c r="EO142" s="234">
        <f>ROUND((Table1[[#This Row],[UnsubTot]]/3)/1.01062,0)</f>
        <v>660</v>
      </c>
      <c r="EP142" s="234">
        <f>ROUNDDOWN((Table1[[#This Row],[UnsubTot]]/3)/1.01062,0)</f>
        <v>659</v>
      </c>
      <c r="EQ142" s="235">
        <f>IF(Table1[D/I]="I",6000,2000)</f>
        <v>2000</v>
      </c>
      <c r="ER142" s="240">
        <f>Table1[[#This Row],[UnsubTot]]*0.01062</f>
        <v>21.24</v>
      </c>
      <c r="ES142" s="234">
        <f>ROUND((Table1[[#This Row],[PLUSTot]]/3)/1.04248,0)</f>
        <v>0</v>
      </c>
      <c r="ET142" s="234">
        <f>ROUND((Table1[[#This Row],[PLUSTot]]/3)/1.04248,0)</f>
        <v>0</v>
      </c>
      <c r="EU142" s="234">
        <f>ROUND((Table1[[#This Row],[PLUSTot]]/3)/1.04248,0)</f>
        <v>0</v>
      </c>
      <c r="EV142" s="235"/>
      <c r="EW142" s="239">
        <f>Table1[[#This Row],[PLUSTot]]*0.04248</f>
        <v>0</v>
      </c>
      <c r="EX142" s="237"/>
      <c r="EY142" s="237"/>
      <c r="EZ142" s="237"/>
      <c r="FA142" s="232">
        <f>SUM(Table1[[#This Row],[PrivQ1]:[PrivQ3]])</f>
        <v>0</v>
      </c>
      <c r="FB142" s="237"/>
      <c r="FC142" s="237"/>
      <c r="FD142" s="237"/>
      <c r="FE142" s="232">
        <f>SUM(Table1[[#This Row],[TOQ1]:[TOQ3]])</f>
        <v>0</v>
      </c>
      <c r="FF142" s="237"/>
      <c r="FG142" s="237"/>
      <c r="FH142" s="237"/>
      <c r="FI142" s="232">
        <f>SUM(Table1[[#This Row],[OFundQ1]:[OFundQ3]])</f>
        <v>0</v>
      </c>
      <c r="FJ142" s="239">
        <f>(Table1[[#This Row],[SubTot]]-Table1[[#This Row],[SubFee]])+(Table1[[#This Row],[UnsubTot]]-Table1[[#This Row],[UnsubFee]])+(Table1[[#This Row],[PLUSTot]]-Table1[[#This Row],[PLUSFee]])+Table1[[#This Row],[PrivTot]]+Table1[[#This Row],[TOTot]]+Table1[[#This Row],[OFundTot]]</f>
        <v>1978.76</v>
      </c>
      <c r="FK142" s="125">
        <f>Table1[[#This Row],[CostTot]]-Table1[[#This Row],[GiftTot]]</f>
        <v>-5100</v>
      </c>
      <c r="FL142" s="130">
        <f>Table1[[#This Row],[NetNeed]]/(1-0.04248)</f>
        <v>-7392.8064165761552</v>
      </c>
      <c r="FM142" s="131">
        <f>Table1[[#This Row],[NetCost]]-Table1[[#This Row],[CashTot]]-(Table1[[#This Row],[SubTot]]-Table1[[#This Row],[SubFee]])-(Table1[[#This Row],[UnsubTot]]-Table1[[#This Row],[UnsubFee]])-(Table1[[#This Row],[PLUSTot]]-Table1[[#This Row],[PLUSFee]])-Table1[[#This Row],[PrivTot]]-Table1[[#This Row],[TOTot]]-Table1[[#This Row],[OFundTot]]</f>
        <v>-7078.76</v>
      </c>
      <c r="FN142" s="156"/>
      <c r="FO142" s="113"/>
      <c r="FP142" s="113"/>
    </row>
    <row r="143" spans="1:172" ht="15" x14ac:dyDescent="0.25">
      <c r="A143" s="296">
        <v>198942</v>
      </c>
      <c r="B143" s="113" t="str">
        <f>VLOOKUP(Table1[[#This Row],[SyStudentId]],SSR!$A$2:$CC$4982,4,FALSE)</f>
        <v>Small</v>
      </c>
      <c r="C143" s="113" t="str">
        <f>VLOOKUP(Table1[[#This Row],[SyStudentId]],SSR!$A$2:$CC$4982,5,FALSE)</f>
        <v>Sianah</v>
      </c>
      <c r="D143" s="113" t="str">
        <f>VLOOKUP(Table1[[#This Row],[SyStudentId]],SSR!$A$2:$CC$4982,6,FALSE)</f>
        <v>Small, Sianah</v>
      </c>
      <c r="E143" s="113" t="str">
        <f>CONCATENATE(Table1[[#This Row],[FirstName]]," ",Table1[[#This Row],[LastName]])</f>
        <v>Sianah Small</v>
      </c>
      <c r="F143" s="112"/>
      <c r="G143" s="114"/>
      <c r="H143" s="114"/>
      <c r="I143" s="114"/>
      <c r="J143" s="115"/>
      <c r="K143" s="116"/>
      <c r="L143" s="112" t="str">
        <f>IFERROR(VLOOKUP(Table1[[#This Row],[SyStudentId]],ISIR!$A$2:$X$999,11,FALSE),"")</f>
        <v/>
      </c>
      <c r="M143" s="113" t="str">
        <f>VLOOKUP(Table1[[#This Row],[SyStudentId]],SSR!$A$2:$CC$4982,7,FALSE)</f>
        <v>tandssmall@gmail.com</v>
      </c>
      <c r="N143" s="113" t="str">
        <f>VLOOKUP(Table1[[#This Row],[SyStudentId]],SSR!$A$2:$CC$4982,8,FALSE)</f>
        <v>17246 COMMUNITY ST</v>
      </c>
      <c r="O143" s="113" t="str">
        <f>VLOOKUP(Table1[[#This Row],[SyStudentId]],SSR!$A$2:$CC$4982,9,FALSE)</f>
        <v>LANSING</v>
      </c>
      <c r="P143" s="113" t="str">
        <f>VLOOKUP(Table1[[#This Row],[SyStudentId]],SSR!$A$2:$CC$4982,10,FALSE)</f>
        <v>IL</v>
      </c>
      <c r="Q143" s="117" t="str">
        <f>VLOOKUP(Table1[[#This Row],[SyStudentId]],SSR!$A$2:$CC$4982,11,FALSE)</f>
        <v xml:space="preserve">60438     </v>
      </c>
      <c r="R143" s="118">
        <f>VLOOKUP(Table1[[#This Row],[SyStudentId]],SSR!$A$2:$CC$4982,15,FALSE)</f>
        <v>3.3330000000000002</v>
      </c>
      <c r="S143" s="119">
        <f>VLOOKUP(Table1[[#This Row],[SyStudentId]],SSR!$A$2:$CC$4982,22,FALSE)</f>
        <v>44109</v>
      </c>
      <c r="T143" s="113" t="str">
        <f>VLOOKUP(Table1[[#This Row],[SyStudentId]],SSR!$A$2:$CC$4982,24,FALSE)</f>
        <v>MN</v>
      </c>
      <c r="U143" s="113" t="str">
        <f>IF(VLOOKUP(Table1[[#This Row],[SyStudentId]],SSR!$A$2:$CC$4982,26,FALSE)=0,"Not Selected",VLOOKUP(Table1[[#This Row],[SyStudentId]],SSR!$A$2:$CC$4982,26,FALSE))</f>
        <v>Female</v>
      </c>
      <c r="V143" s="113" t="str">
        <f>VLOOKUP(Table1[[#This Row],[SyStudentId]],SSR!$A$2:$CC$4982,27,FALSE)</f>
        <v xml:space="preserve">HS2020  </v>
      </c>
      <c r="W143" s="113" t="str">
        <f>VLOOKUP(LEFT(Table1[[#This Row],[LastName]],1),Alpha!$A$1:$B$26,2,FALSE)</f>
        <v>Maureen Ranks</v>
      </c>
      <c r="X143" s="149" t="str">
        <f>VLOOKUP(Table1[[#This Row],[FAA]],Alpha!$B$1:$D$26,2,FALSE)</f>
        <v>mranks@neumont.edu</v>
      </c>
      <c r="Y143" s="113">
        <f>VLOOKUP(Table1[[#This Row],[FAA]],Alpha!$B$1:$D$26,3,FALSE)</f>
        <v>8883022894</v>
      </c>
      <c r="Z143" s="113" t="str">
        <f>VLOOKUP(Table1[[#This Row],[SyStudentId]],SSR!$A$2:$CC$4982,30,FALSE)</f>
        <v>16-Accepted</v>
      </c>
      <c r="AA143" s="113" t="str">
        <f>IF(VLOOKUP(Table1[[#This Row],[SyStudentId]],SSR!$A$2:$CC$4982,36,FALSE)="Bachelor of Science","BS Computer Science","Check Program")</f>
        <v>BS Computer Science</v>
      </c>
      <c r="AB143" s="113">
        <f>VLOOKUP(Table1[[#This Row],[SyStudentId]],SSR!$A$2:$CC$4982,37,FALSE)</f>
        <v>0</v>
      </c>
      <c r="AC143" s="113" t="str">
        <f>VLOOKUP(Table1[[#This Row],[SyStudentId]],SSR!$A$2:$CC$4982,42,FALSE)</f>
        <v xml:space="preserve">1110    </v>
      </c>
      <c r="AD143" s="113" t="str">
        <f>VLOOKUP(Table1[[#This Row],[SyStudentId]],SSR!$A$2:$CC$4982,46,FALSE)</f>
        <v>108</v>
      </c>
      <c r="AE143" s="113" t="str">
        <f>VLOOKUP(Table1[[#This Row],[SyStudentId]],SSR!$A$2:$CC$4982,65,FALSE)</f>
        <v>III</v>
      </c>
      <c r="AF14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143" s="113" t="str">
        <f>VLOOKUP(Table1[[#This Row],[SyStudentId]],SSR!$A$2:$CC$4982,66,FALSE)</f>
        <v>October</v>
      </c>
      <c r="AH143" s="113" t="str">
        <f>IFERROR(VLOOKUP(Table1[[#This Row],[SyStudentId]],ISIR!$A$2:$X$999,7,FALSE),"")</f>
        <v/>
      </c>
      <c r="AI143" s="121" t="str">
        <f>IF(Table1[[#This Row],[EFCRaw]]="","",IF(Table1[[#This Row],[EFCRaw]]="No EFC","No EFC",_xlfn.NUMBERVALUE(Table1[[#This Row],[EFCRaw]])))</f>
        <v/>
      </c>
      <c r="AJ143" s="119" t="str">
        <f>IFERROR(VLOOKUP(Table1[[#This Row],[SyStudentId]],ISIR!$A$2:$X$4999,19,FALSE),"")</f>
        <v/>
      </c>
      <c r="AK143" s="113" t="str">
        <f>IFERROR(VLOOKUP(Table1[[#This Row],[SyStudentId]],ISIR!$A$2:$X$4999,8,FALSE),"")</f>
        <v/>
      </c>
      <c r="AL143" s="132" t="str">
        <f>IF(Table1[[#This Row],[VerReq]]="N","n/a","")</f>
        <v/>
      </c>
      <c r="AM143" s="122"/>
      <c r="AN143" s="122"/>
      <c r="AO143" s="122"/>
      <c r="AP143" s="122"/>
      <c r="AQ143" s="122"/>
      <c r="AR143" s="122"/>
      <c r="AS143" s="122"/>
      <c r="AT143" s="122"/>
      <c r="AU143" s="122"/>
      <c r="AV143" s="122"/>
      <c r="AW143" s="122"/>
      <c r="AX143" s="122"/>
      <c r="AY143" s="122"/>
      <c r="AZ143" s="122"/>
      <c r="BA143" s="122"/>
      <c r="BB143" s="122"/>
      <c r="BC143" s="148"/>
      <c r="BD143" s="140" t="str">
        <f>IF(Table1[[#This Row],[VerReq]]="N","x","")</f>
        <v/>
      </c>
      <c r="BE143" s="140" t="str">
        <f>IF(Table1[[#This Row],[VerReq]]="N","x","")</f>
        <v/>
      </c>
      <c r="BF143" s="140" t="str">
        <f>IF(Table1[[#This Row],[VerReq]]="N","x","")</f>
        <v/>
      </c>
      <c r="BG143" s="140" t="str">
        <f>IF(Table1[[#This Row],[VerReq]]="N","x","")</f>
        <v/>
      </c>
      <c r="BH143" s="140" t="str">
        <f>IF(Table1[[#This Row],[VerReq]]="N","x","")</f>
        <v/>
      </c>
      <c r="BI143" s="140" t="str">
        <f>IF(Table1[[#This Row],[VerReq]]="N","x","")</f>
        <v/>
      </c>
      <c r="BJ143" s="123">
        <f>1-((COUNTBLANK(Table1[[#This Row],[ALESent]:[TaxTran]]))/(COUNT(Table1[[#This Row],[ALESent]:[TaxTran]])+COUNTBLANK(Table1[[#This Row],[ALESent]:[TaxTran]])))</f>
        <v>0</v>
      </c>
      <c r="BK143" s="150">
        <f>IF(VLOOKUP(Table1[[#This Row],[SyStudentId]],SSR!$A$2:$CC$4982,22,FALSE)=44109,44109,"Check Program")</f>
        <v>44109</v>
      </c>
      <c r="BL143" s="124">
        <f>IF(Table1[[#This Row],[AYStart]]=44109,44356,"Check Program")</f>
        <v>44356</v>
      </c>
      <c r="BM143" s="219">
        <v>8505</v>
      </c>
      <c r="BN143" s="219">
        <v>8505</v>
      </c>
      <c r="BO143" s="219">
        <v>8505</v>
      </c>
      <c r="BP143" s="220">
        <f t="shared" si="6"/>
        <v>25515</v>
      </c>
      <c r="BQ143" s="221">
        <v>3300</v>
      </c>
      <c r="BR143" s="219">
        <v>400</v>
      </c>
      <c r="BS143" s="219">
        <v>400</v>
      </c>
      <c r="BT143" s="220">
        <f t="shared" si="7"/>
        <v>4100</v>
      </c>
      <c r="BU143" s="219">
        <v>2100</v>
      </c>
      <c r="BV143" s="219">
        <v>2100</v>
      </c>
      <c r="BW143" s="219">
        <v>2100</v>
      </c>
      <c r="BX143" s="220">
        <f t="shared" si="8"/>
        <v>6300</v>
      </c>
      <c r="BY143" s="275">
        <v>1200</v>
      </c>
      <c r="BZ143" s="275">
        <v>1200</v>
      </c>
      <c r="CA143" s="275">
        <v>1200</v>
      </c>
      <c r="CB143" s="220">
        <f>SUM(Table1[[#This Row],[LEQ1]:[LEQ3]])</f>
        <v>3600</v>
      </c>
      <c r="CC143" s="269"/>
      <c r="CD143" s="269"/>
      <c r="CE143" s="269"/>
      <c r="CF143" s="220">
        <f>SUM(Table1[[#This Row],[OthCostQ1]:[OthCostQ3]])</f>
        <v>0</v>
      </c>
      <c r="CG143" s="220">
        <f>(Table1[[#This Row],[T&amp;FTot]]+Table1[[#This Row],[B&amp;STot]]+Table1[[#This Row],[HousTot]]+Table1[[#This Row],[LETot]]+Table1[[#This Row],[OthCostTot]])</f>
        <v>39515</v>
      </c>
      <c r="CH143" s="250"/>
      <c r="CI143" s="250"/>
      <c r="CJ143" s="250"/>
      <c r="CK143" s="251">
        <f>SUM(Table1[[#This Row],[SEOGQ1]:[SEOGQ3]])</f>
        <v>0</v>
      </c>
      <c r="CL143" s="250">
        <f>IFERROR(ROUNDUP(Table1[[#This Row],[PellTot]]/3,0),0)</f>
        <v>0</v>
      </c>
      <c r="CM143" s="250">
        <f>IFERROR(ROUND(Table1[[#This Row],[PellTot]]/3,0),0)</f>
        <v>0</v>
      </c>
      <c r="CN143" s="250">
        <f>IFERROR(ROUNDDOWN(Table1[[#This Row],[PellTot]]/3,0),0)</f>
        <v>0</v>
      </c>
      <c r="CO143" s="251">
        <f>IFERROR(LOOKUP(Table1[EFC],Pell_Table[#Data],Pell_Table[Pell Amt]),0)</f>
        <v>0</v>
      </c>
      <c r="CP143" s="250">
        <f>Table1[[#This Row],[AccessTot]]/3</f>
        <v>0</v>
      </c>
      <c r="CQ143" s="250">
        <f>Table1[[#This Row],[AccessTot]]/3</f>
        <v>0</v>
      </c>
      <c r="CR143" s="250">
        <f>Table1[[#This Row],[AccessTot]]/3</f>
        <v>0</v>
      </c>
      <c r="CS143" s="251">
        <f>IF(Table1[[#This Row],[PellTot]]&gt;0,1500,0)</f>
        <v>0</v>
      </c>
      <c r="CT143" s="250">
        <f>Table1[[#This Row],[AchiTot]]/3</f>
        <v>1300</v>
      </c>
      <c r="CU143" s="250">
        <f>Table1[[#This Row],[AchiTot]]/3</f>
        <v>1300</v>
      </c>
      <c r="CV143" s="250">
        <f>Table1[[#This Row],[AchiTot]]/3</f>
        <v>1300</v>
      </c>
      <c r="CW143" s="252">
        <f>IF(Table1[[#This Row],[Rank]]="","",IF(Table1[[#This Row],[Rank]]=1,5100,IF(Table1[[#This Row],[Rank]]=2,4500,IF(Table1[[#This Row],[Rank]]=3,3900,IF(Table1[[#This Row],[Rank]]=4,3750,IF(Table1[[#This Row],[Rank]]=5,3000,IF(Table1[[#This Row],[Rank]]=6,2250,0)))))))</f>
        <v>3900</v>
      </c>
      <c r="CX143" s="250">
        <f>Table1[[#This Row],[UTTot]]/3</f>
        <v>0</v>
      </c>
      <c r="CY143" s="250">
        <f>Table1[[#This Row],[UTTot]]/3</f>
        <v>0</v>
      </c>
      <c r="CZ143" s="250">
        <f>Table1[[#This Row],[UTTot]]/3</f>
        <v>0</v>
      </c>
      <c r="DA143" s="251">
        <f>IF(Table1[[#This Row],[State]]="UT",9000,0)</f>
        <v>0</v>
      </c>
      <c r="DB143" s="250">
        <f>Table1[[#This Row],[WITTot]]/3</f>
        <v>1000</v>
      </c>
      <c r="DC143" s="250">
        <f>Table1[[#This Row],[WITTot]]/3</f>
        <v>1000</v>
      </c>
      <c r="DD143" s="250">
        <f>Table1[[#This Row],[WITTot]]/3</f>
        <v>1000</v>
      </c>
      <c r="DE143" s="251">
        <f>IF(Table1[[#This Row],[Gender]]="Female",3000,0)</f>
        <v>3000</v>
      </c>
      <c r="DF143" s="250">
        <f>Table1[[#This Row],[SerTot]]/3</f>
        <v>0</v>
      </c>
      <c r="DG143" s="250">
        <f>Table1[[#This Row],[SerTot]]/3</f>
        <v>0</v>
      </c>
      <c r="DH143" s="250">
        <f>Table1[[#This Row],[SerTot]]/3</f>
        <v>0</v>
      </c>
      <c r="DI143" s="252"/>
      <c r="DJ143" s="250"/>
      <c r="DK143" s="250"/>
      <c r="DL143" s="250"/>
      <c r="DM143" s="252"/>
      <c r="DN143" s="250">
        <f>Table1[[#This Row],[MatTot]]/3</f>
        <v>0</v>
      </c>
      <c r="DO143" s="250">
        <f>Table1[[#This Row],[MatTot]]/3</f>
        <v>0</v>
      </c>
      <c r="DP143" s="250">
        <f>Table1[[#This Row],[MatTot]]/3</f>
        <v>0</v>
      </c>
      <c r="DQ143" s="252"/>
      <c r="DR143" s="250">
        <f>Table1[[#This Row],[OutTot]]/3</f>
        <v>0</v>
      </c>
      <c r="DS143" s="250">
        <f>Table1[[#This Row],[OutTot]]/3</f>
        <v>0</v>
      </c>
      <c r="DT143" s="250">
        <f>Table1[[#This Row],[OutTot]]/3</f>
        <v>0</v>
      </c>
      <c r="DU143" s="252"/>
      <c r="DV143" s="250"/>
      <c r="DW143" s="250"/>
      <c r="DX143" s="250"/>
      <c r="DY143" s="252">
        <f>SUM(Table1[[#This Row],[VAQ1]:[VAQ3]])</f>
        <v>0</v>
      </c>
      <c r="DZ143" s="250"/>
      <c r="EA143" s="250"/>
      <c r="EB143" s="250"/>
      <c r="EC143" s="270">
        <f>SUM(Table1[[#This Row],[OthGrantQ1]:[OthGrantQ3]])</f>
        <v>0</v>
      </c>
      <c r="ED143" s="263">
        <f>Table1[[#This Row],[SEOGTot]]+Table1[[#This Row],[PellTot]]+Table1[[#This Row],[AccessTot]]+Table1[[#This Row],[AchiTot]]+Table1[[#This Row],[UTTot]]+Table1[[#This Row],[WITTot]]+Table1[[#This Row],[SerTot]]+Table1[[#This Row],[TranTot]]+Table1[[#This Row],[MatTot]]+Table1[[#This Row],[OutTot]]+Table1[[#This Row],[VATot]]+Table1[[#This Row],[OthGrantTot]]</f>
        <v>6900</v>
      </c>
      <c r="EE143" s="249"/>
      <c r="EF143" s="237"/>
      <c r="EG143" s="237"/>
      <c r="EH143" s="232">
        <f>SUM(Table1[[#This Row],[CashQ1]]:Table1[[#This Row],[CashQ3]])</f>
        <v>0</v>
      </c>
      <c r="EI143" s="271">
        <f>ROUND((Table1[[#This Row],[SubTot]]/3)/1.01059,0)</f>
        <v>0</v>
      </c>
      <c r="EJ143" s="234">
        <f>ROUND((Table1[[#This Row],[SubTot]]/3)/1.01059,0)</f>
        <v>0</v>
      </c>
      <c r="EK143" s="234">
        <f>ROUNDUP((Table1[[#This Row],[SubTot]]/3)/1.01059,0)</f>
        <v>0</v>
      </c>
      <c r="EL143" s="235"/>
      <c r="EM143" s="240">
        <f>Table1[[#This Row],[SubTot]]*0.01059</f>
        <v>0</v>
      </c>
      <c r="EN143" s="234">
        <f>ROUND((Table1[[#This Row],[UnsubTot]]/3)/1.01062,0)</f>
        <v>660</v>
      </c>
      <c r="EO143" s="234">
        <f>ROUND((Table1[[#This Row],[UnsubTot]]/3)/1.01062,0)</f>
        <v>660</v>
      </c>
      <c r="EP143" s="234">
        <f>ROUNDDOWN((Table1[[#This Row],[UnsubTot]]/3)/1.01062,0)</f>
        <v>659</v>
      </c>
      <c r="EQ143" s="235">
        <f>IF(Table1[D/I]="I",6000,2000)</f>
        <v>2000</v>
      </c>
      <c r="ER143" s="240">
        <f>Table1[[#This Row],[UnsubTot]]*0.01062</f>
        <v>21.24</v>
      </c>
      <c r="ES143" s="234">
        <f>ROUND((Table1[[#This Row],[PLUSTot]]/3)/1.04248,0)</f>
        <v>0</v>
      </c>
      <c r="ET143" s="234">
        <f>ROUND((Table1[[#This Row],[PLUSTot]]/3)/1.04248,0)</f>
        <v>0</v>
      </c>
      <c r="EU143" s="234">
        <f>ROUND((Table1[[#This Row],[PLUSTot]]/3)/1.04248,0)</f>
        <v>0</v>
      </c>
      <c r="EV143" s="235"/>
      <c r="EW143" s="239">
        <f>Table1[[#This Row],[PLUSTot]]*0.04248</f>
        <v>0</v>
      </c>
      <c r="EX143" s="237"/>
      <c r="EY143" s="237"/>
      <c r="EZ143" s="237"/>
      <c r="FA143" s="232">
        <f>SUM(Table1[[#This Row],[PrivQ1]:[PrivQ3]])</f>
        <v>0</v>
      </c>
      <c r="FB143" s="237"/>
      <c r="FC143" s="237"/>
      <c r="FD143" s="237"/>
      <c r="FE143" s="232">
        <f>SUM(Table1[[#This Row],[TOQ1]:[TOQ3]])</f>
        <v>0</v>
      </c>
      <c r="FF143" s="237"/>
      <c r="FG143" s="237"/>
      <c r="FH143" s="237"/>
      <c r="FI143" s="232">
        <f>SUM(Table1[[#This Row],[OFundQ1]:[OFundQ3]])</f>
        <v>0</v>
      </c>
      <c r="FJ143" s="239">
        <f>(Table1[[#This Row],[SubTot]]-Table1[[#This Row],[SubFee]])+(Table1[[#This Row],[UnsubTot]]-Table1[[#This Row],[UnsubFee]])+(Table1[[#This Row],[PLUSTot]]-Table1[[#This Row],[PLUSFee]])+Table1[[#This Row],[PrivTot]]+Table1[[#This Row],[TOTot]]+Table1[[#This Row],[OFundTot]]</f>
        <v>1978.76</v>
      </c>
      <c r="FK143" s="125">
        <f>Table1[[#This Row],[CostTot]]-Table1[[#This Row],[GiftTot]]</f>
        <v>32615</v>
      </c>
      <c r="FL143" s="130">
        <f>Table1[[#This Row],[NetNeed]]/(1-0.04248)</f>
        <v>31995.404795722283</v>
      </c>
      <c r="FM143" s="131">
        <f>Table1[[#This Row],[NetCost]]-Table1[[#This Row],[CashTot]]-(Table1[[#This Row],[SubTot]]-Table1[[#This Row],[SubFee]])-(Table1[[#This Row],[UnsubTot]]-Table1[[#This Row],[UnsubFee]])-(Table1[[#This Row],[PLUSTot]]-Table1[[#This Row],[PLUSFee]])-Table1[[#This Row],[PrivTot]]-Table1[[#This Row],[TOTot]]-Table1[[#This Row],[OFundTot]]</f>
        <v>30636.240000000002</v>
      </c>
      <c r="FN143" s="156"/>
      <c r="FO143" s="113"/>
      <c r="FP143" s="113"/>
    </row>
    <row r="144" spans="1:172" ht="15" x14ac:dyDescent="0.25">
      <c r="A144" s="296">
        <v>198402</v>
      </c>
      <c r="B144" s="113" t="str">
        <f>VLOOKUP(Table1[[#This Row],[SyStudentId]],SSR!$A$2:$CC$4982,4,FALSE)</f>
        <v>Smith</v>
      </c>
      <c r="C144" s="113" t="str">
        <f>VLOOKUP(Table1[[#This Row],[SyStudentId]],SSR!$A$2:$CC$4982,5,FALSE)</f>
        <v>Caleb</v>
      </c>
      <c r="D144" s="113" t="str">
        <f>VLOOKUP(Table1[[#This Row],[SyStudentId]],SSR!$A$2:$CC$4982,6,FALSE)</f>
        <v>Smith, Caleb</v>
      </c>
      <c r="E144" s="113" t="str">
        <f>CONCATENATE(Table1[[#This Row],[FirstName]]," ",Table1[[#This Row],[LastName]])</f>
        <v>Caleb Smith</v>
      </c>
      <c r="F144" s="112"/>
      <c r="G144" s="114"/>
      <c r="H144" s="114"/>
      <c r="I144" s="114"/>
      <c r="J144" s="115"/>
      <c r="K144" s="116"/>
      <c r="L144" s="112" t="str">
        <f>IFERROR(VLOOKUP(Table1[[#This Row],[SyStudentId]],ISIR!$A$2:$X$999,11,FALSE),"")</f>
        <v>D</v>
      </c>
      <c r="M144" s="113" t="str">
        <f>VLOOKUP(Table1[[#This Row],[SyStudentId]],SSR!$A$2:$CC$4982,7,FALSE)</f>
        <v>2121smith@trgators.org</v>
      </c>
      <c r="N144" s="113" t="str">
        <f>VLOOKUP(Table1[[#This Row],[SyStudentId]],SSR!$A$2:$CC$4982,8,FALSE)</f>
        <v>215 N. Monroe Avenue, PO Box 176</v>
      </c>
      <c r="O144" s="113" t="str">
        <f>VLOOKUP(Table1[[#This Row],[SyStudentId]],SSR!$A$2:$CC$4982,9,FALSE)</f>
        <v>Plainview</v>
      </c>
      <c r="P144" s="292" t="str">
        <f>VLOOKUP(Table1[[#This Row],[SyStudentId]],SSR!$A$2:$CC$4982,10,FALSE)</f>
        <v>AR</v>
      </c>
      <c r="Q144" s="117" t="str">
        <f>VLOOKUP(Table1[[#This Row],[SyStudentId]],SSR!$A$2:$CC$4982,11,FALSE)</f>
        <v xml:space="preserve">72857     </v>
      </c>
      <c r="R144" s="118">
        <f>VLOOKUP(Table1[[#This Row],[SyStudentId]],SSR!$A$2:$CC$4982,15,FALSE)</f>
        <v>3.7</v>
      </c>
      <c r="S144" s="119">
        <f>VLOOKUP(Table1[[#This Row],[SyStudentId]],SSR!$A$2:$CC$4982,22,FALSE)</f>
        <v>44109</v>
      </c>
      <c r="T144" s="113" t="str">
        <f>VLOOKUP(Table1[[#This Row],[SyStudentId]],SSR!$A$2:$CC$4982,24,FALSE)</f>
        <v>GM</v>
      </c>
      <c r="U144" s="113" t="str">
        <f>IF(VLOOKUP(Table1[[#This Row],[SyStudentId]],SSR!$A$2:$CC$4982,26,FALSE)=0,"Not Selected",VLOOKUP(Table1[[#This Row],[SyStudentId]],SSR!$A$2:$CC$4982,26,FALSE))</f>
        <v>Male</v>
      </c>
      <c r="V144" s="113" t="str">
        <f>VLOOKUP(Table1[[#This Row],[SyStudentId]],SSR!$A$2:$CC$4982,27,FALSE)</f>
        <v xml:space="preserve">HS2020  </v>
      </c>
      <c r="W144" s="113" t="str">
        <f>VLOOKUP(LEFT(Table1[[#This Row],[LastName]],1),Alpha!$A$1:$B$26,2,FALSE)</f>
        <v>Maureen Ranks</v>
      </c>
      <c r="X144" s="149" t="str">
        <f>VLOOKUP(Table1[[#This Row],[FAA]],Alpha!$B$1:$D$26,2,FALSE)</f>
        <v>mranks@neumont.edu</v>
      </c>
      <c r="Y144" s="113">
        <f>VLOOKUP(Table1[[#This Row],[FAA]],Alpha!$B$1:$D$26,3,FALSE)</f>
        <v>8883022894</v>
      </c>
      <c r="Z144" s="156" t="str">
        <f>VLOOKUP(Table1[[#This Row],[SyStudentId]],SSR!$A$2:$CC$4982,30,FALSE)</f>
        <v>16-Accepted</v>
      </c>
      <c r="AA144" s="113" t="str">
        <f>IF(VLOOKUP(Table1[[#This Row],[SyStudentId]],SSR!$A$2:$CC$4982,36,FALSE)="Bachelor of Science","BS Computer Science","Check Program")</f>
        <v>BS Computer Science</v>
      </c>
      <c r="AB144" s="113" t="str">
        <f>VLOOKUP(Table1[[#This Row],[SyStudentId]],SSR!$A$2:$CC$4982,37,FALSE)</f>
        <v xml:space="preserve">30      </v>
      </c>
      <c r="AC144" s="113">
        <f>VLOOKUP(Table1[[#This Row],[SyStudentId]],SSR!$A$2:$CC$4982,42,FALSE)</f>
        <v>0</v>
      </c>
      <c r="AD144" s="113" t="str">
        <f>VLOOKUP(Table1[[#This Row],[SyStudentId]],SSR!$A$2:$CC$4982,46,FALSE)</f>
        <v>126</v>
      </c>
      <c r="AE144" s="113" t="str">
        <f>VLOOKUP(Table1[[#This Row],[SyStudentId]],SSR!$A$2:$CC$4982,65,FALSE)</f>
        <v>I</v>
      </c>
      <c r="AF144"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44" s="113" t="str">
        <f>VLOOKUP(Table1[[#This Row],[SyStudentId]],SSR!$A$2:$CC$4982,66,FALSE)</f>
        <v>July-October</v>
      </c>
      <c r="AH144" s="113" t="str">
        <f>IFERROR(VLOOKUP(Table1[[#This Row],[SyStudentId]],ISIR!$A$2:$X$999,7,FALSE),"")</f>
        <v>010486</v>
      </c>
      <c r="AI144" s="121">
        <f>IF(Table1[[#This Row],[EFCRaw]]="","",IF(Table1[[#This Row],[EFCRaw]]="No EFC","No EFC",_xlfn.NUMBERVALUE(Table1[[#This Row],[EFCRaw]])))</f>
        <v>10486</v>
      </c>
      <c r="AJ144" s="119">
        <f>IFERROR(VLOOKUP(Table1[[#This Row],[SyStudentId]],ISIR!$A$2:$X$4999,19,FALSE),"")</f>
        <v>43776</v>
      </c>
      <c r="AK144" s="113" t="str">
        <f>IFERROR(VLOOKUP(Table1[[#This Row],[SyStudentId]],ISIR!$A$2:$X$4999,8,FALSE),"")</f>
        <v>N</v>
      </c>
      <c r="AL144" s="132" t="str">
        <f>IF(Table1[[#This Row],[VerReq]]="N","n/a","")</f>
        <v>n/a</v>
      </c>
      <c r="AM144" s="122"/>
      <c r="AN144" s="122"/>
      <c r="AO144" s="122"/>
      <c r="AP144" s="122"/>
      <c r="AQ144" s="122"/>
      <c r="AR144" s="122"/>
      <c r="AS144" s="122"/>
      <c r="AT144" s="122"/>
      <c r="AU144" s="122"/>
      <c r="AV144" s="122"/>
      <c r="AW144" s="122"/>
      <c r="AX144" s="122"/>
      <c r="AY144" s="122"/>
      <c r="AZ144" s="122"/>
      <c r="BA144" s="122"/>
      <c r="BB144" s="122"/>
      <c r="BC144" s="148"/>
      <c r="BD144" s="140" t="str">
        <f>IF(Table1[[#This Row],[VerReq]]="N","x","")</f>
        <v>x</v>
      </c>
      <c r="BE144" s="140" t="str">
        <f>IF(Table1[[#This Row],[VerReq]]="N","x","")</f>
        <v>x</v>
      </c>
      <c r="BF144" s="140" t="str">
        <f>IF(Table1[[#This Row],[VerReq]]="N","x","")</f>
        <v>x</v>
      </c>
      <c r="BG144" s="140" t="str">
        <f>IF(Table1[[#This Row],[VerReq]]="N","x","")</f>
        <v>x</v>
      </c>
      <c r="BH144" s="140" t="str">
        <f>IF(Table1[[#This Row],[VerReq]]="N","x","")</f>
        <v>x</v>
      </c>
      <c r="BI144" s="140" t="str">
        <f>IF(Table1[[#This Row],[VerReq]]="N","x","")</f>
        <v>x</v>
      </c>
      <c r="BJ144" s="123">
        <f>1-((COUNTBLANK(Table1[[#This Row],[ALESent]:[TaxTran]]))/(COUNT(Table1[[#This Row],[ALESent]:[TaxTran]])+COUNTBLANK(Table1[[#This Row],[ALESent]:[TaxTran]])))</f>
        <v>0</v>
      </c>
      <c r="BK144" s="150">
        <f>IF(VLOOKUP(Table1[[#This Row],[SyStudentId]],SSR!$A$2:$CC$4982,22,FALSE)=44109,44109,"Check Program")</f>
        <v>44109</v>
      </c>
      <c r="BL144" s="124">
        <f>IF(Table1[[#This Row],[AYStart]]=44109,44356,"Check Program")</f>
        <v>44356</v>
      </c>
      <c r="BM144" s="219">
        <v>8505</v>
      </c>
      <c r="BN144" s="219">
        <v>8505</v>
      </c>
      <c r="BO144" s="219">
        <v>8505</v>
      </c>
      <c r="BP144" s="220">
        <f t="shared" si="6"/>
        <v>25515</v>
      </c>
      <c r="BQ144" s="221">
        <v>3300</v>
      </c>
      <c r="BR144" s="219">
        <v>400</v>
      </c>
      <c r="BS144" s="219">
        <v>400</v>
      </c>
      <c r="BT144" s="220">
        <f t="shared" si="7"/>
        <v>4100</v>
      </c>
      <c r="BU144" s="219">
        <v>2100</v>
      </c>
      <c r="BV144" s="219">
        <v>2100</v>
      </c>
      <c r="BW144" s="219">
        <v>2100</v>
      </c>
      <c r="BX144" s="222">
        <f t="shared" si="8"/>
        <v>6300</v>
      </c>
      <c r="BY144" s="275">
        <v>1200</v>
      </c>
      <c r="BZ144" s="275">
        <v>1200</v>
      </c>
      <c r="CA144" s="275">
        <v>1200</v>
      </c>
      <c r="CB144" s="222">
        <f>SUM(Table1[[#This Row],[LEQ1]:[LEQ3]])</f>
        <v>3600</v>
      </c>
      <c r="CC144" s="276">
        <v>0</v>
      </c>
      <c r="CD144" s="276">
        <v>0</v>
      </c>
      <c r="CE144" s="276">
        <v>0</v>
      </c>
      <c r="CF144" s="222">
        <f>SUM(Table1[[#This Row],[OthCostQ1]:[OthCostQ3]])</f>
        <v>0</v>
      </c>
      <c r="CG144" s="220">
        <f>(Table1[[#This Row],[T&amp;FTot]]+Table1[[#This Row],[B&amp;STot]]+Table1[[#This Row],[HousTot]]+Table1[[#This Row],[LETot]]+Table1[[#This Row],[OthCostTot]])</f>
        <v>39515</v>
      </c>
      <c r="CH144" s="250">
        <v>0</v>
      </c>
      <c r="CI144" s="250">
        <v>0</v>
      </c>
      <c r="CJ144" s="250">
        <v>0</v>
      </c>
      <c r="CK144" s="251">
        <f>SUM(Table1[[#This Row],[SEOGQ1]:[SEOGQ3]])</f>
        <v>0</v>
      </c>
      <c r="CL144" s="250">
        <f>IFERROR(ROUNDUP(Table1[[#This Row],[PellTot]]/3,0),0)</f>
        <v>0</v>
      </c>
      <c r="CM144" s="250">
        <f>IFERROR(ROUND(Table1[[#This Row],[PellTot]]/3,0),0)</f>
        <v>0</v>
      </c>
      <c r="CN144" s="250">
        <f>IFERROR(ROUNDDOWN(Table1[[#This Row],[PellTot]]/3,0),0)</f>
        <v>0</v>
      </c>
      <c r="CO144" s="251">
        <f>IFERROR(LOOKUP(Table1[EFC],Pell_Table[#Data],Pell_Table[Pell Amt]),0)</f>
        <v>0</v>
      </c>
      <c r="CP144" s="250">
        <f>Table1[[#This Row],[AccessTot]]/3</f>
        <v>0</v>
      </c>
      <c r="CQ144" s="250">
        <f>Table1[[#This Row],[AccessTot]]/3</f>
        <v>0</v>
      </c>
      <c r="CR144" s="250">
        <f>Table1[[#This Row],[AccessTot]]/3</f>
        <v>0</v>
      </c>
      <c r="CS144" s="251">
        <f>IF(Table1[[#This Row],[PellTot]]&gt;0,1500,0)</f>
        <v>0</v>
      </c>
      <c r="CT144" s="250">
        <f>Table1[[#This Row],[AchiTot]]/3</f>
        <v>1700</v>
      </c>
      <c r="CU144" s="250">
        <f>Table1[[#This Row],[AchiTot]]/3</f>
        <v>1700</v>
      </c>
      <c r="CV144" s="250">
        <f>Table1[[#This Row],[AchiTot]]/3</f>
        <v>1700</v>
      </c>
      <c r="CW144" s="252">
        <f>IF(Table1[[#This Row],[Rank]]="","",IF(Table1[[#This Row],[Rank]]=1,5100,IF(Table1[[#This Row],[Rank]]=2,4500,IF(Table1[[#This Row],[Rank]]=3,3900,IF(Table1[[#This Row],[Rank]]=4,3750,IF(Table1[[#This Row],[Rank]]=5,3000,IF(Table1[[#This Row],[Rank]]=6,2250,0)))))))</f>
        <v>5100</v>
      </c>
      <c r="CX144" s="250">
        <f>Table1[[#This Row],[UTTot]]/3</f>
        <v>0</v>
      </c>
      <c r="CY144" s="250">
        <f>Table1[[#This Row],[UTTot]]/3</f>
        <v>0</v>
      </c>
      <c r="CZ144" s="250">
        <f>Table1[[#This Row],[UTTot]]/3</f>
        <v>0</v>
      </c>
      <c r="DA144" s="251">
        <f>IF(Table1[[#This Row],[State]]="UT",9000,0)</f>
        <v>0</v>
      </c>
      <c r="DB144" s="250">
        <f>Table1[[#This Row],[WITTot]]/3</f>
        <v>0</v>
      </c>
      <c r="DC144" s="250">
        <f>Table1[[#This Row],[WITTot]]/3</f>
        <v>0</v>
      </c>
      <c r="DD144" s="250">
        <f>Table1[[#This Row],[WITTot]]/3</f>
        <v>0</v>
      </c>
      <c r="DE144" s="251">
        <f>IF(Table1[[#This Row],[Gender]]="Female",3000,0)</f>
        <v>0</v>
      </c>
      <c r="DF144" s="250">
        <f>Table1[[#This Row],[SerTot]]/3</f>
        <v>0</v>
      </c>
      <c r="DG144" s="250">
        <f>Table1[[#This Row],[SerTot]]/3</f>
        <v>0</v>
      </c>
      <c r="DH144" s="250">
        <f>Table1[[#This Row],[SerTot]]/3</f>
        <v>0</v>
      </c>
      <c r="DI144" s="252"/>
      <c r="DJ144" s="250"/>
      <c r="DK144" s="250"/>
      <c r="DL144" s="250"/>
      <c r="DM144" s="252"/>
      <c r="DN144" s="250">
        <f>Table1[[#This Row],[MatTot]]/3</f>
        <v>0</v>
      </c>
      <c r="DO144" s="250">
        <f>Table1[[#This Row],[MatTot]]/3</f>
        <v>0</v>
      </c>
      <c r="DP144" s="250">
        <f>Table1[[#This Row],[MatTot]]/3</f>
        <v>0</v>
      </c>
      <c r="DQ144" s="252"/>
      <c r="DR144" s="250">
        <f>Table1[[#This Row],[OutTot]]/3</f>
        <v>0</v>
      </c>
      <c r="DS144" s="250">
        <f>Table1[[#This Row],[OutTot]]/3</f>
        <v>0</v>
      </c>
      <c r="DT144" s="250">
        <f>Table1[[#This Row],[OutTot]]/3</f>
        <v>0</v>
      </c>
      <c r="DU144" s="252"/>
      <c r="DV144" s="250"/>
      <c r="DW144" s="250"/>
      <c r="DX144" s="250"/>
      <c r="DY144" s="252">
        <f>SUM(Table1[[#This Row],[VAQ1]:[VAQ3]])</f>
        <v>0</v>
      </c>
      <c r="DZ144" s="250"/>
      <c r="EA144" s="250"/>
      <c r="EB144" s="250"/>
      <c r="EC144" s="270">
        <f>SUM(Table1[[#This Row],[OthGrantQ1]:[OthGrantQ3]])</f>
        <v>0</v>
      </c>
      <c r="ED144" s="263">
        <f>Table1[[#This Row],[SEOGTot]]+Table1[[#This Row],[PellTot]]+Table1[[#This Row],[AccessTot]]+Table1[[#This Row],[AchiTot]]+Table1[[#This Row],[UTTot]]+Table1[[#This Row],[WITTot]]+Table1[[#This Row],[SerTot]]+Table1[[#This Row],[TranTot]]+Table1[[#This Row],[MatTot]]+Table1[[#This Row],[OutTot]]+Table1[[#This Row],[VATot]]+Table1[[#This Row],[OthGrantTot]]</f>
        <v>5100</v>
      </c>
      <c r="EE144" s="226">
        <v>0</v>
      </c>
      <c r="EF144" s="227">
        <v>0</v>
      </c>
      <c r="EG144" s="227">
        <v>0</v>
      </c>
      <c r="EH144" s="228">
        <f>SUM(Table1[[#This Row],[CashQ1]]:Table1[[#This Row],[CashQ3]])</f>
        <v>0</v>
      </c>
      <c r="EI144" s="229">
        <f>ROUND((Table1[[#This Row],[SubTot]]/3)/1.01059,0)</f>
        <v>1154</v>
      </c>
      <c r="EJ144" s="230">
        <f>ROUND((Table1[[#This Row],[SubTot]]/3)/1.01059,0)</f>
        <v>1154</v>
      </c>
      <c r="EK144" s="230">
        <f>ROUNDUP((Table1[[#This Row],[SubTot]]/3)/1.01059,0)</f>
        <v>1155</v>
      </c>
      <c r="EL144" s="231">
        <v>3500</v>
      </c>
      <c r="EM144" s="240">
        <f>Table1[[#This Row],[SubTot]]*0.01059</f>
        <v>37.065000000000005</v>
      </c>
      <c r="EN144" s="230">
        <f>ROUND((Table1[[#This Row],[UnsubTot]]/3)/1.01062,0)</f>
        <v>660</v>
      </c>
      <c r="EO144" s="230">
        <f>ROUND((Table1[[#This Row],[UnsubTot]]/3)/1.01062,0)</f>
        <v>660</v>
      </c>
      <c r="EP144" s="230">
        <f>ROUNDDOWN((Table1[[#This Row],[UnsubTot]]/3)/1.01062,0)</f>
        <v>659</v>
      </c>
      <c r="EQ144" s="231">
        <f>IF(Table1[D/I]="I",6000,2000)</f>
        <v>2000</v>
      </c>
      <c r="ER144" s="233">
        <f>Table1[[#This Row],[UnsubTot]]*0.01059</f>
        <v>21.18</v>
      </c>
      <c r="ES144" s="230">
        <f>ROUND((Table1[[#This Row],[PLUSTot]]/3)/1.04236,0)</f>
        <v>0</v>
      </c>
      <c r="ET144" s="230">
        <f>ROUND((Table1[[#This Row],[PLUSTot]]/3)/1.04236,0)</f>
        <v>0</v>
      </c>
      <c r="EU144" s="230">
        <f>ROUND((Table1[[#This Row],[PLUSTot]]/3)/1.04236,0)</f>
        <v>0</v>
      </c>
      <c r="EV144" s="231">
        <v>0</v>
      </c>
      <c r="EW144" s="239">
        <f>Table1[[#This Row],[PLUSTot]]*0.04248</f>
        <v>0</v>
      </c>
      <c r="EX144" s="237"/>
      <c r="EY144" s="237"/>
      <c r="EZ144" s="237"/>
      <c r="FA144" s="232">
        <f>SUM(Table1[[#This Row],[PrivQ1]:[PrivQ3]])</f>
        <v>0</v>
      </c>
      <c r="FB144" s="237"/>
      <c r="FC144" s="237"/>
      <c r="FD144" s="237"/>
      <c r="FE144" s="232">
        <f>SUM(Table1[[#This Row],[TOQ1]:[TOQ3]])</f>
        <v>0</v>
      </c>
      <c r="FF144" s="237"/>
      <c r="FG144" s="237"/>
      <c r="FH144" s="237"/>
      <c r="FI144" s="232">
        <f>SUM(Table1[[#This Row],[OFundQ1]:[OFundQ3]])</f>
        <v>0</v>
      </c>
      <c r="FJ144" s="239">
        <f>(Table1[[#This Row],[SubTot]]-Table1[[#This Row],[SubFee]])+(Table1[[#This Row],[UnsubTot]]-Table1[[#This Row],[UnsubFee]])+(Table1[[#This Row],[PLUSTot]]-Table1[[#This Row],[PLUSFee]])+Table1[[#This Row],[PrivTot]]+Table1[[#This Row],[TOTot]]+Table1[[#This Row],[OFundTot]]</f>
        <v>5441.7550000000001</v>
      </c>
      <c r="FK144" s="125">
        <f>Table1[[#This Row],[CostTot]]-Table1[[#This Row],[GiftTot]]</f>
        <v>34415</v>
      </c>
      <c r="FL144" s="130">
        <f>Table1[[#This Row],[NetNeed]]/(1-0.04248)</f>
        <v>30258.631673489846</v>
      </c>
      <c r="FM144" s="131">
        <f>Table1[[#This Row],[NetCost]]-Table1[[#This Row],[CashTot]]-(Table1[[#This Row],[SubTot]]-Table1[[#This Row],[SubFee]])-(Table1[[#This Row],[UnsubTot]]-Table1[[#This Row],[UnsubFee]])-(Table1[[#This Row],[PLUSTot]]-Table1[[#This Row],[PLUSFee]])-Table1[[#This Row],[PrivTot]]-Table1[[#This Row],[TOTot]]-Table1[[#This Row],[OFundTot]]</f>
        <v>28973.244999999999</v>
      </c>
      <c r="FN144" s="217"/>
      <c r="FO144" s="162"/>
      <c r="FP144" s="162"/>
    </row>
    <row r="145" spans="1:172" ht="15" x14ac:dyDescent="0.25">
      <c r="A145" s="287">
        <v>197248</v>
      </c>
      <c r="B145" s="180" t="str">
        <f>VLOOKUP(Table1[[#This Row],[SyStudentId]],SSR!$A$2:$CC$4982,4,FALSE)</f>
        <v>Smith</v>
      </c>
      <c r="C145" s="180" t="str">
        <f>VLOOKUP(Table1[[#This Row],[SyStudentId]],SSR!$A$2:$CC$4982,5,FALSE)</f>
        <v>David</v>
      </c>
      <c r="D145" s="180" t="str">
        <f>VLOOKUP(Table1[[#This Row],[SyStudentId]],SSR!$A$2:$CC$4982,6,FALSE)</f>
        <v>Smith, David</v>
      </c>
      <c r="E145" s="113" t="str">
        <f>CONCATENATE(Table1[[#This Row],[FirstName]]," ",Table1[[#This Row],[LastName]])</f>
        <v>David Smith</v>
      </c>
      <c r="F145" s="199">
        <v>1</v>
      </c>
      <c r="G145" s="184"/>
      <c r="H145" s="184"/>
      <c r="I145" s="184">
        <v>43801</v>
      </c>
      <c r="J145" s="200"/>
      <c r="K145" s="201"/>
      <c r="L145" s="199" t="str">
        <f>IFERROR(VLOOKUP(Table1[[#This Row],[SyStudentId]],ISIR!$A$2:$X$4999,11,FALSE),"")</f>
        <v>D</v>
      </c>
      <c r="M145" s="180" t="str">
        <f>VLOOKUP(Table1[[#This Row],[SyStudentId]],SSR!$A$2:$CC$4982,7,FALSE)</f>
        <v>dsmith20@bfhsla.org</v>
      </c>
      <c r="N145" s="180" t="str">
        <f>VLOOKUP(Table1[[#This Row],[SyStudentId]],SSR!$A$2:$CC$4982,8,FALSE)</f>
        <v>7563 Briarheath Drive</v>
      </c>
      <c r="O145" s="180" t="str">
        <f>VLOOKUP(Table1[[#This Row],[SyStudentId]],SSR!$A$2:$CC$4982,9,FALSE)</f>
        <v>New Orleans</v>
      </c>
      <c r="P145" s="302" t="str">
        <f>VLOOKUP(Table1[[#This Row],[SyStudentId]],SSR!$A$2:$CC$4982,10,FALSE)</f>
        <v>LA</v>
      </c>
      <c r="Q145" s="202" t="str">
        <f>VLOOKUP(Table1[[#This Row],[SyStudentId]],SSR!$A$2:$CC$4982,11,FALSE)</f>
        <v xml:space="preserve">70128     </v>
      </c>
      <c r="R145" s="203">
        <f>VLOOKUP(Table1[[#This Row],[SyStudentId]],SSR!$A$2:$CC$4982,15,FALSE)</f>
        <v>3.2059000000000002</v>
      </c>
      <c r="S145" s="204">
        <f>VLOOKUP(Table1[[#This Row],[SyStudentId]],SSR!$A$2:$CC$4982,22,FALSE)</f>
        <v>44109</v>
      </c>
      <c r="T145" s="317" t="str">
        <f>VLOOKUP(Table1[[#This Row],[SyStudentId]],SSR!$A$2:$CC$4982,24,FALSE)</f>
        <v>JT</v>
      </c>
      <c r="U145" s="180" t="str">
        <f>IF(VLOOKUP(Table1[[#This Row],[SyStudentId]],SSR!$A$2:$CC$4982,26,FALSE)=0,"Not Selected",VLOOKUP(Table1[[#This Row],[SyStudentId]],SSR!$A$2:$CC$4982,26,FALSE))</f>
        <v>Male</v>
      </c>
      <c r="V145" s="180" t="str">
        <f>VLOOKUP(Table1[[#This Row],[SyStudentId]],SSR!$A$2:$CC$4982,27,FALSE)</f>
        <v xml:space="preserve">HS2020  </v>
      </c>
      <c r="W145" s="180" t="str">
        <f>VLOOKUP(LEFT(Table1[[#This Row],[LastName]],1),Alpha!$A$1:$B$26,2,FALSE)</f>
        <v>Maureen Ranks</v>
      </c>
      <c r="X145" s="214" t="str">
        <f>VLOOKUP(Table1[[#This Row],[FAA]],Alpha!$B$1:$D$26,2,FALSE)</f>
        <v>mranks@neumont.edu</v>
      </c>
      <c r="Y145" s="180">
        <f>VLOOKUP(Table1[[#This Row],[FAA]],Alpha!$B$1:$D$26,3,FALSE)</f>
        <v>8883022894</v>
      </c>
      <c r="Z145" s="180" t="str">
        <f>VLOOKUP(Table1[[#This Row],[SyStudentId]],SSR!$A$2:$CC$4982,30,FALSE)</f>
        <v>16-Accepted</v>
      </c>
      <c r="AA145" s="180" t="str">
        <f>IF(VLOOKUP(Table1[[#This Row],[SyStudentId]],SSR!$A$2:$CC$4982,36,FALSE)="Bachelor of Science","BS Computer Science","Check Program")</f>
        <v>BS Computer Science</v>
      </c>
      <c r="AB145" s="180" t="str">
        <f>VLOOKUP(Table1[[#This Row],[SyStudentId]],SSR!$A$2:$CC$4982,37,FALSE)</f>
        <v xml:space="preserve">25      </v>
      </c>
      <c r="AC145" s="180">
        <f>VLOOKUP(Table1[[#This Row],[SyStudentId]],SSR!$A$2:$CC$4982,42,FALSE)</f>
        <v>0</v>
      </c>
      <c r="AD145" s="180" t="str">
        <f>VLOOKUP(Table1[[#This Row],[SyStudentId]],SSR!$A$2:$CC$4982,46,FALSE)</f>
        <v>108</v>
      </c>
      <c r="AE145" s="180" t="str">
        <f>VLOOKUP(Table1[[#This Row],[SyStudentId]],SSR!$A$2:$CC$4982,65,FALSE)</f>
        <v>III</v>
      </c>
      <c r="AF145" s="206">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145" s="180" t="str">
        <f>VLOOKUP(Table1[[#This Row],[SyStudentId]],SSR!$A$2:$CC$4982,66,FALSE)</f>
        <v>July-October</v>
      </c>
      <c r="AH145" s="180" t="str">
        <f>IFERROR(VLOOKUP(Table1[[#This Row],[SyStudentId]],ISIR!$A$2:$X$1999,7,FALSE),"")</f>
        <v>018383</v>
      </c>
      <c r="AI145" s="207">
        <f>IF(Table1[[#This Row],[EFCRaw]]="","",IF(Table1[[#This Row],[EFCRaw]]="No EFC","No EFC",_xlfn.NUMBERVALUE(Table1[[#This Row],[EFCRaw]])))</f>
        <v>18383</v>
      </c>
      <c r="AJ145" s="204">
        <f>IFERROR(VLOOKUP(Table1[[#This Row],[SyStudentId]],ISIR!$A$2:$X$4999,19,FALSE),"")</f>
        <v>43776</v>
      </c>
      <c r="AK145" s="180" t="str">
        <f>IFERROR(VLOOKUP(Table1[[#This Row],[SyStudentId]],ISIR!$A$2:$X$4999,8,FALSE),"")</f>
        <v>N</v>
      </c>
      <c r="AL145" s="208" t="str">
        <f>IF(Table1[[#This Row],[VerReq]]="N","n/a","")</f>
        <v>n/a</v>
      </c>
      <c r="AM145" s="193"/>
      <c r="AN145" s="193"/>
      <c r="AO145" s="193">
        <v>43797</v>
      </c>
      <c r="AP145" s="193"/>
      <c r="AQ145" s="193">
        <v>43797</v>
      </c>
      <c r="AR145" s="193"/>
      <c r="AS145" s="193"/>
      <c r="AT145" s="193"/>
      <c r="AU145" s="193"/>
      <c r="AV145" s="193"/>
      <c r="AW145" s="193"/>
      <c r="AX145" s="193"/>
      <c r="AY145" s="193"/>
      <c r="AZ145" s="193"/>
      <c r="BA145" s="193"/>
      <c r="BB145" s="193"/>
      <c r="BC145" s="272"/>
      <c r="BD145" s="140" t="str">
        <f>IF(Table1[[#This Row],[VerReq]]="N","x","")</f>
        <v>x</v>
      </c>
      <c r="BE145" s="140" t="str">
        <f>IF(Table1[[#This Row],[VerReq]]="N","x","")</f>
        <v>x</v>
      </c>
      <c r="BF145" s="140" t="str">
        <f>IF(Table1[[#This Row],[VerReq]]="N","x","")</f>
        <v>x</v>
      </c>
      <c r="BG145" s="140" t="str">
        <f>IF(Table1[[#This Row],[VerReq]]="N","x","")</f>
        <v>x</v>
      </c>
      <c r="BH145" s="140" t="str">
        <f>IF(Table1[[#This Row],[VerReq]]="N","x","")</f>
        <v>x</v>
      </c>
      <c r="BI145" s="140" t="str">
        <f>IF(Table1[[#This Row],[VerReq]]="N","x","")</f>
        <v>x</v>
      </c>
      <c r="BJ145" s="209">
        <f>1-((COUNTBLANK(Table1[[#This Row],[ALESent]:[TaxTran]]))/(COUNT(Table1[[#This Row],[ALESent]:[TaxTran]])+COUNTBLANK(Table1[[#This Row],[ALESent]:[TaxTran]])))</f>
        <v>0.11764705882352944</v>
      </c>
      <c r="BK145" s="274">
        <f>IF(VLOOKUP(Table1[[#This Row],[SyStudentId]],SSR!$A$2:$CC$4982,22,FALSE)=44109,44109,"Check Program")</f>
        <v>44109</v>
      </c>
      <c r="BL145" s="210">
        <f>IF(Table1[[#This Row],[AYStart]]=44109,44356,"Check Program")</f>
        <v>44356</v>
      </c>
      <c r="BM145" s="219">
        <v>8505</v>
      </c>
      <c r="BN145" s="219">
        <v>8505</v>
      </c>
      <c r="BO145" s="219">
        <v>8505</v>
      </c>
      <c r="BP145" s="220">
        <f t="shared" si="6"/>
        <v>25515</v>
      </c>
      <c r="BQ145" s="221">
        <v>3300</v>
      </c>
      <c r="BR145" s="219">
        <v>400</v>
      </c>
      <c r="BS145" s="219">
        <v>400</v>
      </c>
      <c r="BT145" s="225">
        <f t="shared" si="7"/>
        <v>4100</v>
      </c>
      <c r="BU145" s="219">
        <v>2100</v>
      </c>
      <c r="BV145" s="219">
        <v>2100</v>
      </c>
      <c r="BW145" s="219">
        <v>2100</v>
      </c>
      <c r="BX145" s="222">
        <f t="shared" si="8"/>
        <v>6300</v>
      </c>
      <c r="BY145" s="275">
        <v>1200</v>
      </c>
      <c r="BZ145" s="275">
        <v>1200</v>
      </c>
      <c r="CA145" s="275">
        <v>1200</v>
      </c>
      <c r="CB145" s="222">
        <f>SUM(Table1[[#This Row],[LEQ1]:[LEQ3]])</f>
        <v>3600</v>
      </c>
      <c r="CC145" s="276">
        <v>0</v>
      </c>
      <c r="CD145" s="276">
        <v>0</v>
      </c>
      <c r="CE145" s="276">
        <v>0</v>
      </c>
      <c r="CF145" s="222">
        <f>SUM(Table1[[#This Row],[OthCostQ1]:[OthCostQ3]])</f>
        <v>0</v>
      </c>
      <c r="CG145" s="225">
        <f>(Table1[[#This Row],[T&amp;FTot]]+Table1[[#This Row],[B&amp;STot]]+Table1[[#This Row],[HousTot]]+Table1[[#This Row],[LETot]]+Table1[[#This Row],[OthCostTot]])</f>
        <v>39515</v>
      </c>
      <c r="CH145" s="259">
        <v>0</v>
      </c>
      <c r="CI145" s="259">
        <v>0</v>
      </c>
      <c r="CJ145" s="259">
        <v>0</v>
      </c>
      <c r="CK145" s="260">
        <f>SUM(Table1[[#This Row],[SEOGQ1]:[SEOGQ3]])</f>
        <v>0</v>
      </c>
      <c r="CL145" s="259">
        <f>IFERROR(ROUNDUP(Table1[[#This Row],[PellTot]]/3,0),0)</f>
        <v>0</v>
      </c>
      <c r="CM145" s="259">
        <f>IFERROR(ROUND(Table1[[#This Row],[PellTot]]/3,0),0)</f>
        <v>0</v>
      </c>
      <c r="CN145" s="259">
        <f>IFERROR(ROUNDDOWN(Table1[[#This Row],[PellTot]]/3,0),0)</f>
        <v>0</v>
      </c>
      <c r="CO145" s="260">
        <f>IFERROR(LOOKUP(Table1[EFC],Pell_Table[#Data],Pell_Table[Pell Amt]),0)</f>
        <v>0</v>
      </c>
      <c r="CP145" s="259">
        <f>Table1[[#This Row],[AccessTot]]/3</f>
        <v>0</v>
      </c>
      <c r="CQ145" s="259">
        <f>Table1[[#This Row],[AccessTot]]/3</f>
        <v>0</v>
      </c>
      <c r="CR145" s="259">
        <f>Table1[[#This Row],[AccessTot]]/3</f>
        <v>0</v>
      </c>
      <c r="CS145" s="260">
        <f>IF(Table1[[#This Row],[PellTot]]&gt;0,1500,0)</f>
        <v>0</v>
      </c>
      <c r="CT145" s="259">
        <f>Table1[[#This Row],[AchiTot]]/3</f>
        <v>1300</v>
      </c>
      <c r="CU145" s="259">
        <f>Table1[[#This Row],[AchiTot]]/3</f>
        <v>1300</v>
      </c>
      <c r="CV145" s="259">
        <f>Table1[[#This Row],[AchiTot]]/3</f>
        <v>1300</v>
      </c>
      <c r="CW145" s="261">
        <f>IF(Table1[[#This Row],[Rank]]="","",IF(Table1[[#This Row],[Rank]]=1,5100,IF(Table1[[#This Row],[Rank]]=2,4500,IF(Table1[[#This Row],[Rank]]=3,3900,IF(Table1[[#This Row],[Rank]]=4,3750,IF(Table1[[#This Row],[Rank]]=5,3000,IF(Table1[[#This Row],[Rank]]=6,2250,0)))))))</f>
        <v>3900</v>
      </c>
      <c r="CX145" s="259">
        <f>Table1[[#This Row],[UTTot]]/3</f>
        <v>0</v>
      </c>
      <c r="CY145" s="259">
        <f>Table1[[#This Row],[UTTot]]/3</f>
        <v>0</v>
      </c>
      <c r="CZ145" s="259">
        <f>Table1[[#This Row],[UTTot]]/3</f>
        <v>0</v>
      </c>
      <c r="DA145" s="260">
        <f>IF(Table1[[#This Row],[State]]="UT",9000,0)</f>
        <v>0</v>
      </c>
      <c r="DB145" s="259">
        <f>Table1[[#This Row],[WITTot]]/3</f>
        <v>0</v>
      </c>
      <c r="DC145" s="259">
        <f>Table1[[#This Row],[WITTot]]/3</f>
        <v>0</v>
      </c>
      <c r="DD145" s="259">
        <f>Table1[[#This Row],[WITTot]]/3</f>
        <v>0</v>
      </c>
      <c r="DE145" s="260">
        <f>IF(Table1[[#This Row],[Gender]]="Female",3000,0)</f>
        <v>0</v>
      </c>
      <c r="DF145" s="259">
        <f>Table1[[#This Row],[SerTot]]/3</f>
        <v>0</v>
      </c>
      <c r="DG145" s="259">
        <f>Table1[[#This Row],[SerTot]]/3</f>
        <v>0</v>
      </c>
      <c r="DH145" s="259">
        <f>Table1[[#This Row],[SerTot]]/3</f>
        <v>0</v>
      </c>
      <c r="DI145" s="261">
        <v>0</v>
      </c>
      <c r="DJ145" s="259">
        <f>IFERROR(ROUNDUP(Table1[[#This Row],[TranTot]]/3,0),0)</f>
        <v>0</v>
      </c>
      <c r="DK145" s="259">
        <f>IFERROR(ROUND(Table1[[#This Row],[TranTot]]/3,0),0)</f>
        <v>0</v>
      </c>
      <c r="DL145" s="259">
        <f>IFERROR(ROUNDDOWN(Table1[[#This Row],[TranTot]]/3,0),0)</f>
        <v>0</v>
      </c>
      <c r="DM145" s="261">
        <v>0</v>
      </c>
      <c r="DN145" s="259">
        <f>Table1[[#This Row],[MatTot]]/3</f>
        <v>0</v>
      </c>
      <c r="DO145" s="259">
        <f>Table1[[#This Row],[MatTot]]/3</f>
        <v>0</v>
      </c>
      <c r="DP145" s="259">
        <f>Table1[[#This Row],[MatTot]]/3</f>
        <v>0</v>
      </c>
      <c r="DQ145" s="261">
        <v>0</v>
      </c>
      <c r="DR145" s="259">
        <f>Table1[[#This Row],[OutTot]]/3</f>
        <v>0</v>
      </c>
      <c r="DS145" s="259">
        <f>Table1[[#This Row],[OutTot]]/3</f>
        <v>0</v>
      </c>
      <c r="DT145" s="259">
        <f>Table1[[#This Row],[OutTot]]/3</f>
        <v>0</v>
      </c>
      <c r="DU145" s="261">
        <v>0</v>
      </c>
      <c r="DV145" s="259">
        <v>0</v>
      </c>
      <c r="DW145" s="259">
        <v>0</v>
      </c>
      <c r="DX145" s="259">
        <v>0</v>
      </c>
      <c r="DY145" s="261">
        <f>SUM(Table1[[#This Row],[VAQ1]:[VAQ3]])</f>
        <v>0</v>
      </c>
      <c r="DZ145" s="259">
        <v>0</v>
      </c>
      <c r="EA145" s="259">
        <v>0</v>
      </c>
      <c r="EB145" s="259">
        <v>0</v>
      </c>
      <c r="EC145" s="280">
        <f>SUM(Table1[[#This Row],[OthGrantQ1]:[OthGrantQ3]])</f>
        <v>0</v>
      </c>
      <c r="ED145" s="266">
        <f>Table1[[#This Row],[SEOGTot]]+Table1[[#This Row],[PellTot]]+Table1[[#This Row],[AccessTot]]+Table1[[#This Row],[AchiTot]]+Table1[[#This Row],[UTTot]]+Table1[[#This Row],[WITTot]]+Table1[[#This Row],[SerTot]]+Table1[[#This Row],[TranTot]]+Table1[[#This Row],[MatTot]]+Table1[[#This Row],[OutTot]]+Table1[[#This Row],[VATot]]+Table1[[#This Row],[OthGrantTot]]</f>
        <v>3900</v>
      </c>
      <c r="EE145" s="226">
        <v>0</v>
      </c>
      <c r="EF145" s="227">
        <v>0</v>
      </c>
      <c r="EG145" s="227">
        <v>0</v>
      </c>
      <c r="EH145" s="228">
        <f>SUM(Table1[[#This Row],[CashQ1]]:Table1[[#This Row],[CashQ3]])</f>
        <v>0</v>
      </c>
      <c r="EI145" s="229">
        <f>ROUND((Table1[[#This Row],[SubTot]]/3)/1.01059,0)</f>
        <v>1154</v>
      </c>
      <c r="EJ145" s="230">
        <f>ROUND((Table1[[#This Row],[SubTot]]/3)/1.01059,0)</f>
        <v>1154</v>
      </c>
      <c r="EK145" s="230">
        <f>ROUNDUP((Table1[[#This Row],[SubTot]]/3)/1.01059,0)</f>
        <v>1155</v>
      </c>
      <c r="EL145" s="231">
        <v>3500</v>
      </c>
      <c r="EM145" s="245">
        <f>Table1[[#This Row],[SubTot]]*0.01059</f>
        <v>37.065000000000005</v>
      </c>
      <c r="EN145" s="230">
        <f>ROUND((Table1[[#This Row],[UnsubTot]]/3)/1.01062,0)</f>
        <v>660</v>
      </c>
      <c r="EO145" s="230">
        <f>ROUND((Table1[[#This Row],[UnsubTot]]/3)/1.01062,0)</f>
        <v>660</v>
      </c>
      <c r="EP145" s="230">
        <f>ROUNDDOWN((Table1[[#This Row],[UnsubTot]]/3)/1.01062,0)</f>
        <v>659</v>
      </c>
      <c r="EQ145" s="231">
        <f>IF(Table1[D/I]="I",6000,2000)</f>
        <v>2000</v>
      </c>
      <c r="ER145" s="233">
        <f>Table1[[#This Row],[UnsubTot]]*0.01059</f>
        <v>21.18</v>
      </c>
      <c r="ES145" s="230">
        <f>ROUND((Table1[[#This Row],[PLUSTot]]/3)/1.04236,0)</f>
        <v>0</v>
      </c>
      <c r="ET145" s="230">
        <f>ROUND((Table1[[#This Row],[PLUSTot]]/3)/1.04236,0)</f>
        <v>0</v>
      </c>
      <c r="EU145" s="230">
        <f>ROUND((Table1[[#This Row],[PLUSTot]]/3)/1.04236,0)</f>
        <v>0</v>
      </c>
      <c r="EV145" s="231">
        <v>0</v>
      </c>
      <c r="EW145" s="246">
        <f>Table1[[#This Row],[PLUSTot]]*0.04236</f>
        <v>0</v>
      </c>
      <c r="EX145" s="247"/>
      <c r="EY145" s="247"/>
      <c r="EZ145" s="247"/>
      <c r="FA145" s="248">
        <f>SUM(Table1[[#This Row],[PrivQ1]:[PrivQ3]])</f>
        <v>0</v>
      </c>
      <c r="FB145" s="247"/>
      <c r="FC145" s="247"/>
      <c r="FD145" s="247"/>
      <c r="FE145" s="248">
        <f>SUM(Table1[[#This Row],[TOQ1]:[TOQ3]])</f>
        <v>0</v>
      </c>
      <c r="FF145" s="247"/>
      <c r="FG145" s="247"/>
      <c r="FH145" s="247"/>
      <c r="FI145" s="248">
        <f>SUM(Table1[[#This Row],[OFundQ1]:[OFundQ3]])</f>
        <v>0</v>
      </c>
      <c r="FJ145" s="246">
        <f>(Table1[[#This Row],[SubTot]]-Table1[[#This Row],[SubFee]])+(Table1[[#This Row],[UnsubTot]]-Table1[[#This Row],[UnsubFee]])+(Table1[[#This Row],[PLUSTot]]-Table1[[#This Row],[PLUSFee]])+Table1[[#This Row],[PrivTot]]+Table1[[#This Row],[TOTot]]+Table1[[#This Row],[OFundTot]]</f>
        <v>5441.7550000000001</v>
      </c>
      <c r="FK145" s="211">
        <f>Table1[[#This Row],[CostTot]]-Table1[[#This Row],[GiftTot]]</f>
        <v>35615</v>
      </c>
      <c r="FL145" s="212">
        <f>Table1[[#This Row],[NetNeed]]/(1-0.04236)</f>
        <v>31507.920512927612</v>
      </c>
      <c r="FM145" s="213">
        <f>Table1[[#This Row],[NetCost]]-Table1[[#This Row],[CashTot]]-(Table1[[#This Row],[SubTot]]-Table1[[#This Row],[SubFee]])-(Table1[[#This Row],[UnsubTot]]-Table1[[#This Row],[UnsubFee]])-(Table1[[#This Row],[PLUSTot]]-Table1[[#This Row],[PLUSFee]])-Table1[[#This Row],[PrivTot]]-Table1[[#This Row],[TOTot]]-Table1[[#This Row],[OFundTot]]</f>
        <v>30173.244999999999</v>
      </c>
      <c r="FN145" s="217"/>
      <c r="FO145" s="162"/>
      <c r="FP145" s="162"/>
    </row>
    <row r="146" spans="1:172" ht="15" x14ac:dyDescent="0.25">
      <c r="A146" s="287">
        <v>191641</v>
      </c>
      <c r="B146" s="160" t="str">
        <f>VLOOKUP(Table1[[#This Row],[SyStudentId]],SSR!$A$2:$CC$4982,4,FALSE)</f>
        <v>Smith</v>
      </c>
      <c r="C146" s="160" t="str">
        <f>VLOOKUP(Table1[[#This Row],[SyStudentId]],SSR!$A$2:$CC$4982,5,FALSE)</f>
        <v>Levi</v>
      </c>
      <c r="D146" s="160" t="str">
        <f>VLOOKUP(Table1[[#This Row],[SyStudentId]],SSR!$A$2:$CC$4982,6,FALSE)</f>
        <v>Smith, Levi</v>
      </c>
      <c r="E146" s="113" t="str">
        <f>CONCATENATE(Table1[[#This Row],[FirstName]]," ",Table1[[#This Row],[LastName]])</f>
        <v>Levi Smith</v>
      </c>
      <c r="F146" s="158"/>
      <c r="G146" s="114"/>
      <c r="H146" s="114"/>
      <c r="I146" s="114"/>
      <c r="J146" s="163"/>
      <c r="K146" s="164"/>
      <c r="L146" s="158" t="str">
        <f>IFERROR(VLOOKUP(Table1[[#This Row],[SyStudentId]],ISIR!$A$2:$X$4999,11,FALSE),"")</f>
        <v/>
      </c>
      <c r="M146" s="160" t="str">
        <f>VLOOKUP(Table1[[#This Row],[SyStudentId]],SSR!$A$2:$CC$4982,7,FALSE)</f>
        <v>levimsmith089@gmail.com</v>
      </c>
      <c r="N146" s="160" t="str">
        <f>VLOOKUP(Table1[[#This Row],[SyStudentId]],SSR!$A$2:$CC$4982,8,FALSE)</f>
        <v>425 Purdy Mesa Rd</v>
      </c>
      <c r="O146" s="160" t="str">
        <f>VLOOKUP(Table1[[#This Row],[SyStudentId]],SSR!$A$2:$CC$4982,9,FALSE)</f>
        <v>Whitewater</v>
      </c>
      <c r="P146" s="230" t="str">
        <f>VLOOKUP(Table1[[#This Row],[SyStudentId]],SSR!$A$2:$CC$4982,10,FALSE)</f>
        <v>CO</v>
      </c>
      <c r="Q146" s="165" t="str">
        <f>VLOOKUP(Table1[[#This Row],[SyStudentId]],SSR!$A$2:$CC$4982,11,FALSE)</f>
        <v xml:space="preserve">81527     </v>
      </c>
      <c r="R146" s="166">
        <f>VLOOKUP(Table1[[#This Row],[SyStudentId]],SSR!$A$2:$CC$4982,15,FALSE)</f>
        <v>3.395</v>
      </c>
      <c r="S146" s="167">
        <f>VLOOKUP(Table1[[#This Row],[SyStudentId]],SSR!$A$2:$CC$4982,22,FALSE)</f>
        <v>44109</v>
      </c>
      <c r="T146" s="160" t="str">
        <f>VLOOKUP(Table1[[#This Row],[SyStudentId]],SSR!$A$2:$CC$4982,24,FALSE)</f>
        <v>MN</v>
      </c>
      <c r="U146" s="160" t="str">
        <f>IF(VLOOKUP(Table1[[#This Row],[SyStudentId]],SSR!$A$2:$CC$4982,26,FALSE)=0,"Not Selected",VLOOKUP(Table1[[#This Row],[SyStudentId]],SSR!$A$2:$CC$4982,26,FALSE))</f>
        <v>Male</v>
      </c>
      <c r="V146" s="160" t="str">
        <f>VLOOKUP(Table1[[#This Row],[SyStudentId]],SSR!$A$2:$CC$4982,27,FALSE)</f>
        <v xml:space="preserve">HS2020  </v>
      </c>
      <c r="W146" s="160" t="str">
        <f>VLOOKUP(LEFT(Table1[[#This Row],[LastName]],1),Alpha!$A$1:$B$26,2,FALSE)</f>
        <v>Maureen Ranks</v>
      </c>
      <c r="X146" s="168" t="str">
        <f>VLOOKUP(Table1[[#This Row],[FAA]],Alpha!$B$1:$D$26,2,FALSE)</f>
        <v>mranks@neumont.edu</v>
      </c>
      <c r="Y146" s="160">
        <f>VLOOKUP(Table1[[#This Row],[FAA]],Alpha!$B$1:$D$26,3,FALSE)</f>
        <v>8883022894</v>
      </c>
      <c r="Z146" s="160" t="str">
        <f>VLOOKUP(Table1[[#This Row],[SyStudentId]],SSR!$A$2:$CC$4982,30,FALSE)</f>
        <v>16-Accepted</v>
      </c>
      <c r="AA146" s="160" t="str">
        <f>IF(VLOOKUP(Table1[[#This Row],[SyStudentId]],SSR!$A$2:$CC$4982,36,FALSE)="Bachelor of Science","BS Computer Science","Check Program")</f>
        <v>BS Computer Science</v>
      </c>
      <c r="AB146" s="160">
        <f>VLOOKUP(Table1[[#This Row],[SyStudentId]],SSR!$A$2:$CC$4982,37,FALSE)</f>
        <v>0</v>
      </c>
      <c r="AC146" s="160">
        <f>VLOOKUP(Table1[[#This Row],[SyStudentId]],SSR!$A$2:$CC$4982,42,FALSE)</f>
        <v>0</v>
      </c>
      <c r="AD146" s="160" t="str">
        <f>VLOOKUP(Table1[[#This Row],[SyStudentId]],SSR!$A$2:$CC$4982,46,FALSE)</f>
        <v>0</v>
      </c>
      <c r="AE146" s="160" t="str">
        <f>VLOOKUP(Table1[[#This Row],[SyStudentId]],SSR!$A$2:$CC$4982,65,FALSE)</f>
        <v>V</v>
      </c>
      <c r="AF146"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5</v>
      </c>
      <c r="AG146" s="160" t="str">
        <f>VLOOKUP(Table1[[#This Row],[SyStudentId]],SSR!$A$2:$CC$4982,66,FALSE)</f>
        <v>July-October</v>
      </c>
      <c r="AH146" s="160" t="str">
        <f>IFERROR(VLOOKUP(Table1[[#This Row],[SyStudentId]],ISIR!$A$2:$X$1999,7,FALSE),"")</f>
        <v/>
      </c>
      <c r="AI146" s="170" t="str">
        <f>IF(Table1[[#This Row],[EFCRaw]]="","",IF(Table1[[#This Row],[EFCRaw]]="No EFC","No EFC",_xlfn.NUMBERVALUE(Table1[[#This Row],[EFCRaw]])))</f>
        <v/>
      </c>
      <c r="AJ146" s="167" t="str">
        <f>IFERROR(VLOOKUP(Table1[[#This Row],[SyStudentId]],ISIR!$A$2:$X$4999,19,FALSE),"")</f>
        <v/>
      </c>
      <c r="AK146" s="160" t="str">
        <f>IFERROR(VLOOKUP(Table1[[#This Row],[SyStudentId]],ISIR!$A$2:$X$4999,8,FALSE),"")</f>
        <v/>
      </c>
      <c r="AL146" s="178" t="str">
        <f>IF(Table1[[#This Row],[VerReq]]="N","n/a","")</f>
        <v/>
      </c>
      <c r="AM146" s="122"/>
      <c r="AN146" s="122"/>
      <c r="AO146" s="122"/>
      <c r="AP146" s="122"/>
      <c r="AQ146" s="122"/>
      <c r="AR146" s="122"/>
      <c r="AS146" s="122"/>
      <c r="AT146" s="122"/>
      <c r="AU146" s="122"/>
      <c r="AV146" s="122"/>
      <c r="AW146" s="122"/>
      <c r="AX146" s="122"/>
      <c r="AY146" s="122"/>
      <c r="AZ146" s="122"/>
      <c r="BA146" s="122"/>
      <c r="BB146" s="122"/>
      <c r="BC146" s="148"/>
      <c r="BD146" s="140" t="str">
        <f>IF(Table1[[#This Row],[VerReq]]="N","x","")</f>
        <v/>
      </c>
      <c r="BE146" s="140" t="str">
        <f>IF(Table1[[#This Row],[VerReq]]="N","x","")</f>
        <v/>
      </c>
      <c r="BF146" s="140" t="str">
        <f>IF(Table1[[#This Row],[VerReq]]="N","x","")</f>
        <v/>
      </c>
      <c r="BG146" s="140" t="str">
        <f>IF(Table1[[#This Row],[VerReq]]="N","x","")</f>
        <v/>
      </c>
      <c r="BH146" s="140" t="str">
        <f>IF(Table1[[#This Row],[VerReq]]="N","x","")</f>
        <v/>
      </c>
      <c r="BI146" s="140" t="str">
        <f>IF(Table1[[#This Row],[VerReq]]="N","x","")</f>
        <v/>
      </c>
      <c r="BJ146" s="181">
        <f>1-((COUNTBLANK(Table1[[#This Row],[ALESent]:[TaxTran]]))/(COUNT(Table1[[#This Row],[ALESent]:[TaxTran]])+COUNTBLANK(Table1[[#This Row],[ALESent]:[TaxTran]])))</f>
        <v>0</v>
      </c>
      <c r="BK146" s="216">
        <f>IF(VLOOKUP(Table1[[#This Row],[SyStudentId]],SSR!$A$2:$CC$4982,22,FALSE)=44109,44109,"Check Program")</f>
        <v>44109</v>
      </c>
      <c r="BL146" s="173">
        <f>IF(Table1[[#This Row],[AYStart]]=44109,44356,"Check Program")</f>
        <v>44356</v>
      </c>
      <c r="BM146" s="219">
        <v>8505</v>
      </c>
      <c r="BN146" s="219">
        <v>8505</v>
      </c>
      <c r="BO146" s="219">
        <v>8505</v>
      </c>
      <c r="BP146" s="220">
        <f t="shared" si="6"/>
        <v>25515</v>
      </c>
      <c r="BQ146" s="221">
        <v>3300</v>
      </c>
      <c r="BR146" s="219">
        <v>400</v>
      </c>
      <c r="BS146" s="219">
        <v>400</v>
      </c>
      <c r="BT146" s="222">
        <f t="shared" si="7"/>
        <v>4100</v>
      </c>
      <c r="BU146" s="219">
        <v>2100</v>
      </c>
      <c r="BV146" s="219">
        <v>2100</v>
      </c>
      <c r="BW146" s="219">
        <v>2100</v>
      </c>
      <c r="BX146" s="222">
        <f t="shared" si="8"/>
        <v>6300</v>
      </c>
      <c r="BY146" s="275">
        <v>1200</v>
      </c>
      <c r="BZ146" s="275">
        <v>1200</v>
      </c>
      <c r="CA146" s="275">
        <v>1200</v>
      </c>
      <c r="CB146" s="222">
        <f>SUM(Table1[[#This Row],[LEQ1]:[LEQ3]])</f>
        <v>3600</v>
      </c>
      <c r="CC146" s="276">
        <v>0</v>
      </c>
      <c r="CD146" s="276">
        <v>0</v>
      </c>
      <c r="CE146" s="276">
        <v>0</v>
      </c>
      <c r="CF146" s="222">
        <f>SUM(Table1[[#This Row],[OthCostQ1]:[OthCostQ3]])</f>
        <v>0</v>
      </c>
      <c r="CG146" s="222">
        <f>(Table1[[#This Row],[T&amp;FTot]]+Table1[[#This Row],[B&amp;STot]]+Table1[[#This Row],[HousTot]]+Table1[[#This Row],[LETot]]+Table1[[#This Row],[OthCostTot]])</f>
        <v>39515</v>
      </c>
      <c r="CH146" s="253">
        <v>0</v>
      </c>
      <c r="CI146" s="253">
        <v>0</v>
      </c>
      <c r="CJ146" s="253">
        <v>0</v>
      </c>
      <c r="CK146" s="254">
        <f>SUM(Table1[[#This Row],[SEOGQ1]:[SEOGQ3]])</f>
        <v>0</v>
      </c>
      <c r="CL146" s="253">
        <f>IFERROR(ROUNDUP(Table1[[#This Row],[PellTot]]/3,0),0)</f>
        <v>0</v>
      </c>
      <c r="CM146" s="253">
        <f>IFERROR(ROUND(Table1[[#This Row],[PellTot]]/3,0),0)</f>
        <v>0</v>
      </c>
      <c r="CN146" s="253">
        <f>IFERROR(ROUNDDOWN(Table1[[#This Row],[PellTot]]/3,0),0)</f>
        <v>0</v>
      </c>
      <c r="CO146" s="254">
        <f>IFERROR(LOOKUP(Table1[EFC],Pell_Table[#Data],Pell_Table[Pell Amt]),0)</f>
        <v>0</v>
      </c>
      <c r="CP146" s="253">
        <f>Table1[[#This Row],[AccessTot]]/3</f>
        <v>0</v>
      </c>
      <c r="CQ146" s="253">
        <f>Table1[[#This Row],[AccessTot]]/3</f>
        <v>0</v>
      </c>
      <c r="CR146" s="253">
        <f>Table1[[#This Row],[AccessTot]]/3</f>
        <v>0</v>
      </c>
      <c r="CS146" s="254">
        <f>IF(Table1[[#This Row],[PellTot]]&gt;0,1500,0)</f>
        <v>0</v>
      </c>
      <c r="CT146" s="253">
        <f>Table1[[#This Row],[AchiTot]]/3</f>
        <v>1000</v>
      </c>
      <c r="CU146" s="253">
        <f>Table1[[#This Row],[AchiTot]]/3</f>
        <v>1000</v>
      </c>
      <c r="CV146" s="253">
        <f>Table1[[#This Row],[AchiTot]]/3</f>
        <v>1000</v>
      </c>
      <c r="CW146" s="255">
        <f>IF(Table1[[#This Row],[Rank]]="","",IF(Table1[[#This Row],[Rank]]=1,5100,IF(Table1[[#This Row],[Rank]]=2,4500,IF(Table1[[#This Row],[Rank]]=3,3900,IF(Table1[[#This Row],[Rank]]=4,3750,IF(Table1[[#This Row],[Rank]]=5,3000,IF(Table1[[#This Row],[Rank]]=6,2250,0)))))))</f>
        <v>3000</v>
      </c>
      <c r="CX146" s="253">
        <f>Table1[[#This Row],[UTTot]]/3</f>
        <v>0</v>
      </c>
      <c r="CY146" s="253">
        <f>Table1[[#This Row],[UTTot]]/3</f>
        <v>0</v>
      </c>
      <c r="CZ146" s="253">
        <f>Table1[[#This Row],[UTTot]]/3</f>
        <v>0</v>
      </c>
      <c r="DA146" s="254">
        <f>IF(Table1[[#This Row],[State]]="UT",9000,0)</f>
        <v>0</v>
      </c>
      <c r="DB146" s="253">
        <f>Table1[[#This Row],[WITTot]]/3</f>
        <v>0</v>
      </c>
      <c r="DC146" s="253">
        <f>Table1[[#This Row],[WITTot]]/3</f>
        <v>0</v>
      </c>
      <c r="DD146" s="253">
        <f>Table1[[#This Row],[WITTot]]/3</f>
        <v>0</v>
      </c>
      <c r="DE146" s="254">
        <f>IF(Table1[[#This Row],[Gender]]="Female",3000,0)</f>
        <v>0</v>
      </c>
      <c r="DF146" s="253">
        <f>Table1[[#This Row],[SerTot]]/3</f>
        <v>0</v>
      </c>
      <c r="DG146" s="253">
        <f>Table1[[#This Row],[SerTot]]/3</f>
        <v>0</v>
      </c>
      <c r="DH146" s="253">
        <f>Table1[[#This Row],[SerTot]]/3</f>
        <v>0</v>
      </c>
      <c r="DI146" s="255">
        <v>0</v>
      </c>
      <c r="DJ146" s="253">
        <f>IFERROR(ROUNDUP(Table1[[#This Row],[TranTot]]/3,0),0)</f>
        <v>0</v>
      </c>
      <c r="DK146" s="253">
        <f>IFERROR(ROUND(Table1[[#This Row],[TranTot]]/3,0),0)</f>
        <v>0</v>
      </c>
      <c r="DL146" s="253">
        <f>IFERROR(ROUNDDOWN(Table1[[#This Row],[TranTot]]/3,0),0)</f>
        <v>0</v>
      </c>
      <c r="DM146" s="255">
        <v>0</v>
      </c>
      <c r="DN146" s="253">
        <f>Table1[[#This Row],[MatTot]]/3</f>
        <v>0</v>
      </c>
      <c r="DO146" s="253">
        <f>Table1[[#This Row],[MatTot]]/3</f>
        <v>0</v>
      </c>
      <c r="DP146" s="253">
        <f>Table1[[#This Row],[MatTot]]/3</f>
        <v>0</v>
      </c>
      <c r="DQ146" s="255">
        <v>0</v>
      </c>
      <c r="DR146" s="253">
        <f>Table1[[#This Row],[OutTot]]/3</f>
        <v>0</v>
      </c>
      <c r="DS146" s="253">
        <f>Table1[[#This Row],[OutTot]]/3</f>
        <v>0</v>
      </c>
      <c r="DT146" s="253">
        <f>Table1[[#This Row],[OutTot]]/3</f>
        <v>0</v>
      </c>
      <c r="DU146" s="255">
        <v>0</v>
      </c>
      <c r="DV146" s="259">
        <v>0</v>
      </c>
      <c r="DW146" s="259">
        <v>0</v>
      </c>
      <c r="DX146" s="259">
        <v>0</v>
      </c>
      <c r="DY146" s="261">
        <f>SUM(Table1[[#This Row],[VAQ1]:[VAQ3]])</f>
        <v>0</v>
      </c>
      <c r="DZ146" s="253">
        <v>0</v>
      </c>
      <c r="EA146" s="253">
        <v>0</v>
      </c>
      <c r="EB146" s="253">
        <v>0</v>
      </c>
      <c r="EC146" s="278">
        <f>SUM(Table1[[#This Row],[OthGrantQ1]:[OthGrantQ3]])</f>
        <v>0</v>
      </c>
      <c r="ED146" s="264">
        <f>Table1[[#This Row],[SEOGTot]]+Table1[[#This Row],[PellTot]]+Table1[[#This Row],[AccessTot]]+Table1[[#This Row],[AchiTot]]+Table1[[#This Row],[UTTot]]+Table1[[#This Row],[WITTot]]+Table1[[#This Row],[SerTot]]+Table1[[#This Row],[TranTot]]+Table1[[#This Row],[MatTot]]+Table1[[#This Row],[OutTot]]+Table1[[#This Row],[VATot]]+Table1[[#This Row],[OthGrantTot]]</f>
        <v>3000</v>
      </c>
      <c r="EE146" s="226">
        <v>0</v>
      </c>
      <c r="EF146" s="227">
        <v>0</v>
      </c>
      <c r="EG146" s="227">
        <v>0</v>
      </c>
      <c r="EH146" s="228">
        <f>SUM(Table1[[#This Row],[CashQ1]]:Table1[[#This Row],[CashQ3]])</f>
        <v>0</v>
      </c>
      <c r="EI146" s="229">
        <f>ROUND((Table1[[#This Row],[SubTot]]/3)/1.01059,0)</f>
        <v>1154</v>
      </c>
      <c r="EJ146" s="230">
        <f>ROUND((Table1[[#This Row],[SubTot]]/3)/1.01059,0)</f>
        <v>1154</v>
      </c>
      <c r="EK146" s="230">
        <f>ROUNDUP((Table1[[#This Row],[SubTot]]/3)/1.01059,0)</f>
        <v>1155</v>
      </c>
      <c r="EL146" s="231">
        <v>3500</v>
      </c>
      <c r="EM146" s="233">
        <f>Table1[[#This Row],[SubTot]]*0.01059</f>
        <v>37.065000000000005</v>
      </c>
      <c r="EN146" s="230">
        <f>ROUND((Table1[[#This Row],[UnsubTot]]/3)/1.01062,0)</f>
        <v>660</v>
      </c>
      <c r="EO146" s="230">
        <f>ROUND((Table1[[#This Row],[UnsubTot]]/3)/1.01062,0)</f>
        <v>660</v>
      </c>
      <c r="EP146" s="230">
        <f>ROUNDDOWN((Table1[[#This Row],[UnsubTot]]/3)/1.01062,0)</f>
        <v>659</v>
      </c>
      <c r="EQ146" s="231">
        <f>IF(Table1[D/I]="I",6000,2000)</f>
        <v>2000</v>
      </c>
      <c r="ER146" s="233">
        <f>Table1[[#This Row],[UnsubTot]]*0.01059</f>
        <v>21.18</v>
      </c>
      <c r="ES146" s="230">
        <f>ROUND((Table1[[#This Row],[PLUSTot]]/3)/1.04236,0)</f>
        <v>0</v>
      </c>
      <c r="ET146" s="230">
        <f>ROUND((Table1[[#This Row],[PLUSTot]]/3)/1.04236,0)</f>
        <v>0</v>
      </c>
      <c r="EU146" s="230">
        <f>ROUND((Table1[[#This Row],[PLUSTot]]/3)/1.04236,0)</f>
        <v>0</v>
      </c>
      <c r="EV146" s="231">
        <v>0</v>
      </c>
      <c r="EW146" s="236">
        <f>Table1[[#This Row],[PLUSTot]]*0.04236</f>
        <v>0</v>
      </c>
      <c r="EX146" s="227"/>
      <c r="EY146" s="227"/>
      <c r="EZ146" s="227"/>
      <c r="FA146" s="228">
        <f>SUM(Table1[[#This Row],[PrivQ1]:[PrivQ3]])</f>
        <v>0</v>
      </c>
      <c r="FB146" s="227"/>
      <c r="FC146" s="227"/>
      <c r="FD146" s="227"/>
      <c r="FE146" s="228">
        <f>SUM(Table1[[#This Row],[TOQ1]:[TOQ3]])</f>
        <v>0</v>
      </c>
      <c r="FF146" s="227"/>
      <c r="FG146" s="227"/>
      <c r="FH146" s="227"/>
      <c r="FI146" s="228">
        <f>SUM(Table1[[#This Row],[OFundQ1]:[OFundQ3]])</f>
        <v>0</v>
      </c>
      <c r="FJ146" s="236">
        <f>(Table1[[#This Row],[SubTot]]-Table1[[#This Row],[SubFee]])+(Table1[[#This Row],[UnsubTot]]-Table1[[#This Row],[UnsubFee]])+(Table1[[#This Row],[PLUSTot]]-Table1[[#This Row],[PLUSFee]])+Table1[[#This Row],[PrivTot]]+Table1[[#This Row],[TOTot]]+Table1[[#This Row],[OFundTot]]</f>
        <v>5441.7550000000001</v>
      </c>
      <c r="FK146" s="159">
        <f>Table1[[#This Row],[CostTot]]-Table1[[#This Row],[GiftTot]]</f>
        <v>36515</v>
      </c>
      <c r="FL146" s="174">
        <f>Table1[[#This Row],[NetNeed]]/(1-0.04236)</f>
        <v>32447.730880080198</v>
      </c>
      <c r="FM146" s="176">
        <f>Table1[[#This Row],[NetCost]]-Table1[[#This Row],[CashTot]]-(Table1[[#This Row],[SubTot]]-Table1[[#This Row],[SubFee]])-(Table1[[#This Row],[UnsubTot]]-Table1[[#This Row],[UnsubFee]])-(Table1[[#This Row],[PLUSTot]]-Table1[[#This Row],[PLUSFee]])-Table1[[#This Row],[PrivTot]]-Table1[[#This Row],[TOTot]]-Table1[[#This Row],[OFundTot]]</f>
        <v>31073.245000000003</v>
      </c>
      <c r="FN146" s="217"/>
      <c r="FO146" s="162"/>
      <c r="FP146" s="162"/>
    </row>
    <row r="147" spans="1:172" ht="15" x14ac:dyDescent="0.25">
      <c r="A147" s="287">
        <v>195989</v>
      </c>
      <c r="B147" s="160" t="str">
        <f>VLOOKUP(Table1[[#This Row],[SyStudentId]],SSR!$A$2:$CC$4982,4,FALSE)</f>
        <v>Smith</v>
      </c>
      <c r="C147" s="160" t="str">
        <f>VLOOKUP(Table1[[#This Row],[SyStudentId]],SSR!$A$2:$CC$4982,5,FALSE)</f>
        <v>Sarah</v>
      </c>
      <c r="D147" s="160" t="str">
        <f>VLOOKUP(Table1[[#This Row],[SyStudentId]],SSR!$A$2:$CC$4982,6,FALSE)</f>
        <v>Smith, Sarah</v>
      </c>
      <c r="E147" s="113" t="str">
        <f>CONCATENATE(Table1[[#This Row],[FirstName]]," ",Table1[[#This Row],[LastName]])</f>
        <v>Sarah Smith</v>
      </c>
      <c r="F147" s="158"/>
      <c r="G147" s="114"/>
      <c r="H147" s="114"/>
      <c r="I147" s="114"/>
      <c r="J147" s="163"/>
      <c r="K147" s="164"/>
      <c r="L147" s="158" t="str">
        <f>IFERROR(VLOOKUP(Table1[[#This Row],[SyStudentId]],ISIR!$A$2:$X$4999,11,FALSE),"")</f>
        <v/>
      </c>
      <c r="M147" s="160" t="str">
        <f>VLOOKUP(Table1[[#This Row],[SyStudentId]],SSR!$A$2:$CC$4982,7,FALSE)</f>
        <v>semmas@comcast.net</v>
      </c>
      <c r="N147" s="160" t="str">
        <f>VLOOKUP(Table1[[#This Row],[SyStudentId]],SSR!$A$2:$CC$4982,8,FALSE)</f>
        <v>2256 W 11625 S</v>
      </c>
      <c r="O147" s="160" t="str">
        <f>VLOOKUP(Table1[[#This Row],[SyStudentId]],SSR!$A$2:$CC$4982,9,FALSE)</f>
        <v>South Jordan</v>
      </c>
      <c r="P147" s="160" t="str">
        <f>VLOOKUP(Table1[[#This Row],[SyStudentId]],SSR!$A$2:$CC$4982,10,FALSE)</f>
        <v>UT</v>
      </c>
      <c r="Q147" s="165" t="str">
        <f>VLOOKUP(Table1[[#This Row],[SyStudentId]],SSR!$A$2:$CC$4982,11,FALSE)</f>
        <v xml:space="preserve">84095     </v>
      </c>
      <c r="R147" s="166">
        <f>VLOOKUP(Table1[[#This Row],[SyStudentId]],SSR!$A$2:$CC$4982,15,FALSE)</f>
        <v>3.1469999999999998</v>
      </c>
      <c r="S147" s="167">
        <f>VLOOKUP(Table1[[#This Row],[SyStudentId]],SSR!$A$2:$CC$4982,22,FALSE)</f>
        <v>44109</v>
      </c>
      <c r="T147" s="160" t="str">
        <f>VLOOKUP(Table1[[#This Row],[SyStudentId]],SSR!$A$2:$CC$4982,24,FALSE)</f>
        <v>MR</v>
      </c>
      <c r="U147" s="160" t="str">
        <f>IF(VLOOKUP(Table1[[#This Row],[SyStudentId]],SSR!$A$2:$CC$4982,26,FALSE)=0,"Not Selected",VLOOKUP(Table1[[#This Row],[SyStudentId]],SSR!$A$2:$CC$4982,26,FALSE))</f>
        <v>Female</v>
      </c>
      <c r="V147" s="160" t="str">
        <f>VLOOKUP(Table1[[#This Row],[SyStudentId]],SSR!$A$2:$CC$4982,27,FALSE)</f>
        <v xml:space="preserve">HS2020  </v>
      </c>
      <c r="W147" s="160" t="str">
        <f>VLOOKUP(LEFT(Table1[[#This Row],[LastName]],1),Alpha!$A$1:$B$26,2,FALSE)</f>
        <v>Maureen Ranks</v>
      </c>
      <c r="X147" s="168" t="str">
        <f>VLOOKUP(Table1[[#This Row],[FAA]],Alpha!$B$1:$D$26,2,FALSE)</f>
        <v>mranks@neumont.edu</v>
      </c>
      <c r="Y147" s="160">
        <f>VLOOKUP(Table1[[#This Row],[FAA]],Alpha!$B$1:$D$26,3,FALSE)</f>
        <v>8883022894</v>
      </c>
      <c r="Z147" s="160" t="str">
        <f>VLOOKUP(Table1[[#This Row],[SyStudentId]],SSR!$A$2:$CC$4982,30,FALSE)</f>
        <v>16-Accepted</v>
      </c>
      <c r="AA147" s="160" t="str">
        <f>IF(VLOOKUP(Table1[[#This Row],[SyStudentId]],SSR!$A$2:$CC$4982,36,FALSE)="Bachelor of Science","BS Computer Science","Check Program")</f>
        <v>BS Computer Science</v>
      </c>
      <c r="AB147" s="160" t="str">
        <f>VLOOKUP(Table1[[#This Row],[SyStudentId]],SSR!$A$2:$CC$4982,37,FALSE)</f>
        <v xml:space="preserve">23      </v>
      </c>
      <c r="AC147" s="160">
        <f>VLOOKUP(Table1[[#This Row],[SyStudentId]],SSR!$A$2:$CC$4982,42,FALSE)</f>
        <v>0</v>
      </c>
      <c r="AD147" s="160" t="str">
        <f>VLOOKUP(Table1[[#This Row],[SyStudentId]],SSR!$A$2:$CC$4982,46,FALSE)</f>
        <v>0</v>
      </c>
      <c r="AE147" s="160" t="str">
        <f>VLOOKUP(Table1[[#This Row],[SyStudentId]],SSR!$A$2:$CC$4982,65,FALSE)</f>
        <v>IX</v>
      </c>
      <c r="AF147"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147" s="160" t="str">
        <f>VLOOKUP(Table1[[#This Row],[SyStudentId]],SSR!$A$2:$CC$4982,66,FALSE)</f>
        <v>July-October</v>
      </c>
      <c r="AH147" s="160" t="str">
        <f>IFERROR(VLOOKUP(Table1[[#This Row],[SyStudentId]],ISIR!$A$2:$X$1999,7,FALSE),"")</f>
        <v/>
      </c>
      <c r="AI147" s="170" t="str">
        <f>IF(Table1[[#This Row],[EFCRaw]]="","",IF(Table1[[#This Row],[EFCRaw]]="No EFC","No EFC",_xlfn.NUMBERVALUE(Table1[[#This Row],[EFCRaw]])))</f>
        <v/>
      </c>
      <c r="AJ147" s="167" t="str">
        <f>IFERROR(VLOOKUP(Table1[[#This Row],[SyStudentId]],ISIR!$A$2:$X$4999,19,FALSE),"")</f>
        <v/>
      </c>
      <c r="AK147" s="160" t="str">
        <f>IFERROR(VLOOKUP(Table1[[#This Row],[SyStudentId]],ISIR!$A$2:$X$4999,8,FALSE),"")</f>
        <v/>
      </c>
      <c r="AL147" s="171" t="str">
        <f>IF(Table1[[#This Row],[VerReq]]="N","n/a","")</f>
        <v/>
      </c>
      <c r="AM147" s="122"/>
      <c r="AN147" s="122"/>
      <c r="AO147" s="122"/>
      <c r="AP147" s="122"/>
      <c r="AQ147" s="122"/>
      <c r="AR147" s="122"/>
      <c r="AS147" s="122"/>
      <c r="AT147" s="122"/>
      <c r="AU147" s="122"/>
      <c r="AV147" s="122"/>
      <c r="AW147" s="122"/>
      <c r="AX147" s="122"/>
      <c r="AY147" s="122"/>
      <c r="AZ147" s="122"/>
      <c r="BA147" s="122"/>
      <c r="BB147" s="122"/>
      <c r="BC147" s="148"/>
      <c r="BD147" s="140" t="str">
        <f>IF(Table1[[#This Row],[VerReq]]="N","x","")</f>
        <v/>
      </c>
      <c r="BE147" s="140" t="str">
        <f>IF(Table1[[#This Row],[VerReq]]="N","x","")</f>
        <v/>
      </c>
      <c r="BF147" s="140" t="str">
        <f>IF(Table1[[#This Row],[VerReq]]="N","x","")</f>
        <v/>
      </c>
      <c r="BG147" s="140" t="str">
        <f>IF(Table1[[#This Row],[VerReq]]="N","x","")</f>
        <v/>
      </c>
      <c r="BH147" s="140" t="str">
        <f>IF(Table1[[#This Row],[VerReq]]="N","x","")</f>
        <v/>
      </c>
      <c r="BI147" s="140" t="str">
        <f>IF(Table1[[#This Row],[VerReq]]="N","x","")</f>
        <v/>
      </c>
      <c r="BJ147" s="181">
        <f>1-((COUNTBLANK(Table1[[#This Row],[ALESent]:[TaxTran]]))/(COUNT(Table1[[#This Row],[ALESent]:[TaxTran]])+COUNTBLANK(Table1[[#This Row],[ALESent]:[TaxTran]])))</f>
        <v>0</v>
      </c>
      <c r="BK147" s="216">
        <f>IF(VLOOKUP(Table1[[#This Row],[SyStudentId]],SSR!$A$2:$CC$4982,22,FALSE)=44109,44109,"Check Program")</f>
        <v>44109</v>
      </c>
      <c r="BL147" s="173">
        <f>IF(Table1[[#This Row],[AYStart]]=44109,44356,"Check Program")</f>
        <v>44356</v>
      </c>
      <c r="BM147" s="219">
        <v>8505</v>
      </c>
      <c r="BN147" s="219">
        <v>8505</v>
      </c>
      <c r="BO147" s="219">
        <v>8505</v>
      </c>
      <c r="BP147" s="220">
        <f t="shared" si="6"/>
        <v>25515</v>
      </c>
      <c r="BQ147" s="221">
        <v>3300</v>
      </c>
      <c r="BR147" s="219">
        <v>400</v>
      </c>
      <c r="BS147" s="219">
        <v>400</v>
      </c>
      <c r="BT147" s="222">
        <f t="shared" si="7"/>
        <v>4100</v>
      </c>
      <c r="BU147" s="219">
        <v>2100</v>
      </c>
      <c r="BV147" s="219">
        <v>2100</v>
      </c>
      <c r="BW147" s="219">
        <v>2100</v>
      </c>
      <c r="BX147" s="222">
        <f t="shared" si="8"/>
        <v>6300</v>
      </c>
      <c r="BY147" s="275">
        <v>1200</v>
      </c>
      <c r="BZ147" s="275">
        <v>1200</v>
      </c>
      <c r="CA147" s="275">
        <v>1200</v>
      </c>
      <c r="CB147" s="222">
        <f>SUM(Table1[[#This Row],[LEQ1]:[LEQ3]])</f>
        <v>3600</v>
      </c>
      <c r="CC147" s="276">
        <v>0</v>
      </c>
      <c r="CD147" s="276">
        <v>0</v>
      </c>
      <c r="CE147" s="276">
        <v>0</v>
      </c>
      <c r="CF147" s="222">
        <f>SUM(Table1[[#This Row],[OthCostQ1]:[OthCostQ3]])</f>
        <v>0</v>
      </c>
      <c r="CG147" s="222">
        <f>(Table1[[#This Row],[T&amp;FTot]]+Table1[[#This Row],[B&amp;STot]]+Table1[[#This Row],[HousTot]]+Table1[[#This Row],[LETot]]+Table1[[#This Row],[OthCostTot]])</f>
        <v>39515</v>
      </c>
      <c r="CH147" s="253">
        <v>0</v>
      </c>
      <c r="CI147" s="253">
        <v>0</v>
      </c>
      <c r="CJ147" s="253">
        <v>0</v>
      </c>
      <c r="CK147" s="254">
        <f>SUM(Table1[[#This Row],[SEOGQ1]:[SEOGQ3]])</f>
        <v>0</v>
      </c>
      <c r="CL147" s="253">
        <f>IFERROR(ROUNDUP(Table1[[#This Row],[PellTot]]/3,0),0)</f>
        <v>0</v>
      </c>
      <c r="CM147" s="253">
        <f>IFERROR(ROUND(Table1[[#This Row],[PellTot]]/3,0),0)</f>
        <v>0</v>
      </c>
      <c r="CN147" s="253">
        <f>IFERROR(ROUNDDOWN(Table1[[#This Row],[PellTot]]/3,0),0)</f>
        <v>0</v>
      </c>
      <c r="CO147" s="254">
        <f>IFERROR(LOOKUP(Table1[EFC],Pell_Table[#Data],Pell_Table[Pell Amt]),0)</f>
        <v>0</v>
      </c>
      <c r="CP147" s="253">
        <f>Table1[[#This Row],[AccessTot]]/3</f>
        <v>0</v>
      </c>
      <c r="CQ147" s="253">
        <f>Table1[[#This Row],[AccessTot]]/3</f>
        <v>0</v>
      </c>
      <c r="CR147" s="253">
        <f>Table1[[#This Row],[AccessTot]]/3</f>
        <v>0</v>
      </c>
      <c r="CS147" s="254">
        <f>IF(Table1[[#This Row],[PellTot]]&gt;0,1500,0)</f>
        <v>0</v>
      </c>
      <c r="CT147" s="253">
        <f>Table1[[#This Row],[AchiTot]]/3</f>
        <v>0</v>
      </c>
      <c r="CU147" s="253">
        <f>Table1[[#This Row],[AchiTot]]/3</f>
        <v>0</v>
      </c>
      <c r="CV147" s="253">
        <f>Table1[[#This Row],[AchiTot]]/3</f>
        <v>0</v>
      </c>
      <c r="CW147" s="255">
        <f>IF(Table1[[#This Row],[Rank]]="","",IF(Table1[[#This Row],[Rank]]=1,5100,IF(Table1[[#This Row],[Rank]]=2,4500,IF(Table1[[#This Row],[Rank]]=3,3900,IF(Table1[[#This Row],[Rank]]=4,3750,IF(Table1[[#This Row],[Rank]]=5,3000,IF(Table1[[#This Row],[Rank]]=6,2250,0)))))))</f>
        <v>0</v>
      </c>
      <c r="CX147" s="253">
        <f>Table1[[#This Row],[UTTot]]/3</f>
        <v>3000</v>
      </c>
      <c r="CY147" s="253">
        <f>Table1[[#This Row],[UTTot]]/3</f>
        <v>3000</v>
      </c>
      <c r="CZ147" s="253">
        <f>Table1[[#This Row],[UTTot]]/3</f>
        <v>3000</v>
      </c>
      <c r="DA147" s="254">
        <f>IF(Table1[[#This Row],[State]]="UT",9000,0)</f>
        <v>9000</v>
      </c>
      <c r="DB147" s="253">
        <f>Table1[[#This Row],[WITTot]]/3</f>
        <v>1000</v>
      </c>
      <c r="DC147" s="253">
        <f>Table1[[#This Row],[WITTot]]/3</f>
        <v>1000</v>
      </c>
      <c r="DD147" s="253">
        <f>Table1[[#This Row],[WITTot]]/3</f>
        <v>1000</v>
      </c>
      <c r="DE147" s="254">
        <f>IF(Table1[[#This Row],[Gender]]="Female",3000,0)</f>
        <v>3000</v>
      </c>
      <c r="DF147" s="253">
        <f>Table1[[#This Row],[SerTot]]/3</f>
        <v>0</v>
      </c>
      <c r="DG147" s="253">
        <f>Table1[[#This Row],[SerTot]]/3</f>
        <v>0</v>
      </c>
      <c r="DH147" s="253">
        <f>Table1[[#This Row],[SerTot]]/3</f>
        <v>0</v>
      </c>
      <c r="DI147" s="255">
        <v>0</v>
      </c>
      <c r="DJ147" s="253">
        <f>IFERROR(ROUNDUP(Table1[[#This Row],[TranTot]]/3,0),0)</f>
        <v>0</v>
      </c>
      <c r="DK147" s="253">
        <f>IFERROR(ROUND(Table1[[#This Row],[TranTot]]/3,0),0)</f>
        <v>0</v>
      </c>
      <c r="DL147" s="253">
        <f>IFERROR(ROUNDDOWN(Table1[[#This Row],[TranTot]]/3,0),0)</f>
        <v>0</v>
      </c>
      <c r="DM147" s="255">
        <v>0</v>
      </c>
      <c r="DN147" s="253">
        <f>Table1[[#This Row],[MatTot]]/3</f>
        <v>0</v>
      </c>
      <c r="DO147" s="253">
        <f>Table1[[#This Row],[MatTot]]/3</f>
        <v>0</v>
      </c>
      <c r="DP147" s="253">
        <f>Table1[[#This Row],[MatTot]]/3</f>
        <v>0</v>
      </c>
      <c r="DQ147" s="255">
        <v>0</v>
      </c>
      <c r="DR147" s="253">
        <f>Table1[[#This Row],[OutTot]]/3</f>
        <v>0</v>
      </c>
      <c r="DS147" s="253">
        <f>Table1[[#This Row],[OutTot]]/3</f>
        <v>0</v>
      </c>
      <c r="DT147" s="253">
        <f>Table1[[#This Row],[OutTot]]/3</f>
        <v>0</v>
      </c>
      <c r="DU147" s="255">
        <v>0</v>
      </c>
      <c r="DV147" s="259">
        <v>0</v>
      </c>
      <c r="DW147" s="259">
        <v>0</v>
      </c>
      <c r="DX147" s="259">
        <v>0</v>
      </c>
      <c r="DY147" s="261">
        <f>SUM(Table1[[#This Row],[VAQ1]:[VAQ3]])</f>
        <v>0</v>
      </c>
      <c r="DZ147" s="253">
        <v>0</v>
      </c>
      <c r="EA147" s="253">
        <v>0</v>
      </c>
      <c r="EB147" s="253">
        <v>0</v>
      </c>
      <c r="EC147" s="278">
        <f>SUM(Table1[[#This Row],[OthGrantQ1]:[OthGrantQ3]])</f>
        <v>0</v>
      </c>
      <c r="ED147" s="264">
        <f>Table1[[#This Row],[SEOGTot]]+Table1[[#This Row],[PellTot]]+Table1[[#This Row],[AccessTot]]+Table1[[#This Row],[AchiTot]]+Table1[[#This Row],[UTTot]]+Table1[[#This Row],[WITTot]]+Table1[[#This Row],[SerTot]]+Table1[[#This Row],[TranTot]]+Table1[[#This Row],[MatTot]]+Table1[[#This Row],[OutTot]]+Table1[[#This Row],[VATot]]+Table1[[#This Row],[OthGrantTot]]</f>
        <v>12000</v>
      </c>
      <c r="EE147" s="226">
        <v>0</v>
      </c>
      <c r="EF147" s="227">
        <v>0</v>
      </c>
      <c r="EG147" s="227">
        <v>0</v>
      </c>
      <c r="EH147" s="228">
        <f>SUM(Table1[[#This Row],[CashQ1]]:Table1[[#This Row],[CashQ3]])</f>
        <v>0</v>
      </c>
      <c r="EI147" s="229">
        <f>ROUND((Table1[[#This Row],[SubTot]]/3)/1.01059,0)</f>
        <v>1154</v>
      </c>
      <c r="EJ147" s="230">
        <f>ROUND((Table1[[#This Row],[SubTot]]/3)/1.01059,0)</f>
        <v>1154</v>
      </c>
      <c r="EK147" s="230">
        <f>ROUNDUP((Table1[[#This Row],[SubTot]]/3)/1.01059,0)</f>
        <v>1155</v>
      </c>
      <c r="EL147" s="231">
        <v>3500</v>
      </c>
      <c r="EM147" s="233">
        <f>Table1[[#This Row],[SubTot]]*0.01059</f>
        <v>37.065000000000005</v>
      </c>
      <c r="EN147" s="230">
        <f>ROUND((Table1[[#This Row],[UnsubTot]]/3)/1.01062,0)</f>
        <v>660</v>
      </c>
      <c r="EO147" s="230">
        <f>ROUND((Table1[[#This Row],[UnsubTot]]/3)/1.01062,0)</f>
        <v>660</v>
      </c>
      <c r="EP147" s="230">
        <f>ROUNDDOWN((Table1[[#This Row],[UnsubTot]]/3)/1.01062,0)</f>
        <v>659</v>
      </c>
      <c r="EQ147" s="231">
        <f>IF(Table1[D/I]="I",6000,2000)</f>
        <v>2000</v>
      </c>
      <c r="ER147" s="233">
        <f>Table1[[#This Row],[UnsubTot]]*0.01059</f>
        <v>21.18</v>
      </c>
      <c r="ES147" s="230">
        <f>ROUND((Table1[[#This Row],[PLUSTot]]/3)/1.04236,0)</f>
        <v>0</v>
      </c>
      <c r="ET147" s="230">
        <f>ROUND((Table1[[#This Row],[PLUSTot]]/3)/1.04236,0)</f>
        <v>0</v>
      </c>
      <c r="EU147" s="230">
        <f>ROUND((Table1[[#This Row],[PLUSTot]]/3)/1.04236,0)</f>
        <v>0</v>
      </c>
      <c r="EV147" s="231">
        <v>0</v>
      </c>
      <c r="EW147" s="236">
        <f>Table1[[#This Row],[PLUSTot]]*0.04236</f>
        <v>0</v>
      </c>
      <c r="EX147" s="227"/>
      <c r="EY147" s="227"/>
      <c r="EZ147" s="227"/>
      <c r="FA147" s="228">
        <f>SUM(Table1[[#This Row],[PrivQ1]:[PrivQ3]])</f>
        <v>0</v>
      </c>
      <c r="FB147" s="227"/>
      <c r="FC147" s="227"/>
      <c r="FD147" s="227"/>
      <c r="FE147" s="228">
        <f>SUM(Table1[[#This Row],[TOQ1]:[TOQ3]])</f>
        <v>0</v>
      </c>
      <c r="FF147" s="227"/>
      <c r="FG147" s="227"/>
      <c r="FH147" s="227"/>
      <c r="FI147" s="228">
        <f>SUM(Table1[[#This Row],[OFundQ1]:[OFundQ3]])</f>
        <v>0</v>
      </c>
      <c r="FJ147" s="236">
        <f>(Table1[[#This Row],[SubTot]]-Table1[[#This Row],[SubFee]])+(Table1[[#This Row],[UnsubTot]]-Table1[[#This Row],[UnsubFee]])+(Table1[[#This Row],[PLUSTot]]-Table1[[#This Row],[PLUSFee]])+Table1[[#This Row],[PrivTot]]+Table1[[#This Row],[TOTot]]+Table1[[#This Row],[OFundTot]]</f>
        <v>5441.7550000000001</v>
      </c>
      <c r="FK147" s="159">
        <f>Table1[[#This Row],[CostTot]]-Table1[[#This Row],[GiftTot]]</f>
        <v>27515</v>
      </c>
      <c r="FL147" s="174">
        <f>Table1[[#This Row],[NetNeed]]/(1-0.04236)</f>
        <v>23049.627208554361</v>
      </c>
      <c r="FM147" s="176">
        <f>Table1[[#This Row],[NetCost]]-Table1[[#This Row],[CashTot]]-(Table1[[#This Row],[SubTot]]-Table1[[#This Row],[SubFee]])-(Table1[[#This Row],[UnsubTot]]-Table1[[#This Row],[UnsubFee]])-(Table1[[#This Row],[PLUSTot]]-Table1[[#This Row],[PLUSFee]])-Table1[[#This Row],[PrivTot]]-Table1[[#This Row],[TOTot]]-Table1[[#This Row],[OFundTot]]</f>
        <v>22073.244999999999</v>
      </c>
      <c r="FN147" s="217"/>
      <c r="FO147" s="162"/>
      <c r="FP147" s="162"/>
    </row>
    <row r="148" spans="1:172" ht="15" x14ac:dyDescent="0.25">
      <c r="A148" s="287">
        <v>196497</v>
      </c>
      <c r="B148" s="113" t="str">
        <f>VLOOKUP(Table1[[#This Row],[SyStudentId]],SSR!$A$2:$CC$4982,4,FALSE)</f>
        <v>Smitherman</v>
      </c>
      <c r="C148" s="113" t="str">
        <f>VLOOKUP(Table1[[#This Row],[SyStudentId]],SSR!$A$2:$CC$4982,5,FALSE)</f>
        <v>Chris</v>
      </c>
      <c r="D148" s="113" t="str">
        <f>VLOOKUP(Table1[[#This Row],[SyStudentId]],SSR!$A$2:$CC$4982,6,FALSE)</f>
        <v>Smitherman, Chris</v>
      </c>
      <c r="E148" s="113" t="str">
        <f>CONCATENATE(Table1[[#This Row],[FirstName]]," ",Table1[[#This Row],[LastName]])</f>
        <v>Chris Smitherman</v>
      </c>
      <c r="F148" s="112"/>
      <c r="G148" s="114"/>
      <c r="H148" s="114"/>
      <c r="I148" s="114"/>
      <c r="J148" s="115"/>
      <c r="K148" s="116"/>
      <c r="L148" s="112" t="str">
        <f>IFERROR(VLOOKUP(Table1[[#This Row],[SyStudentId]],ISIR!$A$2:$X$999,11,FALSE),"")</f>
        <v/>
      </c>
      <c r="M148" s="113" t="str">
        <f>VLOOKUP(Table1[[#This Row],[SyStudentId]],SSR!$A$2:$CC$4982,7,FALSE)</f>
        <v>thumperfuzzy@gmail.com</v>
      </c>
      <c r="N148" s="113" t="str">
        <f>VLOOKUP(Table1[[#This Row],[SyStudentId]],SSR!$A$2:$CC$4982,8,FALSE)</f>
        <v>1101 NW 92nd St</v>
      </c>
      <c r="O148" s="113" t="str">
        <f>VLOOKUP(Table1[[#This Row],[SyStudentId]],SSR!$A$2:$CC$4982,9,FALSE)</f>
        <v>Kcmo</v>
      </c>
      <c r="P148" s="113" t="str">
        <f>VLOOKUP(Table1[[#This Row],[SyStudentId]],SSR!$A$2:$CC$4982,10,FALSE)</f>
        <v>MO</v>
      </c>
      <c r="Q148" s="117" t="str">
        <f>VLOOKUP(Table1[[#This Row],[SyStudentId]],SSR!$A$2:$CC$4982,11,FALSE)</f>
        <v xml:space="preserve">64155     </v>
      </c>
      <c r="R148" s="118">
        <f>VLOOKUP(Table1[[#This Row],[SyStudentId]],SSR!$A$2:$CC$4982,15,FALSE)</f>
        <v>3.5</v>
      </c>
      <c r="S148" s="119">
        <f>VLOOKUP(Table1[[#This Row],[SyStudentId]],SSR!$A$2:$CC$4982,22,FALSE)</f>
        <v>44109</v>
      </c>
      <c r="T148" s="113" t="str">
        <f>VLOOKUP(Table1[[#This Row],[SyStudentId]],SSR!$A$2:$CC$4982,24,FALSE)</f>
        <v>GM</v>
      </c>
      <c r="U148" s="113" t="str">
        <f>IF(VLOOKUP(Table1[[#This Row],[SyStudentId]],SSR!$A$2:$CC$4982,26,FALSE)=0,"Not Selected",VLOOKUP(Table1[[#This Row],[SyStudentId]],SSR!$A$2:$CC$4982,26,FALSE))</f>
        <v>Male</v>
      </c>
      <c r="V148" s="113" t="str">
        <f>VLOOKUP(Table1[[#This Row],[SyStudentId]],SSR!$A$2:$CC$4982,27,FALSE)</f>
        <v xml:space="preserve">HS2020  </v>
      </c>
      <c r="W148" s="113" t="str">
        <f>VLOOKUP(LEFT(Table1[[#This Row],[LastName]],1),Alpha!$A$1:$B$26,2,FALSE)</f>
        <v>Maureen Ranks</v>
      </c>
      <c r="X148" s="149" t="str">
        <f>VLOOKUP(Table1[[#This Row],[FAA]],Alpha!$B$1:$D$26,2,FALSE)</f>
        <v>mranks@neumont.edu</v>
      </c>
      <c r="Y148" s="113">
        <f>VLOOKUP(Table1[[#This Row],[FAA]],Alpha!$B$1:$D$26,3,FALSE)</f>
        <v>8883022894</v>
      </c>
      <c r="Z148" s="113" t="str">
        <f>VLOOKUP(Table1[[#This Row],[SyStudentId]],SSR!$A$2:$CC$4982,30,FALSE)</f>
        <v>16-Accepted</v>
      </c>
      <c r="AA148" s="113" t="str">
        <f>IF(VLOOKUP(Table1[[#This Row],[SyStudentId]],SSR!$A$2:$CC$4982,36,FALSE)="Bachelor of Science","BS Computer Science","Check Program")</f>
        <v>BS Computer Science</v>
      </c>
      <c r="AB148" s="113" t="str">
        <f>VLOOKUP(Table1[[#This Row],[SyStudentId]],SSR!$A$2:$CC$4982,37,FALSE)</f>
        <v xml:space="preserve">26      </v>
      </c>
      <c r="AC148" s="113">
        <f>VLOOKUP(Table1[[#This Row],[SyStudentId]],SSR!$A$2:$CC$4982,42,FALSE)</f>
        <v>0</v>
      </c>
      <c r="AD148" s="113" t="str">
        <f>VLOOKUP(Table1[[#This Row],[SyStudentId]],SSR!$A$2:$CC$4982,46,FALSE)</f>
        <v>115</v>
      </c>
      <c r="AE148" s="113" t="str">
        <f>VLOOKUP(Table1[[#This Row],[SyStudentId]],SSR!$A$2:$CC$4982,65,FALSE)</f>
        <v>II</v>
      </c>
      <c r="AF148"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2</v>
      </c>
      <c r="AG148" s="113" t="str">
        <f>VLOOKUP(Table1[[#This Row],[SyStudentId]],SSR!$A$2:$CC$4982,66,FALSE)</f>
        <v>October</v>
      </c>
      <c r="AH148" s="113" t="str">
        <f>IFERROR(VLOOKUP(Table1[[#This Row],[SyStudentId]],ISIR!$A$2:$X$999,7,FALSE),"")</f>
        <v/>
      </c>
      <c r="AI148" s="121" t="str">
        <f>IF(Table1[[#This Row],[EFCRaw]]="","",IF(Table1[[#This Row],[EFCRaw]]="No EFC","No EFC",_xlfn.NUMBERVALUE(Table1[[#This Row],[EFCRaw]])))</f>
        <v/>
      </c>
      <c r="AJ148" s="119" t="str">
        <f>IFERROR(VLOOKUP(Table1[[#This Row],[SyStudentId]],ISIR!$A$2:$X$4999,19,FALSE),"")</f>
        <v/>
      </c>
      <c r="AK148" s="113" t="str">
        <f>IFERROR(VLOOKUP(Table1[[#This Row],[SyStudentId]],ISIR!$A$2:$X$4999,8,FALSE),"")</f>
        <v/>
      </c>
      <c r="AL148" s="132" t="str">
        <f>IF(Table1[[#This Row],[VerReq]]="N","n/a","")</f>
        <v/>
      </c>
      <c r="AM148" s="122"/>
      <c r="AN148" s="122"/>
      <c r="AO148" s="122"/>
      <c r="AP148" s="122"/>
      <c r="AQ148" s="122"/>
      <c r="AR148" s="122"/>
      <c r="AS148" s="122"/>
      <c r="AT148" s="122"/>
      <c r="AU148" s="122"/>
      <c r="AV148" s="122"/>
      <c r="AW148" s="122"/>
      <c r="AX148" s="122"/>
      <c r="AY148" s="122"/>
      <c r="AZ148" s="122"/>
      <c r="BA148" s="122"/>
      <c r="BB148" s="122"/>
      <c r="BC148" s="148"/>
      <c r="BD148" s="140" t="str">
        <f>IF(Table1[[#This Row],[VerReq]]="N","x","")</f>
        <v/>
      </c>
      <c r="BE148" s="140" t="str">
        <f>IF(Table1[[#This Row],[VerReq]]="N","x","")</f>
        <v/>
      </c>
      <c r="BF148" s="140" t="str">
        <f>IF(Table1[[#This Row],[VerReq]]="N","x","")</f>
        <v/>
      </c>
      <c r="BG148" s="140" t="str">
        <f>IF(Table1[[#This Row],[VerReq]]="N","x","")</f>
        <v/>
      </c>
      <c r="BH148" s="140" t="str">
        <f>IF(Table1[[#This Row],[VerReq]]="N","x","")</f>
        <v/>
      </c>
      <c r="BI148" s="140" t="str">
        <f>IF(Table1[[#This Row],[VerReq]]="N","x","")</f>
        <v/>
      </c>
      <c r="BJ148" s="123">
        <f>1-((COUNTBLANK(Table1[[#This Row],[ALESent]:[TaxTran]]))/(COUNT(Table1[[#This Row],[ALESent]:[TaxTran]])+COUNTBLANK(Table1[[#This Row],[ALESent]:[TaxTran]])))</f>
        <v>0</v>
      </c>
      <c r="BK148" s="150">
        <f>IF(VLOOKUP(Table1[[#This Row],[SyStudentId]],SSR!$A$2:$CC$4982,22,FALSE)=44109,44109,"Check Program")</f>
        <v>44109</v>
      </c>
      <c r="BL148" s="150">
        <f>IF(Table1[[#This Row],[AYStart]]=44109,44356,"Check Program")</f>
        <v>44356</v>
      </c>
      <c r="BM148" s="219">
        <v>8505</v>
      </c>
      <c r="BN148" s="219">
        <v>8505</v>
      </c>
      <c r="BO148" s="219">
        <v>8505</v>
      </c>
      <c r="BP148" s="220">
        <f t="shared" si="6"/>
        <v>25515</v>
      </c>
      <c r="BQ148" s="221">
        <v>3300</v>
      </c>
      <c r="BR148" s="219">
        <v>400</v>
      </c>
      <c r="BS148" s="219">
        <v>400</v>
      </c>
      <c r="BT148" s="220">
        <f t="shared" si="7"/>
        <v>4100</v>
      </c>
      <c r="BU148" s="219">
        <v>2100</v>
      </c>
      <c r="BV148" s="219">
        <v>2100</v>
      </c>
      <c r="BW148" s="219">
        <v>2100</v>
      </c>
      <c r="BX148" s="220">
        <f t="shared" si="8"/>
        <v>6300</v>
      </c>
      <c r="BY148" s="275">
        <v>1200</v>
      </c>
      <c r="BZ148" s="275">
        <v>1200</v>
      </c>
      <c r="CA148" s="275">
        <v>1200</v>
      </c>
      <c r="CB148" s="220">
        <f>SUM(Table1[[#This Row],[LEQ1]:[LEQ3]])</f>
        <v>3600</v>
      </c>
      <c r="CC148" s="269"/>
      <c r="CD148" s="269"/>
      <c r="CE148" s="269"/>
      <c r="CF148" s="220">
        <f>SUM(Table1[[#This Row],[OthCostQ1]:[OthCostQ3]])</f>
        <v>0</v>
      </c>
      <c r="CG148" s="220">
        <f>(Table1[[#This Row],[T&amp;FTot]]+Table1[[#This Row],[B&amp;STot]]+Table1[[#This Row],[HousTot]]+Table1[[#This Row],[LETot]]+Table1[[#This Row],[OthCostTot]])</f>
        <v>39515</v>
      </c>
      <c r="CH148" s="250"/>
      <c r="CI148" s="250"/>
      <c r="CJ148" s="250"/>
      <c r="CK148" s="251">
        <f>SUM(Table1[[#This Row],[SEOGQ1]:[SEOGQ3]])</f>
        <v>0</v>
      </c>
      <c r="CL148" s="250">
        <f>IFERROR(ROUNDUP(Table1[[#This Row],[PellTot]]/3,0),0)</f>
        <v>0</v>
      </c>
      <c r="CM148" s="250">
        <f>IFERROR(ROUND(Table1[[#This Row],[PellTot]]/3,0),0)</f>
        <v>0</v>
      </c>
      <c r="CN148" s="250">
        <f>IFERROR(ROUNDDOWN(Table1[[#This Row],[PellTot]]/3,0),0)</f>
        <v>0</v>
      </c>
      <c r="CO148" s="251">
        <f>IFERROR(LOOKUP(Table1[EFC],Pell_Table[#Data],Pell_Table[Pell Amt]),0)</f>
        <v>0</v>
      </c>
      <c r="CP148" s="250">
        <f>Table1[[#This Row],[AccessTot]]/3</f>
        <v>0</v>
      </c>
      <c r="CQ148" s="250">
        <f>Table1[[#This Row],[AccessTot]]/3</f>
        <v>0</v>
      </c>
      <c r="CR148" s="250">
        <f>Table1[[#This Row],[AccessTot]]/3</f>
        <v>0</v>
      </c>
      <c r="CS148" s="251">
        <f>IF(Table1[[#This Row],[PellTot]]&gt;0,1500,0)</f>
        <v>0</v>
      </c>
      <c r="CT148" s="250">
        <f>Table1[[#This Row],[AchiTot]]/3</f>
        <v>1500</v>
      </c>
      <c r="CU148" s="250">
        <f>Table1[[#This Row],[AchiTot]]/3</f>
        <v>1500</v>
      </c>
      <c r="CV148" s="250">
        <f>Table1[[#This Row],[AchiTot]]/3</f>
        <v>1500</v>
      </c>
      <c r="CW148" s="252">
        <f>IF(Table1[[#This Row],[Rank]]="","",IF(Table1[[#This Row],[Rank]]=1,5100,IF(Table1[[#This Row],[Rank]]=2,4500,IF(Table1[[#This Row],[Rank]]=3,3900,IF(Table1[[#This Row],[Rank]]=4,3750,IF(Table1[[#This Row],[Rank]]=5,3000,IF(Table1[[#This Row],[Rank]]=6,2250,0)))))))</f>
        <v>4500</v>
      </c>
      <c r="CX148" s="250">
        <f>Table1[[#This Row],[UTTot]]/3</f>
        <v>0</v>
      </c>
      <c r="CY148" s="250">
        <f>Table1[[#This Row],[UTTot]]/3</f>
        <v>0</v>
      </c>
      <c r="CZ148" s="250">
        <f>Table1[[#This Row],[UTTot]]/3</f>
        <v>0</v>
      </c>
      <c r="DA148" s="251">
        <f>IF(Table1[[#This Row],[State]]="UT",9000,0)</f>
        <v>0</v>
      </c>
      <c r="DB148" s="250">
        <f>Table1[[#This Row],[WITTot]]/3</f>
        <v>0</v>
      </c>
      <c r="DC148" s="250">
        <f>Table1[[#This Row],[WITTot]]/3</f>
        <v>0</v>
      </c>
      <c r="DD148" s="250">
        <f>Table1[[#This Row],[WITTot]]/3</f>
        <v>0</v>
      </c>
      <c r="DE148" s="251">
        <f>IF(Table1[[#This Row],[Gender]]="Female",3000,0)</f>
        <v>0</v>
      </c>
      <c r="DF148" s="250">
        <f>Table1[[#This Row],[SerTot]]/3</f>
        <v>0</v>
      </c>
      <c r="DG148" s="250">
        <f>Table1[[#This Row],[SerTot]]/3</f>
        <v>0</v>
      </c>
      <c r="DH148" s="250">
        <f>Table1[[#This Row],[SerTot]]/3</f>
        <v>0</v>
      </c>
      <c r="DI148" s="252"/>
      <c r="DJ148" s="250"/>
      <c r="DK148" s="250"/>
      <c r="DL148" s="250"/>
      <c r="DM148" s="252"/>
      <c r="DN148" s="250">
        <f>Table1[[#This Row],[MatTot]]/3</f>
        <v>0</v>
      </c>
      <c r="DO148" s="250">
        <f>Table1[[#This Row],[MatTot]]/3</f>
        <v>0</v>
      </c>
      <c r="DP148" s="250">
        <f>Table1[[#This Row],[MatTot]]/3</f>
        <v>0</v>
      </c>
      <c r="DQ148" s="252"/>
      <c r="DR148" s="250">
        <f>Table1[[#This Row],[OutTot]]/3</f>
        <v>0</v>
      </c>
      <c r="DS148" s="250">
        <f>Table1[[#This Row],[OutTot]]/3</f>
        <v>0</v>
      </c>
      <c r="DT148" s="250">
        <f>Table1[[#This Row],[OutTot]]/3</f>
        <v>0</v>
      </c>
      <c r="DU148" s="252"/>
      <c r="DV148" s="250"/>
      <c r="DW148" s="250"/>
      <c r="DX148" s="250"/>
      <c r="DY148" s="252">
        <f>SUM(Table1[[#This Row],[VAQ1]:[VAQ3]])</f>
        <v>0</v>
      </c>
      <c r="DZ148" s="250"/>
      <c r="EA148" s="250"/>
      <c r="EB148" s="250"/>
      <c r="EC148" s="270">
        <f>SUM(Table1[[#This Row],[OthGrantQ1]:[OthGrantQ3]])</f>
        <v>0</v>
      </c>
      <c r="ED148" s="263">
        <f>Table1[[#This Row],[SEOGTot]]+Table1[[#This Row],[PellTot]]+Table1[[#This Row],[AccessTot]]+Table1[[#This Row],[AchiTot]]+Table1[[#This Row],[UTTot]]+Table1[[#This Row],[WITTot]]+Table1[[#This Row],[SerTot]]+Table1[[#This Row],[TranTot]]+Table1[[#This Row],[MatTot]]+Table1[[#This Row],[OutTot]]+Table1[[#This Row],[VATot]]+Table1[[#This Row],[OthGrantTot]]</f>
        <v>4500</v>
      </c>
      <c r="EE148" s="282"/>
      <c r="EF148" s="237"/>
      <c r="EG148" s="237"/>
      <c r="EH148" s="232">
        <f>SUM(Table1[[#This Row],[CashQ1]]:Table1[[#This Row],[CashQ3]])</f>
        <v>0</v>
      </c>
      <c r="EI148" s="271">
        <f>ROUND((Table1[[#This Row],[SubTot]]/3)/1.01059,0)</f>
        <v>0</v>
      </c>
      <c r="EJ148" s="234">
        <f>ROUND((Table1[[#This Row],[SubTot]]/3)/1.01059,0)</f>
        <v>0</v>
      </c>
      <c r="EK148" s="234">
        <f>ROUNDUP((Table1[[#This Row],[SubTot]]/3)/1.01059,0)</f>
        <v>0</v>
      </c>
      <c r="EL148" s="235"/>
      <c r="EM148" s="240">
        <f>Table1[[#This Row],[SubTot]]*0.01059</f>
        <v>0</v>
      </c>
      <c r="EN148" s="234">
        <f>ROUND((Table1[[#This Row],[UnsubTot]]/3)/1.01062,0)</f>
        <v>660</v>
      </c>
      <c r="EO148" s="234">
        <f>ROUND((Table1[[#This Row],[UnsubTot]]/3)/1.01062,0)</f>
        <v>660</v>
      </c>
      <c r="EP148" s="234">
        <f>ROUNDDOWN((Table1[[#This Row],[UnsubTot]]/3)/1.01062,0)</f>
        <v>659</v>
      </c>
      <c r="EQ148" s="235">
        <f>IF(Table1[D/I]="I",6000,2000)</f>
        <v>2000</v>
      </c>
      <c r="ER148" s="240">
        <f>Table1[[#This Row],[UnsubTot]]*0.01062</f>
        <v>21.24</v>
      </c>
      <c r="ES148" s="234">
        <f>ROUND((Table1[[#This Row],[PLUSTot]]/3)/1.04248,0)</f>
        <v>0</v>
      </c>
      <c r="ET148" s="234">
        <f>ROUND((Table1[[#This Row],[PLUSTot]]/3)/1.04248,0)</f>
        <v>0</v>
      </c>
      <c r="EU148" s="234">
        <f>ROUND((Table1[[#This Row],[PLUSTot]]/3)/1.04248,0)</f>
        <v>0</v>
      </c>
      <c r="EV148" s="235"/>
      <c r="EW148" s="239">
        <f>Table1[[#This Row],[PLUSTot]]*0.04248</f>
        <v>0</v>
      </c>
      <c r="EX148" s="237"/>
      <c r="EY148" s="237"/>
      <c r="EZ148" s="237"/>
      <c r="FA148" s="232">
        <f>SUM(Table1[[#This Row],[PrivQ1]:[PrivQ3]])</f>
        <v>0</v>
      </c>
      <c r="FB148" s="237"/>
      <c r="FC148" s="237"/>
      <c r="FD148" s="237"/>
      <c r="FE148" s="232">
        <f>SUM(Table1[[#This Row],[TOQ1]:[TOQ3]])</f>
        <v>0</v>
      </c>
      <c r="FF148" s="237"/>
      <c r="FG148" s="237"/>
      <c r="FH148" s="237"/>
      <c r="FI148" s="232">
        <f>SUM(Table1[[#This Row],[OFundQ1]:[OFundQ3]])</f>
        <v>0</v>
      </c>
      <c r="FJ148" s="239">
        <f>(Table1[[#This Row],[SubTot]]-Table1[[#This Row],[SubFee]])+(Table1[[#This Row],[UnsubTot]]-Table1[[#This Row],[UnsubFee]])+(Table1[[#This Row],[PLUSTot]]-Table1[[#This Row],[PLUSFee]])+Table1[[#This Row],[PrivTot]]+Table1[[#This Row],[TOTot]]+Table1[[#This Row],[OFundTot]]</f>
        <v>1978.76</v>
      </c>
      <c r="FK148" s="125">
        <f>Table1[[#This Row],[CostTot]]-Table1[[#This Row],[GiftTot]]</f>
        <v>35015</v>
      </c>
      <c r="FL148" s="130">
        <f>Table1[[#This Row],[NetNeed]]/(1-0.04248)</f>
        <v>34501.879856295425</v>
      </c>
      <c r="FM148" s="131">
        <f>Table1[[#This Row],[NetCost]]-Table1[[#This Row],[CashTot]]-(Table1[[#This Row],[SubTot]]-Table1[[#This Row],[SubFee]])-(Table1[[#This Row],[UnsubTot]]-Table1[[#This Row],[UnsubFee]])-(Table1[[#This Row],[PLUSTot]]-Table1[[#This Row],[PLUSFee]])-Table1[[#This Row],[PrivTot]]-Table1[[#This Row],[TOTot]]-Table1[[#This Row],[OFundTot]]</f>
        <v>33036.239999999998</v>
      </c>
      <c r="FN148" s="156"/>
      <c r="FO148" s="113"/>
      <c r="FP148" s="113"/>
    </row>
    <row r="149" spans="1:172" ht="15" x14ac:dyDescent="0.25">
      <c r="A149" s="287">
        <v>198034</v>
      </c>
      <c r="B149" s="160" t="str">
        <f>VLOOKUP(Table1[[#This Row],[SyStudentId]],SSR!$A$2:$CC$4982,4,FALSE)</f>
        <v>Snyder</v>
      </c>
      <c r="C149" s="160" t="str">
        <f>VLOOKUP(Table1[[#This Row],[SyStudentId]],SSR!$A$2:$CC$4982,5,FALSE)</f>
        <v>Jacob</v>
      </c>
      <c r="D149" s="160" t="str">
        <f>VLOOKUP(Table1[[#This Row],[SyStudentId]],SSR!$A$2:$CC$4982,6,FALSE)</f>
        <v>Snyder, Jacob</v>
      </c>
      <c r="E149" s="113" t="str">
        <f>CONCATENATE(Table1[[#This Row],[FirstName]]," ",Table1[[#This Row],[LastName]])</f>
        <v>Jacob Snyder</v>
      </c>
      <c r="F149" s="158"/>
      <c r="G149" s="114"/>
      <c r="H149" s="114"/>
      <c r="I149" s="114"/>
      <c r="J149" s="163"/>
      <c r="K149" s="164"/>
      <c r="L149" s="158" t="str">
        <f>IFERROR(VLOOKUP(Table1[[#This Row],[SyStudentId]],ISIR!$A$2:$X$4999,11,FALSE),"")</f>
        <v/>
      </c>
      <c r="M149" s="160" t="str">
        <f>VLOOKUP(Table1[[#This Row],[SyStudentId]],SSR!$A$2:$CC$4982,7,FALSE)</f>
        <v>minecraftyogiverse@gmail.com</v>
      </c>
      <c r="N149" s="160" t="str">
        <f>VLOOKUP(Table1[[#This Row],[SyStudentId]],SSR!$A$2:$CC$4982,8,FALSE)</f>
        <v>227 E Northview Ave</v>
      </c>
      <c r="O149" s="160" t="str">
        <f>VLOOKUP(Table1[[#This Row],[SyStudentId]],SSR!$A$2:$CC$4982,9,FALSE)</f>
        <v>New Castle</v>
      </c>
      <c r="P149" s="304" t="str">
        <f>VLOOKUP(Table1[[#This Row],[SyStudentId]],SSR!$A$2:$CC$4982,10,FALSE)</f>
        <v>PA</v>
      </c>
      <c r="Q149" s="165" t="str">
        <f>VLOOKUP(Table1[[#This Row],[SyStudentId]],SSR!$A$2:$CC$4982,11,FALSE)</f>
        <v xml:space="preserve">16105     </v>
      </c>
      <c r="R149" s="166">
        <f>VLOOKUP(Table1[[#This Row],[SyStudentId]],SSR!$A$2:$CC$4982,15,FALSE)</f>
        <v>3.9</v>
      </c>
      <c r="S149" s="167">
        <f>VLOOKUP(Table1[[#This Row],[SyStudentId]],SSR!$A$2:$CC$4982,22,FALSE)</f>
        <v>44109</v>
      </c>
      <c r="T149" s="160" t="str">
        <f>VLOOKUP(Table1[[#This Row],[SyStudentId]],SSR!$A$2:$CC$4982,24,FALSE)</f>
        <v>GM</v>
      </c>
      <c r="U149" s="160" t="str">
        <f>IF(VLOOKUP(Table1[[#This Row],[SyStudentId]],SSR!$A$2:$CC$4982,26,FALSE)=0,"Not Selected",VLOOKUP(Table1[[#This Row],[SyStudentId]],SSR!$A$2:$CC$4982,26,FALSE))</f>
        <v>Male</v>
      </c>
      <c r="V149" s="160" t="str">
        <f>VLOOKUP(Table1[[#This Row],[SyStudentId]],SSR!$A$2:$CC$4982,27,FALSE)</f>
        <v xml:space="preserve">HS2020  </v>
      </c>
      <c r="W149" s="160" t="str">
        <f>VLOOKUP(LEFT(Table1[[#This Row],[LastName]],1),Alpha!$A$1:$B$26,2,FALSE)</f>
        <v>Maureen Ranks</v>
      </c>
      <c r="X149" s="179" t="str">
        <f>VLOOKUP(Table1[[#This Row],[FAA]],Alpha!$B$1:$D$26,2,FALSE)</f>
        <v>mranks@neumont.edu</v>
      </c>
      <c r="Y149" s="160">
        <f>VLOOKUP(Table1[[#This Row],[FAA]],Alpha!$B$1:$D$26,3,FALSE)</f>
        <v>8883022894</v>
      </c>
      <c r="Z149" s="160" t="str">
        <f>VLOOKUP(Table1[[#This Row],[SyStudentId]],SSR!$A$2:$CC$4982,30,FALSE)</f>
        <v>16-Accepted</v>
      </c>
      <c r="AA149" s="160" t="str">
        <f>IF(VLOOKUP(Table1[[#This Row],[SyStudentId]],SSR!$A$2:$CC$4982,36,FALSE)="Bachelor of Science","BS Computer Science","Check Program")</f>
        <v>BS Computer Science</v>
      </c>
      <c r="AB149" s="160" t="str">
        <f>VLOOKUP(Table1[[#This Row],[SyStudentId]],SSR!$A$2:$CC$4982,37,FALSE)</f>
        <v xml:space="preserve">32      </v>
      </c>
      <c r="AC149" s="160" t="str">
        <f>VLOOKUP(Table1[[#This Row],[SyStudentId]],SSR!$A$2:$CC$4982,42,FALSE)</f>
        <v xml:space="preserve">1390    </v>
      </c>
      <c r="AD149" s="160" t="str">
        <f>VLOOKUP(Table1[[#This Row],[SyStudentId]],SSR!$A$2:$CC$4982,46,FALSE)</f>
        <v>132</v>
      </c>
      <c r="AE149" s="160" t="str">
        <f>VLOOKUP(Table1[[#This Row],[SyStudentId]],SSR!$A$2:$CC$4982,65,FALSE)</f>
        <v>I</v>
      </c>
      <c r="AF149"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49" s="160" t="str">
        <f>VLOOKUP(Table1[[#This Row],[SyStudentId]],SSR!$A$2:$CC$4982,66,FALSE)</f>
        <v>July-October</v>
      </c>
      <c r="AH149" s="160" t="str">
        <f>IFERROR(VLOOKUP(Table1[[#This Row],[SyStudentId]],ISIR!$A$2:$X$1999,7,FALSE),"")</f>
        <v/>
      </c>
      <c r="AI149" s="170" t="str">
        <f>IF(Table1[[#This Row],[EFCRaw]]="","",IF(Table1[[#This Row],[EFCRaw]]="No EFC","No EFC",_xlfn.NUMBERVALUE(Table1[[#This Row],[EFCRaw]])))</f>
        <v/>
      </c>
      <c r="AJ149" s="167" t="str">
        <f>IFERROR(VLOOKUP(Table1[[#This Row],[SyStudentId]],ISIR!$A$2:$X$4999,19,FALSE),"")</f>
        <v/>
      </c>
      <c r="AK149" s="160" t="str">
        <f>IFERROR(VLOOKUP(Table1[[#This Row],[SyStudentId]],ISIR!$A$2:$X$4999,8,FALSE),"")</f>
        <v/>
      </c>
      <c r="AL149" s="178" t="str">
        <f>IF(Table1[[#This Row],[VerReq]]="N","n/a","")</f>
        <v/>
      </c>
      <c r="AM149" s="122"/>
      <c r="AN149" s="122"/>
      <c r="AO149" s="122"/>
      <c r="AP149" s="122"/>
      <c r="AQ149" s="122"/>
      <c r="AR149" s="122"/>
      <c r="AS149" s="122"/>
      <c r="AT149" s="122"/>
      <c r="AU149" s="122"/>
      <c r="AV149" s="122"/>
      <c r="AW149" s="122"/>
      <c r="AX149" s="122"/>
      <c r="AY149" s="122"/>
      <c r="AZ149" s="122"/>
      <c r="BA149" s="122"/>
      <c r="BB149" s="122"/>
      <c r="BC149" s="148"/>
      <c r="BD149" s="140" t="str">
        <f>IF(Table1[[#This Row],[VerReq]]="N","x","")</f>
        <v/>
      </c>
      <c r="BE149" s="140" t="str">
        <f>IF(Table1[[#This Row],[VerReq]]="N","x","")</f>
        <v/>
      </c>
      <c r="BF149" s="140" t="str">
        <f>IF(Table1[[#This Row],[VerReq]]="N","x","")</f>
        <v/>
      </c>
      <c r="BG149" s="140" t="str">
        <f>IF(Table1[[#This Row],[VerReq]]="N","x","")</f>
        <v/>
      </c>
      <c r="BH149" s="140" t="str">
        <f>IF(Table1[[#This Row],[VerReq]]="N","x","")</f>
        <v/>
      </c>
      <c r="BI149" s="140" t="str">
        <f>IF(Table1[[#This Row],[VerReq]]="N","x","")</f>
        <v/>
      </c>
      <c r="BJ149" s="181">
        <f>1-((COUNTBLANK(Table1[[#This Row],[ALESent]:[TaxTran]]))/(COUNT(Table1[[#This Row],[ALESent]:[TaxTran]])+COUNTBLANK(Table1[[#This Row],[ALESent]:[TaxTran]])))</f>
        <v>0</v>
      </c>
      <c r="BK149" s="216">
        <f>IF(VLOOKUP(Table1[[#This Row],[SyStudentId]],SSR!$A$2:$CC$4982,22,FALSE)=44109,44109,"Check Program")</f>
        <v>44109</v>
      </c>
      <c r="BL149" s="216">
        <f>IF(Table1[[#This Row],[AYStart]]=44109,44356,"Check Program")</f>
        <v>44356</v>
      </c>
      <c r="BM149" s="219">
        <v>8505</v>
      </c>
      <c r="BN149" s="219">
        <v>8505</v>
      </c>
      <c r="BO149" s="219">
        <v>8505</v>
      </c>
      <c r="BP149" s="220">
        <f t="shared" si="6"/>
        <v>25515</v>
      </c>
      <c r="BQ149" s="221">
        <v>3300</v>
      </c>
      <c r="BR149" s="219">
        <v>400</v>
      </c>
      <c r="BS149" s="219">
        <v>400</v>
      </c>
      <c r="BT149" s="222">
        <f t="shared" si="7"/>
        <v>4100</v>
      </c>
      <c r="BU149" s="219">
        <v>2100</v>
      </c>
      <c r="BV149" s="219">
        <v>2100</v>
      </c>
      <c r="BW149" s="219">
        <v>2100</v>
      </c>
      <c r="BX149" s="222">
        <f t="shared" si="8"/>
        <v>6300</v>
      </c>
      <c r="BY149" s="275">
        <v>1200</v>
      </c>
      <c r="BZ149" s="275">
        <v>1200</v>
      </c>
      <c r="CA149" s="275">
        <v>1200</v>
      </c>
      <c r="CB149" s="222">
        <f>SUM(Table1[[#This Row],[LEQ1]:[LEQ3]])</f>
        <v>3600</v>
      </c>
      <c r="CC149" s="276">
        <v>0</v>
      </c>
      <c r="CD149" s="276">
        <v>0</v>
      </c>
      <c r="CE149" s="276">
        <v>0</v>
      </c>
      <c r="CF149" s="222">
        <f>SUM(Table1[[#This Row],[OthCostQ1]:[OthCostQ3]])</f>
        <v>0</v>
      </c>
      <c r="CG149" s="222">
        <f>(Table1[[#This Row],[T&amp;FTot]]+Table1[[#This Row],[B&amp;STot]]+Table1[[#This Row],[HousTot]]+Table1[[#This Row],[LETot]]+Table1[[#This Row],[OthCostTot]])</f>
        <v>39515</v>
      </c>
      <c r="CH149" s="253">
        <v>0</v>
      </c>
      <c r="CI149" s="253">
        <v>0</v>
      </c>
      <c r="CJ149" s="253">
        <v>0</v>
      </c>
      <c r="CK149" s="254">
        <f>SUM(Table1[[#This Row],[SEOGQ1]:[SEOGQ3]])</f>
        <v>0</v>
      </c>
      <c r="CL149" s="253">
        <f>IFERROR(ROUNDUP(Table1[[#This Row],[PellTot]]/3,0),0)</f>
        <v>0</v>
      </c>
      <c r="CM149" s="253">
        <f>IFERROR(ROUND(Table1[[#This Row],[PellTot]]/3,0),0)</f>
        <v>0</v>
      </c>
      <c r="CN149" s="253">
        <f>IFERROR(ROUNDDOWN(Table1[[#This Row],[PellTot]]/3,0),0)</f>
        <v>0</v>
      </c>
      <c r="CO149" s="254">
        <f>IFERROR(LOOKUP(Table1[EFC],Pell_Table[#Data],Pell_Table[Pell Amt]),0)</f>
        <v>0</v>
      </c>
      <c r="CP149" s="253">
        <f>Table1[[#This Row],[AccessTot]]/3</f>
        <v>0</v>
      </c>
      <c r="CQ149" s="253">
        <f>Table1[[#This Row],[AccessTot]]/3</f>
        <v>0</v>
      </c>
      <c r="CR149" s="253">
        <f>Table1[[#This Row],[AccessTot]]/3</f>
        <v>0</v>
      </c>
      <c r="CS149" s="254">
        <f>IF(Table1[[#This Row],[PellTot]]&gt;0,1500,0)</f>
        <v>0</v>
      </c>
      <c r="CT149" s="253">
        <f>Table1[[#This Row],[AchiTot]]/3</f>
        <v>1700</v>
      </c>
      <c r="CU149" s="253">
        <f>Table1[[#This Row],[AchiTot]]/3</f>
        <v>1700</v>
      </c>
      <c r="CV149" s="253">
        <f>Table1[[#This Row],[AchiTot]]/3</f>
        <v>1700</v>
      </c>
      <c r="CW149" s="255">
        <f>IF(Table1[[#This Row],[Rank]]="","",IF(Table1[[#This Row],[Rank]]=1,5100,IF(Table1[[#This Row],[Rank]]=2,4500,IF(Table1[[#This Row],[Rank]]=3,3900,IF(Table1[[#This Row],[Rank]]=4,3750,IF(Table1[[#This Row],[Rank]]=5,3000,IF(Table1[[#This Row],[Rank]]=6,2250,0)))))))</f>
        <v>5100</v>
      </c>
      <c r="CX149" s="253">
        <f>Table1[[#This Row],[UTTot]]/3</f>
        <v>0</v>
      </c>
      <c r="CY149" s="253">
        <f>Table1[[#This Row],[UTTot]]/3</f>
        <v>0</v>
      </c>
      <c r="CZ149" s="253">
        <f>Table1[[#This Row],[UTTot]]/3</f>
        <v>0</v>
      </c>
      <c r="DA149" s="254">
        <f>IF(Table1[[#This Row],[State]]="UT",9000,0)</f>
        <v>0</v>
      </c>
      <c r="DB149" s="253">
        <f>Table1[[#This Row],[WITTot]]/3</f>
        <v>0</v>
      </c>
      <c r="DC149" s="253">
        <f>Table1[[#This Row],[WITTot]]/3</f>
        <v>0</v>
      </c>
      <c r="DD149" s="253">
        <f>Table1[[#This Row],[WITTot]]/3</f>
        <v>0</v>
      </c>
      <c r="DE149" s="254">
        <f>IF(Table1[[#This Row],[Gender]]="Female",3000,0)</f>
        <v>0</v>
      </c>
      <c r="DF149" s="253">
        <f>Table1[[#This Row],[SerTot]]/3</f>
        <v>0</v>
      </c>
      <c r="DG149" s="253">
        <f>Table1[[#This Row],[SerTot]]/3</f>
        <v>0</v>
      </c>
      <c r="DH149" s="253">
        <f>Table1[[#This Row],[SerTot]]/3</f>
        <v>0</v>
      </c>
      <c r="DI149" s="255">
        <v>0</v>
      </c>
      <c r="DJ149" s="253">
        <f>IFERROR(ROUNDUP(Table1[[#This Row],[TranTot]]/3,0),0)</f>
        <v>0</v>
      </c>
      <c r="DK149" s="253">
        <f>IFERROR(ROUND(Table1[[#This Row],[TranTot]]/3,0),0)</f>
        <v>0</v>
      </c>
      <c r="DL149" s="253">
        <f>IFERROR(ROUNDDOWN(Table1[[#This Row],[TranTot]]/3,0),0)</f>
        <v>0</v>
      </c>
      <c r="DM149" s="255">
        <v>0</v>
      </c>
      <c r="DN149" s="253">
        <f>Table1[[#This Row],[MatTot]]/3</f>
        <v>0</v>
      </c>
      <c r="DO149" s="253">
        <f>Table1[[#This Row],[MatTot]]/3</f>
        <v>0</v>
      </c>
      <c r="DP149" s="253">
        <f>Table1[[#This Row],[MatTot]]/3</f>
        <v>0</v>
      </c>
      <c r="DQ149" s="255">
        <v>0</v>
      </c>
      <c r="DR149" s="253">
        <f>Table1[[#This Row],[OutTot]]/3</f>
        <v>0</v>
      </c>
      <c r="DS149" s="253">
        <f>Table1[[#This Row],[OutTot]]/3</f>
        <v>0</v>
      </c>
      <c r="DT149" s="253">
        <f>Table1[[#This Row],[OutTot]]/3</f>
        <v>0</v>
      </c>
      <c r="DU149" s="255">
        <v>0</v>
      </c>
      <c r="DV149" s="253">
        <v>0</v>
      </c>
      <c r="DW149" s="253">
        <v>0</v>
      </c>
      <c r="DX149" s="253">
        <v>0</v>
      </c>
      <c r="DY149" s="255">
        <f>SUM(Table1[[#This Row],[VAQ1]:[VAQ3]])</f>
        <v>0</v>
      </c>
      <c r="DZ149" s="253">
        <v>0</v>
      </c>
      <c r="EA149" s="253">
        <v>0</v>
      </c>
      <c r="EB149" s="253">
        <v>0</v>
      </c>
      <c r="EC149" s="278">
        <f>SUM(Table1[[#This Row],[OthGrantQ1]:[OthGrantQ3]])</f>
        <v>0</v>
      </c>
      <c r="ED149" s="264">
        <f>Table1[[#This Row],[SEOGTot]]+Table1[[#This Row],[PellTot]]+Table1[[#This Row],[AccessTot]]+Table1[[#This Row],[AchiTot]]+Table1[[#This Row],[UTTot]]+Table1[[#This Row],[WITTot]]+Table1[[#This Row],[SerTot]]+Table1[[#This Row],[TranTot]]+Table1[[#This Row],[MatTot]]+Table1[[#This Row],[OutTot]]+Table1[[#This Row],[VATot]]+Table1[[#This Row],[OthGrantTot]]</f>
        <v>5100</v>
      </c>
      <c r="EE149" s="298">
        <v>0</v>
      </c>
      <c r="EF149" s="227">
        <v>0</v>
      </c>
      <c r="EG149" s="227">
        <v>0</v>
      </c>
      <c r="EH149" s="228">
        <f>SUM(Table1[[#This Row],[CashQ1]]:Table1[[#This Row],[CashQ3]])</f>
        <v>0</v>
      </c>
      <c r="EI149" s="229">
        <f>ROUND((Table1[[#This Row],[SubTot]]/3)/1.01059,0)</f>
        <v>1154</v>
      </c>
      <c r="EJ149" s="230">
        <f>ROUND((Table1[[#This Row],[SubTot]]/3)/1.01059,0)</f>
        <v>1154</v>
      </c>
      <c r="EK149" s="230">
        <f>ROUNDUP((Table1[[#This Row],[SubTot]]/3)/1.01059,0)</f>
        <v>1155</v>
      </c>
      <c r="EL149" s="231">
        <v>3500</v>
      </c>
      <c r="EM149" s="233">
        <f>Table1[[#This Row],[SubTot]]*0.01059</f>
        <v>37.065000000000005</v>
      </c>
      <c r="EN149" s="230">
        <f>ROUND((Table1[[#This Row],[UnsubTot]]/3)/1.01062,0)</f>
        <v>660</v>
      </c>
      <c r="EO149" s="230">
        <f>ROUND((Table1[[#This Row],[UnsubTot]]/3)/1.01062,0)</f>
        <v>660</v>
      </c>
      <c r="EP149" s="230">
        <f>ROUNDDOWN((Table1[[#This Row],[UnsubTot]]/3)/1.01062,0)</f>
        <v>659</v>
      </c>
      <c r="EQ149" s="231">
        <f>IF(Table1[D/I]="I",6000,2000)</f>
        <v>2000</v>
      </c>
      <c r="ER149" s="233">
        <f>Table1[[#This Row],[UnsubTot]]*0.01059</f>
        <v>21.18</v>
      </c>
      <c r="ES149" s="230">
        <f>ROUND((Table1[[#This Row],[PLUSTot]]/3)/1.04236,0)</f>
        <v>0</v>
      </c>
      <c r="ET149" s="230">
        <f>ROUND((Table1[[#This Row],[PLUSTot]]/3)/1.04236,0)</f>
        <v>0</v>
      </c>
      <c r="EU149" s="230">
        <f>ROUND((Table1[[#This Row],[PLUSTot]]/3)/1.04236,0)</f>
        <v>0</v>
      </c>
      <c r="EV149" s="231">
        <v>0</v>
      </c>
      <c r="EW149" s="236">
        <f>Table1[[#This Row],[PLUSTot]]*0.04236</f>
        <v>0</v>
      </c>
      <c r="EX149" s="227"/>
      <c r="EY149" s="227"/>
      <c r="EZ149" s="227"/>
      <c r="FA149" s="228">
        <f>SUM(Table1[[#This Row],[PrivQ1]:[PrivQ3]])</f>
        <v>0</v>
      </c>
      <c r="FB149" s="227"/>
      <c r="FC149" s="227"/>
      <c r="FD149" s="227"/>
      <c r="FE149" s="228">
        <f>SUM(Table1[[#This Row],[TOQ1]:[TOQ3]])</f>
        <v>0</v>
      </c>
      <c r="FF149" s="227"/>
      <c r="FG149" s="227"/>
      <c r="FH149" s="227"/>
      <c r="FI149" s="228">
        <f>SUM(Table1[[#This Row],[OFundQ1]:[OFundQ3]])</f>
        <v>0</v>
      </c>
      <c r="FJ149" s="236">
        <f>(Table1[[#This Row],[SubTot]]-Table1[[#This Row],[SubFee]])+(Table1[[#This Row],[UnsubTot]]-Table1[[#This Row],[UnsubFee]])+(Table1[[#This Row],[PLUSTot]]-Table1[[#This Row],[PLUSFee]])+Table1[[#This Row],[PrivTot]]+Table1[[#This Row],[TOTot]]+Table1[[#This Row],[OFundTot]]</f>
        <v>5441.7550000000001</v>
      </c>
      <c r="FK149" s="159">
        <f>Table1[[#This Row],[CostTot]]-Table1[[#This Row],[GiftTot]]</f>
        <v>34415</v>
      </c>
      <c r="FL149" s="174">
        <f>Table1[[#This Row],[NetNeed]]/(1-0.04236)</f>
        <v>30254.840023390832</v>
      </c>
      <c r="FM149" s="176">
        <f>Table1[[#This Row],[NetCost]]-Table1[[#This Row],[CashTot]]-(Table1[[#This Row],[SubTot]]-Table1[[#This Row],[SubFee]])-(Table1[[#This Row],[UnsubTot]]-Table1[[#This Row],[UnsubFee]])-(Table1[[#This Row],[PLUSTot]]-Table1[[#This Row],[PLUSFee]])-Table1[[#This Row],[PrivTot]]-Table1[[#This Row],[TOTot]]-Table1[[#This Row],[OFundTot]]</f>
        <v>28973.244999999999</v>
      </c>
      <c r="FN149" s="217"/>
      <c r="FO149" s="162"/>
      <c r="FP149" s="162"/>
    </row>
    <row r="150" spans="1:172" ht="15" x14ac:dyDescent="0.25">
      <c r="A150" s="287">
        <v>192217</v>
      </c>
      <c r="B150" s="180" t="str">
        <f>VLOOKUP(Table1[[#This Row],[SyStudentId]],SSR!$A$2:$CC$4982,4,FALSE)</f>
        <v>Solie</v>
      </c>
      <c r="C150" s="180" t="str">
        <f>VLOOKUP(Table1[[#This Row],[SyStudentId]],SSR!$A$2:$CC$4982,5,FALSE)</f>
        <v>Calvin</v>
      </c>
      <c r="D150" s="180" t="str">
        <f>VLOOKUP(Table1[[#This Row],[SyStudentId]],SSR!$A$2:$CC$4982,6,FALSE)</f>
        <v>Solie, Calvin</v>
      </c>
      <c r="E150" s="113" t="str">
        <f>CONCATENATE(Table1[[#This Row],[FirstName]]," ",Table1[[#This Row],[LastName]])</f>
        <v>Calvin Solie</v>
      </c>
      <c r="F150" s="199"/>
      <c r="G150" s="184"/>
      <c r="H150" s="184"/>
      <c r="I150" s="184"/>
      <c r="J150" s="200"/>
      <c r="K150" s="201"/>
      <c r="L150" s="199" t="str">
        <f>IFERROR(VLOOKUP(Table1[[#This Row],[SyStudentId]],ISIR!$A$2:$X$4999,11,FALSE),"")</f>
        <v/>
      </c>
      <c r="M150" s="180" t="str">
        <f>VLOOKUP(Table1[[#This Row],[SyStudentId]],SSR!$A$2:$CC$4982,7,FALSE)</f>
        <v>calvin_solie@yahoo.com</v>
      </c>
      <c r="N150" s="180" t="str">
        <f>VLOOKUP(Table1[[#This Row],[SyStudentId]],SSR!$A$2:$CC$4982,8,FALSE)</f>
        <v>2902 N Point Ridge Rd</v>
      </c>
      <c r="O150" s="180" t="str">
        <f>VLOOKUP(Table1[[#This Row],[SyStudentId]],SSR!$A$2:$CC$4982,9,FALSE)</f>
        <v>Buckeye</v>
      </c>
      <c r="P150" s="295" t="str">
        <f>VLOOKUP(Table1[[#This Row],[SyStudentId]],SSR!$A$2:$CC$4982,10,FALSE)</f>
        <v>AZ</v>
      </c>
      <c r="Q150" s="202" t="str">
        <f>VLOOKUP(Table1[[#This Row],[SyStudentId]],SSR!$A$2:$CC$4982,11,FALSE)</f>
        <v xml:space="preserve">85396     </v>
      </c>
      <c r="R150" s="203">
        <f>VLOOKUP(Table1[[#This Row],[SyStudentId]],SSR!$A$2:$CC$4982,15,FALSE)</f>
        <v>3.5</v>
      </c>
      <c r="S150" s="204">
        <f>VLOOKUP(Table1[[#This Row],[SyStudentId]],SSR!$A$2:$CC$4982,22,FALSE)</f>
        <v>44109</v>
      </c>
      <c r="T150" s="180" t="str">
        <f>VLOOKUP(Table1[[#This Row],[SyStudentId]],SSR!$A$2:$CC$4982,24,FALSE)</f>
        <v>MN</v>
      </c>
      <c r="U150" s="180" t="str">
        <f>IF(VLOOKUP(Table1[[#This Row],[SyStudentId]],SSR!$A$2:$CC$4982,26,FALSE)=0,"Not Selected",VLOOKUP(Table1[[#This Row],[SyStudentId]],SSR!$A$2:$CC$4982,26,FALSE))</f>
        <v>Male</v>
      </c>
      <c r="V150" s="180" t="str">
        <f>VLOOKUP(Table1[[#This Row],[SyStudentId]],SSR!$A$2:$CC$4982,27,FALSE)</f>
        <v xml:space="preserve">HS2020  </v>
      </c>
      <c r="W150" s="180" t="str">
        <f>VLOOKUP(LEFT(Table1[[#This Row],[LastName]],1),Alpha!$A$1:$B$26,2,FALSE)</f>
        <v>Maureen Ranks</v>
      </c>
      <c r="X150" s="205" t="str">
        <f>VLOOKUP(Table1[[#This Row],[FAA]],Alpha!$B$1:$D$26,2,FALSE)</f>
        <v>mranks@neumont.edu</v>
      </c>
      <c r="Y150" s="180">
        <f>VLOOKUP(Table1[[#This Row],[FAA]],Alpha!$B$1:$D$26,3,FALSE)</f>
        <v>8883022894</v>
      </c>
      <c r="Z150" s="180" t="str">
        <f>VLOOKUP(Table1[[#This Row],[SyStudentId]],SSR!$A$2:$CC$4982,30,FALSE)</f>
        <v>16-Accepted</v>
      </c>
      <c r="AA150" s="180" t="str">
        <f>IF(VLOOKUP(Table1[[#This Row],[SyStudentId]],SSR!$A$2:$CC$4982,36,FALSE)="Bachelor of Science","BS Computer Science","Check Program")</f>
        <v>BS Computer Science</v>
      </c>
      <c r="AB150" s="180" t="str">
        <f>VLOOKUP(Table1[[#This Row],[SyStudentId]],SSR!$A$2:$CC$4982,37,FALSE)</f>
        <v xml:space="preserve">25      </v>
      </c>
      <c r="AC150" s="180">
        <f>VLOOKUP(Table1[[#This Row],[SyStudentId]],SSR!$A$2:$CC$4982,42,FALSE)</f>
        <v>0</v>
      </c>
      <c r="AD150" s="180" t="str">
        <f>VLOOKUP(Table1[[#This Row],[SyStudentId]],SSR!$A$2:$CC$4982,46,FALSE)</f>
        <v>113</v>
      </c>
      <c r="AE150" s="180" t="str">
        <f>VLOOKUP(Table1[[#This Row],[SyStudentId]],SSR!$A$2:$CC$4982,65,FALSE)</f>
        <v>III</v>
      </c>
      <c r="AF150" s="206">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150" s="180" t="str">
        <f>VLOOKUP(Table1[[#This Row],[SyStudentId]],SSR!$A$2:$CC$4982,66,FALSE)</f>
        <v>July-October</v>
      </c>
      <c r="AH150" s="180" t="str">
        <f>IFERROR(VLOOKUP(Table1[[#This Row],[SyStudentId]],ISIR!$A$2:$X$1999,7,FALSE),"")</f>
        <v/>
      </c>
      <c r="AI150" s="207" t="str">
        <f>IF(Table1[[#This Row],[EFCRaw]]="","",IF(Table1[[#This Row],[EFCRaw]]="No EFC","No EFC",_xlfn.NUMBERVALUE(Table1[[#This Row],[EFCRaw]])))</f>
        <v/>
      </c>
      <c r="AJ150" s="204" t="str">
        <f>IFERROR(VLOOKUP(Table1[[#This Row],[SyStudentId]],ISIR!$A$2:$X$4999,19,FALSE),"")</f>
        <v/>
      </c>
      <c r="AK150" s="180" t="str">
        <f>IFERROR(VLOOKUP(Table1[[#This Row],[SyStudentId]],ISIR!$A$2:$X$4999,8,FALSE),"")</f>
        <v/>
      </c>
      <c r="AL150" s="208" t="str">
        <f>IF(Table1[[#This Row],[VerReq]]="N","n/a","")</f>
        <v/>
      </c>
      <c r="AM150" s="193"/>
      <c r="AN150" s="193"/>
      <c r="AO150" s="193"/>
      <c r="AP150" s="193"/>
      <c r="AQ150" s="193"/>
      <c r="AR150" s="193"/>
      <c r="AS150" s="193"/>
      <c r="AT150" s="193"/>
      <c r="AU150" s="193"/>
      <c r="AV150" s="193"/>
      <c r="AW150" s="193"/>
      <c r="AX150" s="193"/>
      <c r="AY150" s="193"/>
      <c r="AZ150" s="193"/>
      <c r="BA150" s="193"/>
      <c r="BB150" s="193"/>
      <c r="BC150" s="272"/>
      <c r="BD150" s="140" t="str">
        <f>IF(Table1[[#This Row],[VerReq]]="N","x","")</f>
        <v/>
      </c>
      <c r="BE150" s="140" t="str">
        <f>IF(Table1[[#This Row],[VerReq]]="N","x","")</f>
        <v/>
      </c>
      <c r="BF150" s="140" t="str">
        <f>IF(Table1[[#This Row],[VerReq]]="N","x","")</f>
        <v/>
      </c>
      <c r="BG150" s="140" t="str">
        <f>IF(Table1[[#This Row],[VerReq]]="N","x","")</f>
        <v/>
      </c>
      <c r="BH150" s="140" t="str">
        <f>IF(Table1[[#This Row],[VerReq]]="N","x","")</f>
        <v/>
      </c>
      <c r="BI150" s="140" t="str">
        <f>IF(Table1[[#This Row],[VerReq]]="N","x","")</f>
        <v/>
      </c>
      <c r="BJ150" s="209">
        <f>1-((COUNTBLANK(Table1[[#This Row],[ALESent]:[TaxTran]]))/(COUNT(Table1[[#This Row],[ALESent]:[TaxTran]])+COUNTBLANK(Table1[[#This Row],[ALESent]:[TaxTran]])))</f>
        <v>0</v>
      </c>
      <c r="BK150" s="274">
        <f>IF(VLOOKUP(Table1[[#This Row],[SyStudentId]],SSR!$A$2:$CC$4982,22,FALSE)=44109,44109,"Check Program")</f>
        <v>44109</v>
      </c>
      <c r="BL150" s="274">
        <f>IF(Table1[[#This Row],[AYStart]]=44109,44356,"Check Program")</f>
        <v>44356</v>
      </c>
      <c r="BM150" s="219">
        <v>8505</v>
      </c>
      <c r="BN150" s="219">
        <v>8505</v>
      </c>
      <c r="BO150" s="219">
        <v>8505</v>
      </c>
      <c r="BP150" s="220">
        <f t="shared" si="6"/>
        <v>25515</v>
      </c>
      <c r="BQ150" s="221">
        <v>3300</v>
      </c>
      <c r="BR150" s="219">
        <v>400</v>
      </c>
      <c r="BS150" s="219">
        <v>400</v>
      </c>
      <c r="BT150" s="225">
        <f t="shared" si="7"/>
        <v>4100</v>
      </c>
      <c r="BU150" s="219">
        <v>2100</v>
      </c>
      <c r="BV150" s="219">
        <v>2100</v>
      </c>
      <c r="BW150" s="219">
        <v>2100</v>
      </c>
      <c r="BX150" s="222">
        <f t="shared" si="8"/>
        <v>6300</v>
      </c>
      <c r="BY150" s="275">
        <v>1200</v>
      </c>
      <c r="BZ150" s="275">
        <v>1200</v>
      </c>
      <c r="CA150" s="275">
        <v>1200</v>
      </c>
      <c r="CB150" s="222">
        <f>SUM(Table1[[#This Row],[LEQ1]:[LEQ3]])</f>
        <v>3600</v>
      </c>
      <c r="CC150" s="276">
        <v>0</v>
      </c>
      <c r="CD150" s="276">
        <v>0</v>
      </c>
      <c r="CE150" s="276">
        <v>0</v>
      </c>
      <c r="CF150" s="222">
        <f>SUM(Table1[[#This Row],[OthCostQ1]:[OthCostQ3]])</f>
        <v>0</v>
      </c>
      <c r="CG150" s="225">
        <f>(Table1[[#This Row],[T&amp;FTot]]+Table1[[#This Row],[B&amp;STot]]+Table1[[#This Row],[HousTot]]+Table1[[#This Row],[LETot]]+Table1[[#This Row],[OthCostTot]])</f>
        <v>39515</v>
      </c>
      <c r="CH150" s="259">
        <v>0</v>
      </c>
      <c r="CI150" s="259">
        <v>0</v>
      </c>
      <c r="CJ150" s="259">
        <v>0</v>
      </c>
      <c r="CK150" s="260">
        <f>SUM(Table1[[#This Row],[SEOGQ1]:[SEOGQ3]])</f>
        <v>0</v>
      </c>
      <c r="CL150" s="259">
        <f>IFERROR(ROUNDUP(Table1[[#This Row],[PellTot]]/3,0),0)</f>
        <v>0</v>
      </c>
      <c r="CM150" s="259">
        <f>IFERROR(ROUND(Table1[[#This Row],[PellTot]]/3,0),0)</f>
        <v>0</v>
      </c>
      <c r="CN150" s="259">
        <f>IFERROR(ROUNDDOWN(Table1[[#This Row],[PellTot]]/3,0),0)</f>
        <v>0</v>
      </c>
      <c r="CO150" s="260">
        <f>IFERROR(LOOKUP(Table1[EFC],Pell_Table[#Data],Pell_Table[Pell Amt]),0)</f>
        <v>0</v>
      </c>
      <c r="CP150" s="259">
        <f>Table1[[#This Row],[AccessTot]]/3</f>
        <v>0</v>
      </c>
      <c r="CQ150" s="259">
        <f>Table1[[#This Row],[AccessTot]]/3</f>
        <v>0</v>
      </c>
      <c r="CR150" s="259">
        <f>Table1[[#This Row],[AccessTot]]/3</f>
        <v>0</v>
      </c>
      <c r="CS150" s="260">
        <f>IF(Table1[[#This Row],[PellTot]]&gt;0,1500,0)</f>
        <v>0</v>
      </c>
      <c r="CT150" s="259">
        <f>Table1[[#This Row],[AchiTot]]/3</f>
        <v>1300</v>
      </c>
      <c r="CU150" s="259">
        <f>Table1[[#This Row],[AchiTot]]/3</f>
        <v>1300</v>
      </c>
      <c r="CV150" s="259">
        <f>Table1[[#This Row],[AchiTot]]/3</f>
        <v>1300</v>
      </c>
      <c r="CW150" s="261">
        <f>IF(Table1[[#This Row],[Rank]]="","",IF(Table1[[#This Row],[Rank]]=1,5100,IF(Table1[[#This Row],[Rank]]=2,4500,IF(Table1[[#This Row],[Rank]]=3,3900,IF(Table1[[#This Row],[Rank]]=4,3750,IF(Table1[[#This Row],[Rank]]=5,3000,IF(Table1[[#This Row],[Rank]]=6,2250,0)))))))</f>
        <v>3900</v>
      </c>
      <c r="CX150" s="259">
        <f>Table1[[#This Row],[UTTot]]/3</f>
        <v>0</v>
      </c>
      <c r="CY150" s="259">
        <f>Table1[[#This Row],[UTTot]]/3</f>
        <v>0</v>
      </c>
      <c r="CZ150" s="259">
        <f>Table1[[#This Row],[UTTot]]/3</f>
        <v>0</v>
      </c>
      <c r="DA150" s="260">
        <f>IF(Table1[[#This Row],[State]]="UT",9000,0)</f>
        <v>0</v>
      </c>
      <c r="DB150" s="259">
        <f>Table1[[#This Row],[WITTot]]/3</f>
        <v>0</v>
      </c>
      <c r="DC150" s="259">
        <f>Table1[[#This Row],[WITTot]]/3</f>
        <v>0</v>
      </c>
      <c r="DD150" s="259">
        <f>Table1[[#This Row],[WITTot]]/3</f>
        <v>0</v>
      </c>
      <c r="DE150" s="260">
        <f>IF(Table1[[#This Row],[Gender]]="Female",3000,0)</f>
        <v>0</v>
      </c>
      <c r="DF150" s="259">
        <f>Table1[[#This Row],[SerTot]]/3</f>
        <v>0</v>
      </c>
      <c r="DG150" s="259">
        <f>Table1[[#This Row],[SerTot]]/3</f>
        <v>0</v>
      </c>
      <c r="DH150" s="259">
        <f>Table1[[#This Row],[SerTot]]/3</f>
        <v>0</v>
      </c>
      <c r="DI150" s="261">
        <v>0</v>
      </c>
      <c r="DJ150" s="259">
        <f>IFERROR(ROUNDUP(Table1[[#This Row],[TranTot]]/3,0),0)</f>
        <v>0</v>
      </c>
      <c r="DK150" s="259">
        <f>IFERROR(ROUND(Table1[[#This Row],[TranTot]]/3,0),0)</f>
        <v>0</v>
      </c>
      <c r="DL150" s="259">
        <f>IFERROR(ROUNDDOWN(Table1[[#This Row],[TranTot]]/3,0),0)</f>
        <v>0</v>
      </c>
      <c r="DM150" s="261">
        <v>0</v>
      </c>
      <c r="DN150" s="259">
        <f>Table1[[#This Row],[MatTot]]/3</f>
        <v>0</v>
      </c>
      <c r="DO150" s="259">
        <f>Table1[[#This Row],[MatTot]]/3</f>
        <v>0</v>
      </c>
      <c r="DP150" s="259">
        <f>Table1[[#This Row],[MatTot]]/3</f>
        <v>0</v>
      </c>
      <c r="DQ150" s="261">
        <v>0</v>
      </c>
      <c r="DR150" s="259">
        <f>Table1[[#This Row],[OutTot]]/3</f>
        <v>0</v>
      </c>
      <c r="DS150" s="259">
        <f>Table1[[#This Row],[OutTot]]/3</f>
        <v>0</v>
      </c>
      <c r="DT150" s="259">
        <f>Table1[[#This Row],[OutTot]]/3</f>
        <v>0</v>
      </c>
      <c r="DU150" s="261">
        <v>0</v>
      </c>
      <c r="DV150" s="259">
        <v>0</v>
      </c>
      <c r="DW150" s="259">
        <v>0</v>
      </c>
      <c r="DX150" s="259">
        <v>0</v>
      </c>
      <c r="DY150" s="261">
        <f>SUM(Table1[[#This Row],[VAQ1]:[VAQ3]])</f>
        <v>0</v>
      </c>
      <c r="DZ150" s="259">
        <v>0</v>
      </c>
      <c r="EA150" s="259">
        <v>0</v>
      </c>
      <c r="EB150" s="259">
        <v>0</v>
      </c>
      <c r="EC150" s="280">
        <f>SUM(Table1[[#This Row],[OthGrantQ1]:[OthGrantQ3]])</f>
        <v>0</v>
      </c>
      <c r="ED150" s="266">
        <f>Table1[[#This Row],[SEOGTot]]+Table1[[#This Row],[PellTot]]+Table1[[#This Row],[AccessTot]]+Table1[[#This Row],[AchiTot]]+Table1[[#This Row],[UTTot]]+Table1[[#This Row],[WITTot]]+Table1[[#This Row],[SerTot]]+Table1[[#This Row],[TranTot]]+Table1[[#This Row],[MatTot]]+Table1[[#This Row],[OutTot]]+Table1[[#This Row],[VATot]]+Table1[[#This Row],[OthGrantTot]]</f>
        <v>3900</v>
      </c>
      <c r="EE150" s="298">
        <v>0</v>
      </c>
      <c r="EF150" s="227">
        <v>0</v>
      </c>
      <c r="EG150" s="227">
        <v>0</v>
      </c>
      <c r="EH150" s="228">
        <f>SUM(Table1[[#This Row],[CashQ1]]:Table1[[#This Row],[CashQ3]])</f>
        <v>0</v>
      </c>
      <c r="EI150" s="229">
        <f>ROUND((Table1[[#This Row],[SubTot]]/3)/1.01059,0)</f>
        <v>1154</v>
      </c>
      <c r="EJ150" s="230">
        <f>ROUND((Table1[[#This Row],[SubTot]]/3)/1.01059,0)</f>
        <v>1154</v>
      </c>
      <c r="EK150" s="230">
        <f>ROUNDUP((Table1[[#This Row],[SubTot]]/3)/1.01059,0)</f>
        <v>1155</v>
      </c>
      <c r="EL150" s="231">
        <v>3500</v>
      </c>
      <c r="EM150" s="245">
        <f>Table1[[#This Row],[SubTot]]*0.01059</f>
        <v>37.065000000000005</v>
      </c>
      <c r="EN150" s="230">
        <f>ROUND((Table1[[#This Row],[UnsubTot]]/3)/1.01062,0)</f>
        <v>660</v>
      </c>
      <c r="EO150" s="230">
        <f>ROUND((Table1[[#This Row],[UnsubTot]]/3)/1.01062,0)</f>
        <v>660</v>
      </c>
      <c r="EP150" s="230">
        <f>ROUNDDOWN((Table1[[#This Row],[UnsubTot]]/3)/1.01062,0)</f>
        <v>659</v>
      </c>
      <c r="EQ150" s="231">
        <f>IF(Table1[D/I]="I",6000,2000)</f>
        <v>2000</v>
      </c>
      <c r="ER150" s="233">
        <f>Table1[[#This Row],[UnsubTot]]*0.01059</f>
        <v>21.18</v>
      </c>
      <c r="ES150" s="230">
        <f>ROUND((Table1[[#This Row],[PLUSTot]]/3)/1.04236,0)</f>
        <v>0</v>
      </c>
      <c r="ET150" s="230">
        <f>ROUND((Table1[[#This Row],[PLUSTot]]/3)/1.04236,0)</f>
        <v>0</v>
      </c>
      <c r="EU150" s="230">
        <f>ROUND((Table1[[#This Row],[PLUSTot]]/3)/1.04236,0)</f>
        <v>0</v>
      </c>
      <c r="EV150" s="231">
        <v>0</v>
      </c>
      <c r="EW150" s="246">
        <f>Table1[[#This Row],[PLUSTot]]*0.04236</f>
        <v>0</v>
      </c>
      <c r="EX150" s="247"/>
      <c r="EY150" s="247"/>
      <c r="EZ150" s="247"/>
      <c r="FA150" s="248">
        <f>SUM(Table1[[#This Row],[PrivQ1]:[PrivQ3]])</f>
        <v>0</v>
      </c>
      <c r="FB150" s="247"/>
      <c r="FC150" s="247"/>
      <c r="FD150" s="247"/>
      <c r="FE150" s="248">
        <f>SUM(Table1[[#This Row],[TOQ1]:[TOQ3]])</f>
        <v>0</v>
      </c>
      <c r="FF150" s="247"/>
      <c r="FG150" s="247"/>
      <c r="FH150" s="247"/>
      <c r="FI150" s="248">
        <f>SUM(Table1[[#This Row],[OFundQ1]:[OFundQ3]])</f>
        <v>0</v>
      </c>
      <c r="FJ150" s="246">
        <f>(Table1[[#This Row],[SubTot]]-Table1[[#This Row],[SubFee]])+(Table1[[#This Row],[UnsubTot]]-Table1[[#This Row],[UnsubFee]])+(Table1[[#This Row],[PLUSTot]]-Table1[[#This Row],[PLUSFee]])+Table1[[#This Row],[PrivTot]]+Table1[[#This Row],[TOTot]]+Table1[[#This Row],[OFundTot]]</f>
        <v>5441.7550000000001</v>
      </c>
      <c r="FK150" s="211">
        <f>Table1[[#This Row],[CostTot]]-Table1[[#This Row],[GiftTot]]</f>
        <v>35615</v>
      </c>
      <c r="FL150" s="212">
        <f>Table1[[#This Row],[NetNeed]]/(1-0.04236)</f>
        <v>31507.920512927612</v>
      </c>
      <c r="FM150" s="213">
        <f>Table1[[#This Row],[NetCost]]-Table1[[#This Row],[CashTot]]-(Table1[[#This Row],[SubTot]]-Table1[[#This Row],[SubFee]])-(Table1[[#This Row],[UnsubTot]]-Table1[[#This Row],[UnsubFee]])-(Table1[[#This Row],[PLUSTot]]-Table1[[#This Row],[PLUSFee]])-Table1[[#This Row],[PrivTot]]-Table1[[#This Row],[TOTot]]-Table1[[#This Row],[OFundTot]]</f>
        <v>30173.244999999999</v>
      </c>
      <c r="FN150" s="217"/>
      <c r="FO150" s="162"/>
      <c r="FP150" s="162"/>
    </row>
    <row r="151" spans="1:172" ht="15" x14ac:dyDescent="0.25">
      <c r="A151" s="287">
        <v>195360</v>
      </c>
      <c r="B151" s="160" t="str">
        <f>VLOOKUP(Table1[[#This Row],[SyStudentId]],SSR!$A$2:$CC$4982,4,FALSE)</f>
        <v>Sosa</v>
      </c>
      <c r="C151" s="160" t="str">
        <f>VLOOKUP(Table1[[#This Row],[SyStudentId]],SSR!$A$2:$CC$4982,5,FALSE)</f>
        <v>Edward</v>
      </c>
      <c r="D151" s="160" t="str">
        <f>VLOOKUP(Table1[[#This Row],[SyStudentId]],SSR!$A$2:$CC$4982,6,FALSE)</f>
        <v>Sosa, Edward</v>
      </c>
      <c r="E151" s="113" t="str">
        <f>CONCATENATE(Table1[[#This Row],[FirstName]]," ",Table1[[#This Row],[LastName]])</f>
        <v>Edward Sosa</v>
      </c>
      <c r="F151" s="158"/>
      <c r="G151" s="114"/>
      <c r="H151" s="114"/>
      <c r="I151" s="114"/>
      <c r="J151" s="163"/>
      <c r="K151" s="164"/>
      <c r="L151" s="158" t="str">
        <f>IFERROR(VLOOKUP(Table1[[#This Row],[SyStudentId]],ISIR!$A$2:$X$4999,11,FALSE),"")</f>
        <v>D</v>
      </c>
      <c r="M151" s="160" t="str">
        <f>VLOOKUP(Table1[[#This Row],[SyStudentId]],SSR!$A$2:$CC$4982,7,FALSE)</f>
        <v>halo-20@outlook.com</v>
      </c>
      <c r="N151" s="160" t="str">
        <f>VLOOKUP(Table1[[#This Row],[SyStudentId]],SSR!$A$2:$CC$4982,8,FALSE)</f>
        <v>507 Mcnutt Rd</v>
      </c>
      <c r="O151" s="160" t="str">
        <f>VLOOKUP(Table1[[#This Row],[SyStudentId]],SSR!$A$2:$CC$4982,9,FALSE)</f>
        <v>Sunland Park</v>
      </c>
      <c r="P151" s="230" t="str">
        <f>VLOOKUP(Table1[[#This Row],[SyStudentId]],SSR!$A$2:$CC$4982,10,FALSE)</f>
        <v>NM</v>
      </c>
      <c r="Q151" s="165" t="str">
        <f>VLOOKUP(Table1[[#This Row],[SyStudentId]],SSR!$A$2:$CC$4982,11,FALSE)</f>
        <v xml:space="preserve">88063     </v>
      </c>
      <c r="R151" s="166">
        <f>VLOOKUP(Table1[[#This Row],[SyStudentId]],SSR!$A$2:$CC$4982,15,FALSE)</f>
        <v>2.8570000000000002</v>
      </c>
      <c r="S151" s="167">
        <f>VLOOKUP(Table1[[#This Row],[SyStudentId]],SSR!$A$2:$CC$4982,22,FALSE)</f>
        <v>44109</v>
      </c>
      <c r="T151" s="160" t="str">
        <f>VLOOKUP(Table1[[#This Row],[SyStudentId]],SSR!$A$2:$CC$4982,24,FALSE)</f>
        <v>MN</v>
      </c>
      <c r="U151" s="160" t="str">
        <f>IF(VLOOKUP(Table1[[#This Row],[SyStudentId]],SSR!$A$2:$CC$4982,26,FALSE)=0,"Not Selected",VLOOKUP(Table1[[#This Row],[SyStudentId]],SSR!$A$2:$CC$4982,26,FALSE))</f>
        <v>Male</v>
      </c>
      <c r="V151" s="160" t="str">
        <f>VLOOKUP(Table1[[#This Row],[SyStudentId]],SSR!$A$2:$CC$4982,27,FALSE)</f>
        <v xml:space="preserve">HS2019  </v>
      </c>
      <c r="W151" s="160" t="str">
        <f>VLOOKUP(LEFT(Table1[[#This Row],[LastName]],1),Alpha!$A$1:$B$26,2,FALSE)</f>
        <v>Maureen Ranks</v>
      </c>
      <c r="X151" s="179" t="str">
        <f>VLOOKUP(Table1[[#This Row],[FAA]],Alpha!$B$1:$D$26,2,FALSE)</f>
        <v>mranks@neumont.edu</v>
      </c>
      <c r="Y151" s="160">
        <f>VLOOKUP(Table1[[#This Row],[FAA]],Alpha!$B$1:$D$26,3,FALSE)</f>
        <v>8883022894</v>
      </c>
      <c r="Z151" s="160" t="str">
        <f>VLOOKUP(Table1[[#This Row],[SyStudentId]],SSR!$A$2:$CC$4982,30,FALSE)</f>
        <v>16-Accepted</v>
      </c>
      <c r="AA151" s="160" t="str">
        <f>IF(VLOOKUP(Table1[[#This Row],[SyStudentId]],SSR!$A$2:$CC$4982,36,FALSE)="Bachelor of Science","BS Computer Science","Check Program")</f>
        <v>BS Computer Science</v>
      </c>
      <c r="AB151" s="160">
        <f>VLOOKUP(Table1[[#This Row],[SyStudentId]],SSR!$A$2:$CC$4982,37,FALSE)</f>
        <v>0</v>
      </c>
      <c r="AC151" s="160" t="str">
        <f>VLOOKUP(Table1[[#This Row],[SyStudentId]],SSR!$A$2:$CC$4982,42,FALSE)</f>
        <v xml:space="preserve">830     </v>
      </c>
      <c r="AD151" s="160" t="str">
        <f>VLOOKUP(Table1[[#This Row],[SyStudentId]],SSR!$A$2:$CC$4982,46,FALSE)</f>
        <v>89</v>
      </c>
      <c r="AE151" s="160" t="str">
        <f>VLOOKUP(Table1[[#This Row],[SyStudentId]],SSR!$A$2:$CC$4982,65,FALSE)</f>
        <v>VIII</v>
      </c>
      <c r="AF151"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151" s="160" t="str">
        <f>VLOOKUP(Table1[[#This Row],[SyStudentId]],SSR!$A$2:$CC$4982,66,FALSE)</f>
        <v>July-October</v>
      </c>
      <c r="AH151" s="160" t="str">
        <f>IFERROR(VLOOKUP(Table1[[#This Row],[SyStudentId]],ISIR!$A$2:$X$1999,7,FALSE),"")</f>
        <v>000000</v>
      </c>
      <c r="AI151" s="170">
        <f>IF(Table1[[#This Row],[EFCRaw]]="","",IF(Table1[[#This Row],[EFCRaw]]="No EFC","No EFC",_xlfn.NUMBERVALUE(Table1[[#This Row],[EFCRaw]])))</f>
        <v>0</v>
      </c>
      <c r="AJ151" s="167">
        <f>IFERROR(VLOOKUP(Table1[[#This Row],[SyStudentId]],ISIR!$A$2:$X$4999,19,FALSE),"")</f>
        <v>43790</v>
      </c>
      <c r="AK151" s="160" t="str">
        <f>IFERROR(VLOOKUP(Table1[[#This Row],[SyStudentId]],ISIR!$A$2:$X$4999,8,FALSE),"")</f>
        <v>N</v>
      </c>
      <c r="AL151" s="171" t="str">
        <f>IF(Table1[[#This Row],[VerReq]]="N","n/a","")</f>
        <v>n/a</v>
      </c>
      <c r="AM151" s="122"/>
      <c r="AN151" s="122"/>
      <c r="AO151" s="122"/>
      <c r="AP151" s="122"/>
      <c r="AQ151" s="122"/>
      <c r="AR151" s="122"/>
      <c r="AS151" s="122"/>
      <c r="AT151" s="122"/>
      <c r="AU151" s="122"/>
      <c r="AV151" s="122"/>
      <c r="AW151" s="122"/>
      <c r="AX151" s="122"/>
      <c r="AY151" s="122"/>
      <c r="AZ151" s="122"/>
      <c r="BA151" s="122"/>
      <c r="BB151" s="122"/>
      <c r="BC151" s="148"/>
      <c r="BD151" s="140" t="str">
        <f>IF(Table1[[#This Row],[VerReq]]="N","x","")</f>
        <v>x</v>
      </c>
      <c r="BE151" s="140" t="str">
        <f>IF(Table1[[#This Row],[VerReq]]="N","x","")</f>
        <v>x</v>
      </c>
      <c r="BF151" s="140" t="str">
        <f>IF(Table1[[#This Row],[VerReq]]="N","x","")</f>
        <v>x</v>
      </c>
      <c r="BG151" s="140" t="str">
        <f>IF(Table1[[#This Row],[VerReq]]="N","x","")</f>
        <v>x</v>
      </c>
      <c r="BH151" s="140" t="str">
        <f>IF(Table1[[#This Row],[VerReq]]="N","x","")</f>
        <v>x</v>
      </c>
      <c r="BI151" s="140" t="str">
        <f>IF(Table1[[#This Row],[VerReq]]="N","x","")</f>
        <v>x</v>
      </c>
      <c r="BJ151" s="181">
        <f>1-((COUNTBLANK(Table1[[#This Row],[ALESent]:[TaxTran]]))/(COUNT(Table1[[#This Row],[ALESent]:[TaxTran]])+COUNTBLANK(Table1[[#This Row],[ALESent]:[TaxTran]])))</f>
        <v>0</v>
      </c>
      <c r="BK151" s="216">
        <f>IF(VLOOKUP(Table1[[#This Row],[SyStudentId]],SSR!$A$2:$CC$4982,22,FALSE)=44109,44109,"Check Program")</f>
        <v>44109</v>
      </c>
      <c r="BL151" s="216">
        <f>IF(Table1[[#This Row],[AYStart]]=44109,44356,"Check Program")</f>
        <v>44356</v>
      </c>
      <c r="BM151" s="219">
        <v>8505</v>
      </c>
      <c r="BN151" s="219">
        <v>8505</v>
      </c>
      <c r="BO151" s="219">
        <v>8505</v>
      </c>
      <c r="BP151" s="220">
        <f t="shared" si="6"/>
        <v>25515</v>
      </c>
      <c r="BQ151" s="221">
        <v>3300</v>
      </c>
      <c r="BR151" s="219">
        <v>400</v>
      </c>
      <c r="BS151" s="219">
        <v>400</v>
      </c>
      <c r="BT151" s="222">
        <f t="shared" si="7"/>
        <v>4100</v>
      </c>
      <c r="BU151" s="219">
        <v>2100</v>
      </c>
      <c r="BV151" s="219">
        <v>2100</v>
      </c>
      <c r="BW151" s="219">
        <v>2100</v>
      </c>
      <c r="BX151" s="222">
        <f t="shared" si="8"/>
        <v>6300</v>
      </c>
      <c r="BY151" s="275">
        <v>1200</v>
      </c>
      <c r="BZ151" s="275">
        <v>1200</v>
      </c>
      <c r="CA151" s="275">
        <v>1200</v>
      </c>
      <c r="CB151" s="222">
        <f>SUM(Table1[[#This Row],[LEQ1]:[LEQ3]])</f>
        <v>3600</v>
      </c>
      <c r="CC151" s="276">
        <v>0</v>
      </c>
      <c r="CD151" s="276">
        <v>0</v>
      </c>
      <c r="CE151" s="276">
        <v>0</v>
      </c>
      <c r="CF151" s="222">
        <f>SUM(Table1[[#This Row],[OthCostQ1]:[OthCostQ3]])</f>
        <v>0</v>
      </c>
      <c r="CG151" s="222">
        <f>(Table1[[#This Row],[T&amp;FTot]]+Table1[[#This Row],[B&amp;STot]]+Table1[[#This Row],[HousTot]]+Table1[[#This Row],[LETot]]+Table1[[#This Row],[OthCostTot]])</f>
        <v>39515</v>
      </c>
      <c r="CH151" s="253">
        <v>0</v>
      </c>
      <c r="CI151" s="253">
        <v>0</v>
      </c>
      <c r="CJ151" s="253">
        <v>0</v>
      </c>
      <c r="CK151" s="254">
        <f>SUM(Table1[[#This Row],[SEOGQ1]:[SEOGQ3]])</f>
        <v>0</v>
      </c>
      <c r="CL151" s="253">
        <f>IFERROR(ROUNDUP(Table1[[#This Row],[PellTot]]/3,0),0)</f>
        <v>2065</v>
      </c>
      <c r="CM151" s="253">
        <f>IFERROR(ROUND(Table1[[#This Row],[PellTot]]/3,0),0)</f>
        <v>2065</v>
      </c>
      <c r="CN151" s="253">
        <f>IFERROR(ROUNDDOWN(Table1[[#This Row],[PellTot]]/3,0),0)</f>
        <v>2065</v>
      </c>
      <c r="CO151" s="254">
        <f>IFERROR(LOOKUP(Table1[EFC],Pell_Table[#Data],Pell_Table[Pell Amt]),0)</f>
        <v>6195</v>
      </c>
      <c r="CP151" s="253">
        <f>Table1[[#This Row],[AccessTot]]/3</f>
        <v>500</v>
      </c>
      <c r="CQ151" s="253">
        <f>Table1[[#This Row],[AccessTot]]/3</f>
        <v>500</v>
      </c>
      <c r="CR151" s="253">
        <f>Table1[[#This Row],[AccessTot]]/3</f>
        <v>500</v>
      </c>
      <c r="CS151" s="254">
        <f>IF(Table1[[#This Row],[PellTot]]&gt;0,1500,0)</f>
        <v>1500</v>
      </c>
      <c r="CT151" s="253">
        <f>Table1[[#This Row],[AchiTot]]/3</f>
        <v>0</v>
      </c>
      <c r="CU151" s="253">
        <f>Table1[[#This Row],[AchiTot]]/3</f>
        <v>0</v>
      </c>
      <c r="CV151" s="253">
        <f>Table1[[#This Row],[AchiTot]]/3</f>
        <v>0</v>
      </c>
      <c r="CW151" s="255">
        <f>IF(Table1[[#This Row],[Rank]]="","",IF(Table1[[#This Row],[Rank]]=1,5100,IF(Table1[[#This Row],[Rank]]=2,4500,IF(Table1[[#This Row],[Rank]]=3,3900,IF(Table1[[#This Row],[Rank]]=4,3750,IF(Table1[[#This Row],[Rank]]=5,3000,IF(Table1[[#This Row],[Rank]]=6,2250,0)))))))</f>
        <v>0</v>
      </c>
      <c r="CX151" s="253">
        <f>Table1[[#This Row],[UTTot]]/3</f>
        <v>0</v>
      </c>
      <c r="CY151" s="253">
        <f>Table1[[#This Row],[UTTot]]/3</f>
        <v>0</v>
      </c>
      <c r="CZ151" s="253">
        <f>Table1[[#This Row],[UTTot]]/3</f>
        <v>0</v>
      </c>
      <c r="DA151" s="254">
        <f>IF(Table1[[#This Row],[State]]="UT",9000,0)</f>
        <v>0</v>
      </c>
      <c r="DB151" s="253">
        <f>Table1[[#This Row],[WITTot]]/3</f>
        <v>0</v>
      </c>
      <c r="DC151" s="253">
        <f>Table1[[#This Row],[WITTot]]/3</f>
        <v>0</v>
      </c>
      <c r="DD151" s="253">
        <f>Table1[[#This Row],[WITTot]]/3</f>
        <v>0</v>
      </c>
      <c r="DE151" s="254">
        <f>IF(Table1[[#This Row],[Gender]]="Female",3000,0)</f>
        <v>0</v>
      </c>
      <c r="DF151" s="253">
        <f>Table1[[#This Row],[SerTot]]/3</f>
        <v>0</v>
      </c>
      <c r="DG151" s="253">
        <f>Table1[[#This Row],[SerTot]]/3</f>
        <v>0</v>
      </c>
      <c r="DH151" s="253">
        <f>Table1[[#This Row],[SerTot]]/3</f>
        <v>0</v>
      </c>
      <c r="DI151" s="255">
        <v>0</v>
      </c>
      <c r="DJ151" s="253">
        <f>IFERROR(ROUNDUP(Table1[[#This Row],[TranTot]]/3,0),0)</f>
        <v>0</v>
      </c>
      <c r="DK151" s="253">
        <f>IFERROR(ROUND(Table1[[#This Row],[TranTot]]/3,0),0)</f>
        <v>0</v>
      </c>
      <c r="DL151" s="253">
        <f>IFERROR(ROUNDDOWN(Table1[[#This Row],[TranTot]]/3,0),0)</f>
        <v>0</v>
      </c>
      <c r="DM151" s="255">
        <v>0</v>
      </c>
      <c r="DN151" s="253">
        <f>Table1[[#This Row],[MatTot]]/3</f>
        <v>0</v>
      </c>
      <c r="DO151" s="253">
        <f>Table1[[#This Row],[MatTot]]/3</f>
        <v>0</v>
      </c>
      <c r="DP151" s="253">
        <f>Table1[[#This Row],[MatTot]]/3</f>
        <v>0</v>
      </c>
      <c r="DQ151" s="255">
        <v>0</v>
      </c>
      <c r="DR151" s="253">
        <f>Table1[[#This Row],[OutTot]]/3</f>
        <v>0</v>
      </c>
      <c r="DS151" s="253">
        <f>Table1[[#This Row],[OutTot]]/3</f>
        <v>0</v>
      </c>
      <c r="DT151" s="253">
        <f>Table1[[#This Row],[OutTot]]/3</f>
        <v>0</v>
      </c>
      <c r="DU151" s="255">
        <v>0</v>
      </c>
      <c r="DV151" s="253">
        <v>0</v>
      </c>
      <c r="DW151" s="253">
        <v>0</v>
      </c>
      <c r="DX151" s="253">
        <v>0</v>
      </c>
      <c r="DY151" s="255">
        <f>SUM(Table1[[#This Row],[VAQ1]:[VAQ3]])</f>
        <v>0</v>
      </c>
      <c r="DZ151" s="253">
        <v>0</v>
      </c>
      <c r="EA151" s="253">
        <v>0</v>
      </c>
      <c r="EB151" s="253">
        <v>0</v>
      </c>
      <c r="EC151" s="278">
        <f>SUM(Table1[[#This Row],[OthGrantQ1]:[OthGrantQ3]])</f>
        <v>0</v>
      </c>
      <c r="ED151" s="264">
        <f>Table1[[#This Row],[SEOGTot]]+Table1[[#This Row],[PellTot]]+Table1[[#This Row],[AccessTot]]+Table1[[#This Row],[AchiTot]]+Table1[[#This Row],[UTTot]]+Table1[[#This Row],[WITTot]]+Table1[[#This Row],[SerTot]]+Table1[[#This Row],[TranTot]]+Table1[[#This Row],[MatTot]]+Table1[[#This Row],[OutTot]]+Table1[[#This Row],[VATot]]+Table1[[#This Row],[OthGrantTot]]</f>
        <v>7695</v>
      </c>
      <c r="EE151" s="298">
        <v>0</v>
      </c>
      <c r="EF151" s="227">
        <v>0</v>
      </c>
      <c r="EG151" s="227">
        <v>0</v>
      </c>
      <c r="EH151" s="228">
        <f>SUM(Table1[[#This Row],[CashQ1]]:Table1[[#This Row],[CashQ3]])</f>
        <v>0</v>
      </c>
      <c r="EI151" s="229">
        <f>ROUND((Table1[[#This Row],[SubTot]]/3)/1.01059,0)</f>
        <v>1154</v>
      </c>
      <c r="EJ151" s="230">
        <f>ROUND((Table1[[#This Row],[SubTot]]/3)/1.01059,0)</f>
        <v>1154</v>
      </c>
      <c r="EK151" s="230">
        <f>ROUNDUP((Table1[[#This Row],[SubTot]]/3)/1.01059,0)</f>
        <v>1155</v>
      </c>
      <c r="EL151" s="231">
        <v>3500</v>
      </c>
      <c r="EM151" s="233">
        <f>Table1[[#This Row],[SubTot]]*0.01059</f>
        <v>37.065000000000005</v>
      </c>
      <c r="EN151" s="230">
        <f>ROUND((Table1[[#This Row],[UnsubTot]]/3)/1.01062,0)</f>
        <v>660</v>
      </c>
      <c r="EO151" s="230">
        <f>ROUND((Table1[[#This Row],[UnsubTot]]/3)/1.01062,0)</f>
        <v>660</v>
      </c>
      <c r="EP151" s="230">
        <f>ROUNDDOWN((Table1[[#This Row],[UnsubTot]]/3)/1.01062,0)</f>
        <v>659</v>
      </c>
      <c r="EQ151" s="231">
        <f>IF(Table1[D/I]="I",6000,2000)</f>
        <v>2000</v>
      </c>
      <c r="ER151" s="233">
        <f>Table1[[#This Row],[UnsubTot]]*0.01059</f>
        <v>21.18</v>
      </c>
      <c r="ES151" s="230">
        <f>ROUND((Table1[[#This Row],[PLUSTot]]/3)/1.04236,0)</f>
        <v>0</v>
      </c>
      <c r="ET151" s="230">
        <f>ROUND((Table1[[#This Row],[PLUSTot]]/3)/1.04236,0)</f>
        <v>0</v>
      </c>
      <c r="EU151" s="230">
        <f>ROUND((Table1[[#This Row],[PLUSTot]]/3)/1.04236,0)</f>
        <v>0</v>
      </c>
      <c r="EV151" s="231">
        <v>0</v>
      </c>
      <c r="EW151" s="236">
        <f>Table1[[#This Row],[PLUSTot]]*0.04236</f>
        <v>0</v>
      </c>
      <c r="EX151" s="227"/>
      <c r="EY151" s="227"/>
      <c r="EZ151" s="227"/>
      <c r="FA151" s="228">
        <f>SUM(Table1[[#This Row],[PrivQ1]:[PrivQ3]])</f>
        <v>0</v>
      </c>
      <c r="FB151" s="227"/>
      <c r="FC151" s="227"/>
      <c r="FD151" s="227"/>
      <c r="FE151" s="228">
        <f>SUM(Table1[[#This Row],[TOQ1]:[TOQ3]])</f>
        <v>0</v>
      </c>
      <c r="FF151" s="227"/>
      <c r="FG151" s="227"/>
      <c r="FH151" s="227"/>
      <c r="FI151" s="228">
        <f>SUM(Table1[[#This Row],[OFundQ1]:[OFundQ3]])</f>
        <v>0</v>
      </c>
      <c r="FJ151" s="236">
        <f>(Table1[[#This Row],[SubTot]]-Table1[[#This Row],[SubFee]])+(Table1[[#This Row],[UnsubTot]]-Table1[[#This Row],[UnsubFee]])+(Table1[[#This Row],[PLUSTot]]-Table1[[#This Row],[PLUSFee]])+Table1[[#This Row],[PrivTot]]+Table1[[#This Row],[TOTot]]+Table1[[#This Row],[OFundTot]]</f>
        <v>5441.7550000000001</v>
      </c>
      <c r="FK151" s="159">
        <f>Table1[[#This Row],[CostTot]]-Table1[[#This Row],[GiftTot]]</f>
        <v>31820</v>
      </c>
      <c r="FL151" s="174">
        <f>Table1[[#This Row],[NetNeed]]/(1-0.04236)</f>
        <v>27545.053464767552</v>
      </c>
      <c r="FM151" s="176">
        <f>Table1[[#This Row],[NetCost]]-Table1[[#This Row],[CashTot]]-(Table1[[#This Row],[SubTot]]-Table1[[#This Row],[SubFee]])-(Table1[[#This Row],[UnsubTot]]-Table1[[#This Row],[UnsubFee]])-(Table1[[#This Row],[PLUSTot]]-Table1[[#This Row],[PLUSFee]])-Table1[[#This Row],[PrivTot]]-Table1[[#This Row],[TOTot]]-Table1[[#This Row],[OFundTot]]</f>
        <v>26378.244999999999</v>
      </c>
      <c r="FN151" s="217"/>
      <c r="FO151" s="162"/>
      <c r="FP151" s="162"/>
    </row>
    <row r="152" spans="1:172" ht="15" x14ac:dyDescent="0.25">
      <c r="A152" s="287">
        <v>197627</v>
      </c>
      <c r="B152" s="160" t="str">
        <f>VLOOKUP(Table1[[#This Row],[SyStudentId]],SSR!$A$2:$CC$4982,4,FALSE)</f>
        <v>Sotelo</v>
      </c>
      <c r="C152" s="160" t="str">
        <f>VLOOKUP(Table1[[#This Row],[SyStudentId]],SSR!$A$2:$CC$4982,5,FALSE)</f>
        <v>Frank</v>
      </c>
      <c r="D152" s="160" t="str">
        <f>VLOOKUP(Table1[[#This Row],[SyStudentId]],SSR!$A$2:$CC$4982,6,FALSE)</f>
        <v>Sotelo, Frank</v>
      </c>
      <c r="E152" s="113" t="str">
        <f>CONCATENATE(Table1[[#This Row],[FirstName]]," ",Table1[[#This Row],[LastName]])</f>
        <v>Frank Sotelo</v>
      </c>
      <c r="F152" s="158">
        <v>1</v>
      </c>
      <c r="G152" s="114"/>
      <c r="H152" s="114"/>
      <c r="I152" s="114">
        <v>43794</v>
      </c>
      <c r="J152" s="198"/>
      <c r="K152" s="164"/>
      <c r="L152" s="158" t="str">
        <f>IFERROR(VLOOKUP(Table1[[#This Row],[SyStudentId]],ISIR!$A$2:$X$4999,11,FALSE),"")</f>
        <v>D</v>
      </c>
      <c r="M152" s="160" t="str">
        <f>VLOOKUP(Table1[[#This Row],[SyStudentId]],SSR!$A$2:$CC$4982,7,FALSE)</f>
        <v>frank.sotelo10@gmail.com</v>
      </c>
      <c r="N152" s="160" t="str">
        <f>VLOOKUP(Table1[[#This Row],[SyStudentId]],SSR!$A$2:$CC$4982,8,FALSE)</f>
        <v>1757 N St Francis Pl</v>
      </c>
      <c r="O152" s="160" t="str">
        <f>VLOOKUP(Table1[[#This Row],[SyStudentId]],SSR!$A$2:$CC$4982,9,FALSE)</f>
        <v>Casa Grande</v>
      </c>
      <c r="P152" s="295" t="str">
        <f>VLOOKUP(Table1[[#This Row],[SyStudentId]],SSR!$A$2:$CC$4982,10,FALSE)</f>
        <v>AZ</v>
      </c>
      <c r="Q152" s="165" t="str">
        <f>VLOOKUP(Table1[[#This Row],[SyStudentId]],SSR!$A$2:$CC$4982,11,FALSE)</f>
        <v xml:space="preserve">85122     </v>
      </c>
      <c r="R152" s="166">
        <f>VLOOKUP(Table1[[#This Row],[SyStudentId]],SSR!$A$2:$CC$4982,15,FALSE)</f>
        <v>3.89</v>
      </c>
      <c r="S152" s="167">
        <f>VLOOKUP(Table1[[#This Row],[SyStudentId]],SSR!$A$2:$CC$4982,22,FALSE)</f>
        <v>44109</v>
      </c>
      <c r="T152" s="313" t="str">
        <f>VLOOKUP(Table1[[#This Row],[SyStudentId]],SSR!$A$2:$CC$4982,24,FALSE)</f>
        <v>JT</v>
      </c>
      <c r="U152" s="160" t="str">
        <f>IF(VLOOKUP(Table1[[#This Row],[SyStudentId]],SSR!$A$2:$CC$4982,26,FALSE)=0,"Not Selected",VLOOKUP(Table1[[#This Row],[SyStudentId]],SSR!$A$2:$CC$4982,26,FALSE))</f>
        <v>Male</v>
      </c>
      <c r="V152" s="160" t="str">
        <f>VLOOKUP(Table1[[#This Row],[SyStudentId]],SSR!$A$2:$CC$4982,27,FALSE)</f>
        <v xml:space="preserve">HS2020  </v>
      </c>
      <c r="W152" s="160" t="str">
        <f>VLOOKUP(LEFT(Table1[[#This Row],[LastName]],1),Alpha!$A$1:$B$26,2,FALSE)</f>
        <v>Maureen Ranks</v>
      </c>
      <c r="X152" s="168" t="str">
        <f>VLOOKUP(Table1[[#This Row],[FAA]],Alpha!$B$1:$D$26,2,FALSE)</f>
        <v>mranks@neumont.edu</v>
      </c>
      <c r="Y152" s="160">
        <f>VLOOKUP(Table1[[#This Row],[FAA]],Alpha!$B$1:$D$26,3,FALSE)</f>
        <v>8883022894</v>
      </c>
      <c r="Z152" s="160" t="str">
        <f>VLOOKUP(Table1[[#This Row],[SyStudentId]],SSR!$A$2:$CC$4982,30,FALSE)</f>
        <v>16-Accepted</v>
      </c>
      <c r="AA152" s="160" t="str">
        <f>IF(VLOOKUP(Table1[[#This Row],[SyStudentId]],SSR!$A$2:$CC$4982,36,FALSE)="Bachelor of Science","BS Computer Science","Check Program")</f>
        <v>BS Computer Science</v>
      </c>
      <c r="AB152" s="160">
        <f>VLOOKUP(Table1[[#This Row],[SyStudentId]],SSR!$A$2:$CC$4982,37,FALSE)</f>
        <v>0</v>
      </c>
      <c r="AC152" s="160">
        <f>VLOOKUP(Table1[[#This Row],[SyStudentId]],SSR!$A$2:$CC$4982,42,FALSE)</f>
        <v>0</v>
      </c>
      <c r="AD152" s="160" t="str">
        <f>VLOOKUP(Table1[[#This Row],[SyStudentId]],SSR!$A$2:$CC$4982,46,FALSE)</f>
        <v>0</v>
      </c>
      <c r="AE152" s="160" t="str">
        <f>VLOOKUP(Table1[[#This Row],[SyStudentId]],SSR!$A$2:$CC$4982,65,FALSE)</f>
        <v>III</v>
      </c>
      <c r="AF152"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152" s="160" t="str">
        <f>VLOOKUP(Table1[[#This Row],[SyStudentId]],SSR!$A$2:$CC$4982,66,FALSE)</f>
        <v>July-October</v>
      </c>
      <c r="AH152" s="160" t="str">
        <f>IFERROR(VLOOKUP(Table1[[#This Row],[SyStudentId]],ISIR!$A$2:$X$1999,7,FALSE),"")</f>
        <v>001245</v>
      </c>
      <c r="AI152" s="170">
        <f>IF(Table1[[#This Row],[EFCRaw]]="","",IF(Table1[[#This Row],[EFCRaw]]="No EFC","No EFC",_xlfn.NUMBERVALUE(Table1[[#This Row],[EFCRaw]])))</f>
        <v>1245</v>
      </c>
      <c r="AJ152" s="167">
        <f>IFERROR(VLOOKUP(Table1[[#This Row],[SyStudentId]],ISIR!$A$2:$X$4999,19,FALSE),"")</f>
        <v>43774</v>
      </c>
      <c r="AK152" s="160" t="str">
        <f>IFERROR(VLOOKUP(Table1[[#This Row],[SyStudentId]],ISIR!$A$2:$X$4999,8,FALSE),"")</f>
        <v>Y</v>
      </c>
      <c r="AL152" s="171" t="str">
        <f>IF(Table1[[#This Row],[VerReq]]="N","n/a","")</f>
        <v/>
      </c>
      <c r="AM152" s="122"/>
      <c r="AN152" s="122"/>
      <c r="AO152" s="122"/>
      <c r="AP152" s="122"/>
      <c r="AQ152" s="122"/>
      <c r="AR152" s="122"/>
      <c r="AS152" s="122"/>
      <c r="AT152" s="122"/>
      <c r="AU152" s="122"/>
      <c r="AV152" s="122"/>
      <c r="AW152" s="122"/>
      <c r="AX152" s="122"/>
      <c r="AY152" s="122"/>
      <c r="AZ152" s="122"/>
      <c r="BA152" s="122"/>
      <c r="BB152" s="122"/>
      <c r="BC152" s="148"/>
      <c r="BD152" s="140" t="str">
        <f>IF(Table1[[#This Row],[VerReq]]="N","x","")</f>
        <v/>
      </c>
      <c r="BE152" s="140" t="str">
        <f>IF(Table1[[#This Row],[VerReq]]="N","x","")</f>
        <v/>
      </c>
      <c r="BF152" s="140" t="str">
        <f>IF(Table1[[#This Row],[VerReq]]="N","x","")</f>
        <v/>
      </c>
      <c r="BG152" s="140" t="str">
        <f>IF(Table1[[#This Row],[VerReq]]="N","x","")</f>
        <v/>
      </c>
      <c r="BH152" s="140" t="str">
        <f>IF(Table1[[#This Row],[VerReq]]="N","x","")</f>
        <v/>
      </c>
      <c r="BI152" s="140" t="str">
        <f>IF(Table1[[#This Row],[VerReq]]="N","x","")</f>
        <v/>
      </c>
      <c r="BJ152" s="181">
        <f>1-((COUNTBLANK(Table1[[#This Row],[ALESent]:[TaxTran]]))/(COUNT(Table1[[#This Row],[ALESent]:[TaxTran]])+COUNTBLANK(Table1[[#This Row],[ALESent]:[TaxTran]])))</f>
        <v>0</v>
      </c>
      <c r="BK152" s="216">
        <f>IF(VLOOKUP(Table1[[#This Row],[SyStudentId]],SSR!$A$2:$CC$4982,22,FALSE)=44109,44109,"Check Program")</f>
        <v>44109</v>
      </c>
      <c r="BL152" s="216">
        <f>IF(Table1[[#This Row],[AYStart]]=44109,44356,"Check Program")</f>
        <v>44356</v>
      </c>
      <c r="BM152" s="219">
        <v>8505</v>
      </c>
      <c r="BN152" s="219">
        <v>8505</v>
      </c>
      <c r="BO152" s="219">
        <v>8505</v>
      </c>
      <c r="BP152" s="220">
        <f t="shared" si="6"/>
        <v>25515</v>
      </c>
      <c r="BQ152" s="221">
        <v>3300</v>
      </c>
      <c r="BR152" s="219">
        <v>400</v>
      </c>
      <c r="BS152" s="219">
        <v>400</v>
      </c>
      <c r="BT152" s="222">
        <f t="shared" si="7"/>
        <v>4100</v>
      </c>
      <c r="BU152" s="219">
        <v>2100</v>
      </c>
      <c r="BV152" s="219">
        <v>2100</v>
      </c>
      <c r="BW152" s="219">
        <v>2100</v>
      </c>
      <c r="BX152" s="222">
        <f t="shared" si="8"/>
        <v>6300</v>
      </c>
      <c r="BY152" s="275">
        <v>1200</v>
      </c>
      <c r="BZ152" s="275">
        <v>1200</v>
      </c>
      <c r="CA152" s="275">
        <v>1200</v>
      </c>
      <c r="CB152" s="222">
        <f>SUM(Table1[[#This Row],[LEQ1]:[LEQ3]])</f>
        <v>3600</v>
      </c>
      <c r="CC152" s="276">
        <v>0</v>
      </c>
      <c r="CD152" s="276">
        <v>0</v>
      </c>
      <c r="CE152" s="276">
        <v>0</v>
      </c>
      <c r="CF152" s="222">
        <f>SUM(Table1[[#This Row],[OthCostQ1]:[OthCostQ3]])</f>
        <v>0</v>
      </c>
      <c r="CG152" s="222">
        <f>(Table1[[#This Row],[T&amp;FTot]]+Table1[[#This Row],[B&amp;STot]]+Table1[[#This Row],[HousTot]]+Table1[[#This Row],[LETot]]+Table1[[#This Row],[OthCostTot]])</f>
        <v>39515</v>
      </c>
      <c r="CH152" s="253">
        <v>0</v>
      </c>
      <c r="CI152" s="253">
        <v>0</v>
      </c>
      <c r="CJ152" s="253">
        <v>0</v>
      </c>
      <c r="CK152" s="254">
        <f>SUM(Table1[[#This Row],[SEOGQ1]:[SEOGQ3]])</f>
        <v>0</v>
      </c>
      <c r="CL152" s="253">
        <f>IFERROR(ROUNDUP(Table1[[#This Row],[PellTot]]/3,0),0)</f>
        <v>1649</v>
      </c>
      <c r="CM152" s="253">
        <f>IFERROR(ROUND(Table1[[#This Row],[PellTot]]/3,0),0)</f>
        <v>1648</v>
      </c>
      <c r="CN152" s="253">
        <f>IFERROR(ROUNDDOWN(Table1[[#This Row],[PellTot]]/3,0),0)</f>
        <v>1648</v>
      </c>
      <c r="CO152" s="254">
        <f>IFERROR(LOOKUP(Table1[EFC],Pell_Table[#Data],Pell_Table[Pell Amt]),0)</f>
        <v>4945</v>
      </c>
      <c r="CP152" s="253">
        <f>Table1[[#This Row],[AccessTot]]/3</f>
        <v>500</v>
      </c>
      <c r="CQ152" s="253">
        <f>Table1[[#This Row],[AccessTot]]/3</f>
        <v>500</v>
      </c>
      <c r="CR152" s="253">
        <f>Table1[[#This Row],[AccessTot]]/3</f>
        <v>500</v>
      </c>
      <c r="CS152" s="254">
        <f>IF(Table1[[#This Row],[PellTot]]&gt;0,1500,0)</f>
        <v>1500</v>
      </c>
      <c r="CT152" s="253">
        <f>Table1[[#This Row],[AchiTot]]/3</f>
        <v>1300</v>
      </c>
      <c r="CU152" s="253">
        <f>Table1[[#This Row],[AchiTot]]/3</f>
        <v>1300</v>
      </c>
      <c r="CV152" s="253">
        <f>Table1[[#This Row],[AchiTot]]/3</f>
        <v>1300</v>
      </c>
      <c r="CW152" s="255">
        <f>IF(Table1[[#This Row],[Rank]]="","",IF(Table1[[#This Row],[Rank]]=1,5100,IF(Table1[[#This Row],[Rank]]=2,4500,IF(Table1[[#This Row],[Rank]]=3,3900,IF(Table1[[#This Row],[Rank]]=4,3750,IF(Table1[[#This Row],[Rank]]=5,3000,IF(Table1[[#This Row],[Rank]]=6,2250,0)))))))</f>
        <v>3900</v>
      </c>
      <c r="CX152" s="253">
        <f>Table1[[#This Row],[UTTot]]/3</f>
        <v>0</v>
      </c>
      <c r="CY152" s="253">
        <f>Table1[[#This Row],[UTTot]]/3</f>
        <v>0</v>
      </c>
      <c r="CZ152" s="253">
        <f>Table1[[#This Row],[UTTot]]/3</f>
        <v>0</v>
      </c>
      <c r="DA152" s="254">
        <f>IF(Table1[[#This Row],[State]]="UT",9000,0)</f>
        <v>0</v>
      </c>
      <c r="DB152" s="253">
        <f>Table1[[#This Row],[WITTot]]/3</f>
        <v>0</v>
      </c>
      <c r="DC152" s="253">
        <f>Table1[[#This Row],[WITTot]]/3</f>
        <v>0</v>
      </c>
      <c r="DD152" s="253">
        <f>Table1[[#This Row],[WITTot]]/3</f>
        <v>0</v>
      </c>
      <c r="DE152" s="254">
        <f>IF(Table1[[#This Row],[Gender]]="Female",3000,0)</f>
        <v>0</v>
      </c>
      <c r="DF152" s="253">
        <f>Table1[[#This Row],[SerTot]]/3</f>
        <v>0</v>
      </c>
      <c r="DG152" s="253">
        <f>Table1[[#This Row],[SerTot]]/3</f>
        <v>0</v>
      </c>
      <c r="DH152" s="253">
        <f>Table1[[#This Row],[SerTot]]/3</f>
        <v>0</v>
      </c>
      <c r="DI152" s="255">
        <v>0</v>
      </c>
      <c r="DJ152" s="253">
        <f>IFERROR(ROUNDUP(Table1[[#This Row],[TranTot]]/3,0),0)</f>
        <v>0</v>
      </c>
      <c r="DK152" s="253">
        <f>IFERROR(ROUND(Table1[[#This Row],[TranTot]]/3,0),0)</f>
        <v>0</v>
      </c>
      <c r="DL152" s="253">
        <f>IFERROR(ROUNDDOWN(Table1[[#This Row],[TranTot]]/3,0),0)</f>
        <v>0</v>
      </c>
      <c r="DM152" s="255">
        <v>0</v>
      </c>
      <c r="DN152" s="253">
        <f>Table1[[#This Row],[MatTot]]/3</f>
        <v>0</v>
      </c>
      <c r="DO152" s="253">
        <f>Table1[[#This Row],[MatTot]]/3</f>
        <v>0</v>
      </c>
      <c r="DP152" s="253">
        <f>Table1[[#This Row],[MatTot]]/3</f>
        <v>0</v>
      </c>
      <c r="DQ152" s="255">
        <v>0</v>
      </c>
      <c r="DR152" s="253">
        <f>Table1[[#This Row],[OutTot]]/3</f>
        <v>0</v>
      </c>
      <c r="DS152" s="253">
        <f>Table1[[#This Row],[OutTot]]/3</f>
        <v>0</v>
      </c>
      <c r="DT152" s="253">
        <f>Table1[[#This Row],[OutTot]]/3</f>
        <v>0</v>
      </c>
      <c r="DU152" s="255">
        <v>0</v>
      </c>
      <c r="DV152" s="253">
        <v>0</v>
      </c>
      <c r="DW152" s="253">
        <v>0</v>
      </c>
      <c r="DX152" s="253">
        <v>0</v>
      </c>
      <c r="DY152" s="255">
        <f>SUM(Table1[[#This Row],[VAQ1]:[VAQ3]])</f>
        <v>0</v>
      </c>
      <c r="DZ152" s="253">
        <v>0</v>
      </c>
      <c r="EA152" s="253">
        <v>0</v>
      </c>
      <c r="EB152" s="253">
        <v>0</v>
      </c>
      <c r="EC152" s="278">
        <f>SUM(Table1[[#This Row],[OthGrantQ1]:[OthGrantQ3]])</f>
        <v>0</v>
      </c>
      <c r="ED152" s="264">
        <f>Table1[[#This Row],[SEOGTot]]+Table1[[#This Row],[PellTot]]+Table1[[#This Row],[AccessTot]]+Table1[[#This Row],[AchiTot]]+Table1[[#This Row],[UTTot]]+Table1[[#This Row],[WITTot]]+Table1[[#This Row],[SerTot]]+Table1[[#This Row],[TranTot]]+Table1[[#This Row],[MatTot]]+Table1[[#This Row],[OutTot]]+Table1[[#This Row],[VATot]]+Table1[[#This Row],[OthGrantTot]]</f>
        <v>10345</v>
      </c>
      <c r="EE152" s="298">
        <v>0</v>
      </c>
      <c r="EF152" s="227">
        <v>0</v>
      </c>
      <c r="EG152" s="227">
        <v>0</v>
      </c>
      <c r="EH152" s="228">
        <f>SUM(Table1[[#This Row],[CashQ1]]:Table1[[#This Row],[CashQ3]])</f>
        <v>0</v>
      </c>
      <c r="EI152" s="229">
        <f>ROUND((Table1[[#This Row],[SubTot]]/3)/1.01059,0)</f>
        <v>1154</v>
      </c>
      <c r="EJ152" s="230">
        <f>ROUND((Table1[[#This Row],[SubTot]]/3)/1.01059,0)</f>
        <v>1154</v>
      </c>
      <c r="EK152" s="230">
        <f>ROUNDUP((Table1[[#This Row],[SubTot]]/3)/1.01059,0)</f>
        <v>1155</v>
      </c>
      <c r="EL152" s="231">
        <v>3500</v>
      </c>
      <c r="EM152" s="233">
        <f>Table1[[#This Row],[SubTot]]*0.01059</f>
        <v>37.065000000000005</v>
      </c>
      <c r="EN152" s="230">
        <f>ROUND((Table1[[#This Row],[UnsubTot]]/3)/1.01062,0)</f>
        <v>660</v>
      </c>
      <c r="EO152" s="230">
        <f>ROUND((Table1[[#This Row],[UnsubTot]]/3)/1.01062,0)</f>
        <v>660</v>
      </c>
      <c r="EP152" s="230">
        <f>ROUNDDOWN((Table1[[#This Row],[UnsubTot]]/3)/1.01062,0)</f>
        <v>659</v>
      </c>
      <c r="EQ152" s="231">
        <f>IF(Table1[D/I]="I",6000,2000)</f>
        <v>2000</v>
      </c>
      <c r="ER152" s="233">
        <f>Table1[[#This Row],[UnsubTot]]*0.01059</f>
        <v>21.18</v>
      </c>
      <c r="ES152" s="230">
        <f>ROUND((Table1[[#This Row],[PLUSTot]]/3)/1.04236,0)</f>
        <v>0</v>
      </c>
      <c r="ET152" s="230">
        <f>ROUND((Table1[[#This Row],[PLUSTot]]/3)/1.04236,0)</f>
        <v>0</v>
      </c>
      <c r="EU152" s="230">
        <f>ROUND((Table1[[#This Row],[PLUSTot]]/3)/1.04236,0)</f>
        <v>0</v>
      </c>
      <c r="EV152" s="231">
        <v>0</v>
      </c>
      <c r="EW152" s="236">
        <f>Table1[[#This Row],[PLUSTot]]*0.04236</f>
        <v>0</v>
      </c>
      <c r="EX152" s="227"/>
      <c r="EY152" s="227"/>
      <c r="EZ152" s="227"/>
      <c r="FA152" s="228">
        <f>SUM(Table1[[#This Row],[PrivQ1]:[PrivQ3]])</f>
        <v>0</v>
      </c>
      <c r="FB152" s="227"/>
      <c r="FC152" s="227"/>
      <c r="FD152" s="227"/>
      <c r="FE152" s="228">
        <f>SUM(Table1[[#This Row],[TOQ1]:[TOQ3]])</f>
        <v>0</v>
      </c>
      <c r="FF152" s="227"/>
      <c r="FG152" s="227"/>
      <c r="FH152" s="227"/>
      <c r="FI152" s="228">
        <f>SUM(Table1[[#This Row],[OFundQ1]:[OFundQ3]])</f>
        <v>0</v>
      </c>
      <c r="FJ152" s="236">
        <f>(Table1[[#This Row],[SubTot]]-Table1[[#This Row],[SubFee]])+(Table1[[#This Row],[UnsubTot]]-Table1[[#This Row],[UnsubFee]])+(Table1[[#This Row],[PLUSTot]]-Table1[[#This Row],[PLUSFee]])+Table1[[#This Row],[PrivTot]]+Table1[[#This Row],[TOTot]]+Table1[[#This Row],[OFundTot]]</f>
        <v>5441.7550000000001</v>
      </c>
      <c r="FK152" s="159">
        <f>Table1[[#This Row],[CostTot]]-Table1[[#This Row],[GiftTot]]</f>
        <v>29170</v>
      </c>
      <c r="FL152" s="174">
        <f>Table1[[#This Row],[NetNeed]]/(1-0.04236)</f>
        <v>24777.834050373833</v>
      </c>
      <c r="FM152" s="176">
        <f>Table1[[#This Row],[NetCost]]-Table1[[#This Row],[CashTot]]-(Table1[[#This Row],[SubTot]]-Table1[[#This Row],[SubFee]])-(Table1[[#This Row],[UnsubTot]]-Table1[[#This Row],[UnsubFee]])-(Table1[[#This Row],[PLUSTot]]-Table1[[#This Row],[PLUSFee]])-Table1[[#This Row],[PrivTot]]-Table1[[#This Row],[TOTot]]-Table1[[#This Row],[OFundTot]]</f>
        <v>23728.244999999999</v>
      </c>
      <c r="FN152" s="217"/>
      <c r="FO152" s="162"/>
      <c r="FP152" s="162"/>
    </row>
    <row r="153" spans="1:172" ht="15" x14ac:dyDescent="0.25">
      <c r="A153" s="287">
        <v>199374</v>
      </c>
      <c r="B153" s="113" t="str">
        <f>VLOOKUP(Table1[[#This Row],[SyStudentId]],SSR!$A$2:$CC$4982,4,FALSE)</f>
        <v>Sowell</v>
      </c>
      <c r="C153" s="113" t="str">
        <f>VLOOKUP(Table1[[#This Row],[SyStudentId]],SSR!$A$2:$CC$4982,5,FALSE)</f>
        <v>Deonta</v>
      </c>
      <c r="D153" s="113" t="str">
        <f>VLOOKUP(Table1[[#This Row],[SyStudentId]],SSR!$A$2:$CC$4982,6,FALSE)</f>
        <v>Sowell, Deonta</v>
      </c>
      <c r="E153" s="113" t="str">
        <f>CONCATENATE(Table1[[#This Row],[FirstName]]," ",Table1[[#This Row],[LastName]])</f>
        <v>Deonta Sowell</v>
      </c>
      <c r="F153" s="112"/>
      <c r="G153" s="114"/>
      <c r="H153" s="114"/>
      <c r="I153" s="114"/>
      <c r="J153" s="115" t="s">
        <v>5593</v>
      </c>
      <c r="K153" s="116"/>
      <c r="L153" s="112" t="str">
        <f>IFERROR(VLOOKUP(Table1[[#This Row],[SyStudentId]],ISIR!$A$2:$X$999,11,FALSE),"")</f>
        <v/>
      </c>
      <c r="M153" s="113" t="str">
        <f>VLOOKUP(Table1[[#This Row],[SyStudentId]],SSR!$A$2:$CC$4982,7,FALSE)</f>
        <v>deontasowell20@gmail.com</v>
      </c>
      <c r="N153" s="113" t="str">
        <f>VLOOKUP(Table1[[#This Row],[SyStudentId]],SSR!$A$2:$CC$4982,8,FALSE)</f>
        <v>7802 MARQUETT DR</v>
      </c>
      <c r="O153" s="113" t="str">
        <f>VLOOKUP(Table1[[#This Row],[SyStudentId]],SSR!$A$2:$CC$4982,9,FALSE)</f>
        <v>ROWLETT</v>
      </c>
      <c r="P153" s="113" t="str">
        <f>VLOOKUP(Table1[[#This Row],[SyStudentId]],SSR!$A$2:$CC$4982,10,FALSE)</f>
        <v>TX</v>
      </c>
      <c r="Q153" s="117" t="str">
        <f>VLOOKUP(Table1[[#This Row],[SyStudentId]],SSR!$A$2:$CC$4982,11,FALSE)</f>
        <v xml:space="preserve">75089     </v>
      </c>
      <c r="R153" s="118">
        <f>VLOOKUP(Table1[[#This Row],[SyStudentId]],SSR!$A$2:$CC$4982,15,FALSE)</f>
        <v>3.1395300000000002</v>
      </c>
      <c r="S153" s="119">
        <f>VLOOKUP(Table1[[#This Row],[SyStudentId]],SSR!$A$2:$CC$4982,22,FALSE)</f>
        <v>44109</v>
      </c>
      <c r="T153" s="113" t="str">
        <f>VLOOKUP(Table1[[#This Row],[SyStudentId]],SSR!$A$2:$CC$4982,24,FALSE)</f>
        <v>MN</v>
      </c>
      <c r="U153" s="113" t="str">
        <f>IF(VLOOKUP(Table1[[#This Row],[SyStudentId]],SSR!$A$2:$CC$4982,26,FALSE)=0,"Not Selected",VLOOKUP(Table1[[#This Row],[SyStudentId]],SSR!$A$2:$CC$4982,26,FALSE))</f>
        <v>Male</v>
      </c>
      <c r="V153" s="113" t="str">
        <f>VLOOKUP(Table1[[#This Row],[SyStudentId]],SSR!$A$2:$CC$4982,27,FALSE)</f>
        <v xml:space="preserve">HS2020  </v>
      </c>
      <c r="W153" s="113" t="str">
        <f>VLOOKUP(LEFT(Table1[[#This Row],[LastName]],1),Alpha!$A$1:$B$26,2,FALSE)</f>
        <v>Maureen Ranks</v>
      </c>
      <c r="X153" s="149" t="str">
        <f>VLOOKUP(Table1[[#This Row],[FAA]],Alpha!$B$1:$D$26,2,FALSE)</f>
        <v>mranks@neumont.edu</v>
      </c>
      <c r="Y153" s="113">
        <f>VLOOKUP(Table1[[#This Row],[FAA]],Alpha!$B$1:$D$26,3,FALSE)</f>
        <v>8883022894</v>
      </c>
      <c r="Z153" s="113" t="str">
        <f>VLOOKUP(Table1[[#This Row],[SyStudentId]],SSR!$A$2:$CC$4982,30,FALSE)</f>
        <v>16-Accepted</v>
      </c>
      <c r="AA153" s="113" t="str">
        <f>IF(VLOOKUP(Table1[[#This Row],[SyStudentId]],SSR!$A$2:$CC$4982,36,FALSE)="Bachelor of Science","BS Computer Science","Check Program")</f>
        <v>BS Computer Science</v>
      </c>
      <c r="AB153" s="113">
        <f>VLOOKUP(Table1[[#This Row],[SyStudentId]],SSR!$A$2:$CC$4982,37,FALSE)</f>
        <v>0</v>
      </c>
      <c r="AC153" s="113">
        <f>VLOOKUP(Table1[[#This Row],[SyStudentId]],SSR!$A$2:$CC$4982,42,FALSE)</f>
        <v>0</v>
      </c>
      <c r="AD153" s="113" t="str">
        <f>VLOOKUP(Table1[[#This Row],[SyStudentId]],SSR!$A$2:$CC$4982,46,FALSE)</f>
        <v>0</v>
      </c>
      <c r="AE153" s="113" t="str">
        <f>VLOOKUP(Table1[[#This Row],[SyStudentId]],SSR!$A$2:$CC$4982,65,FALSE)</f>
        <v>X</v>
      </c>
      <c r="AF15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10</v>
      </c>
      <c r="AG153" s="113" t="str">
        <f>VLOOKUP(Table1[[#This Row],[SyStudentId]],SSR!$A$2:$CC$4982,66,FALSE)</f>
        <v>November</v>
      </c>
      <c r="AH153" s="113" t="str">
        <f>IFERROR(VLOOKUP(Table1[[#This Row],[SyStudentId]],ISIR!$A$2:$X$999,7,FALSE),"")</f>
        <v/>
      </c>
      <c r="AI153" s="121" t="str">
        <f>IF(Table1[[#This Row],[EFCRaw]]="","",IF(Table1[[#This Row],[EFCRaw]]="No EFC","No EFC",_xlfn.NUMBERVALUE(Table1[[#This Row],[EFCRaw]])))</f>
        <v/>
      </c>
      <c r="AJ153" s="119" t="str">
        <f>IFERROR(VLOOKUP(Table1[[#This Row],[SyStudentId]],ISIR!$A$2:$X$4999,19,FALSE),"")</f>
        <v/>
      </c>
      <c r="AK153" s="113" t="str">
        <f>IFERROR(VLOOKUP(Table1[[#This Row],[SyStudentId]],ISIR!$A$2:$X$4999,8,FALSE),"")</f>
        <v/>
      </c>
      <c r="AL153" s="132" t="str">
        <f>IF(Table1[[#This Row],[VerReq]]="N","n/a","")</f>
        <v/>
      </c>
      <c r="AM153" s="122"/>
      <c r="AN153" s="122"/>
      <c r="AO153" s="122"/>
      <c r="AP153" s="122"/>
      <c r="AQ153" s="122"/>
      <c r="AR153" s="122"/>
      <c r="AS153" s="122"/>
      <c r="AT153" s="122"/>
      <c r="AU153" s="122"/>
      <c r="AV153" s="122"/>
      <c r="AW153" s="122"/>
      <c r="AX153" s="122"/>
      <c r="AY153" s="122"/>
      <c r="AZ153" s="122"/>
      <c r="BA153" s="122"/>
      <c r="BB153" s="122"/>
      <c r="BC153" s="148"/>
      <c r="BD153" s="140" t="str">
        <f>IF(Table1[[#This Row],[VerReq]]="N","x","")</f>
        <v/>
      </c>
      <c r="BE153" s="140" t="str">
        <f>IF(Table1[[#This Row],[VerReq]]="N","x","")</f>
        <v/>
      </c>
      <c r="BF153" s="140" t="str">
        <f>IF(Table1[[#This Row],[VerReq]]="N","x","")</f>
        <v/>
      </c>
      <c r="BG153" s="140" t="str">
        <f>IF(Table1[[#This Row],[VerReq]]="N","x","")</f>
        <v/>
      </c>
      <c r="BH153" s="140" t="str">
        <f>IF(Table1[[#This Row],[VerReq]]="N","x","")</f>
        <v/>
      </c>
      <c r="BI153" s="140" t="str">
        <f>IF(Table1[[#This Row],[VerReq]]="N","x","")</f>
        <v/>
      </c>
      <c r="BJ153" s="123">
        <f>1-((COUNTBLANK(Table1[[#This Row],[ALESent]:[TaxTran]]))/(COUNT(Table1[[#This Row],[ALESent]:[TaxTran]])+COUNTBLANK(Table1[[#This Row],[ALESent]:[TaxTran]])))</f>
        <v>0</v>
      </c>
      <c r="BK153" s="150">
        <f>IF(VLOOKUP(Table1[[#This Row],[SyStudentId]],SSR!$A$2:$CC$4982,22,FALSE)=44109,44109,"Check Program")</f>
        <v>44109</v>
      </c>
      <c r="BL153" s="150">
        <f>IF(Table1[[#This Row],[AYStart]]=44109,44356,"Check Program")</f>
        <v>44356</v>
      </c>
      <c r="BM153" s="219">
        <v>8505</v>
      </c>
      <c r="BN153" s="219">
        <v>8505</v>
      </c>
      <c r="BO153" s="219">
        <v>8505</v>
      </c>
      <c r="BP153" s="220">
        <f t="shared" si="6"/>
        <v>25515</v>
      </c>
      <c r="BQ153" s="221">
        <v>3300</v>
      </c>
      <c r="BR153" s="219">
        <v>400</v>
      </c>
      <c r="BS153" s="219">
        <v>400</v>
      </c>
      <c r="BT153" s="220">
        <f t="shared" si="7"/>
        <v>4100</v>
      </c>
      <c r="BU153" s="219">
        <v>2100</v>
      </c>
      <c r="BV153" s="219">
        <v>2100</v>
      </c>
      <c r="BW153" s="219">
        <v>2100</v>
      </c>
      <c r="BX153" s="220">
        <f t="shared" si="8"/>
        <v>6300</v>
      </c>
      <c r="BY153" s="275">
        <v>1200</v>
      </c>
      <c r="BZ153" s="275">
        <v>1200</v>
      </c>
      <c r="CA153" s="275">
        <v>1200</v>
      </c>
      <c r="CB153" s="220">
        <f>SUM(Table1[[#This Row],[LEQ1]:[LEQ3]])</f>
        <v>3600</v>
      </c>
      <c r="CC153" s="269"/>
      <c r="CD153" s="269"/>
      <c r="CE153" s="269"/>
      <c r="CF153" s="220">
        <f>SUM(Table1[[#This Row],[OthCostQ1]:[OthCostQ3]])</f>
        <v>0</v>
      </c>
      <c r="CG153" s="220">
        <f>(Table1[[#This Row],[T&amp;FTot]]+Table1[[#This Row],[B&amp;STot]]+Table1[[#This Row],[HousTot]]+Table1[[#This Row],[LETot]]+Table1[[#This Row],[OthCostTot]])</f>
        <v>39515</v>
      </c>
      <c r="CH153" s="250"/>
      <c r="CI153" s="250"/>
      <c r="CJ153" s="250"/>
      <c r="CK153" s="251">
        <f>SUM(Table1[[#This Row],[SEOGQ1]:[SEOGQ3]])</f>
        <v>0</v>
      </c>
      <c r="CL153" s="250">
        <f>IFERROR(ROUNDUP(Table1[[#This Row],[PellTot]]/3,0),0)</f>
        <v>0</v>
      </c>
      <c r="CM153" s="250">
        <f>IFERROR(ROUND(Table1[[#This Row],[PellTot]]/3,0),0)</f>
        <v>0</v>
      </c>
      <c r="CN153" s="250">
        <f>IFERROR(ROUNDDOWN(Table1[[#This Row],[PellTot]]/3,0),0)</f>
        <v>0</v>
      </c>
      <c r="CO153" s="251">
        <f>IFERROR(LOOKUP(Table1[EFC],Pell_Table[#Data],Pell_Table[Pell Amt]),0)</f>
        <v>0</v>
      </c>
      <c r="CP153" s="250">
        <f>Table1[[#This Row],[AccessTot]]/3</f>
        <v>0</v>
      </c>
      <c r="CQ153" s="250">
        <f>Table1[[#This Row],[AccessTot]]/3</f>
        <v>0</v>
      </c>
      <c r="CR153" s="250">
        <f>Table1[[#This Row],[AccessTot]]/3</f>
        <v>0</v>
      </c>
      <c r="CS153" s="251">
        <f>IF(Table1[[#This Row],[PellTot]]&gt;0,1500,0)</f>
        <v>0</v>
      </c>
      <c r="CT153" s="250">
        <f>Table1[[#This Row],[AchiTot]]/3</f>
        <v>0</v>
      </c>
      <c r="CU153" s="250">
        <f>Table1[[#This Row],[AchiTot]]/3</f>
        <v>0</v>
      </c>
      <c r="CV153" s="250">
        <f>Table1[[#This Row],[AchiTot]]/3</f>
        <v>0</v>
      </c>
      <c r="CW153" s="252">
        <f>IF(Table1[[#This Row],[Rank]]="","",IF(Table1[[#This Row],[Rank]]=1,5100,IF(Table1[[#This Row],[Rank]]=2,4500,IF(Table1[[#This Row],[Rank]]=3,3900,IF(Table1[[#This Row],[Rank]]=4,3750,IF(Table1[[#This Row],[Rank]]=5,3000,IF(Table1[[#This Row],[Rank]]=6,2250,0)))))))</f>
        <v>0</v>
      </c>
      <c r="CX153" s="250">
        <f>Table1[[#This Row],[UTTot]]/3</f>
        <v>0</v>
      </c>
      <c r="CY153" s="250">
        <f>Table1[[#This Row],[UTTot]]/3</f>
        <v>0</v>
      </c>
      <c r="CZ153" s="250">
        <f>Table1[[#This Row],[UTTot]]/3</f>
        <v>0</v>
      </c>
      <c r="DA153" s="251">
        <f>IF(Table1[[#This Row],[State]]="UT",9000,0)</f>
        <v>0</v>
      </c>
      <c r="DB153" s="250">
        <f>Table1[[#This Row],[WITTot]]/3</f>
        <v>0</v>
      </c>
      <c r="DC153" s="250">
        <f>Table1[[#This Row],[WITTot]]/3</f>
        <v>0</v>
      </c>
      <c r="DD153" s="250">
        <f>Table1[[#This Row],[WITTot]]/3</f>
        <v>0</v>
      </c>
      <c r="DE153" s="251">
        <f>IF(Table1[[#This Row],[Gender]]="Female",3000,0)</f>
        <v>0</v>
      </c>
      <c r="DF153" s="250">
        <f>Table1[[#This Row],[SerTot]]/3</f>
        <v>0</v>
      </c>
      <c r="DG153" s="250">
        <f>Table1[[#This Row],[SerTot]]/3</f>
        <v>0</v>
      </c>
      <c r="DH153" s="250">
        <f>Table1[[#This Row],[SerTot]]/3</f>
        <v>0</v>
      </c>
      <c r="DI153" s="252"/>
      <c r="DJ153" s="250"/>
      <c r="DK153" s="250"/>
      <c r="DL153" s="250"/>
      <c r="DM153" s="252"/>
      <c r="DN153" s="250">
        <f>Table1[[#This Row],[MatTot]]/3</f>
        <v>0</v>
      </c>
      <c r="DO153" s="250">
        <f>Table1[[#This Row],[MatTot]]/3</f>
        <v>0</v>
      </c>
      <c r="DP153" s="250">
        <f>Table1[[#This Row],[MatTot]]/3</f>
        <v>0</v>
      </c>
      <c r="DQ153" s="252"/>
      <c r="DR153" s="250">
        <f>Table1[[#This Row],[OutTot]]/3</f>
        <v>0</v>
      </c>
      <c r="DS153" s="250">
        <f>Table1[[#This Row],[OutTot]]/3</f>
        <v>0</v>
      </c>
      <c r="DT153" s="250">
        <f>Table1[[#This Row],[OutTot]]/3</f>
        <v>0</v>
      </c>
      <c r="DU153" s="252"/>
      <c r="DV153" s="250"/>
      <c r="DW153" s="250"/>
      <c r="DX153" s="250"/>
      <c r="DY153" s="252">
        <f>SUM(Table1[[#This Row],[VAQ1]:[VAQ3]])</f>
        <v>0</v>
      </c>
      <c r="DZ153" s="250"/>
      <c r="EA153" s="250"/>
      <c r="EB153" s="250"/>
      <c r="EC153" s="270">
        <f>SUM(Table1[[#This Row],[OthGrantQ1]:[OthGrantQ3]])</f>
        <v>0</v>
      </c>
      <c r="ED153" s="263">
        <f>Table1[[#This Row],[SEOGTot]]+Table1[[#This Row],[PellTot]]+Table1[[#This Row],[AccessTot]]+Table1[[#This Row],[AchiTot]]+Table1[[#This Row],[UTTot]]+Table1[[#This Row],[WITTot]]+Table1[[#This Row],[SerTot]]+Table1[[#This Row],[TranTot]]+Table1[[#This Row],[MatTot]]+Table1[[#This Row],[OutTot]]+Table1[[#This Row],[VATot]]+Table1[[#This Row],[OthGrantTot]]</f>
        <v>0</v>
      </c>
      <c r="EE153" s="282"/>
      <c r="EF153" s="237"/>
      <c r="EG153" s="237"/>
      <c r="EH153" s="232">
        <f>SUM(Table1[[#This Row],[CashQ1]]:Table1[[#This Row],[CashQ3]])</f>
        <v>0</v>
      </c>
      <c r="EI153" s="271">
        <f>ROUND((Table1[[#This Row],[SubTot]]/3)/1.01059,0)</f>
        <v>0</v>
      </c>
      <c r="EJ153" s="234">
        <f>ROUND((Table1[[#This Row],[SubTot]]/3)/1.01059,0)</f>
        <v>0</v>
      </c>
      <c r="EK153" s="234">
        <f>ROUNDUP((Table1[[#This Row],[SubTot]]/3)/1.01059,0)</f>
        <v>0</v>
      </c>
      <c r="EL153" s="235"/>
      <c r="EM153" s="240">
        <f>Table1[[#This Row],[SubTot]]*0.01059</f>
        <v>0</v>
      </c>
      <c r="EN153" s="234">
        <f>ROUND((Table1[[#This Row],[UnsubTot]]/3)/1.01062,0)</f>
        <v>660</v>
      </c>
      <c r="EO153" s="234">
        <f>ROUND((Table1[[#This Row],[UnsubTot]]/3)/1.01062,0)</f>
        <v>660</v>
      </c>
      <c r="EP153" s="234">
        <f>ROUNDDOWN((Table1[[#This Row],[UnsubTot]]/3)/1.01062,0)</f>
        <v>659</v>
      </c>
      <c r="EQ153" s="235">
        <f>IF(Table1[D/I]="I",6000,2000)</f>
        <v>2000</v>
      </c>
      <c r="ER153" s="240">
        <f>Table1[[#This Row],[UnsubTot]]*0.01062</f>
        <v>21.24</v>
      </c>
      <c r="ES153" s="234">
        <f>ROUND((Table1[[#This Row],[PLUSTot]]/3)/1.04248,0)</f>
        <v>0</v>
      </c>
      <c r="ET153" s="234">
        <f>ROUND((Table1[[#This Row],[PLUSTot]]/3)/1.04248,0)</f>
        <v>0</v>
      </c>
      <c r="EU153" s="234">
        <f>ROUND((Table1[[#This Row],[PLUSTot]]/3)/1.04248,0)</f>
        <v>0</v>
      </c>
      <c r="EV153" s="235"/>
      <c r="EW153" s="239">
        <f>Table1[[#This Row],[PLUSTot]]*0.04248</f>
        <v>0</v>
      </c>
      <c r="EX153" s="237"/>
      <c r="EY153" s="237"/>
      <c r="EZ153" s="237"/>
      <c r="FA153" s="232">
        <f>SUM(Table1[[#This Row],[PrivQ1]:[PrivQ3]])</f>
        <v>0</v>
      </c>
      <c r="FB153" s="237"/>
      <c r="FC153" s="237"/>
      <c r="FD153" s="237"/>
      <c r="FE153" s="232">
        <f>SUM(Table1[[#This Row],[TOQ1]:[TOQ3]])</f>
        <v>0</v>
      </c>
      <c r="FF153" s="237"/>
      <c r="FG153" s="237"/>
      <c r="FH153" s="237"/>
      <c r="FI153" s="232">
        <f>SUM(Table1[[#This Row],[OFundQ1]:[OFundQ3]])</f>
        <v>0</v>
      </c>
      <c r="FJ153" s="239">
        <f>(Table1[[#This Row],[SubTot]]-Table1[[#This Row],[SubFee]])+(Table1[[#This Row],[UnsubTot]]-Table1[[#This Row],[UnsubFee]])+(Table1[[#This Row],[PLUSTot]]-Table1[[#This Row],[PLUSFee]])+Table1[[#This Row],[PrivTot]]+Table1[[#This Row],[TOTot]]+Table1[[#This Row],[OFundTot]]</f>
        <v>1978.76</v>
      </c>
      <c r="FK153" s="125">
        <f>Table1[[#This Row],[CostTot]]-Table1[[#This Row],[GiftTot]]</f>
        <v>39515</v>
      </c>
      <c r="FL153" s="130">
        <f>Table1[[#This Row],[NetNeed]]/(1-0.04248)</f>
        <v>39201.520594870075</v>
      </c>
      <c r="FM153" s="131">
        <f>Table1[[#This Row],[NetCost]]-Table1[[#This Row],[CashTot]]-(Table1[[#This Row],[SubTot]]-Table1[[#This Row],[SubFee]])-(Table1[[#This Row],[UnsubTot]]-Table1[[#This Row],[UnsubFee]])-(Table1[[#This Row],[PLUSTot]]-Table1[[#This Row],[PLUSFee]])-Table1[[#This Row],[PrivTot]]-Table1[[#This Row],[TOTot]]-Table1[[#This Row],[OFundTot]]</f>
        <v>37536.239999999998</v>
      </c>
      <c r="FN153" s="156"/>
      <c r="FO153" s="113"/>
      <c r="FP153" s="113"/>
    </row>
    <row r="154" spans="1:172" ht="15" x14ac:dyDescent="0.25">
      <c r="A154" s="287">
        <v>193430</v>
      </c>
      <c r="B154" s="160" t="str">
        <f>VLOOKUP(Table1[[#This Row],[SyStudentId]],SSR!$A$2:$CC$4982,4,FALSE)</f>
        <v>Spencer</v>
      </c>
      <c r="C154" s="160" t="str">
        <f>VLOOKUP(Table1[[#This Row],[SyStudentId]],SSR!$A$2:$CC$4982,5,FALSE)</f>
        <v>Kaij</v>
      </c>
      <c r="D154" s="160" t="str">
        <f>VLOOKUP(Table1[[#This Row],[SyStudentId]],SSR!$A$2:$CC$4982,6,FALSE)</f>
        <v>Spencer, Kaij</v>
      </c>
      <c r="E154" s="113" t="str">
        <f>CONCATENATE(Table1[[#This Row],[FirstName]]," ",Table1[[#This Row],[LastName]])</f>
        <v>Kaij Spencer</v>
      </c>
      <c r="F154" s="158"/>
      <c r="G154" s="114"/>
      <c r="H154" s="114"/>
      <c r="I154" s="114"/>
      <c r="J154" s="163"/>
      <c r="K154" s="164"/>
      <c r="L154" s="158" t="str">
        <f>IFERROR(VLOOKUP(Table1[[#This Row],[SyStudentId]],ISIR!$A$2:$X$4999,11,FALSE),"")</f>
        <v>D</v>
      </c>
      <c r="M154" s="160" t="str">
        <f>VLOOKUP(Table1[[#This Row],[SyStudentId]],SSR!$A$2:$CC$4982,7,FALSE)</f>
        <v>kaijtaco@gmail.com</v>
      </c>
      <c r="N154" s="160" t="str">
        <f>VLOOKUP(Table1[[#This Row],[SyStudentId]],SSR!$A$2:$CC$4982,8,FALSE)</f>
        <v>723 Cedarwood Pl</v>
      </c>
      <c r="O154" s="160" t="str">
        <f>VLOOKUP(Table1[[#This Row],[SyStudentId]],SSR!$A$2:$CC$4982,9,FALSE)</f>
        <v>Cedar Hill</v>
      </c>
      <c r="P154" s="160" t="str">
        <f>VLOOKUP(Table1[[#This Row],[SyStudentId]],SSR!$A$2:$CC$4982,10,FALSE)</f>
        <v>TX</v>
      </c>
      <c r="Q154" s="165" t="str">
        <f>VLOOKUP(Table1[[#This Row],[SyStudentId]],SSR!$A$2:$CC$4982,11,FALSE)</f>
        <v xml:space="preserve">75104     </v>
      </c>
      <c r="R154" s="166">
        <f>VLOOKUP(Table1[[#This Row],[SyStudentId]],SSR!$A$2:$CC$4982,15,FALSE)</f>
        <v>3.1</v>
      </c>
      <c r="S154" s="167">
        <f>VLOOKUP(Table1[[#This Row],[SyStudentId]],SSR!$A$2:$CC$4982,22,FALSE)</f>
        <v>44109</v>
      </c>
      <c r="T154" s="160" t="str">
        <f>VLOOKUP(Table1[[#This Row],[SyStudentId]],SSR!$A$2:$CC$4982,24,FALSE)</f>
        <v>GM</v>
      </c>
      <c r="U154" s="160" t="str">
        <f>IF(VLOOKUP(Table1[[#This Row],[SyStudentId]],SSR!$A$2:$CC$4982,26,FALSE)=0,"Not Selected",VLOOKUP(Table1[[#This Row],[SyStudentId]],SSR!$A$2:$CC$4982,26,FALSE))</f>
        <v>Male</v>
      </c>
      <c r="V154" s="160" t="str">
        <f>VLOOKUP(Table1[[#This Row],[SyStudentId]],SSR!$A$2:$CC$4982,27,FALSE)</f>
        <v xml:space="preserve">HS2020  </v>
      </c>
      <c r="W154" s="160" t="str">
        <f>VLOOKUP(LEFT(Table1[[#This Row],[LastName]],1),Alpha!$A$1:$B$26,2,FALSE)</f>
        <v>Maureen Ranks</v>
      </c>
      <c r="X154" s="179" t="str">
        <f>VLOOKUP(Table1[[#This Row],[FAA]],Alpha!$B$1:$D$26,2,FALSE)</f>
        <v>mranks@neumont.edu</v>
      </c>
      <c r="Y154" s="160">
        <f>VLOOKUP(Table1[[#This Row],[FAA]],Alpha!$B$1:$D$26,3,FALSE)</f>
        <v>8883022894</v>
      </c>
      <c r="Z154" s="160" t="str">
        <f>VLOOKUP(Table1[[#This Row],[SyStudentId]],SSR!$A$2:$CC$4982,30,FALSE)</f>
        <v>16-Accepted</v>
      </c>
      <c r="AA154" s="160" t="str">
        <f>IF(VLOOKUP(Table1[[#This Row],[SyStudentId]],SSR!$A$2:$CC$4982,36,FALSE)="Bachelor of Science","BS Computer Science","Check Program")</f>
        <v>BS Computer Science</v>
      </c>
      <c r="AB154" s="160">
        <f>VLOOKUP(Table1[[#This Row],[SyStudentId]],SSR!$A$2:$CC$4982,37,FALSE)</f>
        <v>0</v>
      </c>
      <c r="AC154" s="160">
        <f>VLOOKUP(Table1[[#This Row],[SyStudentId]],SSR!$A$2:$CC$4982,42,FALSE)</f>
        <v>0</v>
      </c>
      <c r="AD154" s="160" t="str">
        <f>VLOOKUP(Table1[[#This Row],[SyStudentId]],SSR!$A$2:$CC$4982,46,FALSE)</f>
        <v>0</v>
      </c>
      <c r="AE154" s="160" t="str">
        <f>VLOOKUP(Table1[[#This Row],[SyStudentId]],SSR!$A$2:$CC$4982,65,FALSE)</f>
        <v>VIII</v>
      </c>
      <c r="AF154"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154" s="160" t="str">
        <f>VLOOKUP(Table1[[#This Row],[SyStudentId]],SSR!$A$2:$CC$4982,66,FALSE)</f>
        <v>July-October</v>
      </c>
      <c r="AH154" s="160" t="str">
        <f>IFERROR(VLOOKUP(Table1[[#This Row],[SyStudentId]],ISIR!$A$2:$X$1999,7,FALSE),"")</f>
        <v>001823</v>
      </c>
      <c r="AI154" s="170">
        <f>IF(Table1[[#This Row],[EFCRaw]]="","",IF(Table1[[#This Row],[EFCRaw]]="No EFC","No EFC",_xlfn.NUMBERVALUE(Table1[[#This Row],[EFCRaw]])))</f>
        <v>1823</v>
      </c>
      <c r="AJ154" s="167">
        <f>IFERROR(VLOOKUP(Table1[[#This Row],[SyStudentId]],ISIR!$A$2:$X$4999,19,FALSE),"")</f>
        <v>43783</v>
      </c>
      <c r="AK154" s="160" t="str">
        <f>IFERROR(VLOOKUP(Table1[[#This Row],[SyStudentId]],ISIR!$A$2:$X$4999,8,FALSE),"")</f>
        <v>Y</v>
      </c>
      <c r="AL154" s="171" t="str">
        <f>IF(Table1[[#This Row],[VerReq]]="N","n/a","")</f>
        <v/>
      </c>
      <c r="AM154" s="122"/>
      <c r="AN154" s="122"/>
      <c r="AO154" s="122"/>
      <c r="AP154" s="122"/>
      <c r="AQ154" s="122"/>
      <c r="AR154" s="122"/>
      <c r="AS154" s="122"/>
      <c r="AT154" s="122"/>
      <c r="AU154" s="122"/>
      <c r="AV154" s="122"/>
      <c r="AW154" s="122"/>
      <c r="AX154" s="122"/>
      <c r="AY154" s="122"/>
      <c r="AZ154" s="122"/>
      <c r="BA154" s="122"/>
      <c r="BB154" s="122"/>
      <c r="BC154" s="148"/>
      <c r="BD154" s="140" t="str">
        <f>IF(Table1[[#This Row],[VerReq]]="N","x","")</f>
        <v/>
      </c>
      <c r="BE154" s="140" t="str">
        <f>IF(Table1[[#This Row],[VerReq]]="N","x","")</f>
        <v/>
      </c>
      <c r="BF154" s="140" t="str">
        <f>IF(Table1[[#This Row],[VerReq]]="N","x","")</f>
        <v/>
      </c>
      <c r="BG154" s="140" t="str">
        <f>IF(Table1[[#This Row],[VerReq]]="N","x","")</f>
        <v/>
      </c>
      <c r="BH154" s="140" t="str">
        <f>IF(Table1[[#This Row],[VerReq]]="N","x","")</f>
        <v/>
      </c>
      <c r="BI154" s="140" t="str">
        <f>IF(Table1[[#This Row],[VerReq]]="N","x","")</f>
        <v/>
      </c>
      <c r="BJ154" s="181">
        <f>1-((COUNTBLANK(Table1[[#This Row],[ALESent]:[TaxTran]]))/(COUNT(Table1[[#This Row],[ALESent]:[TaxTran]])+COUNTBLANK(Table1[[#This Row],[ALESent]:[TaxTran]])))</f>
        <v>0</v>
      </c>
      <c r="BK154" s="216">
        <f>IF(VLOOKUP(Table1[[#This Row],[SyStudentId]],SSR!$A$2:$CC$4982,22,FALSE)=44109,44109,"Check Program")</f>
        <v>44109</v>
      </c>
      <c r="BL154" s="216">
        <f>IF(Table1[[#This Row],[AYStart]]=44109,44356,"Check Program")</f>
        <v>44356</v>
      </c>
      <c r="BM154" s="219">
        <v>8505</v>
      </c>
      <c r="BN154" s="219">
        <v>8505</v>
      </c>
      <c r="BO154" s="219">
        <v>8505</v>
      </c>
      <c r="BP154" s="220">
        <f t="shared" si="6"/>
        <v>25515</v>
      </c>
      <c r="BQ154" s="221">
        <v>3300</v>
      </c>
      <c r="BR154" s="219">
        <v>400</v>
      </c>
      <c r="BS154" s="219">
        <v>400</v>
      </c>
      <c r="BT154" s="222">
        <f t="shared" si="7"/>
        <v>4100</v>
      </c>
      <c r="BU154" s="219">
        <v>2100</v>
      </c>
      <c r="BV154" s="219">
        <v>2100</v>
      </c>
      <c r="BW154" s="219">
        <v>2100</v>
      </c>
      <c r="BX154" s="222">
        <f t="shared" si="8"/>
        <v>6300</v>
      </c>
      <c r="BY154" s="275">
        <v>1200</v>
      </c>
      <c r="BZ154" s="275">
        <v>1200</v>
      </c>
      <c r="CA154" s="275">
        <v>1200</v>
      </c>
      <c r="CB154" s="222">
        <f>SUM(Table1[[#This Row],[LEQ1]:[LEQ3]])</f>
        <v>3600</v>
      </c>
      <c r="CC154" s="276">
        <v>0</v>
      </c>
      <c r="CD154" s="276">
        <v>0</v>
      </c>
      <c r="CE154" s="276">
        <v>0</v>
      </c>
      <c r="CF154" s="222">
        <f>SUM(Table1[[#This Row],[OthCostQ1]:[OthCostQ3]])</f>
        <v>0</v>
      </c>
      <c r="CG154" s="222">
        <f>(Table1[[#This Row],[T&amp;FTot]]+Table1[[#This Row],[B&amp;STot]]+Table1[[#This Row],[HousTot]]+Table1[[#This Row],[LETot]]+Table1[[#This Row],[OthCostTot]])</f>
        <v>39515</v>
      </c>
      <c r="CH154" s="253">
        <v>0</v>
      </c>
      <c r="CI154" s="253">
        <v>0</v>
      </c>
      <c r="CJ154" s="253">
        <v>0</v>
      </c>
      <c r="CK154" s="254">
        <f>SUM(Table1[[#This Row],[SEOGQ1]:[SEOGQ3]])</f>
        <v>0</v>
      </c>
      <c r="CL154" s="253">
        <f>IFERROR(ROUNDUP(Table1[[#This Row],[PellTot]]/3,0),0)</f>
        <v>1449</v>
      </c>
      <c r="CM154" s="253">
        <f>IFERROR(ROUND(Table1[[#This Row],[PellTot]]/3,0),0)</f>
        <v>1448</v>
      </c>
      <c r="CN154" s="253">
        <f>IFERROR(ROUNDDOWN(Table1[[#This Row],[PellTot]]/3,0),0)</f>
        <v>1448</v>
      </c>
      <c r="CO154" s="254">
        <f>IFERROR(LOOKUP(Table1[EFC],Pell_Table[#Data],Pell_Table[Pell Amt]),0)</f>
        <v>4345</v>
      </c>
      <c r="CP154" s="253">
        <f>Table1[[#This Row],[AccessTot]]/3</f>
        <v>500</v>
      </c>
      <c r="CQ154" s="253">
        <f>Table1[[#This Row],[AccessTot]]/3</f>
        <v>500</v>
      </c>
      <c r="CR154" s="253">
        <f>Table1[[#This Row],[AccessTot]]/3</f>
        <v>500</v>
      </c>
      <c r="CS154" s="254">
        <f>IF(Table1[[#This Row],[PellTot]]&gt;0,1500,0)</f>
        <v>1500</v>
      </c>
      <c r="CT154" s="253">
        <f>Table1[[#This Row],[AchiTot]]/3</f>
        <v>0</v>
      </c>
      <c r="CU154" s="253">
        <f>Table1[[#This Row],[AchiTot]]/3</f>
        <v>0</v>
      </c>
      <c r="CV154" s="253">
        <f>Table1[[#This Row],[AchiTot]]/3</f>
        <v>0</v>
      </c>
      <c r="CW154" s="255">
        <f>IF(Table1[[#This Row],[Rank]]="","",IF(Table1[[#This Row],[Rank]]=1,5100,IF(Table1[[#This Row],[Rank]]=2,4500,IF(Table1[[#This Row],[Rank]]=3,3900,IF(Table1[[#This Row],[Rank]]=4,3750,IF(Table1[[#This Row],[Rank]]=5,3000,IF(Table1[[#This Row],[Rank]]=6,2250,0)))))))</f>
        <v>0</v>
      </c>
      <c r="CX154" s="253">
        <f>Table1[[#This Row],[UTTot]]/3</f>
        <v>0</v>
      </c>
      <c r="CY154" s="253">
        <f>Table1[[#This Row],[UTTot]]/3</f>
        <v>0</v>
      </c>
      <c r="CZ154" s="253">
        <f>Table1[[#This Row],[UTTot]]/3</f>
        <v>0</v>
      </c>
      <c r="DA154" s="254">
        <f>IF(Table1[[#This Row],[State]]="UT",9000,0)</f>
        <v>0</v>
      </c>
      <c r="DB154" s="253">
        <f>Table1[[#This Row],[WITTot]]/3</f>
        <v>0</v>
      </c>
      <c r="DC154" s="253">
        <f>Table1[[#This Row],[WITTot]]/3</f>
        <v>0</v>
      </c>
      <c r="DD154" s="253">
        <f>Table1[[#This Row],[WITTot]]/3</f>
        <v>0</v>
      </c>
      <c r="DE154" s="254">
        <f>IF(Table1[[#This Row],[Gender]]="Female",3000,0)</f>
        <v>0</v>
      </c>
      <c r="DF154" s="253">
        <f>Table1[[#This Row],[SerTot]]/3</f>
        <v>0</v>
      </c>
      <c r="DG154" s="253">
        <f>Table1[[#This Row],[SerTot]]/3</f>
        <v>0</v>
      </c>
      <c r="DH154" s="253">
        <f>Table1[[#This Row],[SerTot]]/3</f>
        <v>0</v>
      </c>
      <c r="DI154" s="255">
        <v>0</v>
      </c>
      <c r="DJ154" s="253">
        <f>IFERROR(ROUNDUP(Table1[[#This Row],[TranTot]]/3,0),0)</f>
        <v>0</v>
      </c>
      <c r="DK154" s="253">
        <f>IFERROR(ROUND(Table1[[#This Row],[TranTot]]/3,0),0)</f>
        <v>0</v>
      </c>
      <c r="DL154" s="253">
        <f>IFERROR(ROUNDDOWN(Table1[[#This Row],[TranTot]]/3,0),0)</f>
        <v>0</v>
      </c>
      <c r="DM154" s="255">
        <v>0</v>
      </c>
      <c r="DN154" s="253">
        <f>Table1[[#This Row],[MatTot]]/3</f>
        <v>0</v>
      </c>
      <c r="DO154" s="253">
        <f>Table1[[#This Row],[MatTot]]/3</f>
        <v>0</v>
      </c>
      <c r="DP154" s="253">
        <f>Table1[[#This Row],[MatTot]]/3</f>
        <v>0</v>
      </c>
      <c r="DQ154" s="255">
        <v>0</v>
      </c>
      <c r="DR154" s="253">
        <f>Table1[[#This Row],[OutTot]]/3</f>
        <v>0</v>
      </c>
      <c r="DS154" s="253">
        <f>Table1[[#This Row],[OutTot]]/3</f>
        <v>0</v>
      </c>
      <c r="DT154" s="253">
        <f>Table1[[#This Row],[OutTot]]/3</f>
        <v>0</v>
      </c>
      <c r="DU154" s="255">
        <v>0</v>
      </c>
      <c r="DV154" s="253">
        <v>0</v>
      </c>
      <c r="DW154" s="253">
        <v>0</v>
      </c>
      <c r="DX154" s="253">
        <v>0</v>
      </c>
      <c r="DY154" s="255">
        <f>SUM(Table1[[#This Row],[VAQ1]:[VAQ3]])</f>
        <v>0</v>
      </c>
      <c r="DZ154" s="253">
        <v>0</v>
      </c>
      <c r="EA154" s="253">
        <v>0</v>
      </c>
      <c r="EB154" s="253">
        <v>0</v>
      </c>
      <c r="EC154" s="278">
        <f>SUM(Table1[[#This Row],[OthGrantQ1]:[OthGrantQ3]])</f>
        <v>0</v>
      </c>
      <c r="ED154" s="264">
        <f>Table1[[#This Row],[SEOGTot]]+Table1[[#This Row],[PellTot]]+Table1[[#This Row],[AccessTot]]+Table1[[#This Row],[AchiTot]]+Table1[[#This Row],[UTTot]]+Table1[[#This Row],[WITTot]]+Table1[[#This Row],[SerTot]]+Table1[[#This Row],[TranTot]]+Table1[[#This Row],[MatTot]]+Table1[[#This Row],[OutTot]]+Table1[[#This Row],[VATot]]+Table1[[#This Row],[OthGrantTot]]</f>
        <v>5845</v>
      </c>
      <c r="EE154" s="298">
        <v>0</v>
      </c>
      <c r="EF154" s="227">
        <v>0</v>
      </c>
      <c r="EG154" s="227">
        <v>0</v>
      </c>
      <c r="EH154" s="228">
        <f>SUM(Table1[[#This Row],[CashQ1]]:Table1[[#This Row],[CashQ3]])</f>
        <v>0</v>
      </c>
      <c r="EI154" s="229">
        <f>ROUND((Table1[[#This Row],[SubTot]]/3)/1.01059,0)</f>
        <v>1154</v>
      </c>
      <c r="EJ154" s="230">
        <f>ROUND((Table1[[#This Row],[SubTot]]/3)/1.01059,0)</f>
        <v>1154</v>
      </c>
      <c r="EK154" s="230">
        <f>ROUNDUP((Table1[[#This Row],[SubTot]]/3)/1.01059,0)</f>
        <v>1155</v>
      </c>
      <c r="EL154" s="231">
        <v>3500</v>
      </c>
      <c r="EM154" s="233">
        <f>Table1[[#This Row],[SubTot]]*0.01059</f>
        <v>37.065000000000005</v>
      </c>
      <c r="EN154" s="230">
        <f>ROUND((Table1[[#This Row],[UnsubTot]]/3)/1.01062,0)</f>
        <v>660</v>
      </c>
      <c r="EO154" s="230">
        <f>ROUND((Table1[[#This Row],[UnsubTot]]/3)/1.01062,0)</f>
        <v>660</v>
      </c>
      <c r="EP154" s="230">
        <f>ROUNDDOWN((Table1[[#This Row],[UnsubTot]]/3)/1.01062,0)</f>
        <v>659</v>
      </c>
      <c r="EQ154" s="231">
        <f>IF(Table1[D/I]="I",6000,2000)</f>
        <v>2000</v>
      </c>
      <c r="ER154" s="233">
        <f>Table1[[#This Row],[UnsubTot]]*0.01059</f>
        <v>21.18</v>
      </c>
      <c r="ES154" s="230">
        <f>ROUND((Table1[[#This Row],[PLUSTot]]/3)/1.04236,0)</f>
        <v>0</v>
      </c>
      <c r="ET154" s="230">
        <f>ROUND((Table1[[#This Row],[PLUSTot]]/3)/1.04236,0)</f>
        <v>0</v>
      </c>
      <c r="EU154" s="230">
        <f>ROUND((Table1[[#This Row],[PLUSTot]]/3)/1.04236,0)</f>
        <v>0</v>
      </c>
      <c r="EV154" s="231">
        <v>0</v>
      </c>
      <c r="EW154" s="236">
        <f>Table1[[#This Row],[PLUSTot]]*0.04236</f>
        <v>0</v>
      </c>
      <c r="EX154" s="227"/>
      <c r="EY154" s="227"/>
      <c r="EZ154" s="227"/>
      <c r="FA154" s="228">
        <f>SUM(Table1[[#This Row],[PrivQ1]:[PrivQ3]])</f>
        <v>0</v>
      </c>
      <c r="FB154" s="227"/>
      <c r="FC154" s="227"/>
      <c r="FD154" s="227"/>
      <c r="FE154" s="228">
        <f>SUM(Table1[[#This Row],[TOQ1]:[TOQ3]])</f>
        <v>0</v>
      </c>
      <c r="FF154" s="227"/>
      <c r="FG154" s="227"/>
      <c r="FH154" s="227"/>
      <c r="FI154" s="228">
        <f>SUM(Table1[[#This Row],[OFundQ1]:[OFundQ3]])</f>
        <v>0</v>
      </c>
      <c r="FJ154" s="236">
        <f>(Table1[[#This Row],[SubTot]]-Table1[[#This Row],[SubFee]])+(Table1[[#This Row],[UnsubTot]]-Table1[[#This Row],[UnsubFee]])+(Table1[[#This Row],[PLUSTot]]-Table1[[#This Row],[PLUSFee]])+Table1[[#This Row],[PrivTot]]+Table1[[#This Row],[TOTot]]+Table1[[#This Row],[OFundTot]]</f>
        <v>5441.7550000000001</v>
      </c>
      <c r="FK154" s="159">
        <f>Table1[[#This Row],[CostTot]]-Table1[[#This Row],[GiftTot]]</f>
        <v>33670</v>
      </c>
      <c r="FL154" s="174">
        <f>Table1[[#This Row],[NetNeed]]/(1-0.04236)</f>
        <v>29476.885886136752</v>
      </c>
      <c r="FM154" s="176">
        <f>Table1[[#This Row],[NetCost]]-Table1[[#This Row],[CashTot]]-(Table1[[#This Row],[SubTot]]-Table1[[#This Row],[SubFee]])-(Table1[[#This Row],[UnsubTot]]-Table1[[#This Row],[UnsubFee]])-(Table1[[#This Row],[PLUSTot]]-Table1[[#This Row],[PLUSFee]])-Table1[[#This Row],[PrivTot]]-Table1[[#This Row],[TOTot]]-Table1[[#This Row],[OFundTot]]</f>
        <v>28228.244999999999</v>
      </c>
      <c r="FN154" s="217"/>
      <c r="FO154" s="162"/>
      <c r="FP154" s="162"/>
    </row>
    <row r="155" spans="1:172" ht="15" x14ac:dyDescent="0.25">
      <c r="A155" s="281">
        <v>197215</v>
      </c>
      <c r="B155" s="160" t="str">
        <f>VLOOKUP(Table1[[#This Row],[SyStudentId]],SSR!$A$2:$CC$4982,4,FALSE)</f>
        <v>Springer</v>
      </c>
      <c r="C155" s="160" t="str">
        <f>VLOOKUP(Table1[[#This Row],[SyStudentId]],SSR!$A$2:$CC$4982,5,FALSE)</f>
        <v>Frank</v>
      </c>
      <c r="D155" s="160" t="str">
        <f>VLOOKUP(Table1[[#This Row],[SyStudentId]],SSR!$A$2:$CC$4982,6,FALSE)</f>
        <v>Springer, Frank</v>
      </c>
      <c r="E155" s="113" t="str">
        <f>CONCATENATE(Table1[[#This Row],[FirstName]]," ",Table1[[#This Row],[LastName]])</f>
        <v>Frank Springer</v>
      </c>
      <c r="F155" s="158">
        <v>1</v>
      </c>
      <c r="G155" s="114"/>
      <c r="H155" s="114"/>
      <c r="I155" s="114">
        <v>43783</v>
      </c>
      <c r="J155" s="163"/>
      <c r="K155" s="164"/>
      <c r="L155" s="158" t="str">
        <f>IFERROR(VLOOKUP(Table1[[#This Row],[SyStudentId]],ISIR!$A$2:$X$4999,11,FALSE),"")</f>
        <v>D</v>
      </c>
      <c r="M155" s="160" t="str">
        <f>VLOOKUP(Table1[[#This Row],[SyStudentId]],SSR!$A$2:$CC$4982,7,FALSE)</f>
        <v>frankspringer2001@gmail.com</v>
      </c>
      <c r="N155" s="160" t="str">
        <f>VLOOKUP(Table1[[#This Row],[SyStudentId]],SSR!$A$2:$CC$4982,8,FALSE)</f>
        <v>8844 Sheraton Drive</v>
      </c>
      <c r="O155" s="160" t="str">
        <f>VLOOKUP(Table1[[#This Row],[SyStudentId]],SSR!$A$2:$CC$4982,9,FALSE)</f>
        <v>Miramar</v>
      </c>
      <c r="P155" s="304" t="str">
        <f>VLOOKUP(Table1[[#This Row],[SyStudentId]],SSR!$A$2:$CC$4982,10,FALSE)</f>
        <v>FL</v>
      </c>
      <c r="Q155" s="165" t="str">
        <f>VLOOKUP(Table1[[#This Row],[SyStudentId]],SSR!$A$2:$CC$4982,11,FALSE)</f>
        <v xml:space="preserve">33025     </v>
      </c>
      <c r="R155" s="166">
        <f>VLOOKUP(Table1[[#This Row],[SyStudentId]],SSR!$A$2:$CC$4982,15,FALSE)</f>
        <v>3.11</v>
      </c>
      <c r="S155" s="167">
        <f>VLOOKUP(Table1[[#This Row],[SyStudentId]],SSR!$A$2:$CC$4982,22,FALSE)</f>
        <v>44109</v>
      </c>
      <c r="T155" s="160" t="str">
        <f>VLOOKUP(Table1[[#This Row],[SyStudentId]],SSR!$A$2:$CC$4982,24,FALSE)</f>
        <v>JT</v>
      </c>
      <c r="U155" s="160" t="str">
        <f>IF(VLOOKUP(Table1[[#This Row],[SyStudentId]],SSR!$A$2:$CC$4982,26,FALSE)=0,"Not Selected",VLOOKUP(Table1[[#This Row],[SyStudentId]],SSR!$A$2:$CC$4982,26,FALSE))</f>
        <v>Male</v>
      </c>
      <c r="V155" s="160" t="str">
        <f>VLOOKUP(Table1[[#This Row],[SyStudentId]],SSR!$A$2:$CC$4982,27,FALSE)</f>
        <v xml:space="preserve">HS2020  </v>
      </c>
      <c r="W155" s="160" t="str">
        <f>VLOOKUP(LEFT(Table1[[#This Row],[LastName]],1),Alpha!$A$1:$B$26,2,FALSE)</f>
        <v>Maureen Ranks</v>
      </c>
      <c r="X155" s="179" t="str">
        <f>VLOOKUP(Table1[[#This Row],[FAA]],Alpha!$B$1:$D$26,2,FALSE)</f>
        <v>mranks@neumont.edu</v>
      </c>
      <c r="Y155" s="160">
        <f>VLOOKUP(Table1[[#This Row],[FAA]],Alpha!$B$1:$D$26,3,FALSE)</f>
        <v>8883022894</v>
      </c>
      <c r="Z155" s="160" t="str">
        <f>VLOOKUP(Table1[[#This Row],[SyStudentId]],SSR!$A$2:$CC$4982,30,FALSE)</f>
        <v>16-Accepted</v>
      </c>
      <c r="AA155" s="160" t="str">
        <f>IF(VLOOKUP(Table1[[#This Row],[SyStudentId]],SSR!$A$2:$CC$4982,36,FALSE)="Bachelor of Science","BS Computer Science","Check Program")</f>
        <v>BS Computer Science</v>
      </c>
      <c r="AB155" s="160">
        <f>VLOOKUP(Table1[[#This Row],[SyStudentId]],SSR!$A$2:$CC$4982,37,FALSE)</f>
        <v>0</v>
      </c>
      <c r="AC155" s="160" t="str">
        <f>VLOOKUP(Table1[[#This Row],[SyStudentId]],SSR!$A$2:$CC$4982,42,FALSE)</f>
        <v xml:space="preserve">990     </v>
      </c>
      <c r="AD155" s="160" t="str">
        <f>VLOOKUP(Table1[[#This Row],[SyStudentId]],SSR!$A$2:$CC$4982,46,FALSE)</f>
        <v>99</v>
      </c>
      <c r="AE155" s="160" t="str">
        <f>VLOOKUP(Table1[[#This Row],[SyStudentId]],SSR!$A$2:$CC$4982,65,FALSE)</f>
        <v>V</v>
      </c>
      <c r="AF155"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5</v>
      </c>
      <c r="AG155" s="160" t="str">
        <f>VLOOKUP(Table1[[#This Row],[SyStudentId]],SSR!$A$2:$CC$4982,66,FALSE)</f>
        <v>July-October</v>
      </c>
      <c r="AH155" s="160" t="str">
        <f>IFERROR(VLOOKUP(Table1[[#This Row],[SyStudentId]],ISIR!$A$2:$X$1999,7,FALSE),"")</f>
        <v>017695</v>
      </c>
      <c r="AI155" s="170">
        <f>IF(Table1[[#This Row],[EFCRaw]]="","",IF(Table1[[#This Row],[EFCRaw]]="No EFC","No EFC",_xlfn.NUMBERVALUE(Table1[[#This Row],[EFCRaw]])))</f>
        <v>17695</v>
      </c>
      <c r="AJ155" s="167">
        <f>IFERROR(VLOOKUP(Table1[[#This Row],[SyStudentId]],ISIR!$A$2:$X$4999,19,FALSE),"")</f>
        <v>43801</v>
      </c>
      <c r="AK155" s="160" t="str">
        <f>IFERROR(VLOOKUP(Table1[[#This Row],[SyStudentId]],ISIR!$A$2:$X$4999,8,FALSE),"")</f>
        <v>N</v>
      </c>
      <c r="AL155" s="178" t="str">
        <f>IF(Table1[[#This Row],[VerReq]]="N","n/a","")</f>
        <v>n/a</v>
      </c>
      <c r="AM155" s="122"/>
      <c r="AN155" s="122"/>
      <c r="AO155" s="122"/>
      <c r="AP155" s="122"/>
      <c r="AQ155" s="122"/>
      <c r="AR155" s="122"/>
      <c r="AS155" s="122"/>
      <c r="AT155" s="122"/>
      <c r="AU155" s="122"/>
      <c r="AV155" s="122"/>
      <c r="AW155" s="122"/>
      <c r="AX155" s="122"/>
      <c r="AY155" s="122"/>
      <c r="AZ155" s="122"/>
      <c r="BA155" s="122"/>
      <c r="BB155" s="122"/>
      <c r="BC155" s="148"/>
      <c r="BD155" s="140" t="str">
        <f>IF(Table1[[#This Row],[VerReq]]="N","x","")</f>
        <v>x</v>
      </c>
      <c r="BE155" s="140" t="str">
        <f>IF(Table1[[#This Row],[VerReq]]="N","x","")</f>
        <v>x</v>
      </c>
      <c r="BF155" s="140" t="str">
        <f>IF(Table1[[#This Row],[VerReq]]="N","x","")</f>
        <v>x</v>
      </c>
      <c r="BG155" s="140" t="str">
        <f>IF(Table1[[#This Row],[VerReq]]="N","x","")</f>
        <v>x</v>
      </c>
      <c r="BH155" s="140" t="str">
        <f>IF(Table1[[#This Row],[VerReq]]="N","x","")</f>
        <v>x</v>
      </c>
      <c r="BI155" s="140" t="str">
        <f>IF(Table1[[#This Row],[VerReq]]="N","x","")</f>
        <v>x</v>
      </c>
      <c r="BJ155" s="181">
        <f>1-((COUNTBLANK(Table1[[#This Row],[ALESent]:[TaxTran]]))/(COUNT(Table1[[#This Row],[ALESent]:[TaxTran]])+COUNTBLANK(Table1[[#This Row],[ALESent]:[TaxTran]])))</f>
        <v>0</v>
      </c>
      <c r="BK155" s="216">
        <f>IF(VLOOKUP(Table1[[#This Row],[SyStudentId]],SSR!$A$2:$CC$4982,22,FALSE)=44109,44109,"Check Program")</f>
        <v>44109</v>
      </c>
      <c r="BL155" s="216">
        <f>IF(Table1[[#This Row],[AYStart]]=44109,44356,"Check Program")</f>
        <v>44356</v>
      </c>
      <c r="BM155" s="219">
        <v>8505</v>
      </c>
      <c r="BN155" s="219">
        <v>8505</v>
      </c>
      <c r="BO155" s="219">
        <v>8505</v>
      </c>
      <c r="BP155" s="220">
        <f t="shared" si="6"/>
        <v>25515</v>
      </c>
      <c r="BQ155" s="221">
        <v>3300</v>
      </c>
      <c r="BR155" s="219">
        <v>400</v>
      </c>
      <c r="BS155" s="219">
        <v>400</v>
      </c>
      <c r="BT155" s="222">
        <f t="shared" si="7"/>
        <v>4100</v>
      </c>
      <c r="BU155" s="219">
        <v>2100</v>
      </c>
      <c r="BV155" s="219">
        <v>2100</v>
      </c>
      <c r="BW155" s="219">
        <v>2100</v>
      </c>
      <c r="BX155" s="222">
        <f t="shared" si="8"/>
        <v>6300</v>
      </c>
      <c r="BY155" s="275">
        <v>1200</v>
      </c>
      <c r="BZ155" s="275">
        <v>1200</v>
      </c>
      <c r="CA155" s="275">
        <v>1200</v>
      </c>
      <c r="CB155" s="222">
        <f>SUM(Table1[[#This Row],[LEQ1]:[LEQ3]])</f>
        <v>3600</v>
      </c>
      <c r="CC155" s="276">
        <v>0</v>
      </c>
      <c r="CD155" s="276">
        <v>0</v>
      </c>
      <c r="CE155" s="276">
        <v>0</v>
      </c>
      <c r="CF155" s="222">
        <f>SUM(Table1[[#This Row],[OthCostQ1]:[OthCostQ3]])</f>
        <v>0</v>
      </c>
      <c r="CG155" s="222">
        <f>(Table1[[#This Row],[T&amp;FTot]]+Table1[[#This Row],[B&amp;STot]]+Table1[[#This Row],[HousTot]]+Table1[[#This Row],[LETot]]+Table1[[#This Row],[OthCostTot]])</f>
        <v>39515</v>
      </c>
      <c r="CH155" s="253">
        <v>0</v>
      </c>
      <c r="CI155" s="253">
        <v>0</v>
      </c>
      <c r="CJ155" s="253">
        <v>0</v>
      </c>
      <c r="CK155" s="254">
        <f>SUM(Table1[[#This Row],[SEOGQ1]:[SEOGQ3]])</f>
        <v>0</v>
      </c>
      <c r="CL155" s="253">
        <f>IFERROR(ROUNDUP(Table1[[#This Row],[PellTot]]/3,0),0)</f>
        <v>0</v>
      </c>
      <c r="CM155" s="253">
        <f>IFERROR(ROUND(Table1[[#This Row],[PellTot]]/3,0),0)</f>
        <v>0</v>
      </c>
      <c r="CN155" s="253">
        <f>IFERROR(ROUNDDOWN(Table1[[#This Row],[PellTot]]/3,0),0)</f>
        <v>0</v>
      </c>
      <c r="CO155" s="254">
        <f>IFERROR(LOOKUP(Table1[EFC],Pell_Table[#Data],Pell_Table[Pell Amt]),0)</f>
        <v>0</v>
      </c>
      <c r="CP155" s="253">
        <f>Table1[[#This Row],[AccessTot]]/3</f>
        <v>0</v>
      </c>
      <c r="CQ155" s="253">
        <f>Table1[[#This Row],[AccessTot]]/3</f>
        <v>0</v>
      </c>
      <c r="CR155" s="253">
        <f>Table1[[#This Row],[AccessTot]]/3</f>
        <v>0</v>
      </c>
      <c r="CS155" s="254">
        <f>IF(Table1[[#This Row],[PellTot]]&gt;0,1500,0)</f>
        <v>0</v>
      </c>
      <c r="CT155" s="253">
        <f>Table1[[#This Row],[AchiTot]]/3</f>
        <v>1000</v>
      </c>
      <c r="CU155" s="253">
        <f>Table1[[#This Row],[AchiTot]]/3</f>
        <v>1000</v>
      </c>
      <c r="CV155" s="253">
        <f>Table1[[#This Row],[AchiTot]]/3</f>
        <v>1000</v>
      </c>
      <c r="CW155" s="255">
        <f>IF(Table1[[#This Row],[Rank]]="","",IF(Table1[[#This Row],[Rank]]=1,5100,IF(Table1[[#This Row],[Rank]]=2,4500,IF(Table1[[#This Row],[Rank]]=3,3900,IF(Table1[[#This Row],[Rank]]=4,3750,IF(Table1[[#This Row],[Rank]]=5,3000,IF(Table1[[#This Row],[Rank]]=6,2250,0)))))))</f>
        <v>3000</v>
      </c>
      <c r="CX155" s="253">
        <f>Table1[[#This Row],[UTTot]]/3</f>
        <v>0</v>
      </c>
      <c r="CY155" s="253">
        <f>Table1[[#This Row],[UTTot]]/3</f>
        <v>0</v>
      </c>
      <c r="CZ155" s="253">
        <f>Table1[[#This Row],[UTTot]]/3</f>
        <v>0</v>
      </c>
      <c r="DA155" s="254">
        <f>IF(Table1[[#This Row],[State]]="UT",9000,0)</f>
        <v>0</v>
      </c>
      <c r="DB155" s="253">
        <f>Table1[[#This Row],[WITTot]]/3</f>
        <v>0</v>
      </c>
      <c r="DC155" s="253">
        <f>Table1[[#This Row],[WITTot]]/3</f>
        <v>0</v>
      </c>
      <c r="DD155" s="253">
        <f>Table1[[#This Row],[WITTot]]/3</f>
        <v>0</v>
      </c>
      <c r="DE155" s="254">
        <f>IF(Table1[[#This Row],[Gender]]="Female",3000,0)</f>
        <v>0</v>
      </c>
      <c r="DF155" s="253">
        <f>Table1[[#This Row],[SerTot]]/3</f>
        <v>0</v>
      </c>
      <c r="DG155" s="253">
        <f>Table1[[#This Row],[SerTot]]/3</f>
        <v>0</v>
      </c>
      <c r="DH155" s="253">
        <f>Table1[[#This Row],[SerTot]]/3</f>
        <v>0</v>
      </c>
      <c r="DI155" s="255">
        <v>0</v>
      </c>
      <c r="DJ155" s="253">
        <f>IFERROR(ROUNDUP(Table1[[#This Row],[TranTot]]/3,0),0)</f>
        <v>0</v>
      </c>
      <c r="DK155" s="253">
        <f>IFERROR(ROUND(Table1[[#This Row],[TranTot]]/3,0),0)</f>
        <v>0</v>
      </c>
      <c r="DL155" s="253">
        <f>IFERROR(ROUNDDOWN(Table1[[#This Row],[TranTot]]/3,0),0)</f>
        <v>0</v>
      </c>
      <c r="DM155" s="255">
        <v>0</v>
      </c>
      <c r="DN155" s="253">
        <f>Table1[[#This Row],[MatTot]]/3</f>
        <v>0</v>
      </c>
      <c r="DO155" s="253">
        <f>Table1[[#This Row],[MatTot]]/3</f>
        <v>0</v>
      </c>
      <c r="DP155" s="253">
        <f>Table1[[#This Row],[MatTot]]/3</f>
        <v>0</v>
      </c>
      <c r="DQ155" s="255">
        <v>0</v>
      </c>
      <c r="DR155" s="253">
        <f>Table1[[#This Row],[OutTot]]/3</f>
        <v>0</v>
      </c>
      <c r="DS155" s="253">
        <f>Table1[[#This Row],[OutTot]]/3</f>
        <v>0</v>
      </c>
      <c r="DT155" s="253">
        <f>Table1[[#This Row],[OutTot]]/3</f>
        <v>0</v>
      </c>
      <c r="DU155" s="255">
        <v>0</v>
      </c>
      <c r="DV155" s="253">
        <v>0</v>
      </c>
      <c r="DW155" s="253">
        <v>0</v>
      </c>
      <c r="DX155" s="253">
        <v>0</v>
      </c>
      <c r="DY155" s="255">
        <f>SUM(Table1[[#This Row],[VAQ1]:[VAQ3]])</f>
        <v>0</v>
      </c>
      <c r="DZ155" s="253">
        <v>0</v>
      </c>
      <c r="EA155" s="253">
        <v>0</v>
      </c>
      <c r="EB155" s="253">
        <v>0</v>
      </c>
      <c r="EC155" s="278">
        <f>SUM(Table1[[#This Row],[OthGrantQ1]:[OthGrantQ3]])</f>
        <v>0</v>
      </c>
      <c r="ED155" s="264">
        <f>Table1[[#This Row],[SEOGTot]]+Table1[[#This Row],[PellTot]]+Table1[[#This Row],[AccessTot]]+Table1[[#This Row],[AchiTot]]+Table1[[#This Row],[UTTot]]+Table1[[#This Row],[WITTot]]+Table1[[#This Row],[SerTot]]+Table1[[#This Row],[TranTot]]+Table1[[#This Row],[MatTot]]+Table1[[#This Row],[OutTot]]+Table1[[#This Row],[VATot]]+Table1[[#This Row],[OthGrantTot]]</f>
        <v>3000</v>
      </c>
      <c r="EE155" s="298">
        <v>0</v>
      </c>
      <c r="EF155" s="227">
        <v>0</v>
      </c>
      <c r="EG155" s="227">
        <v>0</v>
      </c>
      <c r="EH155" s="228">
        <f>SUM(Table1[[#This Row],[CashQ1]]:Table1[[#This Row],[CashQ3]])</f>
        <v>0</v>
      </c>
      <c r="EI155" s="229">
        <f>ROUND((Table1[[#This Row],[SubTot]]/3)/1.01059,0)</f>
        <v>1154</v>
      </c>
      <c r="EJ155" s="230">
        <f>ROUND((Table1[[#This Row],[SubTot]]/3)/1.01059,0)</f>
        <v>1154</v>
      </c>
      <c r="EK155" s="230">
        <f>ROUNDUP((Table1[[#This Row],[SubTot]]/3)/1.01059,0)</f>
        <v>1155</v>
      </c>
      <c r="EL155" s="231">
        <v>3500</v>
      </c>
      <c r="EM155" s="233">
        <f>Table1[[#This Row],[SubTot]]*0.01059</f>
        <v>37.065000000000005</v>
      </c>
      <c r="EN155" s="230">
        <f>ROUND((Table1[[#This Row],[UnsubTot]]/3)/1.01062,0)</f>
        <v>660</v>
      </c>
      <c r="EO155" s="230">
        <f>ROUND((Table1[[#This Row],[UnsubTot]]/3)/1.01062,0)</f>
        <v>660</v>
      </c>
      <c r="EP155" s="230">
        <f>ROUNDDOWN((Table1[[#This Row],[UnsubTot]]/3)/1.01062,0)</f>
        <v>659</v>
      </c>
      <c r="EQ155" s="231">
        <f>IF(Table1[D/I]="I",6000,2000)</f>
        <v>2000</v>
      </c>
      <c r="ER155" s="233">
        <f>Table1[[#This Row],[UnsubTot]]*0.01059</f>
        <v>21.18</v>
      </c>
      <c r="ES155" s="230">
        <f>ROUND((Table1[[#This Row],[PLUSTot]]/3)/1.04236,0)</f>
        <v>0</v>
      </c>
      <c r="ET155" s="230">
        <f>ROUND((Table1[[#This Row],[PLUSTot]]/3)/1.04236,0)</f>
        <v>0</v>
      </c>
      <c r="EU155" s="230">
        <f>ROUND((Table1[[#This Row],[PLUSTot]]/3)/1.04236,0)</f>
        <v>0</v>
      </c>
      <c r="EV155" s="231">
        <v>0</v>
      </c>
      <c r="EW155" s="236">
        <f>Table1[[#This Row],[PLUSTot]]*0.04236</f>
        <v>0</v>
      </c>
      <c r="EX155" s="227"/>
      <c r="EY155" s="227"/>
      <c r="EZ155" s="227"/>
      <c r="FA155" s="228">
        <f>SUM(Table1[[#This Row],[PrivQ1]:[PrivQ3]])</f>
        <v>0</v>
      </c>
      <c r="FB155" s="227"/>
      <c r="FC155" s="227"/>
      <c r="FD155" s="227"/>
      <c r="FE155" s="228">
        <f>SUM(Table1[[#This Row],[TOQ1]:[TOQ3]])</f>
        <v>0</v>
      </c>
      <c r="FF155" s="227"/>
      <c r="FG155" s="227"/>
      <c r="FH155" s="227"/>
      <c r="FI155" s="228">
        <f>SUM(Table1[[#This Row],[OFundQ1]:[OFundQ3]])</f>
        <v>0</v>
      </c>
      <c r="FJ155" s="236">
        <f>(Table1[[#This Row],[SubTot]]-Table1[[#This Row],[SubFee]])+(Table1[[#This Row],[UnsubTot]]-Table1[[#This Row],[UnsubFee]])+(Table1[[#This Row],[PLUSTot]]-Table1[[#This Row],[PLUSFee]])+Table1[[#This Row],[PrivTot]]+Table1[[#This Row],[TOTot]]+Table1[[#This Row],[OFundTot]]</f>
        <v>5441.7550000000001</v>
      </c>
      <c r="FK155" s="159">
        <f>Table1[[#This Row],[CostTot]]-Table1[[#This Row],[GiftTot]]</f>
        <v>36515</v>
      </c>
      <c r="FL155" s="174">
        <f>Table1[[#This Row],[NetNeed]]/(1-0.04236)</f>
        <v>32447.730880080198</v>
      </c>
      <c r="FM155" s="176">
        <f>Table1[[#This Row],[NetCost]]-Table1[[#This Row],[CashTot]]-(Table1[[#This Row],[SubTot]]-Table1[[#This Row],[SubFee]])-(Table1[[#This Row],[UnsubTot]]-Table1[[#This Row],[UnsubFee]])-(Table1[[#This Row],[PLUSTot]]-Table1[[#This Row],[PLUSFee]])-Table1[[#This Row],[PrivTot]]-Table1[[#This Row],[TOTot]]-Table1[[#This Row],[OFundTot]]</f>
        <v>31073.245000000003</v>
      </c>
      <c r="FN155" s="217"/>
      <c r="FO155" s="162"/>
      <c r="FP155" s="162"/>
    </row>
    <row r="156" spans="1:172" ht="15" x14ac:dyDescent="0.25">
      <c r="A156" s="287">
        <v>193530</v>
      </c>
      <c r="B156" s="160" t="str">
        <f>VLOOKUP(Table1[[#This Row],[SyStudentId]],SSR!$A$2:$CC$4982,4,FALSE)</f>
        <v>Sproul</v>
      </c>
      <c r="C156" s="160" t="str">
        <f>VLOOKUP(Table1[[#This Row],[SyStudentId]],SSR!$A$2:$CC$4982,5,FALSE)</f>
        <v>Ethan</v>
      </c>
      <c r="D156" s="160" t="str">
        <f>VLOOKUP(Table1[[#This Row],[SyStudentId]],SSR!$A$2:$CC$4982,6,FALSE)</f>
        <v>Sproul, Ethan</v>
      </c>
      <c r="E156" s="113" t="str">
        <f>CONCATENATE(Table1[[#This Row],[FirstName]]," ",Table1[[#This Row],[LastName]])</f>
        <v>Ethan Sproul</v>
      </c>
      <c r="F156" s="158">
        <v>1</v>
      </c>
      <c r="G156" s="114">
        <v>43776</v>
      </c>
      <c r="H156" s="114">
        <v>43794</v>
      </c>
      <c r="I156" s="114">
        <v>43794</v>
      </c>
      <c r="J156" s="163"/>
      <c r="K156" s="164" t="s">
        <v>708</v>
      </c>
      <c r="L156" s="158" t="str">
        <f>IFERROR(VLOOKUP(Table1[[#This Row],[SyStudentId]],ISIR!$A$2:$X$4999,11,FALSE),"")</f>
        <v>X</v>
      </c>
      <c r="M156" s="160" t="str">
        <f>VLOOKUP(Table1[[#This Row],[SyStudentId]],SSR!$A$2:$CC$4982,7,FALSE)</f>
        <v>ethansproul4@gmail.com</v>
      </c>
      <c r="N156" s="160" t="str">
        <f>VLOOKUP(Table1[[#This Row],[SyStudentId]],SSR!$A$2:$CC$4982,8,FALSE)</f>
        <v>5476 Startown Road</v>
      </c>
      <c r="O156" s="160" t="str">
        <f>VLOOKUP(Table1[[#This Row],[SyStudentId]],SSR!$A$2:$CC$4982,9,FALSE)</f>
        <v>Newton</v>
      </c>
      <c r="P156" s="304" t="str">
        <f>VLOOKUP(Table1[[#This Row],[SyStudentId]],SSR!$A$2:$CC$4982,10,FALSE)</f>
        <v>NC</v>
      </c>
      <c r="Q156" s="165" t="str">
        <f>VLOOKUP(Table1[[#This Row],[SyStudentId]],SSR!$A$2:$CC$4982,11,FALSE)</f>
        <v xml:space="preserve">28658     </v>
      </c>
      <c r="R156" s="166">
        <f>VLOOKUP(Table1[[#This Row],[SyStudentId]],SSR!$A$2:$CC$4982,15,FALSE)</f>
        <v>3.0832999999999999</v>
      </c>
      <c r="S156" s="167">
        <f>VLOOKUP(Table1[[#This Row],[SyStudentId]],SSR!$A$2:$CC$4982,22,FALSE)</f>
        <v>44109</v>
      </c>
      <c r="T156" s="160" t="str">
        <f>VLOOKUP(Table1[[#This Row],[SyStudentId]],SSR!$A$2:$CC$4982,24,FALSE)</f>
        <v>JT</v>
      </c>
      <c r="U156" s="160" t="str">
        <f>IF(VLOOKUP(Table1[[#This Row],[SyStudentId]],SSR!$A$2:$CC$4982,26,FALSE)=0,"Not Selected",VLOOKUP(Table1[[#This Row],[SyStudentId]],SSR!$A$2:$CC$4982,26,FALSE))</f>
        <v>Male</v>
      </c>
      <c r="V156" s="160" t="str">
        <f>VLOOKUP(Table1[[#This Row],[SyStudentId]],SSR!$A$2:$CC$4982,27,FALSE)</f>
        <v xml:space="preserve">HS2020  </v>
      </c>
      <c r="W156" s="160" t="str">
        <f>VLOOKUP(LEFT(Table1[[#This Row],[LastName]],1),Alpha!$A$1:$B$26,2,FALSE)</f>
        <v>Maureen Ranks</v>
      </c>
      <c r="X156" s="168" t="str">
        <f>VLOOKUP(Table1[[#This Row],[FAA]],Alpha!$B$1:$D$26,2,FALSE)</f>
        <v>mranks@neumont.edu</v>
      </c>
      <c r="Y156" s="160">
        <f>VLOOKUP(Table1[[#This Row],[FAA]],Alpha!$B$1:$D$26,3,FALSE)</f>
        <v>8883022894</v>
      </c>
      <c r="Z156" s="160" t="str">
        <f>VLOOKUP(Table1[[#This Row],[SyStudentId]],SSR!$A$2:$CC$4982,30,FALSE)</f>
        <v>16-Accepted</v>
      </c>
      <c r="AA156" s="160" t="str">
        <f>IF(VLOOKUP(Table1[[#This Row],[SyStudentId]],SSR!$A$2:$CC$4982,36,FALSE)="Bachelor of Science","BS Computer Science","Check Program")</f>
        <v>BS Computer Science</v>
      </c>
      <c r="AB156" s="160" t="str">
        <f>VLOOKUP(Table1[[#This Row],[SyStudentId]],SSR!$A$2:$CC$4982,37,FALSE)</f>
        <v xml:space="preserve">21      </v>
      </c>
      <c r="AC156" s="160">
        <f>VLOOKUP(Table1[[#This Row],[SyStudentId]],SSR!$A$2:$CC$4982,42,FALSE)</f>
        <v>0</v>
      </c>
      <c r="AD156" s="160" t="str">
        <f>VLOOKUP(Table1[[#This Row],[SyStudentId]],SSR!$A$2:$CC$4982,46,FALSE)</f>
        <v>99</v>
      </c>
      <c r="AE156" s="160" t="str">
        <f>VLOOKUP(Table1[[#This Row],[SyStudentId]],SSR!$A$2:$CC$4982,65,FALSE)</f>
        <v>VII</v>
      </c>
      <c r="AF156"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7</v>
      </c>
      <c r="AG156" s="160" t="str">
        <f>VLOOKUP(Table1[[#This Row],[SyStudentId]],SSR!$A$2:$CC$4982,66,FALSE)</f>
        <v>July-October</v>
      </c>
      <c r="AH156" s="285">
        <f>IFERROR(VLOOKUP(Table1[[#This Row],[SyStudentId]],ISIR!$A$2:$X$1999,7,FALSE),"")</f>
        <v>0</v>
      </c>
      <c r="AI156" s="170">
        <f>IF(Table1[[#This Row],[EFCRaw]]="","",IF(Table1[[#This Row],[EFCRaw]]="No EFC","No EFC",_xlfn.NUMBERVALUE(Table1[[#This Row],[EFCRaw]])))</f>
        <v>0</v>
      </c>
      <c r="AJ156" s="167">
        <f>IFERROR(VLOOKUP(Table1[[#This Row],[SyStudentId]],ISIR!$A$2:$X$4999,19,FALSE),"")</f>
        <v>43774</v>
      </c>
      <c r="AK156" s="160" t="str">
        <f>IFERROR(VLOOKUP(Table1[[#This Row],[SyStudentId]],ISIR!$A$2:$X$4999,8,FALSE),"")</f>
        <v>N</v>
      </c>
      <c r="AL156" s="178" t="str">
        <f>IF(Table1[[#This Row],[VerReq]]="N","n/a","")</f>
        <v>n/a</v>
      </c>
      <c r="AM156" s="122"/>
      <c r="AN156" s="122"/>
      <c r="AO156" s="122">
        <v>43764</v>
      </c>
      <c r="AP156" s="122">
        <v>43776</v>
      </c>
      <c r="AQ156" s="122">
        <v>43767</v>
      </c>
      <c r="AR156" s="122"/>
      <c r="AS156" s="122"/>
      <c r="AT156" s="122"/>
      <c r="AU156" s="122"/>
      <c r="AV156" s="122"/>
      <c r="AW156" s="122"/>
      <c r="AX156" s="122"/>
      <c r="AY156" s="122"/>
      <c r="AZ156" s="122"/>
      <c r="BA156" s="122"/>
      <c r="BB156" s="122"/>
      <c r="BC156" s="148"/>
      <c r="BD156" s="140" t="str">
        <f>IF(Table1[[#This Row],[VerReq]]="N","x","")</f>
        <v>x</v>
      </c>
      <c r="BE156" s="140" t="str">
        <f>IF(Table1[[#This Row],[VerReq]]="N","x","")</f>
        <v>x</v>
      </c>
      <c r="BF156" s="140" t="str">
        <f>IF(Table1[[#This Row],[VerReq]]="N","x","")</f>
        <v>x</v>
      </c>
      <c r="BG156" s="140" t="str">
        <f>IF(Table1[[#This Row],[VerReq]]="N","x","")</f>
        <v>x</v>
      </c>
      <c r="BH156" s="140" t="str">
        <f>IF(Table1[[#This Row],[VerReq]]="N","x","")</f>
        <v>x</v>
      </c>
      <c r="BI156" s="140" t="str">
        <f>IF(Table1[[#This Row],[VerReq]]="N","x","")</f>
        <v>x</v>
      </c>
      <c r="BJ156" s="181">
        <f>1-((COUNTBLANK(Table1[[#This Row],[ALESent]:[TaxTran]]))/(COUNT(Table1[[#This Row],[ALESent]:[TaxTran]])+COUNTBLANK(Table1[[#This Row],[ALESent]:[TaxTran]])))</f>
        <v>0.17647058823529416</v>
      </c>
      <c r="BK156" s="216">
        <f>IF(VLOOKUP(Table1[[#This Row],[SyStudentId]],SSR!$A$2:$CC$4982,22,FALSE)=44109,44109,"Check Program")</f>
        <v>44109</v>
      </c>
      <c r="BL156" s="216">
        <f>IF(Table1[[#This Row],[AYStart]]=44109,44356,"Check Program")</f>
        <v>44356</v>
      </c>
      <c r="BM156" s="219">
        <v>8505</v>
      </c>
      <c r="BN156" s="219">
        <v>8505</v>
      </c>
      <c r="BO156" s="219">
        <v>8505</v>
      </c>
      <c r="BP156" s="220">
        <f t="shared" si="6"/>
        <v>25515</v>
      </c>
      <c r="BQ156" s="221">
        <v>3300</v>
      </c>
      <c r="BR156" s="219">
        <v>400</v>
      </c>
      <c r="BS156" s="219">
        <v>400</v>
      </c>
      <c r="BT156" s="222">
        <f t="shared" si="7"/>
        <v>4100</v>
      </c>
      <c r="BU156" s="219">
        <v>2100</v>
      </c>
      <c r="BV156" s="219">
        <v>2100</v>
      </c>
      <c r="BW156" s="219">
        <v>2100</v>
      </c>
      <c r="BX156" s="222">
        <f t="shared" si="8"/>
        <v>6300</v>
      </c>
      <c r="BY156" s="275">
        <v>1200</v>
      </c>
      <c r="BZ156" s="275">
        <v>1200</v>
      </c>
      <c r="CA156" s="275">
        <v>1200</v>
      </c>
      <c r="CB156" s="222">
        <f>SUM(Table1[[#This Row],[LEQ1]:[LEQ3]])</f>
        <v>3600</v>
      </c>
      <c r="CC156" s="276">
        <v>0</v>
      </c>
      <c r="CD156" s="276">
        <v>0</v>
      </c>
      <c r="CE156" s="276">
        <v>0</v>
      </c>
      <c r="CF156" s="222">
        <f>SUM(Table1[[#This Row],[OthCostQ1]:[OthCostQ3]])</f>
        <v>0</v>
      </c>
      <c r="CG156" s="222">
        <f>(Table1[[#This Row],[T&amp;FTot]]+Table1[[#This Row],[B&amp;STot]]+Table1[[#This Row],[HousTot]]+Table1[[#This Row],[LETot]]+Table1[[#This Row],[OthCostTot]])</f>
        <v>39515</v>
      </c>
      <c r="CH156" s="253">
        <v>0</v>
      </c>
      <c r="CI156" s="253">
        <v>0</v>
      </c>
      <c r="CJ156" s="253">
        <v>0</v>
      </c>
      <c r="CK156" s="254">
        <f>SUM(Table1[[#This Row],[SEOGQ1]:[SEOGQ3]])</f>
        <v>0</v>
      </c>
      <c r="CL156" s="253">
        <f>IFERROR(ROUNDUP(Table1[[#This Row],[PellTot]]/3,0),0)</f>
        <v>2065</v>
      </c>
      <c r="CM156" s="253">
        <f>IFERROR(ROUND(Table1[[#This Row],[PellTot]]/3,0),0)</f>
        <v>2065</v>
      </c>
      <c r="CN156" s="253">
        <f>IFERROR(ROUNDDOWN(Table1[[#This Row],[PellTot]]/3,0),0)</f>
        <v>2065</v>
      </c>
      <c r="CO156" s="254">
        <f>IFERROR(LOOKUP(Table1[EFC],Pell_Table[#Data],Pell_Table[Pell Amt]),0)</f>
        <v>6195</v>
      </c>
      <c r="CP156" s="253">
        <f>Table1[[#This Row],[AccessTot]]/3</f>
        <v>500</v>
      </c>
      <c r="CQ156" s="253">
        <f>Table1[[#This Row],[AccessTot]]/3</f>
        <v>500</v>
      </c>
      <c r="CR156" s="253">
        <f>Table1[[#This Row],[AccessTot]]/3</f>
        <v>500</v>
      </c>
      <c r="CS156" s="254">
        <f>IF(Table1[[#This Row],[PellTot]]&gt;0,1500,0)</f>
        <v>1500</v>
      </c>
      <c r="CT156" s="253">
        <f>Table1[[#This Row],[AchiTot]]/3</f>
        <v>0</v>
      </c>
      <c r="CU156" s="253">
        <f>Table1[[#This Row],[AchiTot]]/3</f>
        <v>0</v>
      </c>
      <c r="CV156" s="253">
        <f>Table1[[#This Row],[AchiTot]]/3</f>
        <v>0</v>
      </c>
      <c r="CW156" s="255">
        <f>IF(Table1[[#This Row],[Rank]]="","",IF(Table1[[#This Row],[Rank]]=1,5100,IF(Table1[[#This Row],[Rank]]=2,4500,IF(Table1[[#This Row],[Rank]]=3,3900,IF(Table1[[#This Row],[Rank]]=4,3750,IF(Table1[[#This Row],[Rank]]=5,3000,IF(Table1[[#This Row],[Rank]]=6,2250,0)))))))</f>
        <v>0</v>
      </c>
      <c r="CX156" s="253">
        <f>Table1[[#This Row],[UTTot]]/3</f>
        <v>0</v>
      </c>
      <c r="CY156" s="253">
        <f>Table1[[#This Row],[UTTot]]/3</f>
        <v>0</v>
      </c>
      <c r="CZ156" s="253">
        <f>Table1[[#This Row],[UTTot]]/3</f>
        <v>0</v>
      </c>
      <c r="DA156" s="254">
        <f>IF(Table1[[#This Row],[State]]="UT",9000,0)</f>
        <v>0</v>
      </c>
      <c r="DB156" s="253">
        <f>Table1[[#This Row],[WITTot]]/3</f>
        <v>0</v>
      </c>
      <c r="DC156" s="253">
        <f>Table1[[#This Row],[WITTot]]/3</f>
        <v>0</v>
      </c>
      <c r="DD156" s="253">
        <f>Table1[[#This Row],[WITTot]]/3</f>
        <v>0</v>
      </c>
      <c r="DE156" s="254">
        <f>IF(Table1[[#This Row],[Gender]]="Female",3000,0)</f>
        <v>0</v>
      </c>
      <c r="DF156" s="253">
        <f>Table1[[#This Row],[SerTot]]/3</f>
        <v>0</v>
      </c>
      <c r="DG156" s="253">
        <f>Table1[[#This Row],[SerTot]]/3</f>
        <v>0</v>
      </c>
      <c r="DH156" s="253">
        <f>Table1[[#This Row],[SerTot]]/3</f>
        <v>0</v>
      </c>
      <c r="DI156" s="255">
        <v>0</v>
      </c>
      <c r="DJ156" s="253">
        <f>IFERROR(ROUNDUP(Table1[[#This Row],[TranTot]]/3,0),0)</f>
        <v>0</v>
      </c>
      <c r="DK156" s="253">
        <f>IFERROR(ROUND(Table1[[#This Row],[TranTot]]/3,0),0)</f>
        <v>0</v>
      </c>
      <c r="DL156" s="253">
        <f>IFERROR(ROUNDDOWN(Table1[[#This Row],[TranTot]]/3,0),0)</f>
        <v>0</v>
      </c>
      <c r="DM156" s="255">
        <v>0</v>
      </c>
      <c r="DN156" s="253">
        <f>Table1[[#This Row],[MatTot]]/3</f>
        <v>0</v>
      </c>
      <c r="DO156" s="253">
        <f>Table1[[#This Row],[MatTot]]/3</f>
        <v>0</v>
      </c>
      <c r="DP156" s="253">
        <f>Table1[[#This Row],[MatTot]]/3</f>
        <v>0</v>
      </c>
      <c r="DQ156" s="255">
        <v>0</v>
      </c>
      <c r="DR156" s="253">
        <f>Table1[[#This Row],[OutTot]]/3</f>
        <v>0</v>
      </c>
      <c r="DS156" s="253">
        <f>Table1[[#This Row],[OutTot]]/3</f>
        <v>0</v>
      </c>
      <c r="DT156" s="253">
        <f>Table1[[#This Row],[OutTot]]/3</f>
        <v>0</v>
      </c>
      <c r="DU156" s="255">
        <v>0</v>
      </c>
      <c r="DV156" s="253">
        <v>0</v>
      </c>
      <c r="DW156" s="253">
        <v>0</v>
      </c>
      <c r="DX156" s="253">
        <v>0</v>
      </c>
      <c r="DY156" s="255">
        <f>SUM(Table1[[#This Row],[VAQ1]:[VAQ3]])</f>
        <v>0</v>
      </c>
      <c r="DZ156" s="253">
        <v>0</v>
      </c>
      <c r="EA156" s="253">
        <v>0</v>
      </c>
      <c r="EB156" s="253">
        <v>0</v>
      </c>
      <c r="EC156" s="278">
        <f>SUM(Table1[[#This Row],[OthGrantQ1]:[OthGrantQ3]])</f>
        <v>0</v>
      </c>
      <c r="ED156" s="264">
        <f>Table1[[#This Row],[SEOGTot]]+Table1[[#This Row],[PellTot]]+Table1[[#This Row],[AccessTot]]+Table1[[#This Row],[AchiTot]]+Table1[[#This Row],[UTTot]]+Table1[[#This Row],[WITTot]]+Table1[[#This Row],[SerTot]]+Table1[[#This Row],[TranTot]]+Table1[[#This Row],[MatTot]]+Table1[[#This Row],[OutTot]]+Table1[[#This Row],[VATot]]+Table1[[#This Row],[OthGrantTot]]</f>
        <v>7695</v>
      </c>
      <c r="EE156" s="298">
        <v>0</v>
      </c>
      <c r="EF156" s="227">
        <v>0</v>
      </c>
      <c r="EG156" s="227">
        <v>0</v>
      </c>
      <c r="EH156" s="228">
        <f>SUM(Table1[[#This Row],[CashQ1]]:Table1[[#This Row],[CashQ3]])</f>
        <v>0</v>
      </c>
      <c r="EI156" s="229">
        <f>ROUND((Table1[[#This Row],[SubTot]]/3)/1.01059,0)</f>
        <v>1154</v>
      </c>
      <c r="EJ156" s="230">
        <f>ROUND((Table1[[#This Row],[SubTot]]/3)/1.01059,0)</f>
        <v>1154</v>
      </c>
      <c r="EK156" s="230">
        <f>ROUNDUP((Table1[[#This Row],[SubTot]]/3)/1.01059,0)</f>
        <v>1155</v>
      </c>
      <c r="EL156" s="231">
        <v>3500</v>
      </c>
      <c r="EM156" s="233">
        <f>Table1[[#This Row],[SubTot]]*0.01059</f>
        <v>37.065000000000005</v>
      </c>
      <c r="EN156" s="230">
        <f>ROUND((Table1[[#This Row],[UnsubTot]]/3)/1.01062,0)</f>
        <v>660</v>
      </c>
      <c r="EO156" s="230">
        <f>ROUND((Table1[[#This Row],[UnsubTot]]/3)/1.01062,0)</f>
        <v>660</v>
      </c>
      <c r="EP156" s="230">
        <f>ROUNDDOWN((Table1[[#This Row],[UnsubTot]]/3)/1.01062,0)</f>
        <v>659</v>
      </c>
      <c r="EQ156" s="231">
        <f>IF(Table1[D/I]="I",6000,2000)</f>
        <v>2000</v>
      </c>
      <c r="ER156" s="233">
        <f>Table1[[#This Row],[UnsubTot]]*0.01059</f>
        <v>21.18</v>
      </c>
      <c r="ES156" s="230">
        <f>ROUND((Table1[[#This Row],[PLUSTot]]/3)/1.04236,0)</f>
        <v>0</v>
      </c>
      <c r="ET156" s="230">
        <f>ROUND((Table1[[#This Row],[PLUSTot]]/3)/1.04236,0)</f>
        <v>0</v>
      </c>
      <c r="EU156" s="230">
        <f>ROUND((Table1[[#This Row],[PLUSTot]]/3)/1.04236,0)</f>
        <v>0</v>
      </c>
      <c r="EV156" s="231">
        <v>0</v>
      </c>
      <c r="EW156" s="236">
        <f>Table1[[#This Row],[PLUSTot]]*0.04236</f>
        <v>0</v>
      </c>
      <c r="EX156" s="227"/>
      <c r="EY156" s="227"/>
      <c r="EZ156" s="227"/>
      <c r="FA156" s="228">
        <f>SUM(Table1[[#This Row],[PrivQ1]:[PrivQ3]])</f>
        <v>0</v>
      </c>
      <c r="FB156" s="227"/>
      <c r="FC156" s="227"/>
      <c r="FD156" s="227"/>
      <c r="FE156" s="228">
        <f>SUM(Table1[[#This Row],[TOQ1]:[TOQ3]])</f>
        <v>0</v>
      </c>
      <c r="FF156" s="227"/>
      <c r="FG156" s="227"/>
      <c r="FH156" s="227"/>
      <c r="FI156" s="228">
        <f>SUM(Table1[[#This Row],[OFundQ1]:[OFundQ3]])</f>
        <v>0</v>
      </c>
      <c r="FJ156" s="236">
        <f>(Table1[[#This Row],[SubTot]]-Table1[[#This Row],[SubFee]])+(Table1[[#This Row],[UnsubTot]]-Table1[[#This Row],[UnsubFee]])+(Table1[[#This Row],[PLUSTot]]-Table1[[#This Row],[PLUSFee]])+Table1[[#This Row],[PrivTot]]+Table1[[#This Row],[TOTot]]+Table1[[#This Row],[OFundTot]]</f>
        <v>5441.7550000000001</v>
      </c>
      <c r="FK156" s="159">
        <f>Table1[[#This Row],[CostTot]]-Table1[[#This Row],[GiftTot]]</f>
        <v>31820</v>
      </c>
      <c r="FL156" s="174">
        <f>Table1[[#This Row],[NetNeed]]/(1-0.04236)</f>
        <v>27545.053464767552</v>
      </c>
      <c r="FM156" s="176">
        <f>Table1[[#This Row],[NetCost]]-Table1[[#This Row],[CashTot]]-(Table1[[#This Row],[SubTot]]-Table1[[#This Row],[SubFee]])-(Table1[[#This Row],[UnsubTot]]-Table1[[#This Row],[UnsubFee]])-(Table1[[#This Row],[PLUSTot]]-Table1[[#This Row],[PLUSFee]])-Table1[[#This Row],[PrivTot]]-Table1[[#This Row],[TOTot]]-Table1[[#This Row],[OFundTot]]</f>
        <v>26378.244999999999</v>
      </c>
      <c r="FN156" s="217"/>
      <c r="FO156" s="162"/>
      <c r="FP156" s="162"/>
    </row>
    <row r="157" spans="1:172" ht="15" x14ac:dyDescent="0.25">
      <c r="A157" s="281">
        <v>191890</v>
      </c>
      <c r="B157" s="113" t="str">
        <f>VLOOKUP(Table1[[#This Row],[SyStudentId]],SSR!$A$2:$CC$4982,4,FALSE)</f>
        <v>Spurgin</v>
      </c>
      <c r="C157" s="113" t="str">
        <f>VLOOKUP(Table1[[#This Row],[SyStudentId]],SSR!$A$2:$CC$4982,5,FALSE)</f>
        <v>Terra</v>
      </c>
      <c r="D157" s="113" t="str">
        <f>VLOOKUP(Table1[[#This Row],[SyStudentId]],SSR!$A$2:$CC$4982,6,FALSE)</f>
        <v>Spurgin, Terra</v>
      </c>
      <c r="E157" s="113" t="str">
        <f>CONCATENATE(Table1[[#This Row],[FirstName]]," ",Table1[[#This Row],[LastName]])</f>
        <v>Terra Spurgin</v>
      </c>
      <c r="F157" s="112"/>
      <c r="G157" s="114"/>
      <c r="H157" s="114"/>
      <c r="I157" s="114"/>
      <c r="J157" s="115" t="s">
        <v>6041</v>
      </c>
      <c r="K157" s="116"/>
      <c r="L157" s="112" t="str">
        <f>IFERROR(VLOOKUP(Table1[[#This Row],[SyStudentId]],ISIR!$A$2:$X$999,11,FALSE),"")</f>
        <v/>
      </c>
      <c r="M157" s="113" t="str">
        <f>VLOOKUP(Table1[[#This Row],[SyStudentId]],SSR!$A$2:$CC$4982,7,FALSE)</f>
        <v>spurginterra@gmail.com</v>
      </c>
      <c r="N157" s="113" t="str">
        <f>VLOOKUP(Table1[[#This Row],[SyStudentId]],SSR!$A$2:$CC$4982,8,FALSE)</f>
        <v>3925 W BACKER LANE</v>
      </c>
      <c r="O157" s="113" t="str">
        <f>VLOOKUP(Table1[[#This Row],[SyStudentId]],SSR!$A$2:$CC$4982,9,FALSE)</f>
        <v>PHOENIX</v>
      </c>
      <c r="P157" s="113" t="str">
        <f>VLOOKUP(Table1[[#This Row],[SyStudentId]],SSR!$A$2:$CC$4982,10,FALSE)</f>
        <v>AZ</v>
      </c>
      <c r="Q157" s="117" t="str">
        <f>VLOOKUP(Table1[[#This Row],[SyStudentId]],SSR!$A$2:$CC$4982,11,FALSE)</f>
        <v xml:space="preserve">85029     </v>
      </c>
      <c r="R157" s="118">
        <f>VLOOKUP(Table1[[#This Row],[SyStudentId]],SSR!$A$2:$CC$4982,15,FALSE)</f>
        <v>3.88</v>
      </c>
      <c r="S157" s="119">
        <f>VLOOKUP(Table1[[#This Row],[SyStudentId]],SSR!$A$2:$CC$4982,22,FALSE)</f>
        <v>44109</v>
      </c>
      <c r="T157" s="113" t="str">
        <f>VLOOKUP(Table1[[#This Row],[SyStudentId]],SSR!$A$2:$CC$4982,24,FALSE)</f>
        <v>JT</v>
      </c>
      <c r="U157" s="113" t="str">
        <f>IF(VLOOKUP(Table1[[#This Row],[SyStudentId]],SSR!$A$2:$CC$4982,26,FALSE)=0,"Not Selected",VLOOKUP(Table1[[#This Row],[SyStudentId]],SSR!$A$2:$CC$4982,26,FALSE))</f>
        <v>Female</v>
      </c>
      <c r="V157" s="113" t="str">
        <f>VLOOKUP(Table1[[#This Row],[SyStudentId]],SSR!$A$2:$CC$4982,27,FALSE)</f>
        <v xml:space="preserve">HS2020  </v>
      </c>
      <c r="W157" s="113" t="str">
        <f>VLOOKUP(LEFT(Table1[[#This Row],[LastName]],1),Alpha!$A$1:$B$26,2,FALSE)</f>
        <v>Maureen Ranks</v>
      </c>
      <c r="X157" s="149" t="str">
        <f>VLOOKUP(Table1[[#This Row],[FAA]],Alpha!$B$1:$D$26,2,FALSE)</f>
        <v>mranks@neumont.edu</v>
      </c>
      <c r="Y157" s="113">
        <f>VLOOKUP(Table1[[#This Row],[FAA]],Alpha!$B$1:$D$26,3,FALSE)</f>
        <v>8883022894</v>
      </c>
      <c r="Z157" s="113" t="str">
        <f>VLOOKUP(Table1[[#This Row],[SyStudentId]],SSR!$A$2:$CC$4982,30,FALSE)</f>
        <v>16-Accepted</v>
      </c>
      <c r="AA157" s="113" t="str">
        <f>IF(VLOOKUP(Table1[[#This Row],[SyStudentId]],SSR!$A$2:$CC$4982,36,FALSE)="Bachelor of Science","BS Computer Science","Check Program")</f>
        <v>BS Computer Science</v>
      </c>
      <c r="AB157" s="113">
        <f>VLOOKUP(Table1[[#This Row],[SyStudentId]],SSR!$A$2:$CC$4982,37,FALSE)</f>
        <v>0</v>
      </c>
      <c r="AC157" s="113">
        <f>VLOOKUP(Table1[[#This Row],[SyStudentId]],SSR!$A$2:$CC$4982,42,FALSE)</f>
        <v>0</v>
      </c>
      <c r="AD157" s="113" t="str">
        <f>VLOOKUP(Table1[[#This Row],[SyStudentId]],SSR!$A$2:$CC$4982,46,FALSE)</f>
        <v>0</v>
      </c>
      <c r="AE157" s="113" t="str">
        <f>VLOOKUP(Table1[[#This Row],[SyStudentId]],SSR!$A$2:$CC$4982,65,FALSE)</f>
        <v>II</v>
      </c>
      <c r="AF157"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2</v>
      </c>
      <c r="AG157" s="113" t="str">
        <f>VLOOKUP(Table1[[#This Row],[SyStudentId]],SSR!$A$2:$CC$4982,66,FALSE)</f>
        <v>November</v>
      </c>
      <c r="AH157" s="113" t="str">
        <f>IFERROR(VLOOKUP(Table1[[#This Row],[SyStudentId]],ISIR!$A$2:$X$999,7,FALSE),"")</f>
        <v/>
      </c>
      <c r="AI157" s="121" t="str">
        <f>IF(Table1[[#This Row],[EFCRaw]]="","",IF(Table1[[#This Row],[EFCRaw]]="No EFC","No EFC",_xlfn.NUMBERVALUE(Table1[[#This Row],[EFCRaw]])))</f>
        <v/>
      </c>
      <c r="AJ157" s="119" t="str">
        <f>IFERROR(VLOOKUP(Table1[[#This Row],[SyStudentId]],ISIR!$A$2:$X$4999,19,FALSE),"")</f>
        <v/>
      </c>
      <c r="AK157" s="113" t="str">
        <f>IFERROR(VLOOKUP(Table1[[#This Row],[SyStudentId]],ISIR!$A$2:$X$4999,8,FALSE),"")</f>
        <v/>
      </c>
      <c r="AL157" s="132" t="str">
        <f>IF(Table1[[#This Row],[VerReq]]="N","n/a","")</f>
        <v/>
      </c>
      <c r="AM157" s="122"/>
      <c r="AN157" s="122"/>
      <c r="AO157" s="122"/>
      <c r="AP157" s="122"/>
      <c r="AQ157" s="122"/>
      <c r="AR157" s="122"/>
      <c r="AS157" s="122"/>
      <c r="AT157" s="122"/>
      <c r="AU157" s="122"/>
      <c r="AV157" s="122"/>
      <c r="AW157" s="122"/>
      <c r="AX157" s="122"/>
      <c r="AY157" s="122"/>
      <c r="AZ157" s="122"/>
      <c r="BA157" s="122"/>
      <c r="BB157" s="122"/>
      <c r="BC157" s="148"/>
      <c r="BD157" s="140" t="str">
        <f>IF(Table1[[#This Row],[VerReq]]="N","x","")</f>
        <v/>
      </c>
      <c r="BE157" s="140" t="str">
        <f>IF(Table1[[#This Row],[VerReq]]="N","x","")</f>
        <v/>
      </c>
      <c r="BF157" s="140" t="str">
        <f>IF(Table1[[#This Row],[VerReq]]="N","x","")</f>
        <v/>
      </c>
      <c r="BG157" s="140" t="str">
        <f>IF(Table1[[#This Row],[VerReq]]="N","x","")</f>
        <v/>
      </c>
      <c r="BH157" s="140" t="str">
        <f>IF(Table1[[#This Row],[VerReq]]="N","x","")</f>
        <v/>
      </c>
      <c r="BI157" s="140" t="str">
        <f>IF(Table1[[#This Row],[VerReq]]="N","x","")</f>
        <v/>
      </c>
      <c r="BJ157" s="123">
        <f>1-((COUNTBLANK(Table1[[#This Row],[ALESent]:[TaxTran]]))/(COUNT(Table1[[#This Row],[ALESent]:[TaxTran]])+COUNTBLANK(Table1[[#This Row],[ALESent]:[TaxTran]])))</f>
        <v>0</v>
      </c>
      <c r="BK157" s="150">
        <f>IF(VLOOKUP(Table1[[#This Row],[SyStudentId]],SSR!$A$2:$CC$4982,22,FALSE)=44109,44109,"Check Program")</f>
        <v>44109</v>
      </c>
      <c r="BL157" s="150">
        <f>IF(Table1[[#This Row],[AYStart]]=44109,44356,"Check Program")</f>
        <v>44356</v>
      </c>
      <c r="BM157" s="219"/>
      <c r="BN157" s="219"/>
      <c r="BO157" s="219"/>
      <c r="BP157" s="220">
        <f t="shared" si="6"/>
        <v>0</v>
      </c>
      <c r="BQ157" s="221"/>
      <c r="BR157" s="219"/>
      <c r="BS157" s="219"/>
      <c r="BT157" s="220">
        <f t="shared" si="7"/>
        <v>0</v>
      </c>
      <c r="BU157" s="219"/>
      <c r="BV157" s="219"/>
      <c r="BW157" s="219"/>
      <c r="BX157" s="220">
        <f t="shared" si="8"/>
        <v>0</v>
      </c>
      <c r="BY157" s="275"/>
      <c r="BZ157" s="275"/>
      <c r="CA157" s="275"/>
      <c r="CB157" s="220">
        <f>SUM(Table1[[#This Row],[LEQ1]:[LEQ3]])</f>
        <v>0</v>
      </c>
      <c r="CC157" s="269"/>
      <c r="CD157" s="269"/>
      <c r="CE157" s="269"/>
      <c r="CF157" s="220">
        <f>SUM(Table1[[#This Row],[OthCostQ1]:[OthCostQ3]])</f>
        <v>0</v>
      </c>
      <c r="CG157" s="220">
        <f>(Table1[[#This Row],[T&amp;FTot]]+Table1[[#This Row],[B&amp;STot]]+Table1[[#This Row],[HousTot]]+Table1[[#This Row],[LETot]]+Table1[[#This Row],[OthCostTot]])</f>
        <v>0</v>
      </c>
      <c r="CH157" s="250"/>
      <c r="CI157" s="250"/>
      <c r="CJ157" s="250"/>
      <c r="CK157" s="251">
        <f>SUM(Table1[[#This Row],[SEOGQ1]:[SEOGQ3]])</f>
        <v>0</v>
      </c>
      <c r="CL157" s="250">
        <f>IFERROR(ROUNDUP(Table1[[#This Row],[PellTot]]/3,0),0)</f>
        <v>0</v>
      </c>
      <c r="CM157" s="250">
        <f>IFERROR(ROUND(Table1[[#This Row],[PellTot]]/3,0),0)</f>
        <v>0</v>
      </c>
      <c r="CN157" s="250">
        <f>IFERROR(ROUNDDOWN(Table1[[#This Row],[PellTot]]/3,0),0)</f>
        <v>0</v>
      </c>
      <c r="CO157" s="251">
        <f>IFERROR(LOOKUP(Table1[EFC],Pell_Table[#Data],Pell_Table[Pell Amt]),0)</f>
        <v>0</v>
      </c>
      <c r="CP157" s="250">
        <f>Table1[[#This Row],[AccessTot]]/3</f>
        <v>0</v>
      </c>
      <c r="CQ157" s="250">
        <f>Table1[[#This Row],[AccessTot]]/3</f>
        <v>0</v>
      </c>
      <c r="CR157" s="250">
        <f>Table1[[#This Row],[AccessTot]]/3</f>
        <v>0</v>
      </c>
      <c r="CS157" s="251">
        <f>IF(Table1[[#This Row],[PellTot]]&gt;0,1500,0)</f>
        <v>0</v>
      </c>
      <c r="CT157" s="250">
        <f>Table1[[#This Row],[AchiTot]]/3</f>
        <v>1500</v>
      </c>
      <c r="CU157" s="250">
        <f>Table1[[#This Row],[AchiTot]]/3</f>
        <v>1500</v>
      </c>
      <c r="CV157" s="250">
        <f>Table1[[#This Row],[AchiTot]]/3</f>
        <v>1500</v>
      </c>
      <c r="CW157" s="252">
        <f>IF(Table1[[#This Row],[Rank]]="","",IF(Table1[[#This Row],[Rank]]=1,5100,IF(Table1[[#This Row],[Rank]]=2,4500,IF(Table1[[#This Row],[Rank]]=3,3900,IF(Table1[[#This Row],[Rank]]=4,3750,IF(Table1[[#This Row],[Rank]]=5,3000,IF(Table1[[#This Row],[Rank]]=6,2250,0)))))))</f>
        <v>4500</v>
      </c>
      <c r="CX157" s="250">
        <f>Table1[[#This Row],[UTTot]]/3</f>
        <v>0</v>
      </c>
      <c r="CY157" s="250">
        <f>Table1[[#This Row],[UTTot]]/3</f>
        <v>0</v>
      </c>
      <c r="CZ157" s="250">
        <f>Table1[[#This Row],[UTTot]]/3</f>
        <v>0</v>
      </c>
      <c r="DA157" s="251">
        <f>IF(Table1[[#This Row],[State]]="UT",9000,0)</f>
        <v>0</v>
      </c>
      <c r="DB157" s="250">
        <f>Table1[[#This Row],[WITTot]]/3</f>
        <v>1000</v>
      </c>
      <c r="DC157" s="250">
        <f>Table1[[#This Row],[WITTot]]/3</f>
        <v>1000</v>
      </c>
      <c r="DD157" s="250">
        <f>Table1[[#This Row],[WITTot]]/3</f>
        <v>1000</v>
      </c>
      <c r="DE157" s="251">
        <f>IF(Table1[[#This Row],[Gender]]="Female",3000,0)</f>
        <v>3000</v>
      </c>
      <c r="DF157" s="250">
        <f>Table1[[#This Row],[SerTot]]/3</f>
        <v>0</v>
      </c>
      <c r="DG157" s="250">
        <f>Table1[[#This Row],[SerTot]]/3</f>
        <v>0</v>
      </c>
      <c r="DH157" s="250">
        <f>Table1[[#This Row],[SerTot]]/3</f>
        <v>0</v>
      </c>
      <c r="DI157" s="252"/>
      <c r="DJ157" s="250"/>
      <c r="DK157" s="250"/>
      <c r="DL157" s="250"/>
      <c r="DM157" s="252"/>
      <c r="DN157" s="250">
        <f>Table1[[#This Row],[MatTot]]/3</f>
        <v>0</v>
      </c>
      <c r="DO157" s="250">
        <f>Table1[[#This Row],[MatTot]]/3</f>
        <v>0</v>
      </c>
      <c r="DP157" s="250">
        <f>Table1[[#This Row],[MatTot]]/3</f>
        <v>0</v>
      </c>
      <c r="DQ157" s="252"/>
      <c r="DR157" s="250">
        <f>Table1[[#This Row],[OutTot]]/3</f>
        <v>0</v>
      </c>
      <c r="DS157" s="250">
        <f>Table1[[#This Row],[OutTot]]/3</f>
        <v>0</v>
      </c>
      <c r="DT157" s="250">
        <f>Table1[[#This Row],[OutTot]]/3</f>
        <v>0</v>
      </c>
      <c r="DU157" s="252"/>
      <c r="DV157" s="250"/>
      <c r="DW157" s="250"/>
      <c r="DX157" s="250"/>
      <c r="DY157" s="252">
        <f>SUM(Table1[[#This Row],[VAQ1]:[VAQ3]])</f>
        <v>0</v>
      </c>
      <c r="DZ157" s="250"/>
      <c r="EA157" s="250"/>
      <c r="EB157" s="250"/>
      <c r="EC157" s="270">
        <f>SUM(Table1[[#This Row],[OthGrantQ1]:[OthGrantQ3]])</f>
        <v>0</v>
      </c>
      <c r="ED157" s="263">
        <f>Table1[[#This Row],[SEOGTot]]+Table1[[#This Row],[PellTot]]+Table1[[#This Row],[AccessTot]]+Table1[[#This Row],[AchiTot]]+Table1[[#This Row],[UTTot]]+Table1[[#This Row],[WITTot]]+Table1[[#This Row],[SerTot]]+Table1[[#This Row],[TranTot]]+Table1[[#This Row],[MatTot]]+Table1[[#This Row],[OutTot]]+Table1[[#This Row],[VATot]]+Table1[[#This Row],[OthGrantTot]]</f>
        <v>7500</v>
      </c>
      <c r="EE157" s="282"/>
      <c r="EF157" s="237"/>
      <c r="EG157" s="237"/>
      <c r="EH157" s="232">
        <f>SUM(Table1[[#This Row],[CashQ1]]:Table1[[#This Row],[CashQ3]])</f>
        <v>0</v>
      </c>
      <c r="EI157" s="271">
        <f>ROUND((Table1[[#This Row],[SubTot]]/3)/1.01059,0)</f>
        <v>0</v>
      </c>
      <c r="EJ157" s="234">
        <f>ROUND((Table1[[#This Row],[SubTot]]/3)/1.01059,0)</f>
        <v>0</v>
      </c>
      <c r="EK157" s="234">
        <f>ROUNDUP((Table1[[#This Row],[SubTot]]/3)/1.01059,0)</f>
        <v>0</v>
      </c>
      <c r="EL157" s="235"/>
      <c r="EM157" s="240">
        <f>Table1[[#This Row],[SubTot]]*0.01059</f>
        <v>0</v>
      </c>
      <c r="EN157" s="234">
        <f>ROUND((Table1[[#This Row],[UnsubTot]]/3)/1.01062,0)</f>
        <v>660</v>
      </c>
      <c r="EO157" s="234">
        <f>ROUND((Table1[[#This Row],[UnsubTot]]/3)/1.01062,0)</f>
        <v>660</v>
      </c>
      <c r="EP157" s="234">
        <f>ROUNDDOWN((Table1[[#This Row],[UnsubTot]]/3)/1.01062,0)</f>
        <v>659</v>
      </c>
      <c r="EQ157" s="235">
        <f>IF(Table1[D/I]="I",6000,2000)</f>
        <v>2000</v>
      </c>
      <c r="ER157" s="240">
        <f>Table1[[#This Row],[UnsubTot]]*0.01062</f>
        <v>21.24</v>
      </c>
      <c r="ES157" s="234">
        <f>ROUND((Table1[[#This Row],[PLUSTot]]/3)/1.04248,0)</f>
        <v>0</v>
      </c>
      <c r="ET157" s="234">
        <f>ROUND((Table1[[#This Row],[PLUSTot]]/3)/1.04248,0)</f>
        <v>0</v>
      </c>
      <c r="EU157" s="234">
        <f>ROUND((Table1[[#This Row],[PLUSTot]]/3)/1.04248,0)</f>
        <v>0</v>
      </c>
      <c r="EV157" s="235"/>
      <c r="EW157" s="239">
        <f>Table1[[#This Row],[PLUSTot]]*0.04248</f>
        <v>0</v>
      </c>
      <c r="EX157" s="237"/>
      <c r="EY157" s="237"/>
      <c r="EZ157" s="237"/>
      <c r="FA157" s="232">
        <f>SUM(Table1[[#This Row],[PrivQ1]:[PrivQ3]])</f>
        <v>0</v>
      </c>
      <c r="FB157" s="237"/>
      <c r="FC157" s="237"/>
      <c r="FD157" s="237"/>
      <c r="FE157" s="232">
        <f>SUM(Table1[[#This Row],[TOQ1]:[TOQ3]])</f>
        <v>0</v>
      </c>
      <c r="FF157" s="237"/>
      <c r="FG157" s="237"/>
      <c r="FH157" s="237"/>
      <c r="FI157" s="232">
        <f>SUM(Table1[[#This Row],[OFundQ1]:[OFundQ3]])</f>
        <v>0</v>
      </c>
      <c r="FJ157" s="239">
        <f>(Table1[[#This Row],[SubTot]]-Table1[[#This Row],[SubFee]])+(Table1[[#This Row],[UnsubTot]]-Table1[[#This Row],[UnsubFee]])+(Table1[[#This Row],[PLUSTot]]-Table1[[#This Row],[PLUSFee]])+Table1[[#This Row],[PrivTot]]+Table1[[#This Row],[TOTot]]+Table1[[#This Row],[OFundTot]]</f>
        <v>1978.76</v>
      </c>
      <c r="FK157" s="125">
        <f>Table1[[#This Row],[CostTot]]-Table1[[#This Row],[GiftTot]]</f>
        <v>-7500</v>
      </c>
      <c r="FL157" s="130">
        <f>Table1[[#This Row],[NetNeed]]/(1-0.04248)</f>
        <v>-9899.2814771493031</v>
      </c>
      <c r="FM157" s="131">
        <f>Table1[[#This Row],[NetCost]]-Table1[[#This Row],[CashTot]]-(Table1[[#This Row],[SubTot]]-Table1[[#This Row],[SubFee]])-(Table1[[#This Row],[UnsubTot]]-Table1[[#This Row],[UnsubFee]])-(Table1[[#This Row],[PLUSTot]]-Table1[[#This Row],[PLUSFee]])-Table1[[#This Row],[PrivTot]]-Table1[[#This Row],[TOTot]]-Table1[[#This Row],[OFundTot]]</f>
        <v>-9478.76</v>
      </c>
      <c r="FN157" s="156"/>
      <c r="FO157" s="113"/>
      <c r="FP157" s="113"/>
    </row>
    <row r="158" spans="1:172" ht="15" x14ac:dyDescent="0.25">
      <c r="A158" s="281">
        <v>196516</v>
      </c>
      <c r="B158" s="160" t="str">
        <f>VLOOKUP(Table1[[#This Row],[SyStudentId]],SSR!$A$2:$CC$4982,4,FALSE)</f>
        <v>Stallworth</v>
      </c>
      <c r="C158" s="160" t="str">
        <f>VLOOKUP(Table1[[#This Row],[SyStudentId]],SSR!$A$2:$CC$4982,5,FALSE)</f>
        <v>Mahari</v>
      </c>
      <c r="D158" s="160" t="str">
        <f>VLOOKUP(Table1[[#This Row],[SyStudentId]],SSR!$A$2:$CC$4982,6,FALSE)</f>
        <v>Stallworth, Mahari</v>
      </c>
      <c r="E158" s="113" t="str">
        <f>CONCATENATE(Table1[[#This Row],[FirstName]]," ",Table1[[#This Row],[LastName]])</f>
        <v>Mahari Stallworth</v>
      </c>
      <c r="F158" s="158"/>
      <c r="G158" s="114"/>
      <c r="H158" s="114"/>
      <c r="I158" s="114"/>
      <c r="J158" s="163"/>
      <c r="K158" s="164"/>
      <c r="L158" s="158" t="str">
        <f>IFERROR(VLOOKUP(Table1[[#This Row],[SyStudentId]],ISIR!$A$2:$X$4999,11,FALSE),"")</f>
        <v/>
      </c>
      <c r="M158" s="160" t="str">
        <f>VLOOKUP(Table1[[#This Row],[SyStudentId]],SSR!$A$2:$CC$4982,7,FALSE)</f>
        <v>maharistallworth@gmail.com</v>
      </c>
      <c r="N158" s="160" t="str">
        <f>VLOOKUP(Table1[[#This Row],[SyStudentId]],SSR!$A$2:$CC$4982,8,FALSE)</f>
        <v>P.O. Box 414</v>
      </c>
      <c r="O158" s="160" t="str">
        <f>VLOOKUP(Table1[[#This Row],[SyStudentId]],SSR!$A$2:$CC$4982,9,FALSE)</f>
        <v>Beatrice</v>
      </c>
      <c r="P158" s="160" t="str">
        <f>VLOOKUP(Table1[[#This Row],[SyStudentId]],SSR!$A$2:$CC$4982,10,FALSE)</f>
        <v>AL</v>
      </c>
      <c r="Q158" s="165" t="str">
        <f>VLOOKUP(Table1[[#This Row],[SyStudentId]],SSR!$A$2:$CC$4982,11,FALSE)</f>
        <v xml:space="preserve">00414     </v>
      </c>
      <c r="R158" s="166">
        <f>VLOOKUP(Table1[[#This Row],[SyStudentId]],SSR!$A$2:$CC$4982,15,FALSE)</f>
        <v>3.7857099999999999</v>
      </c>
      <c r="S158" s="167">
        <f>VLOOKUP(Table1[[#This Row],[SyStudentId]],SSR!$A$2:$CC$4982,22,FALSE)</f>
        <v>44109</v>
      </c>
      <c r="T158" s="160" t="str">
        <f>VLOOKUP(Table1[[#This Row],[SyStudentId]],SSR!$A$2:$CC$4982,24,FALSE)</f>
        <v>MN</v>
      </c>
      <c r="U158" s="160" t="str">
        <f>IF(VLOOKUP(Table1[[#This Row],[SyStudentId]],SSR!$A$2:$CC$4982,26,FALSE)=0,"Not Selected",VLOOKUP(Table1[[#This Row],[SyStudentId]],SSR!$A$2:$CC$4982,26,FALSE))</f>
        <v>Male</v>
      </c>
      <c r="V158" s="160" t="str">
        <f>VLOOKUP(Table1[[#This Row],[SyStudentId]],SSR!$A$2:$CC$4982,27,FALSE)</f>
        <v xml:space="preserve">HS2020  </v>
      </c>
      <c r="W158" s="160" t="str">
        <f>VLOOKUP(LEFT(Table1[[#This Row],[LastName]],1),Alpha!$A$1:$B$26,2,FALSE)</f>
        <v>Maureen Ranks</v>
      </c>
      <c r="X158" s="168" t="str">
        <f>VLOOKUP(Table1[[#This Row],[FAA]],Alpha!$B$1:$D$26,2,FALSE)</f>
        <v>mranks@neumont.edu</v>
      </c>
      <c r="Y158" s="160">
        <f>VLOOKUP(Table1[[#This Row],[FAA]],Alpha!$B$1:$D$26,3,FALSE)</f>
        <v>8883022894</v>
      </c>
      <c r="Z158" s="160" t="str">
        <f>VLOOKUP(Table1[[#This Row],[SyStudentId]],SSR!$A$2:$CC$4982,30,FALSE)</f>
        <v>16-Accepted</v>
      </c>
      <c r="AA158" s="160" t="str">
        <f>IF(VLOOKUP(Table1[[#This Row],[SyStudentId]],SSR!$A$2:$CC$4982,36,FALSE)="Bachelor of Science","BS Computer Science","Check Program")</f>
        <v>BS Computer Science</v>
      </c>
      <c r="AB158" s="160" t="str">
        <f>VLOOKUP(Table1[[#This Row],[SyStudentId]],SSR!$A$2:$CC$4982,37,FALSE)</f>
        <v xml:space="preserve">20      </v>
      </c>
      <c r="AC158" s="160">
        <f>VLOOKUP(Table1[[#This Row],[SyStudentId]],SSR!$A$2:$CC$4982,42,FALSE)</f>
        <v>0</v>
      </c>
      <c r="AD158" s="160" t="str">
        <f>VLOOKUP(Table1[[#This Row],[SyStudentId]],SSR!$A$2:$CC$4982,46,FALSE)</f>
        <v>110</v>
      </c>
      <c r="AE158" s="160" t="str">
        <f>VLOOKUP(Table1[[#This Row],[SyStudentId]],SSR!$A$2:$CC$4982,65,FALSE)</f>
        <v>IV</v>
      </c>
      <c r="AF158"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4</v>
      </c>
      <c r="AG158" s="160" t="str">
        <f>VLOOKUP(Table1[[#This Row],[SyStudentId]],SSR!$A$2:$CC$4982,66,FALSE)</f>
        <v>July-October</v>
      </c>
      <c r="AH158" s="160" t="str">
        <f>IFERROR(VLOOKUP(Table1[[#This Row],[SyStudentId]],ISIR!$A$2:$X$1999,7,FALSE),"")</f>
        <v/>
      </c>
      <c r="AI158" s="170" t="str">
        <f>IF(Table1[[#This Row],[EFCRaw]]="","",IF(Table1[[#This Row],[EFCRaw]]="No EFC","No EFC",_xlfn.NUMBERVALUE(Table1[[#This Row],[EFCRaw]])))</f>
        <v/>
      </c>
      <c r="AJ158" s="167" t="str">
        <f>IFERROR(VLOOKUP(Table1[[#This Row],[SyStudentId]],ISIR!$A$2:$X$4999,19,FALSE),"")</f>
        <v/>
      </c>
      <c r="AK158" s="160" t="str">
        <f>IFERROR(VLOOKUP(Table1[[#This Row],[SyStudentId]],ISIR!$A$2:$X$4999,8,FALSE),"")</f>
        <v/>
      </c>
      <c r="AL158" s="178" t="str">
        <f>IF(Table1[[#This Row],[VerReq]]="N","n/a","")</f>
        <v/>
      </c>
      <c r="AM158" s="122"/>
      <c r="AN158" s="122"/>
      <c r="AO158" s="122"/>
      <c r="AP158" s="122"/>
      <c r="AQ158" s="122"/>
      <c r="AR158" s="122"/>
      <c r="AS158" s="122"/>
      <c r="AT158" s="122"/>
      <c r="AU158" s="122"/>
      <c r="AV158" s="122"/>
      <c r="AW158" s="122"/>
      <c r="AX158" s="122"/>
      <c r="AY158" s="122"/>
      <c r="AZ158" s="122"/>
      <c r="BA158" s="122"/>
      <c r="BB158" s="122"/>
      <c r="BC158" s="148"/>
      <c r="BD158" s="140" t="str">
        <f>IF(Table1[[#This Row],[VerReq]]="N","x","")</f>
        <v/>
      </c>
      <c r="BE158" s="140" t="str">
        <f>IF(Table1[[#This Row],[VerReq]]="N","x","")</f>
        <v/>
      </c>
      <c r="BF158" s="140" t="str">
        <f>IF(Table1[[#This Row],[VerReq]]="N","x","")</f>
        <v/>
      </c>
      <c r="BG158" s="140" t="str">
        <f>IF(Table1[[#This Row],[VerReq]]="N","x","")</f>
        <v/>
      </c>
      <c r="BH158" s="140" t="str">
        <f>IF(Table1[[#This Row],[VerReq]]="N","x","")</f>
        <v/>
      </c>
      <c r="BI158" s="140" t="str">
        <f>IF(Table1[[#This Row],[VerReq]]="N","x","")</f>
        <v/>
      </c>
      <c r="BJ158" s="181">
        <f>1-((COUNTBLANK(Table1[[#This Row],[ALESent]:[TaxTran]]))/(COUNT(Table1[[#This Row],[ALESent]:[TaxTran]])+COUNTBLANK(Table1[[#This Row],[ALESent]:[TaxTran]])))</f>
        <v>0</v>
      </c>
      <c r="BK158" s="216">
        <f>IF(VLOOKUP(Table1[[#This Row],[SyStudentId]],SSR!$A$2:$CC$4982,22,FALSE)=44109,44109,"Check Program")</f>
        <v>44109</v>
      </c>
      <c r="BL158" s="216">
        <f>IF(Table1[[#This Row],[AYStart]]=44109,44356,"Check Program")</f>
        <v>44356</v>
      </c>
      <c r="BM158" s="219">
        <v>8505</v>
      </c>
      <c r="BN158" s="219">
        <v>8505</v>
      </c>
      <c r="BO158" s="219">
        <v>8505</v>
      </c>
      <c r="BP158" s="220">
        <f t="shared" si="6"/>
        <v>25515</v>
      </c>
      <c r="BQ158" s="221">
        <v>3300</v>
      </c>
      <c r="BR158" s="219">
        <v>400</v>
      </c>
      <c r="BS158" s="219">
        <v>400</v>
      </c>
      <c r="BT158" s="222">
        <f t="shared" si="7"/>
        <v>4100</v>
      </c>
      <c r="BU158" s="219">
        <v>2100</v>
      </c>
      <c r="BV158" s="219">
        <v>2100</v>
      </c>
      <c r="BW158" s="219">
        <v>2100</v>
      </c>
      <c r="BX158" s="222">
        <f t="shared" si="8"/>
        <v>6300</v>
      </c>
      <c r="BY158" s="275">
        <v>1200</v>
      </c>
      <c r="BZ158" s="275">
        <v>1200</v>
      </c>
      <c r="CA158" s="275">
        <v>1200</v>
      </c>
      <c r="CB158" s="222">
        <f>SUM(Table1[[#This Row],[LEQ1]:[LEQ3]])</f>
        <v>3600</v>
      </c>
      <c r="CC158" s="276">
        <v>0</v>
      </c>
      <c r="CD158" s="276">
        <v>0</v>
      </c>
      <c r="CE158" s="276">
        <v>0</v>
      </c>
      <c r="CF158" s="222">
        <f>SUM(Table1[[#This Row],[OthCostQ1]:[OthCostQ3]])</f>
        <v>0</v>
      </c>
      <c r="CG158" s="222">
        <f>(Table1[[#This Row],[T&amp;FTot]]+Table1[[#This Row],[B&amp;STot]]+Table1[[#This Row],[HousTot]]+Table1[[#This Row],[LETot]]+Table1[[#This Row],[OthCostTot]])</f>
        <v>39515</v>
      </c>
      <c r="CH158" s="253">
        <v>0</v>
      </c>
      <c r="CI158" s="253">
        <v>0</v>
      </c>
      <c r="CJ158" s="253">
        <v>0</v>
      </c>
      <c r="CK158" s="254">
        <f>SUM(Table1[[#This Row],[SEOGQ1]:[SEOGQ3]])</f>
        <v>0</v>
      </c>
      <c r="CL158" s="253">
        <f>IFERROR(ROUNDUP(Table1[[#This Row],[PellTot]]/3,0),0)</f>
        <v>0</v>
      </c>
      <c r="CM158" s="253">
        <f>IFERROR(ROUND(Table1[[#This Row],[PellTot]]/3,0),0)</f>
        <v>0</v>
      </c>
      <c r="CN158" s="253">
        <f>IFERROR(ROUNDDOWN(Table1[[#This Row],[PellTot]]/3,0),0)</f>
        <v>0</v>
      </c>
      <c r="CO158" s="254">
        <f>IFERROR(LOOKUP(Table1[EFC],Pell_Table[#Data],Pell_Table[Pell Amt]),0)</f>
        <v>0</v>
      </c>
      <c r="CP158" s="253">
        <f>Table1[[#This Row],[AccessTot]]/3</f>
        <v>0</v>
      </c>
      <c r="CQ158" s="253">
        <f>Table1[[#This Row],[AccessTot]]/3</f>
        <v>0</v>
      </c>
      <c r="CR158" s="253">
        <f>Table1[[#This Row],[AccessTot]]/3</f>
        <v>0</v>
      </c>
      <c r="CS158" s="254">
        <f>IF(Table1[[#This Row],[PellTot]]&gt;0,1500,0)</f>
        <v>0</v>
      </c>
      <c r="CT158" s="253">
        <f>Table1[[#This Row],[AchiTot]]/3</f>
        <v>1250</v>
      </c>
      <c r="CU158" s="253">
        <f>Table1[[#This Row],[AchiTot]]/3</f>
        <v>1250</v>
      </c>
      <c r="CV158" s="253">
        <f>Table1[[#This Row],[AchiTot]]/3</f>
        <v>1250</v>
      </c>
      <c r="CW158" s="255">
        <f>IF(Table1[[#This Row],[Rank]]="","",IF(Table1[[#This Row],[Rank]]=1,5100,IF(Table1[[#This Row],[Rank]]=2,4500,IF(Table1[[#This Row],[Rank]]=3,3900,IF(Table1[[#This Row],[Rank]]=4,3750,IF(Table1[[#This Row],[Rank]]=5,3000,IF(Table1[[#This Row],[Rank]]=6,2250,0)))))))</f>
        <v>3750</v>
      </c>
      <c r="CX158" s="253">
        <f>Table1[[#This Row],[UTTot]]/3</f>
        <v>0</v>
      </c>
      <c r="CY158" s="253">
        <f>Table1[[#This Row],[UTTot]]/3</f>
        <v>0</v>
      </c>
      <c r="CZ158" s="253">
        <f>Table1[[#This Row],[UTTot]]/3</f>
        <v>0</v>
      </c>
      <c r="DA158" s="254">
        <f>IF(Table1[[#This Row],[State]]="UT",9000,0)</f>
        <v>0</v>
      </c>
      <c r="DB158" s="253">
        <f>Table1[[#This Row],[WITTot]]/3</f>
        <v>0</v>
      </c>
      <c r="DC158" s="253">
        <f>Table1[[#This Row],[WITTot]]/3</f>
        <v>0</v>
      </c>
      <c r="DD158" s="253">
        <f>Table1[[#This Row],[WITTot]]/3</f>
        <v>0</v>
      </c>
      <c r="DE158" s="254">
        <f>IF(Table1[[#This Row],[Gender]]="Female",3000,0)</f>
        <v>0</v>
      </c>
      <c r="DF158" s="253">
        <f>Table1[[#This Row],[SerTot]]/3</f>
        <v>0</v>
      </c>
      <c r="DG158" s="253">
        <f>Table1[[#This Row],[SerTot]]/3</f>
        <v>0</v>
      </c>
      <c r="DH158" s="253">
        <f>Table1[[#This Row],[SerTot]]/3</f>
        <v>0</v>
      </c>
      <c r="DI158" s="255">
        <v>0</v>
      </c>
      <c r="DJ158" s="253">
        <f>IFERROR(ROUNDUP(Table1[[#This Row],[TranTot]]/3,0),0)</f>
        <v>0</v>
      </c>
      <c r="DK158" s="253">
        <f>IFERROR(ROUND(Table1[[#This Row],[TranTot]]/3,0),0)</f>
        <v>0</v>
      </c>
      <c r="DL158" s="253">
        <f>IFERROR(ROUNDDOWN(Table1[[#This Row],[TranTot]]/3,0),0)</f>
        <v>0</v>
      </c>
      <c r="DM158" s="255">
        <v>0</v>
      </c>
      <c r="DN158" s="253">
        <f>Table1[[#This Row],[MatTot]]/3</f>
        <v>0</v>
      </c>
      <c r="DO158" s="253">
        <f>Table1[[#This Row],[MatTot]]/3</f>
        <v>0</v>
      </c>
      <c r="DP158" s="253">
        <f>Table1[[#This Row],[MatTot]]/3</f>
        <v>0</v>
      </c>
      <c r="DQ158" s="255">
        <v>0</v>
      </c>
      <c r="DR158" s="253">
        <f>Table1[[#This Row],[OutTot]]/3</f>
        <v>0</v>
      </c>
      <c r="DS158" s="253">
        <f>Table1[[#This Row],[OutTot]]/3</f>
        <v>0</v>
      </c>
      <c r="DT158" s="253">
        <f>Table1[[#This Row],[OutTot]]/3</f>
        <v>0</v>
      </c>
      <c r="DU158" s="255">
        <v>0</v>
      </c>
      <c r="DV158" s="253">
        <v>0</v>
      </c>
      <c r="DW158" s="253">
        <v>0</v>
      </c>
      <c r="DX158" s="253">
        <v>0</v>
      </c>
      <c r="DY158" s="255">
        <f>SUM(Table1[[#This Row],[VAQ1]:[VAQ3]])</f>
        <v>0</v>
      </c>
      <c r="DZ158" s="253">
        <v>0</v>
      </c>
      <c r="EA158" s="253">
        <v>0</v>
      </c>
      <c r="EB158" s="253">
        <v>0</v>
      </c>
      <c r="EC158" s="278">
        <f>SUM(Table1[[#This Row],[OthGrantQ1]:[OthGrantQ3]])</f>
        <v>0</v>
      </c>
      <c r="ED158" s="264">
        <f>Table1[[#This Row],[SEOGTot]]+Table1[[#This Row],[PellTot]]+Table1[[#This Row],[AccessTot]]+Table1[[#This Row],[AchiTot]]+Table1[[#This Row],[UTTot]]+Table1[[#This Row],[WITTot]]+Table1[[#This Row],[SerTot]]+Table1[[#This Row],[TranTot]]+Table1[[#This Row],[MatTot]]+Table1[[#This Row],[OutTot]]+Table1[[#This Row],[VATot]]+Table1[[#This Row],[OthGrantTot]]</f>
        <v>3750</v>
      </c>
      <c r="EE158" s="298">
        <v>0</v>
      </c>
      <c r="EF158" s="227">
        <v>0</v>
      </c>
      <c r="EG158" s="227">
        <v>0</v>
      </c>
      <c r="EH158" s="228">
        <f>SUM(Table1[[#This Row],[CashQ1]]:Table1[[#This Row],[CashQ3]])</f>
        <v>0</v>
      </c>
      <c r="EI158" s="229">
        <f>ROUND((Table1[[#This Row],[SubTot]]/3)/1.01059,0)</f>
        <v>1154</v>
      </c>
      <c r="EJ158" s="230">
        <f>ROUND((Table1[[#This Row],[SubTot]]/3)/1.01059,0)</f>
        <v>1154</v>
      </c>
      <c r="EK158" s="230">
        <f>ROUNDUP((Table1[[#This Row],[SubTot]]/3)/1.01059,0)</f>
        <v>1155</v>
      </c>
      <c r="EL158" s="231">
        <v>3500</v>
      </c>
      <c r="EM158" s="233">
        <f>Table1[[#This Row],[SubTot]]*0.01059</f>
        <v>37.065000000000005</v>
      </c>
      <c r="EN158" s="230">
        <f>ROUND((Table1[[#This Row],[UnsubTot]]/3)/1.01062,0)</f>
        <v>660</v>
      </c>
      <c r="EO158" s="230">
        <f>ROUND((Table1[[#This Row],[UnsubTot]]/3)/1.01062,0)</f>
        <v>660</v>
      </c>
      <c r="EP158" s="230">
        <f>ROUNDDOWN((Table1[[#This Row],[UnsubTot]]/3)/1.01062,0)</f>
        <v>659</v>
      </c>
      <c r="EQ158" s="231">
        <f>IF(Table1[D/I]="I",6000,2000)</f>
        <v>2000</v>
      </c>
      <c r="ER158" s="233">
        <f>Table1[[#This Row],[UnsubTot]]*0.01059</f>
        <v>21.18</v>
      </c>
      <c r="ES158" s="230">
        <f>ROUND((Table1[[#This Row],[PLUSTot]]/3)/1.04236,0)</f>
        <v>0</v>
      </c>
      <c r="ET158" s="230">
        <f>ROUND((Table1[[#This Row],[PLUSTot]]/3)/1.04236,0)</f>
        <v>0</v>
      </c>
      <c r="EU158" s="230">
        <f>ROUND((Table1[[#This Row],[PLUSTot]]/3)/1.04236,0)</f>
        <v>0</v>
      </c>
      <c r="EV158" s="231">
        <v>0</v>
      </c>
      <c r="EW158" s="236">
        <f>Table1[[#This Row],[PLUSTot]]*0.04236</f>
        <v>0</v>
      </c>
      <c r="EX158" s="227"/>
      <c r="EY158" s="227"/>
      <c r="EZ158" s="227"/>
      <c r="FA158" s="228">
        <v>0</v>
      </c>
      <c r="FB158" s="227"/>
      <c r="FC158" s="227"/>
      <c r="FD158" s="227"/>
      <c r="FE158" s="228">
        <f>SUM(Table1[[#This Row],[TOQ1]:[TOQ3]])</f>
        <v>0</v>
      </c>
      <c r="FF158" s="227"/>
      <c r="FG158" s="227"/>
      <c r="FH158" s="227"/>
      <c r="FI158" s="228">
        <f>SUM(Table1[[#This Row],[OFundQ1]:[OFundQ3]])</f>
        <v>0</v>
      </c>
      <c r="FJ158" s="236">
        <f>(Table1[[#This Row],[SubTot]]-Table1[[#This Row],[SubFee]])+(Table1[[#This Row],[UnsubTot]]-Table1[[#This Row],[UnsubFee]])+(Table1[[#This Row],[PLUSTot]]-Table1[[#This Row],[PLUSFee]])+Table1[[#This Row],[PrivTot]]+Table1[[#This Row],[TOTot]]+Table1[[#This Row],[OFundTot]]</f>
        <v>5441.7550000000001</v>
      </c>
      <c r="FK158" s="159">
        <f>Table1[[#This Row],[CostTot]]-Table1[[#This Row],[GiftTot]]</f>
        <v>35765</v>
      </c>
      <c r="FL158" s="174">
        <f>Table1[[#This Row],[NetNeed]]/(1-0.04236)</f>
        <v>31664.555574119709</v>
      </c>
      <c r="FM158" s="176">
        <f>Table1[[#This Row],[NetCost]]-Table1[[#This Row],[CashTot]]-(Table1[[#This Row],[SubTot]]-Table1[[#This Row],[SubFee]])-(Table1[[#This Row],[UnsubTot]]-Table1[[#This Row],[UnsubFee]])-(Table1[[#This Row],[PLUSTot]]-Table1[[#This Row],[PLUSFee]])-Table1[[#This Row],[PrivTot]]-Table1[[#This Row],[TOTot]]-Table1[[#This Row],[OFundTot]]</f>
        <v>30323.244999999999</v>
      </c>
      <c r="FN158" s="217"/>
      <c r="FO158" s="162"/>
      <c r="FP158" s="162"/>
    </row>
    <row r="159" spans="1:172" ht="15" x14ac:dyDescent="0.25">
      <c r="A159" s="287">
        <v>196040</v>
      </c>
      <c r="B159" s="160" t="str">
        <f>VLOOKUP(Table1[[#This Row],[SyStudentId]],SSR!$A$2:$CC$4982,4,FALSE)</f>
        <v>Stephen</v>
      </c>
      <c r="C159" s="160" t="str">
        <f>VLOOKUP(Table1[[#This Row],[SyStudentId]],SSR!$A$2:$CC$4982,5,FALSE)</f>
        <v>James</v>
      </c>
      <c r="D159" s="160" t="str">
        <f>VLOOKUP(Table1[[#This Row],[SyStudentId]],SSR!$A$2:$CC$4982,6,FALSE)</f>
        <v>Stephen, James</v>
      </c>
      <c r="E159" s="113" t="str">
        <f>CONCATENATE(Table1[[#This Row],[FirstName]]," ",Table1[[#This Row],[LastName]])</f>
        <v>James Stephen</v>
      </c>
      <c r="F159" s="158"/>
      <c r="G159" s="114"/>
      <c r="H159" s="114"/>
      <c r="I159" s="114"/>
      <c r="J159" s="163"/>
      <c r="K159" s="164"/>
      <c r="L159" s="158" t="str">
        <f>IFERROR(VLOOKUP(Table1[[#This Row],[SyStudentId]],ISIR!$A$2:$X$4999,11,FALSE),"")</f>
        <v/>
      </c>
      <c r="M159" s="160" t="str">
        <f>VLOOKUP(Table1[[#This Row],[SyStudentId]],SSR!$A$2:$CC$4982,7,FALSE)</f>
        <v>jamesjstephen1@gmail.com</v>
      </c>
      <c r="N159" s="160" t="str">
        <f>VLOOKUP(Table1[[#This Row],[SyStudentId]],SSR!$A$2:$CC$4982,8,FALSE)</f>
        <v>7171 Pendale Circle</v>
      </c>
      <c r="O159" s="160" t="str">
        <f>VLOOKUP(Table1[[#This Row],[SyStudentId]],SSR!$A$2:$CC$4982,9,FALSE)</f>
        <v>North Tonawanda</v>
      </c>
      <c r="P159" s="304" t="str">
        <f>VLOOKUP(Table1[[#This Row],[SyStudentId]],SSR!$A$2:$CC$4982,10,FALSE)</f>
        <v>NY</v>
      </c>
      <c r="Q159" s="165" t="str">
        <f>VLOOKUP(Table1[[#This Row],[SyStudentId]],SSR!$A$2:$CC$4982,11,FALSE)</f>
        <v xml:space="preserve">14120     </v>
      </c>
      <c r="R159" s="166">
        <f>VLOOKUP(Table1[[#This Row],[SyStudentId]],SSR!$A$2:$CC$4982,15,FALSE)</f>
        <v>2.1</v>
      </c>
      <c r="S159" s="167">
        <f>VLOOKUP(Table1[[#This Row],[SyStudentId]],SSR!$A$2:$CC$4982,22,FALSE)</f>
        <v>44109</v>
      </c>
      <c r="T159" s="160" t="str">
        <f>VLOOKUP(Table1[[#This Row],[SyStudentId]],SSR!$A$2:$CC$4982,24,FALSE)</f>
        <v>GM</v>
      </c>
      <c r="U159" s="160" t="str">
        <f>IF(VLOOKUP(Table1[[#This Row],[SyStudentId]],SSR!$A$2:$CC$4982,26,FALSE)=0,"Not Selected",VLOOKUP(Table1[[#This Row],[SyStudentId]],SSR!$A$2:$CC$4982,26,FALSE))</f>
        <v>Male</v>
      </c>
      <c r="V159" s="160" t="str">
        <f>VLOOKUP(Table1[[#This Row],[SyStudentId]],SSR!$A$2:$CC$4982,27,FALSE)</f>
        <v xml:space="preserve">HS2020  </v>
      </c>
      <c r="W159" s="160" t="str">
        <f>VLOOKUP(LEFT(Table1[[#This Row],[LastName]],1),Alpha!$A$1:$B$26,2,FALSE)</f>
        <v>Maureen Ranks</v>
      </c>
      <c r="X159" s="168" t="str">
        <f>VLOOKUP(Table1[[#This Row],[FAA]],Alpha!$B$1:$D$26,2,FALSE)</f>
        <v>mranks@neumont.edu</v>
      </c>
      <c r="Y159" s="160">
        <f>VLOOKUP(Table1[[#This Row],[FAA]],Alpha!$B$1:$D$26,3,FALSE)</f>
        <v>8883022894</v>
      </c>
      <c r="Z159" s="180" t="str">
        <f>VLOOKUP(Table1[[#This Row],[SyStudentId]],SSR!$A$2:$CC$4982,30,FALSE)</f>
        <v>18-Pending Enrollment</v>
      </c>
      <c r="AA159" s="160" t="str">
        <f>IF(VLOOKUP(Table1[[#This Row],[SyStudentId]],SSR!$A$2:$CC$4982,36,FALSE)="Bachelor of Science","BS Computer Science","Check Program")</f>
        <v>BS Computer Science</v>
      </c>
      <c r="AB159" s="160" t="str">
        <f>VLOOKUP(Table1[[#This Row],[SyStudentId]],SSR!$A$2:$CC$4982,37,FALSE)</f>
        <v xml:space="preserve">26      </v>
      </c>
      <c r="AC159" s="160" t="str">
        <f>VLOOKUP(Table1[[#This Row],[SyStudentId]],SSR!$A$2:$CC$4982,42,FALSE)</f>
        <v xml:space="preserve">1150    </v>
      </c>
      <c r="AD159" s="160" t="str">
        <f>VLOOKUP(Table1[[#This Row],[SyStudentId]],SSR!$A$2:$CC$4982,46,FALSE)</f>
        <v>90</v>
      </c>
      <c r="AE159" s="160" t="str">
        <f>VLOOKUP(Table1[[#This Row],[SyStudentId]],SSR!$A$2:$CC$4982,65,FALSE)</f>
        <v>X</v>
      </c>
      <c r="AF159"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10</v>
      </c>
      <c r="AG159" s="160" t="str">
        <f>VLOOKUP(Table1[[#This Row],[SyStudentId]],SSR!$A$2:$CC$4982,66,FALSE)</f>
        <v>July-October</v>
      </c>
      <c r="AH159" s="160" t="str">
        <f>IFERROR(VLOOKUP(Table1[[#This Row],[SyStudentId]],ISIR!$A$2:$X$1999,7,FALSE),"")</f>
        <v/>
      </c>
      <c r="AI159" s="170" t="str">
        <f>IF(Table1[[#This Row],[EFCRaw]]="","",IF(Table1[[#This Row],[EFCRaw]]="No EFC","No EFC",_xlfn.NUMBERVALUE(Table1[[#This Row],[EFCRaw]])))</f>
        <v/>
      </c>
      <c r="AJ159" s="167" t="str">
        <f>IFERROR(VLOOKUP(Table1[[#This Row],[SyStudentId]],ISIR!$A$2:$X$4999,19,FALSE),"")</f>
        <v/>
      </c>
      <c r="AK159" s="160" t="str">
        <f>IFERROR(VLOOKUP(Table1[[#This Row],[SyStudentId]],ISIR!$A$2:$X$4999,8,FALSE),"")</f>
        <v/>
      </c>
      <c r="AL159" s="178" t="str">
        <f>IF(Table1[[#This Row],[VerReq]]="N","n/a","")</f>
        <v/>
      </c>
      <c r="AM159" s="122"/>
      <c r="AN159" s="122"/>
      <c r="AO159" s="122"/>
      <c r="AP159" s="122"/>
      <c r="AQ159" s="122"/>
      <c r="AR159" s="122"/>
      <c r="AS159" s="122"/>
      <c r="AT159" s="122"/>
      <c r="AU159" s="122"/>
      <c r="AV159" s="122"/>
      <c r="AW159" s="122"/>
      <c r="AX159" s="122"/>
      <c r="AY159" s="122"/>
      <c r="AZ159" s="122"/>
      <c r="BA159" s="122"/>
      <c r="BB159" s="122"/>
      <c r="BC159" s="148"/>
      <c r="BD159" s="140" t="str">
        <f>IF(Table1[[#This Row],[VerReq]]="N","x","")</f>
        <v/>
      </c>
      <c r="BE159" s="140" t="str">
        <f>IF(Table1[[#This Row],[VerReq]]="N","x","")</f>
        <v/>
      </c>
      <c r="BF159" s="140" t="str">
        <f>IF(Table1[[#This Row],[VerReq]]="N","x","")</f>
        <v/>
      </c>
      <c r="BG159" s="140" t="str">
        <f>IF(Table1[[#This Row],[VerReq]]="N","x","")</f>
        <v/>
      </c>
      <c r="BH159" s="140" t="str">
        <f>IF(Table1[[#This Row],[VerReq]]="N","x","")</f>
        <v/>
      </c>
      <c r="BI159" s="140" t="str">
        <f>IF(Table1[[#This Row],[VerReq]]="N","x","")</f>
        <v/>
      </c>
      <c r="BJ159" s="181">
        <f>1-((COUNTBLANK(Table1[[#This Row],[ALESent]:[TaxTran]]))/(COUNT(Table1[[#This Row],[ALESent]:[TaxTran]])+COUNTBLANK(Table1[[#This Row],[ALESent]:[TaxTran]])))</f>
        <v>0</v>
      </c>
      <c r="BK159" s="216">
        <f>IF(VLOOKUP(Table1[[#This Row],[SyStudentId]],SSR!$A$2:$CC$4982,22,FALSE)=44109,44109,"Check Program")</f>
        <v>44109</v>
      </c>
      <c r="BL159" s="216">
        <f>IF(Table1[[#This Row],[AYStart]]=44109,44356,"Check Program")</f>
        <v>44356</v>
      </c>
      <c r="BM159" s="219">
        <v>8505</v>
      </c>
      <c r="BN159" s="219">
        <v>8505</v>
      </c>
      <c r="BO159" s="219">
        <v>8505</v>
      </c>
      <c r="BP159" s="220">
        <f t="shared" si="6"/>
        <v>25515</v>
      </c>
      <c r="BQ159" s="221">
        <v>3300</v>
      </c>
      <c r="BR159" s="219">
        <v>400</v>
      </c>
      <c r="BS159" s="219">
        <v>400</v>
      </c>
      <c r="BT159" s="222">
        <f t="shared" si="7"/>
        <v>4100</v>
      </c>
      <c r="BU159" s="219">
        <v>2100</v>
      </c>
      <c r="BV159" s="219">
        <v>2100</v>
      </c>
      <c r="BW159" s="219">
        <v>2100</v>
      </c>
      <c r="BX159" s="222">
        <f t="shared" si="8"/>
        <v>6300</v>
      </c>
      <c r="BY159" s="275">
        <v>1200</v>
      </c>
      <c r="BZ159" s="275">
        <v>1200</v>
      </c>
      <c r="CA159" s="275">
        <v>1200</v>
      </c>
      <c r="CB159" s="222">
        <f>SUM(Table1[[#This Row],[LEQ1]:[LEQ3]])</f>
        <v>3600</v>
      </c>
      <c r="CC159" s="276">
        <v>0</v>
      </c>
      <c r="CD159" s="276">
        <v>0</v>
      </c>
      <c r="CE159" s="276">
        <v>0</v>
      </c>
      <c r="CF159" s="222">
        <f>SUM(Table1[[#This Row],[OthCostQ1]:[OthCostQ3]])</f>
        <v>0</v>
      </c>
      <c r="CG159" s="222">
        <f>(Table1[[#This Row],[T&amp;FTot]]+Table1[[#This Row],[B&amp;STot]]+Table1[[#This Row],[HousTot]]+Table1[[#This Row],[LETot]]+Table1[[#This Row],[OthCostTot]])</f>
        <v>39515</v>
      </c>
      <c r="CH159" s="253">
        <v>0</v>
      </c>
      <c r="CI159" s="253">
        <v>0</v>
      </c>
      <c r="CJ159" s="253">
        <v>0</v>
      </c>
      <c r="CK159" s="254">
        <f>SUM(Table1[[#This Row],[SEOGQ1]:[SEOGQ3]])</f>
        <v>0</v>
      </c>
      <c r="CL159" s="253">
        <f>IFERROR(ROUNDUP(Table1[[#This Row],[PellTot]]/3,0),0)</f>
        <v>0</v>
      </c>
      <c r="CM159" s="253">
        <f>IFERROR(ROUND(Table1[[#This Row],[PellTot]]/3,0),0)</f>
        <v>0</v>
      </c>
      <c r="CN159" s="253">
        <f>IFERROR(ROUNDDOWN(Table1[[#This Row],[PellTot]]/3,0),0)</f>
        <v>0</v>
      </c>
      <c r="CO159" s="254">
        <f>IFERROR(LOOKUP(Table1[EFC],Pell_Table[#Data],Pell_Table[Pell Amt]),0)</f>
        <v>0</v>
      </c>
      <c r="CP159" s="253">
        <f>Table1[[#This Row],[AccessTot]]/3</f>
        <v>0</v>
      </c>
      <c r="CQ159" s="253">
        <f>Table1[[#This Row],[AccessTot]]/3</f>
        <v>0</v>
      </c>
      <c r="CR159" s="253">
        <f>Table1[[#This Row],[AccessTot]]/3</f>
        <v>0</v>
      </c>
      <c r="CS159" s="254">
        <f>IF(Table1[[#This Row],[PellTot]]&gt;0,1500,0)</f>
        <v>0</v>
      </c>
      <c r="CT159" s="253">
        <f>Table1[[#This Row],[AchiTot]]/3</f>
        <v>0</v>
      </c>
      <c r="CU159" s="253">
        <f>Table1[[#This Row],[AchiTot]]/3</f>
        <v>0</v>
      </c>
      <c r="CV159" s="253">
        <f>Table1[[#This Row],[AchiTot]]/3</f>
        <v>0</v>
      </c>
      <c r="CW159" s="255">
        <f>IF(Table1[[#This Row],[Rank]]="","",IF(Table1[[#This Row],[Rank]]=1,5100,IF(Table1[[#This Row],[Rank]]=2,4500,IF(Table1[[#This Row],[Rank]]=3,3900,IF(Table1[[#This Row],[Rank]]=4,3750,IF(Table1[[#This Row],[Rank]]=5,3000,IF(Table1[[#This Row],[Rank]]=6,2250,0)))))))</f>
        <v>0</v>
      </c>
      <c r="CX159" s="253">
        <f>Table1[[#This Row],[UTTot]]/3</f>
        <v>0</v>
      </c>
      <c r="CY159" s="253">
        <f>Table1[[#This Row],[UTTot]]/3</f>
        <v>0</v>
      </c>
      <c r="CZ159" s="253">
        <f>Table1[[#This Row],[UTTot]]/3</f>
        <v>0</v>
      </c>
      <c r="DA159" s="254">
        <f>IF(Table1[[#This Row],[State]]="UT",9000,0)</f>
        <v>0</v>
      </c>
      <c r="DB159" s="253">
        <f>Table1[[#This Row],[WITTot]]/3</f>
        <v>0</v>
      </c>
      <c r="DC159" s="253">
        <f>Table1[[#This Row],[WITTot]]/3</f>
        <v>0</v>
      </c>
      <c r="DD159" s="253">
        <f>Table1[[#This Row],[WITTot]]/3</f>
        <v>0</v>
      </c>
      <c r="DE159" s="254">
        <f>IF(Table1[[#This Row],[Gender]]="Female",3000,0)</f>
        <v>0</v>
      </c>
      <c r="DF159" s="253">
        <f>Table1[[#This Row],[SerTot]]/3</f>
        <v>0</v>
      </c>
      <c r="DG159" s="253">
        <f>Table1[[#This Row],[SerTot]]/3</f>
        <v>0</v>
      </c>
      <c r="DH159" s="253">
        <f>Table1[[#This Row],[SerTot]]/3</f>
        <v>0</v>
      </c>
      <c r="DI159" s="255">
        <v>0</v>
      </c>
      <c r="DJ159" s="253">
        <f>IFERROR(ROUNDUP(Table1[[#This Row],[TranTot]]/3,0),0)</f>
        <v>0</v>
      </c>
      <c r="DK159" s="253">
        <f>IFERROR(ROUND(Table1[[#This Row],[TranTot]]/3,0),0)</f>
        <v>0</v>
      </c>
      <c r="DL159" s="253">
        <f>IFERROR(ROUNDDOWN(Table1[[#This Row],[TranTot]]/3,0),0)</f>
        <v>0</v>
      </c>
      <c r="DM159" s="255">
        <v>0</v>
      </c>
      <c r="DN159" s="253">
        <f>Table1[[#This Row],[MatTot]]/3</f>
        <v>0</v>
      </c>
      <c r="DO159" s="253">
        <f>Table1[[#This Row],[MatTot]]/3</f>
        <v>0</v>
      </c>
      <c r="DP159" s="253">
        <f>Table1[[#This Row],[MatTot]]/3</f>
        <v>0</v>
      </c>
      <c r="DQ159" s="255">
        <v>0</v>
      </c>
      <c r="DR159" s="253">
        <f>Table1[[#This Row],[OutTot]]/3</f>
        <v>0</v>
      </c>
      <c r="DS159" s="253">
        <f>Table1[[#This Row],[OutTot]]/3</f>
        <v>0</v>
      </c>
      <c r="DT159" s="253">
        <f>Table1[[#This Row],[OutTot]]/3</f>
        <v>0</v>
      </c>
      <c r="DU159" s="255">
        <v>0</v>
      </c>
      <c r="DV159" s="253">
        <v>0</v>
      </c>
      <c r="DW159" s="253">
        <v>0</v>
      </c>
      <c r="DX159" s="253">
        <v>0</v>
      </c>
      <c r="DY159" s="255">
        <f>SUM(Table1[[#This Row],[VAQ1]:[VAQ3]])</f>
        <v>0</v>
      </c>
      <c r="DZ159" s="253">
        <v>0</v>
      </c>
      <c r="EA159" s="253">
        <v>0</v>
      </c>
      <c r="EB159" s="253">
        <v>0</v>
      </c>
      <c r="EC159" s="278">
        <f>SUM(Table1[[#This Row],[OthGrantQ1]:[OthGrantQ3]])</f>
        <v>0</v>
      </c>
      <c r="ED159" s="264">
        <f>Table1[[#This Row],[SEOGTot]]+Table1[[#This Row],[PellTot]]+Table1[[#This Row],[AccessTot]]+Table1[[#This Row],[AchiTot]]+Table1[[#This Row],[UTTot]]+Table1[[#This Row],[WITTot]]+Table1[[#This Row],[SerTot]]+Table1[[#This Row],[TranTot]]+Table1[[#This Row],[MatTot]]+Table1[[#This Row],[OutTot]]+Table1[[#This Row],[VATot]]+Table1[[#This Row],[OthGrantTot]]</f>
        <v>0</v>
      </c>
      <c r="EE159" s="298">
        <v>0</v>
      </c>
      <c r="EF159" s="227">
        <v>0</v>
      </c>
      <c r="EG159" s="227">
        <v>0</v>
      </c>
      <c r="EH159" s="228">
        <f>SUM(Table1[[#This Row],[CashQ1]]:Table1[[#This Row],[CashQ3]])</f>
        <v>0</v>
      </c>
      <c r="EI159" s="229">
        <f>ROUND((Table1[[#This Row],[SubTot]]/3)/1.01059,0)</f>
        <v>1154</v>
      </c>
      <c r="EJ159" s="230">
        <f>ROUND((Table1[[#This Row],[SubTot]]/3)/1.01059,0)</f>
        <v>1154</v>
      </c>
      <c r="EK159" s="230">
        <f>ROUNDUP((Table1[[#This Row],[SubTot]]/3)/1.01059,0)</f>
        <v>1155</v>
      </c>
      <c r="EL159" s="231">
        <v>3500</v>
      </c>
      <c r="EM159" s="233">
        <f>Table1[[#This Row],[SubTot]]*0.01059</f>
        <v>37.065000000000005</v>
      </c>
      <c r="EN159" s="230">
        <f>ROUND((Table1[[#This Row],[UnsubTot]]/3)/1.01062,0)</f>
        <v>660</v>
      </c>
      <c r="EO159" s="230">
        <f>ROUND((Table1[[#This Row],[UnsubTot]]/3)/1.01062,0)</f>
        <v>660</v>
      </c>
      <c r="EP159" s="230">
        <f>ROUNDDOWN((Table1[[#This Row],[UnsubTot]]/3)/1.01062,0)</f>
        <v>659</v>
      </c>
      <c r="EQ159" s="231">
        <f>IF(Table1[D/I]="I",6000,2000)</f>
        <v>2000</v>
      </c>
      <c r="ER159" s="233">
        <f>Table1[[#This Row],[UnsubTot]]*0.01059</f>
        <v>21.18</v>
      </c>
      <c r="ES159" s="230">
        <f>ROUND((Table1[[#This Row],[PLUSTot]]/3)/1.04236,0)</f>
        <v>0</v>
      </c>
      <c r="ET159" s="230">
        <f>ROUND((Table1[[#This Row],[PLUSTot]]/3)/1.04236,0)</f>
        <v>0</v>
      </c>
      <c r="EU159" s="230">
        <f>ROUND((Table1[[#This Row],[PLUSTot]]/3)/1.04236,0)</f>
        <v>0</v>
      </c>
      <c r="EV159" s="231">
        <v>0</v>
      </c>
      <c r="EW159" s="236">
        <f>Table1[[#This Row],[PLUSTot]]*0.04236</f>
        <v>0</v>
      </c>
      <c r="EX159" s="227"/>
      <c r="EY159" s="227"/>
      <c r="EZ159" s="227"/>
      <c r="FA159" s="228">
        <f>SUM(Table1[[#This Row],[PrivQ1]:[PrivQ3]])</f>
        <v>0</v>
      </c>
      <c r="FB159" s="227"/>
      <c r="FC159" s="227"/>
      <c r="FD159" s="227"/>
      <c r="FE159" s="228">
        <f>SUM(Table1[[#This Row],[TOQ1]:[TOQ3]])</f>
        <v>0</v>
      </c>
      <c r="FF159" s="227"/>
      <c r="FG159" s="227"/>
      <c r="FH159" s="227"/>
      <c r="FI159" s="228">
        <f>SUM(Table1[[#This Row],[OFundQ1]:[OFundQ3]])</f>
        <v>0</v>
      </c>
      <c r="FJ159" s="236">
        <f>(Table1[[#This Row],[SubTot]]-Table1[[#This Row],[SubFee]])+(Table1[[#This Row],[UnsubTot]]-Table1[[#This Row],[UnsubFee]])+(Table1[[#This Row],[PLUSTot]]-Table1[[#This Row],[PLUSFee]])+Table1[[#This Row],[PrivTot]]+Table1[[#This Row],[TOTot]]+Table1[[#This Row],[OFundTot]]</f>
        <v>5441.7550000000001</v>
      </c>
      <c r="FK159" s="159">
        <f>Table1[[#This Row],[CostTot]]-Table1[[#This Row],[GiftTot]]</f>
        <v>39515</v>
      </c>
      <c r="FL159" s="174">
        <f>Table1[[#This Row],[NetNeed]]/(1-0.04236)</f>
        <v>35580.43210392214</v>
      </c>
      <c r="FM159" s="176">
        <f>Table1[[#This Row],[NetCost]]-Table1[[#This Row],[CashTot]]-(Table1[[#This Row],[SubTot]]-Table1[[#This Row],[SubFee]])-(Table1[[#This Row],[UnsubTot]]-Table1[[#This Row],[UnsubFee]])-(Table1[[#This Row],[PLUSTot]]-Table1[[#This Row],[PLUSFee]])-Table1[[#This Row],[PrivTot]]-Table1[[#This Row],[TOTot]]-Table1[[#This Row],[OFundTot]]</f>
        <v>34073.245000000003</v>
      </c>
      <c r="FN159" s="217"/>
      <c r="FO159" s="162"/>
      <c r="FP159" s="162"/>
    </row>
    <row r="160" spans="1:172" ht="15" x14ac:dyDescent="0.25">
      <c r="A160" s="287">
        <v>198969</v>
      </c>
      <c r="B160" s="113" t="str">
        <f>VLOOKUP(Table1[[#This Row],[SyStudentId]],SSR!$A$2:$CC$4982,4,FALSE)</f>
        <v>Stewart</v>
      </c>
      <c r="C160" s="113" t="str">
        <f>VLOOKUP(Table1[[#This Row],[SyStudentId]],SSR!$A$2:$CC$4982,5,FALSE)</f>
        <v>Aryana</v>
      </c>
      <c r="D160" s="113" t="str">
        <f>VLOOKUP(Table1[[#This Row],[SyStudentId]],SSR!$A$2:$CC$4982,6,FALSE)</f>
        <v>Stewart, Aryana</v>
      </c>
      <c r="E160" s="113" t="str">
        <f>CONCATENATE(Table1[[#This Row],[FirstName]]," ",Table1[[#This Row],[LastName]])</f>
        <v>Aryana Stewart</v>
      </c>
      <c r="F160" s="112"/>
      <c r="G160" s="114"/>
      <c r="H160" s="114"/>
      <c r="I160" s="114"/>
      <c r="J160" s="115" t="s">
        <v>5311</v>
      </c>
      <c r="K160" s="116"/>
      <c r="L160" s="112" t="str">
        <f>IFERROR(VLOOKUP(Table1[[#This Row],[SyStudentId]],ISIR!$A$2:$X$999,11,FALSE),"")</f>
        <v>D</v>
      </c>
      <c r="M160" s="113" t="str">
        <f>VLOOKUP(Table1[[#This Row],[SyStudentId]],SSR!$A$2:$CC$4982,7,FALSE)</f>
        <v>aryanarstewart@gmail.com</v>
      </c>
      <c r="N160" s="113" t="str">
        <f>VLOOKUP(Table1[[#This Row],[SyStudentId]],SSR!$A$2:$CC$4982,8,FALSE)</f>
        <v>9834 Sweet Plum Dr</v>
      </c>
      <c r="O160" s="113" t="str">
        <f>VLOOKUP(Table1[[#This Row],[SyStudentId]],SSR!$A$2:$CC$4982,9,FALSE)</f>
        <v>Charlotte</v>
      </c>
      <c r="P160" s="303" t="str">
        <f>VLOOKUP(Table1[[#This Row],[SyStudentId]],SSR!$A$2:$CC$4982,10,FALSE)</f>
        <v>NC</v>
      </c>
      <c r="Q160" s="117" t="str">
        <f>VLOOKUP(Table1[[#This Row],[SyStudentId]],SSR!$A$2:$CC$4982,11,FALSE)</f>
        <v xml:space="preserve">28215     </v>
      </c>
      <c r="R160" s="118">
        <f>VLOOKUP(Table1[[#This Row],[SyStudentId]],SSR!$A$2:$CC$4982,15,FALSE)</f>
        <v>2.54</v>
      </c>
      <c r="S160" s="119">
        <f>VLOOKUP(Table1[[#This Row],[SyStudentId]],SSR!$A$2:$CC$4982,22,FALSE)</f>
        <v>44109</v>
      </c>
      <c r="T160" s="113" t="str">
        <f>VLOOKUP(Table1[[#This Row],[SyStudentId]],SSR!$A$2:$CC$4982,24,FALSE)</f>
        <v>JT</v>
      </c>
      <c r="U160" s="113" t="str">
        <f>IF(VLOOKUP(Table1[[#This Row],[SyStudentId]],SSR!$A$2:$CC$4982,26,FALSE)=0,"Not Selected",VLOOKUP(Table1[[#This Row],[SyStudentId]],SSR!$A$2:$CC$4982,26,FALSE))</f>
        <v>Female</v>
      </c>
      <c r="V160" s="113" t="str">
        <f>VLOOKUP(Table1[[#This Row],[SyStudentId]],SSR!$A$2:$CC$4982,27,FALSE)</f>
        <v xml:space="preserve">HS2020  </v>
      </c>
      <c r="W160" s="113" t="str">
        <f>VLOOKUP(LEFT(Table1[[#This Row],[LastName]],1),Alpha!$A$1:$B$26,2,FALSE)</f>
        <v>Maureen Ranks</v>
      </c>
      <c r="X160" s="149" t="str">
        <f>VLOOKUP(Table1[[#This Row],[FAA]],Alpha!$B$1:$D$26,2,FALSE)</f>
        <v>mranks@neumont.edu</v>
      </c>
      <c r="Y160" s="113">
        <f>VLOOKUP(Table1[[#This Row],[FAA]],Alpha!$B$1:$D$26,3,FALSE)</f>
        <v>8883022894</v>
      </c>
      <c r="Z160" s="113" t="str">
        <f>VLOOKUP(Table1[[#This Row],[SyStudentId]],SSR!$A$2:$CC$4982,30,FALSE)</f>
        <v>16-Accepted</v>
      </c>
      <c r="AA160" s="113" t="str">
        <f>IF(VLOOKUP(Table1[[#This Row],[SyStudentId]],SSR!$A$2:$CC$4982,36,FALSE)="Bachelor of Science","BS Computer Science","Check Program")</f>
        <v>BS Computer Science</v>
      </c>
      <c r="AB160" s="113">
        <f>VLOOKUP(Table1[[#This Row],[SyStudentId]],SSR!$A$2:$CC$4982,37,FALSE)</f>
        <v>0</v>
      </c>
      <c r="AC160" s="113" t="str">
        <f>VLOOKUP(Table1[[#This Row],[SyStudentId]],SSR!$A$2:$CC$4982,42,FALSE)</f>
        <v xml:space="preserve">960     </v>
      </c>
      <c r="AD160" s="113" t="str">
        <f>VLOOKUP(Table1[[#This Row],[SyStudentId]],SSR!$A$2:$CC$4982,46,FALSE)</f>
        <v>87</v>
      </c>
      <c r="AE160" s="113" t="str">
        <f>VLOOKUP(Table1[[#This Row],[SyStudentId]],SSR!$A$2:$CC$4982,65,FALSE)</f>
        <v>VII</v>
      </c>
      <c r="AF160"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7</v>
      </c>
      <c r="AG160" s="113" t="str">
        <f>VLOOKUP(Table1[[#This Row],[SyStudentId]],SSR!$A$2:$CC$4982,66,FALSE)</f>
        <v>November</v>
      </c>
      <c r="AH160" s="113" t="str">
        <f>IFERROR(VLOOKUP(Table1[[#This Row],[SyStudentId]],ISIR!$A$2:$X$999,7,FALSE),"")</f>
        <v>000000</v>
      </c>
      <c r="AI160" s="121">
        <f>IF(Table1[[#This Row],[EFCRaw]]="","",IF(Table1[[#This Row],[EFCRaw]]="No EFC","No EFC",_xlfn.NUMBERVALUE(Table1[[#This Row],[EFCRaw]])))</f>
        <v>0</v>
      </c>
      <c r="AJ160" s="119">
        <f>IFERROR(VLOOKUP(Table1[[#This Row],[SyStudentId]],ISIR!$A$2:$X$4999,19,FALSE),"")</f>
        <v>43804</v>
      </c>
      <c r="AK160" s="113" t="str">
        <f>IFERROR(VLOOKUP(Table1[[#This Row],[SyStudentId]],ISIR!$A$2:$X$4999,8,FALSE),"")</f>
        <v>N</v>
      </c>
      <c r="AL160" s="132" t="str">
        <f>IF(Table1[[#This Row],[VerReq]]="N","n/a","")</f>
        <v>n/a</v>
      </c>
      <c r="AM160" s="122"/>
      <c r="AN160" s="122"/>
      <c r="AO160" s="122"/>
      <c r="AP160" s="122"/>
      <c r="AQ160" s="122"/>
      <c r="AR160" s="122"/>
      <c r="AS160" s="122"/>
      <c r="AT160" s="122"/>
      <c r="AU160" s="122"/>
      <c r="AV160" s="122"/>
      <c r="AW160" s="122"/>
      <c r="AX160" s="122"/>
      <c r="AY160" s="122"/>
      <c r="AZ160" s="122"/>
      <c r="BA160" s="122"/>
      <c r="BB160" s="122"/>
      <c r="BC160" s="148"/>
      <c r="BD160" s="140" t="str">
        <f>IF(Table1[[#This Row],[VerReq]]="N","x","")</f>
        <v>x</v>
      </c>
      <c r="BE160" s="140" t="str">
        <f>IF(Table1[[#This Row],[VerReq]]="N","x","")</f>
        <v>x</v>
      </c>
      <c r="BF160" s="140" t="str">
        <f>IF(Table1[[#This Row],[VerReq]]="N","x","")</f>
        <v>x</v>
      </c>
      <c r="BG160" s="140" t="str">
        <f>IF(Table1[[#This Row],[VerReq]]="N","x","")</f>
        <v>x</v>
      </c>
      <c r="BH160" s="140" t="str">
        <f>IF(Table1[[#This Row],[VerReq]]="N","x","")</f>
        <v>x</v>
      </c>
      <c r="BI160" s="140" t="str">
        <f>IF(Table1[[#This Row],[VerReq]]="N","x","")</f>
        <v>x</v>
      </c>
      <c r="BJ160" s="123">
        <f>1-((COUNTBLANK(Table1[[#This Row],[ALESent]:[TaxTran]]))/(COUNT(Table1[[#This Row],[ALESent]:[TaxTran]])+COUNTBLANK(Table1[[#This Row],[ALESent]:[TaxTran]])))</f>
        <v>0</v>
      </c>
      <c r="BK160" s="150">
        <f>IF(VLOOKUP(Table1[[#This Row],[SyStudentId]],SSR!$A$2:$CC$4982,22,FALSE)=44109,44109,"Check Program")</f>
        <v>44109</v>
      </c>
      <c r="BL160" s="150">
        <f>IF(Table1[[#This Row],[AYStart]]=44109,44356,"Check Program")</f>
        <v>44356</v>
      </c>
      <c r="BM160" s="219">
        <v>8505</v>
      </c>
      <c r="BN160" s="219">
        <v>8505</v>
      </c>
      <c r="BO160" s="219">
        <v>8505</v>
      </c>
      <c r="BP160" s="220">
        <f t="shared" si="6"/>
        <v>25515</v>
      </c>
      <c r="BQ160" s="221">
        <v>3300</v>
      </c>
      <c r="BR160" s="219">
        <v>400</v>
      </c>
      <c r="BS160" s="219">
        <v>400</v>
      </c>
      <c r="BT160" s="220">
        <f t="shared" si="7"/>
        <v>4100</v>
      </c>
      <c r="BU160" s="219">
        <v>2100</v>
      </c>
      <c r="BV160" s="219">
        <v>2100</v>
      </c>
      <c r="BW160" s="219">
        <v>2100</v>
      </c>
      <c r="BX160" s="220">
        <f t="shared" si="8"/>
        <v>6300</v>
      </c>
      <c r="BY160" s="275">
        <v>1200</v>
      </c>
      <c r="BZ160" s="275">
        <v>1200</v>
      </c>
      <c r="CA160" s="275">
        <v>1200</v>
      </c>
      <c r="CB160" s="220">
        <f>SUM(Table1[[#This Row],[LEQ1]:[LEQ3]])</f>
        <v>3600</v>
      </c>
      <c r="CC160" s="269"/>
      <c r="CD160" s="269"/>
      <c r="CE160" s="269"/>
      <c r="CF160" s="220">
        <f>SUM(Table1[[#This Row],[OthCostQ1]:[OthCostQ3]])</f>
        <v>0</v>
      </c>
      <c r="CG160" s="220">
        <f>(Table1[[#This Row],[T&amp;FTot]]+Table1[[#This Row],[B&amp;STot]]+Table1[[#This Row],[HousTot]]+Table1[[#This Row],[LETot]]+Table1[[#This Row],[OthCostTot]])</f>
        <v>39515</v>
      </c>
      <c r="CH160" s="250"/>
      <c r="CI160" s="250"/>
      <c r="CJ160" s="250"/>
      <c r="CK160" s="251">
        <f>SUM(Table1[[#This Row],[SEOGQ1]:[SEOGQ3]])</f>
        <v>0</v>
      </c>
      <c r="CL160" s="250">
        <f>IFERROR(ROUNDUP(Table1[[#This Row],[PellTot]]/3,0),0)</f>
        <v>2065</v>
      </c>
      <c r="CM160" s="250">
        <f>IFERROR(ROUND(Table1[[#This Row],[PellTot]]/3,0),0)</f>
        <v>2065</v>
      </c>
      <c r="CN160" s="250">
        <f>IFERROR(ROUNDDOWN(Table1[[#This Row],[PellTot]]/3,0),0)</f>
        <v>2065</v>
      </c>
      <c r="CO160" s="251">
        <f>IFERROR(LOOKUP(Table1[EFC],Pell_Table[#Data],Pell_Table[Pell Amt]),0)</f>
        <v>6195</v>
      </c>
      <c r="CP160" s="250">
        <f>Table1[[#This Row],[AccessTot]]/3</f>
        <v>500</v>
      </c>
      <c r="CQ160" s="250">
        <f>Table1[[#This Row],[AccessTot]]/3</f>
        <v>500</v>
      </c>
      <c r="CR160" s="250">
        <f>Table1[[#This Row],[AccessTot]]/3</f>
        <v>500</v>
      </c>
      <c r="CS160" s="251">
        <f>IF(Table1[[#This Row],[PellTot]]&gt;0,1500,0)</f>
        <v>1500</v>
      </c>
      <c r="CT160" s="250">
        <f>Table1[[#This Row],[AchiTot]]/3</f>
        <v>0</v>
      </c>
      <c r="CU160" s="250">
        <f>Table1[[#This Row],[AchiTot]]/3</f>
        <v>0</v>
      </c>
      <c r="CV160" s="250">
        <f>Table1[[#This Row],[AchiTot]]/3</f>
        <v>0</v>
      </c>
      <c r="CW160" s="252">
        <f>IF(Table1[[#This Row],[Rank]]="","",IF(Table1[[#This Row],[Rank]]=1,5100,IF(Table1[[#This Row],[Rank]]=2,4500,IF(Table1[[#This Row],[Rank]]=3,3900,IF(Table1[[#This Row],[Rank]]=4,3750,IF(Table1[[#This Row],[Rank]]=5,3000,IF(Table1[[#This Row],[Rank]]=6,2250,0)))))))</f>
        <v>0</v>
      </c>
      <c r="CX160" s="250">
        <f>Table1[[#This Row],[UTTot]]/3</f>
        <v>0</v>
      </c>
      <c r="CY160" s="250">
        <f>Table1[[#This Row],[UTTot]]/3</f>
        <v>0</v>
      </c>
      <c r="CZ160" s="250">
        <f>Table1[[#This Row],[UTTot]]/3</f>
        <v>0</v>
      </c>
      <c r="DA160" s="251">
        <f>IF(Table1[[#This Row],[State]]="UT",9000,0)</f>
        <v>0</v>
      </c>
      <c r="DB160" s="250">
        <f>Table1[[#This Row],[WITTot]]/3</f>
        <v>1000</v>
      </c>
      <c r="DC160" s="250">
        <f>Table1[[#This Row],[WITTot]]/3</f>
        <v>1000</v>
      </c>
      <c r="DD160" s="250">
        <f>Table1[[#This Row],[WITTot]]/3</f>
        <v>1000</v>
      </c>
      <c r="DE160" s="251">
        <f>IF(Table1[[#This Row],[Gender]]="Female",3000,0)</f>
        <v>3000</v>
      </c>
      <c r="DF160" s="250">
        <f>Table1[[#This Row],[SerTot]]/3</f>
        <v>0</v>
      </c>
      <c r="DG160" s="250">
        <f>Table1[[#This Row],[SerTot]]/3</f>
        <v>0</v>
      </c>
      <c r="DH160" s="250">
        <f>Table1[[#This Row],[SerTot]]/3</f>
        <v>0</v>
      </c>
      <c r="DI160" s="252"/>
      <c r="DJ160" s="250"/>
      <c r="DK160" s="250"/>
      <c r="DL160" s="250"/>
      <c r="DM160" s="252"/>
      <c r="DN160" s="250">
        <f>Table1[[#This Row],[MatTot]]/3</f>
        <v>0</v>
      </c>
      <c r="DO160" s="250">
        <f>Table1[[#This Row],[MatTot]]/3</f>
        <v>0</v>
      </c>
      <c r="DP160" s="250">
        <f>Table1[[#This Row],[MatTot]]/3</f>
        <v>0</v>
      </c>
      <c r="DQ160" s="252"/>
      <c r="DR160" s="250">
        <f>Table1[[#This Row],[OutTot]]/3</f>
        <v>0</v>
      </c>
      <c r="DS160" s="250">
        <f>Table1[[#This Row],[OutTot]]/3</f>
        <v>0</v>
      </c>
      <c r="DT160" s="250">
        <f>Table1[[#This Row],[OutTot]]/3</f>
        <v>0</v>
      </c>
      <c r="DU160" s="252"/>
      <c r="DV160" s="250"/>
      <c r="DW160" s="250"/>
      <c r="DX160" s="250"/>
      <c r="DY160" s="252">
        <f>SUM(Table1[[#This Row],[VAQ1]:[VAQ3]])</f>
        <v>0</v>
      </c>
      <c r="DZ160" s="250"/>
      <c r="EA160" s="250"/>
      <c r="EB160" s="250"/>
      <c r="EC160" s="270">
        <f>SUM(Table1[[#This Row],[OthGrantQ1]:[OthGrantQ3]])</f>
        <v>0</v>
      </c>
      <c r="ED160" s="263">
        <f>Table1[[#This Row],[SEOGTot]]+Table1[[#This Row],[PellTot]]+Table1[[#This Row],[AccessTot]]+Table1[[#This Row],[AchiTot]]+Table1[[#This Row],[UTTot]]+Table1[[#This Row],[WITTot]]+Table1[[#This Row],[SerTot]]+Table1[[#This Row],[TranTot]]+Table1[[#This Row],[MatTot]]+Table1[[#This Row],[OutTot]]+Table1[[#This Row],[VATot]]+Table1[[#This Row],[OthGrantTot]]</f>
        <v>10695</v>
      </c>
      <c r="EE160" s="282"/>
      <c r="EF160" s="237"/>
      <c r="EG160" s="237"/>
      <c r="EH160" s="232">
        <f>SUM(Table1[[#This Row],[CashQ1]]:Table1[[#This Row],[CashQ3]])</f>
        <v>0</v>
      </c>
      <c r="EI160" s="271">
        <f>ROUND((Table1[[#This Row],[SubTot]]/3)/1.01059,0)</f>
        <v>0</v>
      </c>
      <c r="EJ160" s="234">
        <f>ROUND((Table1[[#This Row],[SubTot]]/3)/1.01059,0)</f>
        <v>0</v>
      </c>
      <c r="EK160" s="234">
        <f>ROUNDUP((Table1[[#This Row],[SubTot]]/3)/1.01059,0)</f>
        <v>0</v>
      </c>
      <c r="EL160" s="235"/>
      <c r="EM160" s="240">
        <f>Table1[[#This Row],[SubTot]]*0.01059</f>
        <v>0</v>
      </c>
      <c r="EN160" s="234">
        <f>ROUND((Table1[[#This Row],[UnsubTot]]/3)/1.01062,0)</f>
        <v>660</v>
      </c>
      <c r="EO160" s="234">
        <f>ROUND((Table1[[#This Row],[UnsubTot]]/3)/1.01062,0)</f>
        <v>660</v>
      </c>
      <c r="EP160" s="234">
        <f>ROUNDDOWN((Table1[[#This Row],[UnsubTot]]/3)/1.01062,0)</f>
        <v>659</v>
      </c>
      <c r="EQ160" s="235">
        <f>IF(Table1[D/I]="I",6000,2000)</f>
        <v>2000</v>
      </c>
      <c r="ER160" s="240">
        <f>Table1[[#This Row],[UnsubTot]]*0.01062</f>
        <v>21.24</v>
      </c>
      <c r="ES160" s="234">
        <f>ROUND((Table1[[#This Row],[PLUSTot]]/3)/1.04248,0)</f>
        <v>0</v>
      </c>
      <c r="ET160" s="234">
        <f>ROUND((Table1[[#This Row],[PLUSTot]]/3)/1.04248,0)</f>
        <v>0</v>
      </c>
      <c r="EU160" s="234">
        <f>ROUND((Table1[[#This Row],[PLUSTot]]/3)/1.04248,0)</f>
        <v>0</v>
      </c>
      <c r="EV160" s="235"/>
      <c r="EW160" s="239">
        <f>Table1[[#This Row],[PLUSTot]]*0.04248</f>
        <v>0</v>
      </c>
      <c r="EX160" s="237"/>
      <c r="EY160" s="237"/>
      <c r="EZ160" s="237"/>
      <c r="FA160" s="232">
        <f>SUM(Table1[[#This Row],[PrivQ1]:[PrivQ3]])</f>
        <v>0</v>
      </c>
      <c r="FB160" s="237"/>
      <c r="FC160" s="237"/>
      <c r="FD160" s="237"/>
      <c r="FE160" s="232">
        <f>SUM(Table1[[#This Row],[TOQ1]:[TOQ3]])</f>
        <v>0</v>
      </c>
      <c r="FF160" s="237"/>
      <c r="FG160" s="237"/>
      <c r="FH160" s="237"/>
      <c r="FI160" s="232">
        <f>SUM(Table1[[#This Row],[OFundQ1]:[OFundQ3]])</f>
        <v>0</v>
      </c>
      <c r="FJ160" s="239">
        <f>(Table1[[#This Row],[SubTot]]-Table1[[#This Row],[SubFee]])+(Table1[[#This Row],[UnsubTot]]-Table1[[#This Row],[UnsubFee]])+(Table1[[#This Row],[PLUSTot]]-Table1[[#This Row],[PLUSFee]])+Table1[[#This Row],[PrivTot]]+Table1[[#This Row],[TOTot]]+Table1[[#This Row],[OFundTot]]</f>
        <v>1978.76</v>
      </c>
      <c r="FK160" s="125">
        <f>Table1[[#This Row],[CostTot]]-Table1[[#This Row],[GiftTot]]</f>
        <v>28820</v>
      </c>
      <c r="FL160" s="130">
        <f>Table1[[#This Row],[NetNeed]]/(1-0.04248)</f>
        <v>28032.041106190994</v>
      </c>
      <c r="FM160" s="131">
        <f>Table1[[#This Row],[NetCost]]-Table1[[#This Row],[CashTot]]-(Table1[[#This Row],[SubTot]]-Table1[[#This Row],[SubFee]])-(Table1[[#This Row],[UnsubTot]]-Table1[[#This Row],[UnsubFee]])-(Table1[[#This Row],[PLUSTot]]-Table1[[#This Row],[PLUSFee]])-Table1[[#This Row],[PrivTot]]-Table1[[#This Row],[TOTot]]-Table1[[#This Row],[OFundTot]]</f>
        <v>26841.24</v>
      </c>
      <c r="FN160" s="156"/>
      <c r="FO160" s="113"/>
      <c r="FP160" s="113"/>
    </row>
    <row r="161" spans="1:172" ht="15" x14ac:dyDescent="0.25">
      <c r="A161" s="287">
        <v>196434</v>
      </c>
      <c r="B161" s="160" t="str">
        <f>VLOOKUP(Table1[[#This Row],[SyStudentId]],SSR!$A$2:$CC$4982,4,FALSE)</f>
        <v>Still</v>
      </c>
      <c r="C161" s="160" t="str">
        <f>VLOOKUP(Table1[[#This Row],[SyStudentId]],SSR!$A$2:$CC$4982,5,FALSE)</f>
        <v>Randy</v>
      </c>
      <c r="D161" s="160" t="str">
        <f>VLOOKUP(Table1[[#This Row],[SyStudentId]],SSR!$A$2:$CC$4982,6,FALSE)</f>
        <v>Still, Randy</v>
      </c>
      <c r="E161" s="113" t="str">
        <f>CONCATENATE(Table1[[#This Row],[FirstName]]," ",Table1[[#This Row],[LastName]])</f>
        <v>Randy Still</v>
      </c>
      <c r="F161" s="158"/>
      <c r="G161" s="114"/>
      <c r="H161" s="114"/>
      <c r="I161" s="114"/>
      <c r="J161" s="163"/>
      <c r="K161" s="164"/>
      <c r="L161" s="158" t="str">
        <f>IFERROR(VLOOKUP(Table1[[#This Row],[SyStudentId]],ISIR!$A$2:$X$4999,11,FALSE),"")</f>
        <v>D</v>
      </c>
      <c r="M161" s="160" t="str">
        <f>VLOOKUP(Table1[[#This Row],[SyStudentId]],SSR!$A$2:$CC$4982,7,FALSE)</f>
        <v>randy.a.still01@gmail.com</v>
      </c>
      <c r="N161" s="160" t="str">
        <f>VLOOKUP(Table1[[#This Row],[SyStudentId]],SSR!$A$2:$CC$4982,8,FALSE)</f>
        <v>160 Baker Road</v>
      </c>
      <c r="O161" s="160" t="str">
        <f>VLOOKUP(Table1[[#This Row],[SyStudentId]],SSR!$A$2:$CC$4982,9,FALSE)</f>
        <v>Searcy</v>
      </c>
      <c r="P161" s="294" t="str">
        <f>VLOOKUP(Table1[[#This Row],[SyStudentId]],SSR!$A$2:$CC$4982,10,FALSE)</f>
        <v>AR</v>
      </c>
      <c r="Q161" s="165" t="str">
        <f>VLOOKUP(Table1[[#This Row],[SyStudentId]],SSR!$A$2:$CC$4982,11,FALSE)</f>
        <v xml:space="preserve">72143     </v>
      </c>
      <c r="R161" s="166">
        <f>VLOOKUP(Table1[[#This Row],[SyStudentId]],SSR!$A$2:$CC$4982,15,FALSE)</f>
        <v>3.5</v>
      </c>
      <c r="S161" s="167">
        <f>VLOOKUP(Table1[[#This Row],[SyStudentId]],SSR!$A$2:$CC$4982,22,FALSE)</f>
        <v>44109</v>
      </c>
      <c r="T161" s="160" t="str">
        <f>VLOOKUP(Table1[[#This Row],[SyStudentId]],SSR!$A$2:$CC$4982,24,FALSE)</f>
        <v>JT</v>
      </c>
      <c r="U161" s="160" t="str">
        <f>IF(VLOOKUP(Table1[[#This Row],[SyStudentId]],SSR!$A$2:$CC$4982,26,FALSE)=0,"Not Selected",VLOOKUP(Table1[[#This Row],[SyStudentId]],SSR!$A$2:$CC$4982,26,FALSE))</f>
        <v>Male</v>
      </c>
      <c r="V161" s="160" t="str">
        <f>VLOOKUP(Table1[[#This Row],[SyStudentId]],SSR!$A$2:$CC$4982,27,FALSE)</f>
        <v xml:space="preserve">HS2020  </v>
      </c>
      <c r="W161" s="160" t="str">
        <f>VLOOKUP(LEFT(Table1[[#This Row],[LastName]],1),Alpha!$A$1:$B$26,2,FALSE)</f>
        <v>Maureen Ranks</v>
      </c>
      <c r="X161" s="168" t="str">
        <f>VLOOKUP(Table1[[#This Row],[FAA]],Alpha!$B$1:$D$26,2,FALSE)</f>
        <v>mranks@neumont.edu</v>
      </c>
      <c r="Y161" s="160">
        <f>VLOOKUP(Table1[[#This Row],[FAA]],Alpha!$B$1:$D$26,3,FALSE)</f>
        <v>8883022894</v>
      </c>
      <c r="Z161" s="160" t="str">
        <f>VLOOKUP(Table1[[#This Row],[SyStudentId]],SSR!$A$2:$CC$4982,30,FALSE)</f>
        <v>16-Accepted</v>
      </c>
      <c r="AA161" s="160" t="str">
        <f>IF(VLOOKUP(Table1[[#This Row],[SyStudentId]],SSR!$A$2:$CC$4982,36,FALSE)="Bachelor of Science","BS Computer Science","Check Program")</f>
        <v>BS Computer Science</v>
      </c>
      <c r="AB161" s="160" t="str">
        <f>VLOOKUP(Table1[[#This Row],[SyStudentId]],SSR!$A$2:$CC$4982,37,FALSE)</f>
        <v xml:space="preserve">19      </v>
      </c>
      <c r="AC161" s="160">
        <f>VLOOKUP(Table1[[#This Row],[SyStudentId]],SSR!$A$2:$CC$4982,42,FALSE)</f>
        <v>0</v>
      </c>
      <c r="AD161" s="160" t="str">
        <f>VLOOKUP(Table1[[#This Row],[SyStudentId]],SSR!$A$2:$CC$4982,46,FALSE)</f>
        <v>102</v>
      </c>
      <c r="AE161" s="160" t="str">
        <f>VLOOKUP(Table1[[#This Row],[SyStudentId]],SSR!$A$2:$CC$4982,65,FALSE)</f>
        <v>V</v>
      </c>
      <c r="AF161"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5</v>
      </c>
      <c r="AG161" s="160" t="str">
        <f>VLOOKUP(Table1[[#This Row],[SyStudentId]],SSR!$A$2:$CC$4982,66,FALSE)</f>
        <v>July-October</v>
      </c>
      <c r="AH161" s="160" t="str">
        <f>IFERROR(VLOOKUP(Table1[[#This Row],[SyStudentId]],ISIR!$A$2:$X$1999,7,FALSE),"")</f>
        <v>000000</v>
      </c>
      <c r="AI161" s="170">
        <f>IF(Table1[[#This Row],[EFCRaw]]="","",IF(Table1[[#This Row],[EFCRaw]]="No EFC","No EFC",_xlfn.NUMBERVALUE(Table1[[#This Row],[EFCRaw]])))</f>
        <v>0</v>
      </c>
      <c r="AJ161" s="167">
        <f>IFERROR(VLOOKUP(Table1[[#This Row],[SyStudentId]],ISIR!$A$2:$X$4999,19,FALSE),"")</f>
        <v>43790</v>
      </c>
      <c r="AK161" s="160" t="str">
        <f>IFERROR(VLOOKUP(Table1[[#This Row],[SyStudentId]],ISIR!$A$2:$X$4999,8,FALSE),"")</f>
        <v>Y</v>
      </c>
      <c r="AL161" s="171" t="str">
        <f>IF(Table1[[#This Row],[VerReq]]="N","n/a","")</f>
        <v/>
      </c>
      <c r="AM161" s="122"/>
      <c r="AN161" s="122"/>
      <c r="AO161" s="122"/>
      <c r="AP161" s="122"/>
      <c r="AQ161" s="122"/>
      <c r="AR161" s="122"/>
      <c r="AS161" s="122"/>
      <c r="AT161" s="122"/>
      <c r="AU161" s="122"/>
      <c r="AV161" s="122"/>
      <c r="AW161" s="122"/>
      <c r="AX161" s="122"/>
      <c r="AY161" s="122"/>
      <c r="AZ161" s="122"/>
      <c r="BA161" s="122"/>
      <c r="BB161" s="122"/>
      <c r="BC161" s="148"/>
      <c r="BD161" s="140" t="str">
        <f>IF(Table1[[#This Row],[VerReq]]="N","x","")</f>
        <v/>
      </c>
      <c r="BE161" s="140" t="str">
        <f>IF(Table1[[#This Row],[VerReq]]="N","x","")</f>
        <v/>
      </c>
      <c r="BF161" s="140" t="str">
        <f>IF(Table1[[#This Row],[VerReq]]="N","x","")</f>
        <v/>
      </c>
      <c r="BG161" s="140" t="str">
        <f>IF(Table1[[#This Row],[VerReq]]="N","x","")</f>
        <v/>
      </c>
      <c r="BH161" s="140" t="str">
        <f>IF(Table1[[#This Row],[VerReq]]="N","x","")</f>
        <v/>
      </c>
      <c r="BI161" s="140" t="str">
        <f>IF(Table1[[#This Row],[VerReq]]="N","x","")</f>
        <v/>
      </c>
      <c r="BJ161" s="181">
        <f>1-((COUNTBLANK(Table1[[#This Row],[ALESent]:[TaxTran]]))/(COUNT(Table1[[#This Row],[ALESent]:[TaxTran]])+COUNTBLANK(Table1[[#This Row],[ALESent]:[TaxTran]])))</f>
        <v>0</v>
      </c>
      <c r="BK161" s="216">
        <f>IF(VLOOKUP(Table1[[#This Row],[SyStudentId]],SSR!$A$2:$CC$4982,22,FALSE)=44109,44109,"Check Program")</f>
        <v>44109</v>
      </c>
      <c r="BL161" s="216">
        <f>IF(Table1[[#This Row],[AYStart]]=44109,44356,"Check Program")</f>
        <v>44356</v>
      </c>
      <c r="BM161" s="219">
        <v>8505</v>
      </c>
      <c r="BN161" s="219">
        <v>8505</v>
      </c>
      <c r="BO161" s="219">
        <v>8505</v>
      </c>
      <c r="BP161" s="220">
        <f t="shared" si="6"/>
        <v>25515</v>
      </c>
      <c r="BQ161" s="221">
        <v>3300</v>
      </c>
      <c r="BR161" s="219">
        <v>400</v>
      </c>
      <c r="BS161" s="219">
        <v>400</v>
      </c>
      <c r="BT161" s="222">
        <f t="shared" si="7"/>
        <v>4100</v>
      </c>
      <c r="BU161" s="219">
        <v>2100</v>
      </c>
      <c r="BV161" s="219">
        <v>2100</v>
      </c>
      <c r="BW161" s="219">
        <v>2100</v>
      </c>
      <c r="BX161" s="222">
        <f t="shared" si="8"/>
        <v>6300</v>
      </c>
      <c r="BY161" s="275">
        <v>1200</v>
      </c>
      <c r="BZ161" s="275">
        <v>1200</v>
      </c>
      <c r="CA161" s="275">
        <v>1200</v>
      </c>
      <c r="CB161" s="222">
        <f>SUM(Table1[[#This Row],[LEQ1]:[LEQ3]])</f>
        <v>3600</v>
      </c>
      <c r="CC161" s="276">
        <v>0</v>
      </c>
      <c r="CD161" s="276">
        <v>0</v>
      </c>
      <c r="CE161" s="276">
        <v>0</v>
      </c>
      <c r="CF161" s="222">
        <f>SUM(Table1[[#This Row],[OthCostQ1]:[OthCostQ3]])</f>
        <v>0</v>
      </c>
      <c r="CG161" s="222">
        <f>(Table1[[#This Row],[T&amp;FTot]]+Table1[[#This Row],[B&amp;STot]]+Table1[[#This Row],[HousTot]]+Table1[[#This Row],[LETot]]+Table1[[#This Row],[OthCostTot]])</f>
        <v>39515</v>
      </c>
      <c r="CH161" s="253">
        <v>0</v>
      </c>
      <c r="CI161" s="253">
        <v>0</v>
      </c>
      <c r="CJ161" s="253">
        <v>0</v>
      </c>
      <c r="CK161" s="254">
        <f>SUM(Table1[[#This Row],[SEOGQ1]:[SEOGQ3]])</f>
        <v>0</v>
      </c>
      <c r="CL161" s="253">
        <f>IFERROR(ROUNDUP(Table1[[#This Row],[PellTot]]/3,0),0)</f>
        <v>2065</v>
      </c>
      <c r="CM161" s="253">
        <f>IFERROR(ROUND(Table1[[#This Row],[PellTot]]/3,0),0)</f>
        <v>2065</v>
      </c>
      <c r="CN161" s="253">
        <f>IFERROR(ROUNDDOWN(Table1[[#This Row],[PellTot]]/3,0),0)</f>
        <v>2065</v>
      </c>
      <c r="CO161" s="254">
        <f>IFERROR(LOOKUP(Table1[EFC],Pell_Table[#Data],Pell_Table[Pell Amt]),0)</f>
        <v>6195</v>
      </c>
      <c r="CP161" s="253">
        <f>Table1[[#This Row],[AccessTot]]/3</f>
        <v>500</v>
      </c>
      <c r="CQ161" s="253">
        <f>Table1[[#This Row],[AccessTot]]/3</f>
        <v>500</v>
      </c>
      <c r="CR161" s="253">
        <f>Table1[[#This Row],[AccessTot]]/3</f>
        <v>500</v>
      </c>
      <c r="CS161" s="254">
        <f>IF(Table1[[#This Row],[PellTot]]&gt;0,1500,0)</f>
        <v>1500</v>
      </c>
      <c r="CT161" s="253">
        <f>Table1[[#This Row],[AchiTot]]/3</f>
        <v>1000</v>
      </c>
      <c r="CU161" s="253">
        <f>Table1[[#This Row],[AchiTot]]/3</f>
        <v>1000</v>
      </c>
      <c r="CV161" s="253">
        <f>Table1[[#This Row],[AchiTot]]/3</f>
        <v>1000</v>
      </c>
      <c r="CW161" s="255">
        <f>IF(Table1[[#This Row],[Rank]]="","",IF(Table1[[#This Row],[Rank]]=1,5100,IF(Table1[[#This Row],[Rank]]=2,4500,IF(Table1[[#This Row],[Rank]]=3,3900,IF(Table1[[#This Row],[Rank]]=4,3750,IF(Table1[[#This Row],[Rank]]=5,3000,IF(Table1[[#This Row],[Rank]]=6,2250,0)))))))</f>
        <v>3000</v>
      </c>
      <c r="CX161" s="253">
        <f>Table1[[#This Row],[UTTot]]/3</f>
        <v>0</v>
      </c>
      <c r="CY161" s="253">
        <f>Table1[[#This Row],[UTTot]]/3</f>
        <v>0</v>
      </c>
      <c r="CZ161" s="253">
        <f>Table1[[#This Row],[UTTot]]/3</f>
        <v>0</v>
      </c>
      <c r="DA161" s="254">
        <f>IF(Table1[[#This Row],[State]]="UT",9000,0)</f>
        <v>0</v>
      </c>
      <c r="DB161" s="253">
        <f>Table1[[#This Row],[WITTot]]/3</f>
        <v>0</v>
      </c>
      <c r="DC161" s="253">
        <f>Table1[[#This Row],[WITTot]]/3</f>
        <v>0</v>
      </c>
      <c r="DD161" s="253">
        <f>Table1[[#This Row],[WITTot]]/3</f>
        <v>0</v>
      </c>
      <c r="DE161" s="254">
        <f>IF(Table1[[#This Row],[Gender]]="Female",3000,0)</f>
        <v>0</v>
      </c>
      <c r="DF161" s="253">
        <f>Table1[[#This Row],[SerTot]]/3</f>
        <v>0</v>
      </c>
      <c r="DG161" s="253">
        <f>Table1[[#This Row],[SerTot]]/3</f>
        <v>0</v>
      </c>
      <c r="DH161" s="253">
        <f>Table1[[#This Row],[SerTot]]/3</f>
        <v>0</v>
      </c>
      <c r="DI161" s="255">
        <v>0</v>
      </c>
      <c r="DJ161" s="253">
        <f>IFERROR(ROUNDUP(Table1[[#This Row],[TranTot]]/3,0),0)</f>
        <v>0</v>
      </c>
      <c r="DK161" s="253">
        <f>IFERROR(ROUND(Table1[[#This Row],[TranTot]]/3,0),0)</f>
        <v>0</v>
      </c>
      <c r="DL161" s="253">
        <f>IFERROR(ROUNDDOWN(Table1[[#This Row],[TranTot]]/3,0),0)</f>
        <v>0</v>
      </c>
      <c r="DM161" s="255">
        <v>0</v>
      </c>
      <c r="DN161" s="253">
        <f>Table1[[#This Row],[MatTot]]/3</f>
        <v>0</v>
      </c>
      <c r="DO161" s="253">
        <f>Table1[[#This Row],[MatTot]]/3</f>
        <v>0</v>
      </c>
      <c r="DP161" s="253">
        <f>Table1[[#This Row],[MatTot]]/3</f>
        <v>0</v>
      </c>
      <c r="DQ161" s="255">
        <v>0</v>
      </c>
      <c r="DR161" s="253">
        <f>Table1[[#This Row],[OutTot]]/3</f>
        <v>0</v>
      </c>
      <c r="DS161" s="253">
        <f>Table1[[#This Row],[OutTot]]/3</f>
        <v>0</v>
      </c>
      <c r="DT161" s="253">
        <f>Table1[[#This Row],[OutTot]]/3</f>
        <v>0</v>
      </c>
      <c r="DU161" s="255">
        <v>0</v>
      </c>
      <c r="DV161" s="253">
        <v>0</v>
      </c>
      <c r="DW161" s="253">
        <v>0</v>
      </c>
      <c r="DX161" s="253">
        <v>0</v>
      </c>
      <c r="DY161" s="255">
        <f>SUM(Table1[[#This Row],[VAQ1]:[VAQ3]])</f>
        <v>0</v>
      </c>
      <c r="DZ161" s="253">
        <v>0</v>
      </c>
      <c r="EA161" s="253">
        <v>0</v>
      </c>
      <c r="EB161" s="253">
        <v>0</v>
      </c>
      <c r="EC161" s="278">
        <f>SUM(Table1[[#This Row],[OthGrantQ1]:[OthGrantQ3]])</f>
        <v>0</v>
      </c>
      <c r="ED161" s="264">
        <f>Table1[[#This Row],[SEOGTot]]+Table1[[#This Row],[PellTot]]+Table1[[#This Row],[AccessTot]]+Table1[[#This Row],[AchiTot]]+Table1[[#This Row],[UTTot]]+Table1[[#This Row],[WITTot]]+Table1[[#This Row],[SerTot]]+Table1[[#This Row],[TranTot]]+Table1[[#This Row],[MatTot]]+Table1[[#This Row],[OutTot]]+Table1[[#This Row],[VATot]]+Table1[[#This Row],[OthGrantTot]]</f>
        <v>10695</v>
      </c>
      <c r="EE161" s="298">
        <v>0</v>
      </c>
      <c r="EF161" s="227">
        <v>0</v>
      </c>
      <c r="EG161" s="227">
        <v>0</v>
      </c>
      <c r="EH161" s="228">
        <f>SUM(Table1[[#This Row],[CashQ1]]:Table1[[#This Row],[CashQ3]])</f>
        <v>0</v>
      </c>
      <c r="EI161" s="229">
        <f>ROUND((Table1[[#This Row],[SubTot]]/3)/1.01059,0)</f>
        <v>1154</v>
      </c>
      <c r="EJ161" s="230">
        <f>ROUND((Table1[[#This Row],[SubTot]]/3)/1.01059,0)</f>
        <v>1154</v>
      </c>
      <c r="EK161" s="230">
        <f>ROUNDUP((Table1[[#This Row],[SubTot]]/3)/1.01059,0)</f>
        <v>1155</v>
      </c>
      <c r="EL161" s="231">
        <v>3500</v>
      </c>
      <c r="EM161" s="233">
        <f>Table1[[#This Row],[SubTot]]*0.01059</f>
        <v>37.065000000000005</v>
      </c>
      <c r="EN161" s="230">
        <f>ROUND((Table1[[#This Row],[UnsubTot]]/3)/1.01062,0)</f>
        <v>660</v>
      </c>
      <c r="EO161" s="230">
        <f>ROUND((Table1[[#This Row],[UnsubTot]]/3)/1.01062,0)</f>
        <v>660</v>
      </c>
      <c r="EP161" s="230">
        <f>ROUNDDOWN((Table1[[#This Row],[UnsubTot]]/3)/1.01062,0)</f>
        <v>659</v>
      </c>
      <c r="EQ161" s="231">
        <f>IF(Table1[D/I]="I",6000,2000)</f>
        <v>2000</v>
      </c>
      <c r="ER161" s="233">
        <f>Table1[[#This Row],[UnsubTot]]*0.01059</f>
        <v>21.18</v>
      </c>
      <c r="ES161" s="230">
        <f>ROUND((Table1[[#This Row],[PLUSTot]]/3)/1.04236,0)</f>
        <v>0</v>
      </c>
      <c r="ET161" s="230">
        <f>ROUND((Table1[[#This Row],[PLUSTot]]/3)/1.04236,0)</f>
        <v>0</v>
      </c>
      <c r="EU161" s="230">
        <f>ROUND((Table1[[#This Row],[PLUSTot]]/3)/1.04236,0)</f>
        <v>0</v>
      </c>
      <c r="EV161" s="231">
        <v>0</v>
      </c>
      <c r="EW161" s="236">
        <f>Table1[[#This Row],[PLUSTot]]*0.04236</f>
        <v>0</v>
      </c>
      <c r="EX161" s="227"/>
      <c r="EY161" s="227"/>
      <c r="EZ161" s="227"/>
      <c r="FA161" s="228">
        <f>SUM(Table1[[#This Row],[PrivQ1]:[PrivQ3]])</f>
        <v>0</v>
      </c>
      <c r="FB161" s="227"/>
      <c r="FC161" s="227"/>
      <c r="FD161" s="227"/>
      <c r="FE161" s="228">
        <f>SUM(Table1[[#This Row],[TOQ1]:[TOQ3]])</f>
        <v>0</v>
      </c>
      <c r="FF161" s="227"/>
      <c r="FG161" s="227"/>
      <c r="FH161" s="227"/>
      <c r="FI161" s="228">
        <f>SUM(Table1[[#This Row],[OFundQ1]:[OFundQ3]])</f>
        <v>0</v>
      </c>
      <c r="FJ161" s="236">
        <f>(Table1[[#This Row],[SubTot]]-Table1[[#This Row],[SubFee]])+(Table1[[#This Row],[UnsubTot]]-Table1[[#This Row],[UnsubFee]])+(Table1[[#This Row],[PLUSTot]]-Table1[[#This Row],[PLUSFee]])+Table1[[#This Row],[PrivTot]]+Table1[[#This Row],[TOTot]]+Table1[[#This Row],[OFundTot]]</f>
        <v>5441.7550000000001</v>
      </c>
      <c r="FK161" s="159">
        <f>Table1[[#This Row],[CostTot]]-Table1[[#This Row],[GiftTot]]</f>
        <v>28820</v>
      </c>
      <c r="FL161" s="174">
        <f>Table1[[#This Row],[NetNeed]]/(1-0.04236)</f>
        <v>24412.352240925607</v>
      </c>
      <c r="FM161" s="176">
        <f>Table1[[#This Row],[NetCost]]-Table1[[#This Row],[CashTot]]-(Table1[[#This Row],[SubTot]]-Table1[[#This Row],[SubFee]])-(Table1[[#This Row],[UnsubTot]]-Table1[[#This Row],[UnsubFee]])-(Table1[[#This Row],[PLUSTot]]-Table1[[#This Row],[PLUSFee]])-Table1[[#This Row],[PrivTot]]-Table1[[#This Row],[TOTot]]-Table1[[#This Row],[OFundTot]]</f>
        <v>23378.244999999999</v>
      </c>
      <c r="FN161" s="217"/>
      <c r="FO161" s="162"/>
      <c r="FP161" s="162"/>
    </row>
    <row r="162" spans="1:172" ht="15" x14ac:dyDescent="0.25">
      <c r="A162" s="287">
        <v>197102</v>
      </c>
      <c r="B162" s="160" t="str">
        <f>VLOOKUP(Table1[[#This Row],[SyStudentId]],SSR!$A$2:$CC$4982,4,FALSE)</f>
        <v>Stinson</v>
      </c>
      <c r="C162" s="160" t="str">
        <f>VLOOKUP(Table1[[#This Row],[SyStudentId]],SSR!$A$2:$CC$4982,5,FALSE)</f>
        <v>Grant</v>
      </c>
      <c r="D162" s="160" t="str">
        <f>VLOOKUP(Table1[[#This Row],[SyStudentId]],SSR!$A$2:$CC$4982,6,FALSE)</f>
        <v>Stinson, Grant</v>
      </c>
      <c r="E162" s="113" t="str">
        <f>CONCATENATE(Table1[[#This Row],[FirstName]]," ",Table1[[#This Row],[LastName]])</f>
        <v>Grant Stinson</v>
      </c>
      <c r="F162" s="158"/>
      <c r="G162" s="114"/>
      <c r="H162" s="114"/>
      <c r="I162" s="114"/>
      <c r="J162" s="163"/>
      <c r="K162" s="164"/>
      <c r="L162" s="158" t="str">
        <f>IFERROR(VLOOKUP(Table1[[#This Row],[SyStudentId]],ISIR!$A$2:$X$4999,11,FALSE),"")</f>
        <v>D</v>
      </c>
      <c r="M162" s="160" t="str">
        <f>VLOOKUP(Table1[[#This Row],[SyStudentId]],SSR!$A$2:$CC$4982,7,FALSE)</f>
        <v>grantstinson4@gmail.com</v>
      </c>
      <c r="N162" s="160" t="str">
        <f>VLOOKUP(Table1[[#This Row],[SyStudentId]],SSR!$A$2:$CC$4982,8,FALSE)</f>
        <v>918 Randall Rd.</v>
      </c>
      <c r="O162" s="160" t="str">
        <f>VLOOKUP(Table1[[#This Row],[SyStudentId]],SSR!$A$2:$CC$4982,9,FALSE)</f>
        <v>Weatherford</v>
      </c>
      <c r="P162" s="160" t="str">
        <f>VLOOKUP(Table1[[#This Row],[SyStudentId]],SSR!$A$2:$CC$4982,10,FALSE)</f>
        <v>TX</v>
      </c>
      <c r="Q162" s="165" t="str">
        <f>VLOOKUP(Table1[[#This Row],[SyStudentId]],SSR!$A$2:$CC$4982,11,FALSE)</f>
        <v xml:space="preserve">76087     </v>
      </c>
      <c r="R162" s="166">
        <f>VLOOKUP(Table1[[#This Row],[SyStudentId]],SSR!$A$2:$CC$4982,15,FALSE)</f>
        <v>4.0999999999999996</v>
      </c>
      <c r="S162" s="167">
        <f>VLOOKUP(Table1[[#This Row],[SyStudentId]],SSR!$A$2:$CC$4982,22,FALSE)</f>
        <v>44109</v>
      </c>
      <c r="T162" s="160" t="str">
        <f>VLOOKUP(Table1[[#This Row],[SyStudentId]],SSR!$A$2:$CC$4982,24,FALSE)</f>
        <v>GM</v>
      </c>
      <c r="U162" s="160" t="str">
        <f>IF(VLOOKUP(Table1[[#This Row],[SyStudentId]],SSR!$A$2:$CC$4982,26,FALSE)=0,"Not Selected",VLOOKUP(Table1[[#This Row],[SyStudentId]],SSR!$A$2:$CC$4982,26,FALSE))</f>
        <v>Male</v>
      </c>
      <c r="V162" s="160" t="str">
        <f>VLOOKUP(Table1[[#This Row],[SyStudentId]],SSR!$A$2:$CC$4982,27,FALSE)</f>
        <v xml:space="preserve">HS2020  </v>
      </c>
      <c r="W162" s="160" t="str">
        <f>VLOOKUP(LEFT(Table1[[#This Row],[LastName]],1),Alpha!$A$1:$B$26,2,FALSE)</f>
        <v>Maureen Ranks</v>
      </c>
      <c r="X162" s="179" t="str">
        <f>VLOOKUP(Table1[[#This Row],[FAA]],Alpha!$B$1:$D$26,2,FALSE)</f>
        <v>mranks@neumont.edu</v>
      </c>
      <c r="Y162" s="160">
        <f>VLOOKUP(Table1[[#This Row],[FAA]],Alpha!$B$1:$D$26,3,FALSE)</f>
        <v>8883022894</v>
      </c>
      <c r="Z162" s="160" t="str">
        <f>VLOOKUP(Table1[[#This Row],[SyStudentId]],SSR!$A$2:$CC$4982,30,FALSE)</f>
        <v>16-Accepted</v>
      </c>
      <c r="AA162" s="160" t="str">
        <f>IF(VLOOKUP(Table1[[#This Row],[SyStudentId]],SSR!$A$2:$CC$4982,36,FALSE)="Bachelor of Science","BS Computer Science","Check Program")</f>
        <v>BS Computer Science</v>
      </c>
      <c r="AB162" s="160" t="str">
        <f>VLOOKUP(Table1[[#This Row],[SyStudentId]],SSR!$A$2:$CC$4982,37,FALSE)</f>
        <v xml:space="preserve">24      </v>
      </c>
      <c r="AC162" s="160" t="str">
        <f>VLOOKUP(Table1[[#This Row],[SyStudentId]],SSR!$A$2:$CC$4982,42,FALSE)</f>
        <v xml:space="preserve">1060    </v>
      </c>
      <c r="AD162" s="160" t="str">
        <f>VLOOKUP(Table1[[#This Row],[SyStudentId]],SSR!$A$2:$CC$4982,46,FALSE)</f>
        <v>0</v>
      </c>
      <c r="AE162" s="160" t="str">
        <f>VLOOKUP(Table1[[#This Row],[SyStudentId]],SSR!$A$2:$CC$4982,65,FALSE)</f>
        <v>I</v>
      </c>
      <c r="AF162"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62" s="160" t="str">
        <f>VLOOKUP(Table1[[#This Row],[SyStudentId]],SSR!$A$2:$CC$4982,66,FALSE)</f>
        <v>July-October</v>
      </c>
      <c r="AH162" s="160" t="str">
        <f>IFERROR(VLOOKUP(Table1[[#This Row],[SyStudentId]],ISIR!$A$2:$X$1999,7,FALSE),"")</f>
        <v>016424</v>
      </c>
      <c r="AI162" s="170">
        <f>IF(Table1[[#This Row],[EFCRaw]]="","",IF(Table1[[#This Row],[EFCRaw]]="No EFC","No EFC",_xlfn.NUMBERVALUE(Table1[[#This Row],[EFCRaw]])))</f>
        <v>16424</v>
      </c>
      <c r="AJ162" s="167">
        <f>IFERROR(VLOOKUP(Table1[[#This Row],[SyStudentId]],ISIR!$A$2:$X$4999,19,FALSE),"")</f>
        <v>43783</v>
      </c>
      <c r="AK162" s="160" t="str">
        <f>IFERROR(VLOOKUP(Table1[[#This Row],[SyStudentId]],ISIR!$A$2:$X$4999,8,FALSE),"")</f>
        <v>N</v>
      </c>
      <c r="AL162" s="171" t="str">
        <f>IF(Table1[[#This Row],[VerReq]]="N","n/a","")</f>
        <v>n/a</v>
      </c>
      <c r="AM162" s="122"/>
      <c r="AN162" s="122"/>
      <c r="AO162" s="122"/>
      <c r="AP162" s="122"/>
      <c r="AQ162" s="122"/>
      <c r="AR162" s="122"/>
      <c r="AS162" s="122"/>
      <c r="AT162" s="122"/>
      <c r="AU162" s="122"/>
      <c r="AV162" s="122"/>
      <c r="AW162" s="122"/>
      <c r="AX162" s="122"/>
      <c r="AY162" s="122"/>
      <c r="AZ162" s="122"/>
      <c r="BA162" s="122"/>
      <c r="BB162" s="122"/>
      <c r="BC162" s="148"/>
      <c r="BD162" s="140" t="str">
        <f>IF(Table1[[#This Row],[VerReq]]="N","x","")</f>
        <v>x</v>
      </c>
      <c r="BE162" s="140" t="str">
        <f>IF(Table1[[#This Row],[VerReq]]="N","x","")</f>
        <v>x</v>
      </c>
      <c r="BF162" s="140" t="str">
        <f>IF(Table1[[#This Row],[VerReq]]="N","x","")</f>
        <v>x</v>
      </c>
      <c r="BG162" s="140" t="str">
        <f>IF(Table1[[#This Row],[VerReq]]="N","x","")</f>
        <v>x</v>
      </c>
      <c r="BH162" s="140" t="str">
        <f>IF(Table1[[#This Row],[VerReq]]="N","x","")</f>
        <v>x</v>
      </c>
      <c r="BI162" s="140" t="str">
        <f>IF(Table1[[#This Row],[VerReq]]="N","x","")</f>
        <v>x</v>
      </c>
      <c r="BJ162" s="181">
        <f>1-((COUNTBLANK(Table1[[#This Row],[ALESent]:[TaxTran]]))/(COUNT(Table1[[#This Row],[ALESent]:[TaxTran]])+COUNTBLANK(Table1[[#This Row],[ALESent]:[TaxTran]])))</f>
        <v>0</v>
      </c>
      <c r="BK162" s="216">
        <f>IF(VLOOKUP(Table1[[#This Row],[SyStudentId]],SSR!$A$2:$CC$4982,22,FALSE)=44109,44109,"Check Program")</f>
        <v>44109</v>
      </c>
      <c r="BL162" s="216">
        <f>IF(Table1[[#This Row],[AYStart]]=44109,44356,"Check Program")</f>
        <v>44356</v>
      </c>
      <c r="BM162" s="219">
        <v>8505</v>
      </c>
      <c r="BN162" s="219">
        <v>8505</v>
      </c>
      <c r="BO162" s="219">
        <v>8505</v>
      </c>
      <c r="BP162" s="220">
        <f t="shared" si="6"/>
        <v>25515</v>
      </c>
      <c r="BQ162" s="221">
        <v>3300</v>
      </c>
      <c r="BR162" s="219">
        <v>400</v>
      </c>
      <c r="BS162" s="219">
        <v>400</v>
      </c>
      <c r="BT162" s="222">
        <f t="shared" si="7"/>
        <v>4100</v>
      </c>
      <c r="BU162" s="219">
        <v>2100</v>
      </c>
      <c r="BV162" s="219">
        <v>2100</v>
      </c>
      <c r="BW162" s="219">
        <v>2100</v>
      </c>
      <c r="BX162" s="222">
        <f t="shared" si="8"/>
        <v>6300</v>
      </c>
      <c r="BY162" s="275">
        <v>1200</v>
      </c>
      <c r="BZ162" s="275">
        <v>1200</v>
      </c>
      <c r="CA162" s="275">
        <v>1200</v>
      </c>
      <c r="CB162" s="222">
        <f>SUM(Table1[[#This Row],[LEQ1]:[LEQ3]])</f>
        <v>3600</v>
      </c>
      <c r="CC162" s="276">
        <v>0</v>
      </c>
      <c r="CD162" s="276">
        <v>0</v>
      </c>
      <c r="CE162" s="276">
        <v>0</v>
      </c>
      <c r="CF162" s="222">
        <f>SUM(Table1[[#This Row],[OthCostQ1]:[OthCostQ3]])</f>
        <v>0</v>
      </c>
      <c r="CG162" s="222">
        <f>(Table1[[#This Row],[T&amp;FTot]]+Table1[[#This Row],[B&amp;STot]]+Table1[[#This Row],[HousTot]]+Table1[[#This Row],[LETot]]+Table1[[#This Row],[OthCostTot]])</f>
        <v>39515</v>
      </c>
      <c r="CH162" s="253">
        <v>0</v>
      </c>
      <c r="CI162" s="253">
        <v>0</v>
      </c>
      <c r="CJ162" s="253">
        <v>0</v>
      </c>
      <c r="CK162" s="254">
        <f>SUM(Table1[[#This Row],[SEOGQ1]:[SEOGQ3]])</f>
        <v>0</v>
      </c>
      <c r="CL162" s="253">
        <f>IFERROR(ROUNDUP(Table1[[#This Row],[PellTot]]/3,0),0)</f>
        <v>0</v>
      </c>
      <c r="CM162" s="253">
        <f>IFERROR(ROUND(Table1[[#This Row],[PellTot]]/3,0),0)</f>
        <v>0</v>
      </c>
      <c r="CN162" s="253">
        <f>IFERROR(ROUNDDOWN(Table1[[#This Row],[PellTot]]/3,0),0)</f>
        <v>0</v>
      </c>
      <c r="CO162" s="254">
        <f>IFERROR(LOOKUP(Table1[EFC],Pell_Table[#Data],Pell_Table[Pell Amt]),0)</f>
        <v>0</v>
      </c>
      <c r="CP162" s="253">
        <f>Table1[[#This Row],[AccessTot]]/3</f>
        <v>0</v>
      </c>
      <c r="CQ162" s="253">
        <f>Table1[[#This Row],[AccessTot]]/3</f>
        <v>0</v>
      </c>
      <c r="CR162" s="253">
        <f>Table1[[#This Row],[AccessTot]]/3</f>
        <v>0</v>
      </c>
      <c r="CS162" s="254">
        <f>IF(Table1[[#This Row],[PellTot]]&gt;0,1500,0)</f>
        <v>0</v>
      </c>
      <c r="CT162" s="253">
        <f>Table1[[#This Row],[AchiTot]]/3</f>
        <v>1700</v>
      </c>
      <c r="CU162" s="253">
        <f>Table1[[#This Row],[AchiTot]]/3</f>
        <v>1700</v>
      </c>
      <c r="CV162" s="253">
        <f>Table1[[#This Row],[AchiTot]]/3</f>
        <v>1700</v>
      </c>
      <c r="CW162" s="255">
        <f>IF(Table1[[#This Row],[Rank]]="","",IF(Table1[[#This Row],[Rank]]=1,5100,IF(Table1[[#This Row],[Rank]]=2,4500,IF(Table1[[#This Row],[Rank]]=3,3900,IF(Table1[[#This Row],[Rank]]=4,3750,IF(Table1[[#This Row],[Rank]]=5,3000,IF(Table1[[#This Row],[Rank]]=6,2250,0)))))))</f>
        <v>5100</v>
      </c>
      <c r="CX162" s="253">
        <f>Table1[[#This Row],[UTTot]]/3</f>
        <v>0</v>
      </c>
      <c r="CY162" s="253">
        <f>Table1[[#This Row],[UTTot]]/3</f>
        <v>0</v>
      </c>
      <c r="CZ162" s="253">
        <f>Table1[[#This Row],[UTTot]]/3</f>
        <v>0</v>
      </c>
      <c r="DA162" s="254">
        <f>IF(Table1[[#This Row],[State]]="UT",9000,0)</f>
        <v>0</v>
      </c>
      <c r="DB162" s="253">
        <f>Table1[[#This Row],[WITTot]]/3</f>
        <v>0</v>
      </c>
      <c r="DC162" s="253">
        <f>Table1[[#This Row],[WITTot]]/3</f>
        <v>0</v>
      </c>
      <c r="DD162" s="253">
        <f>Table1[[#This Row],[WITTot]]/3</f>
        <v>0</v>
      </c>
      <c r="DE162" s="254">
        <f>IF(Table1[[#This Row],[Gender]]="Female",3000,0)</f>
        <v>0</v>
      </c>
      <c r="DF162" s="253">
        <f>Table1[[#This Row],[SerTot]]/3</f>
        <v>0</v>
      </c>
      <c r="DG162" s="253">
        <f>Table1[[#This Row],[SerTot]]/3</f>
        <v>0</v>
      </c>
      <c r="DH162" s="253">
        <f>Table1[[#This Row],[SerTot]]/3</f>
        <v>0</v>
      </c>
      <c r="DI162" s="255">
        <v>0</v>
      </c>
      <c r="DJ162" s="253">
        <f>IFERROR(ROUNDUP(Table1[[#This Row],[TranTot]]/3,0),0)</f>
        <v>0</v>
      </c>
      <c r="DK162" s="253">
        <f>IFERROR(ROUND(Table1[[#This Row],[TranTot]]/3,0),0)</f>
        <v>0</v>
      </c>
      <c r="DL162" s="253">
        <f>IFERROR(ROUNDDOWN(Table1[[#This Row],[TranTot]]/3,0),0)</f>
        <v>0</v>
      </c>
      <c r="DM162" s="255">
        <v>0</v>
      </c>
      <c r="DN162" s="253">
        <f>Table1[[#This Row],[MatTot]]/3</f>
        <v>0</v>
      </c>
      <c r="DO162" s="253">
        <f>Table1[[#This Row],[MatTot]]/3</f>
        <v>0</v>
      </c>
      <c r="DP162" s="253">
        <f>Table1[[#This Row],[MatTot]]/3</f>
        <v>0</v>
      </c>
      <c r="DQ162" s="255">
        <v>0</v>
      </c>
      <c r="DR162" s="253">
        <f>Table1[[#This Row],[OutTot]]/3</f>
        <v>0</v>
      </c>
      <c r="DS162" s="253">
        <f>Table1[[#This Row],[OutTot]]/3</f>
        <v>0</v>
      </c>
      <c r="DT162" s="253">
        <f>Table1[[#This Row],[OutTot]]/3</f>
        <v>0</v>
      </c>
      <c r="DU162" s="255">
        <v>0</v>
      </c>
      <c r="DV162" s="253">
        <v>0</v>
      </c>
      <c r="DW162" s="253">
        <v>0</v>
      </c>
      <c r="DX162" s="253">
        <v>0</v>
      </c>
      <c r="DY162" s="255">
        <f>SUM(Table1[[#This Row],[VAQ1]:[VAQ3]])</f>
        <v>0</v>
      </c>
      <c r="DZ162" s="253">
        <v>0</v>
      </c>
      <c r="EA162" s="253">
        <v>0</v>
      </c>
      <c r="EB162" s="253">
        <v>0</v>
      </c>
      <c r="EC162" s="278">
        <f>SUM(Table1[[#This Row],[OthGrantQ1]:[OthGrantQ3]])</f>
        <v>0</v>
      </c>
      <c r="ED162" s="264">
        <f>Table1[[#This Row],[SEOGTot]]+Table1[[#This Row],[PellTot]]+Table1[[#This Row],[AccessTot]]+Table1[[#This Row],[AchiTot]]+Table1[[#This Row],[UTTot]]+Table1[[#This Row],[WITTot]]+Table1[[#This Row],[SerTot]]+Table1[[#This Row],[TranTot]]+Table1[[#This Row],[MatTot]]+Table1[[#This Row],[OutTot]]+Table1[[#This Row],[VATot]]+Table1[[#This Row],[OthGrantTot]]</f>
        <v>5100</v>
      </c>
      <c r="EE162" s="298">
        <v>0</v>
      </c>
      <c r="EF162" s="227">
        <v>0</v>
      </c>
      <c r="EG162" s="227">
        <v>0</v>
      </c>
      <c r="EH162" s="228">
        <f>SUM(Table1[[#This Row],[CashQ1]]:Table1[[#This Row],[CashQ3]])</f>
        <v>0</v>
      </c>
      <c r="EI162" s="229">
        <f>ROUND((Table1[[#This Row],[SubTot]]/3)/1.01059,0)</f>
        <v>1154</v>
      </c>
      <c r="EJ162" s="230">
        <f>ROUND((Table1[[#This Row],[SubTot]]/3)/1.01059,0)</f>
        <v>1154</v>
      </c>
      <c r="EK162" s="230">
        <f>ROUNDUP((Table1[[#This Row],[SubTot]]/3)/1.01059,0)</f>
        <v>1155</v>
      </c>
      <c r="EL162" s="231">
        <v>3500</v>
      </c>
      <c r="EM162" s="233">
        <f>Table1[[#This Row],[SubTot]]*0.01059</f>
        <v>37.065000000000005</v>
      </c>
      <c r="EN162" s="230">
        <f>ROUND((Table1[[#This Row],[UnsubTot]]/3)/1.01062,0)</f>
        <v>660</v>
      </c>
      <c r="EO162" s="230">
        <f>ROUND((Table1[[#This Row],[UnsubTot]]/3)/1.01062,0)</f>
        <v>660</v>
      </c>
      <c r="EP162" s="230">
        <f>ROUNDDOWN((Table1[[#This Row],[UnsubTot]]/3)/1.01062,0)</f>
        <v>659</v>
      </c>
      <c r="EQ162" s="231">
        <f>IF(Table1[D/I]="I",6000,2000)</f>
        <v>2000</v>
      </c>
      <c r="ER162" s="233">
        <f>Table1[[#This Row],[UnsubTot]]*0.01059</f>
        <v>21.18</v>
      </c>
      <c r="ES162" s="230">
        <f>ROUND((Table1[[#This Row],[PLUSTot]]/3)/1.04236,0)</f>
        <v>0</v>
      </c>
      <c r="ET162" s="230">
        <f>ROUND((Table1[[#This Row],[PLUSTot]]/3)/1.04236,0)</f>
        <v>0</v>
      </c>
      <c r="EU162" s="230">
        <f>ROUND((Table1[[#This Row],[PLUSTot]]/3)/1.04236,0)</f>
        <v>0</v>
      </c>
      <c r="EV162" s="231">
        <v>0</v>
      </c>
      <c r="EW162" s="236">
        <f>Table1[[#This Row],[PLUSTot]]*0.04236</f>
        <v>0</v>
      </c>
      <c r="EX162" s="227"/>
      <c r="EY162" s="227"/>
      <c r="EZ162" s="227"/>
      <c r="FA162" s="228">
        <f>SUM(Table1[[#This Row],[PrivQ1]:[PrivQ3]])</f>
        <v>0</v>
      </c>
      <c r="FB162" s="227"/>
      <c r="FC162" s="227"/>
      <c r="FD162" s="227"/>
      <c r="FE162" s="228">
        <f>SUM(Table1[[#This Row],[TOQ1]:[TOQ3]])</f>
        <v>0</v>
      </c>
      <c r="FF162" s="227"/>
      <c r="FG162" s="227"/>
      <c r="FH162" s="227"/>
      <c r="FI162" s="228">
        <f>SUM(Table1[[#This Row],[OFundQ1]:[OFundQ3]])</f>
        <v>0</v>
      </c>
      <c r="FJ162" s="236">
        <f>(Table1[[#This Row],[SubTot]]-Table1[[#This Row],[SubFee]])+(Table1[[#This Row],[UnsubTot]]-Table1[[#This Row],[UnsubFee]])+(Table1[[#This Row],[PLUSTot]]-Table1[[#This Row],[PLUSFee]])+Table1[[#This Row],[PrivTot]]+Table1[[#This Row],[TOTot]]+Table1[[#This Row],[OFundTot]]</f>
        <v>5441.7550000000001</v>
      </c>
      <c r="FK162" s="159">
        <f>Table1[[#This Row],[CostTot]]-Table1[[#This Row],[GiftTot]]</f>
        <v>34415</v>
      </c>
      <c r="FL162" s="174">
        <f>Table1[[#This Row],[NetNeed]]/(1-0.04236)</f>
        <v>30254.840023390832</v>
      </c>
      <c r="FM162" s="176">
        <f>Table1[[#This Row],[NetCost]]-Table1[[#This Row],[CashTot]]-(Table1[[#This Row],[SubTot]]-Table1[[#This Row],[SubFee]])-(Table1[[#This Row],[UnsubTot]]-Table1[[#This Row],[UnsubFee]])-(Table1[[#This Row],[PLUSTot]]-Table1[[#This Row],[PLUSFee]])-Table1[[#This Row],[PrivTot]]-Table1[[#This Row],[TOTot]]-Table1[[#This Row],[OFundTot]]</f>
        <v>28973.244999999999</v>
      </c>
      <c r="FN162" s="217"/>
      <c r="FO162" s="162"/>
      <c r="FP162" s="162"/>
    </row>
    <row r="163" spans="1:172" ht="15" x14ac:dyDescent="0.25">
      <c r="A163" s="287">
        <v>197411</v>
      </c>
      <c r="B163" s="113" t="str">
        <f>VLOOKUP(Table1[[#This Row],[SyStudentId]],SSR!$A$2:$CC$4982,4,FALSE)</f>
        <v>Sudweeks</v>
      </c>
      <c r="C163" s="113" t="str">
        <f>VLOOKUP(Table1[[#This Row],[SyStudentId]],SSR!$A$2:$CC$4982,5,FALSE)</f>
        <v>Grayson</v>
      </c>
      <c r="D163" s="113" t="str">
        <f>VLOOKUP(Table1[[#This Row],[SyStudentId]],SSR!$A$2:$CC$4982,6,FALSE)</f>
        <v>Sudweeks, Grayson</v>
      </c>
      <c r="E163" s="113" t="str">
        <f>CONCATENATE(Table1[[#This Row],[FirstName]]," ",Table1[[#This Row],[LastName]])</f>
        <v>Grayson Sudweeks</v>
      </c>
      <c r="F163" s="112"/>
      <c r="G163" s="114"/>
      <c r="H163" s="114"/>
      <c r="I163" s="114"/>
      <c r="J163" s="115" t="s">
        <v>5311</v>
      </c>
      <c r="K163" s="116"/>
      <c r="L163" s="112" t="str">
        <f>IFERROR(VLOOKUP(Table1[[#This Row],[SyStudentId]],ISIR!$A$2:$X$999,11,FALSE),"")</f>
        <v/>
      </c>
      <c r="M163" s="113" t="str">
        <f>VLOOKUP(Table1[[#This Row],[SyStudentId]],SSR!$A$2:$CC$4982,7,FALSE)</f>
        <v>grayson.sudweeks6302@gmail.com</v>
      </c>
      <c r="N163" s="113" t="str">
        <f>VLOOKUP(Table1[[#This Row],[SyStudentId]],SSR!$A$2:$CC$4982,8,FALSE)</f>
        <v>PO Box 1598, 98 N Main St</v>
      </c>
      <c r="O163" s="113" t="str">
        <f>VLOOKUP(Table1[[#This Row],[SyStudentId]],SSR!$A$2:$CC$4982,9,FALSE)</f>
        <v>Parowan</v>
      </c>
      <c r="P163" s="113" t="str">
        <f>VLOOKUP(Table1[[#This Row],[SyStudentId]],SSR!$A$2:$CC$4982,10,FALSE)</f>
        <v>UT</v>
      </c>
      <c r="Q163" s="117" t="str">
        <f>VLOOKUP(Table1[[#This Row],[SyStudentId]],SSR!$A$2:$CC$4982,11,FALSE)</f>
        <v>84761-1598</v>
      </c>
      <c r="R163" s="118">
        <f>VLOOKUP(Table1[[#This Row],[SyStudentId]],SSR!$A$2:$CC$4982,15,FALSE)</f>
        <v>2.923</v>
      </c>
      <c r="S163" s="119">
        <f>VLOOKUP(Table1[[#This Row],[SyStudentId]],SSR!$A$2:$CC$4982,22,FALSE)</f>
        <v>44109</v>
      </c>
      <c r="T163" s="113" t="str">
        <f>VLOOKUP(Table1[[#This Row],[SyStudentId]],SSR!$A$2:$CC$4982,24,FALSE)</f>
        <v>MR</v>
      </c>
      <c r="U163" s="113" t="str">
        <f>IF(VLOOKUP(Table1[[#This Row],[SyStudentId]],SSR!$A$2:$CC$4982,26,FALSE)=0,"Not Selected",VLOOKUP(Table1[[#This Row],[SyStudentId]],SSR!$A$2:$CC$4982,26,FALSE))</f>
        <v>Male</v>
      </c>
      <c r="V163" s="113" t="str">
        <f>VLOOKUP(Table1[[#This Row],[SyStudentId]],SSR!$A$2:$CC$4982,27,FALSE)</f>
        <v xml:space="preserve">HS2020  </v>
      </c>
      <c r="W163" s="113" t="str">
        <f>VLOOKUP(LEFT(Table1[[#This Row],[LastName]],1),Alpha!$A$1:$B$26,2,FALSE)</f>
        <v>Maureen Ranks</v>
      </c>
      <c r="X163" s="149" t="str">
        <f>VLOOKUP(Table1[[#This Row],[FAA]],Alpha!$B$1:$D$26,2,FALSE)</f>
        <v>mranks@neumont.edu</v>
      </c>
      <c r="Y163" s="113">
        <f>VLOOKUP(Table1[[#This Row],[FAA]],Alpha!$B$1:$D$26,3,FALSE)</f>
        <v>8883022894</v>
      </c>
      <c r="Z163" s="113" t="str">
        <f>VLOOKUP(Table1[[#This Row],[SyStudentId]],SSR!$A$2:$CC$4982,30,FALSE)</f>
        <v>16-Accepted</v>
      </c>
      <c r="AA163" s="113" t="str">
        <f>IF(VLOOKUP(Table1[[#This Row],[SyStudentId]],SSR!$A$2:$CC$4982,36,FALSE)="Bachelor of Science","BS Computer Science","Check Program")</f>
        <v>BS Computer Science</v>
      </c>
      <c r="AB163" s="113" t="str">
        <f>VLOOKUP(Table1[[#This Row],[SyStudentId]],SSR!$A$2:$CC$4982,37,FALSE)</f>
        <v xml:space="preserve">25      </v>
      </c>
      <c r="AC163" s="113">
        <f>VLOOKUP(Table1[[#This Row],[SyStudentId]],SSR!$A$2:$CC$4982,42,FALSE)</f>
        <v>0</v>
      </c>
      <c r="AD163" s="113" t="str">
        <f>VLOOKUP(Table1[[#This Row],[SyStudentId]],SSR!$A$2:$CC$4982,46,FALSE)</f>
        <v>103</v>
      </c>
      <c r="AE163" s="113" t="str">
        <f>VLOOKUP(Table1[[#This Row],[SyStudentId]],SSR!$A$2:$CC$4982,65,FALSE)</f>
        <v>V</v>
      </c>
      <c r="AF16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5</v>
      </c>
      <c r="AG163" s="113" t="str">
        <f>VLOOKUP(Table1[[#This Row],[SyStudentId]],SSR!$A$2:$CC$4982,66,FALSE)</f>
        <v>November</v>
      </c>
      <c r="AH163" s="113" t="str">
        <f>IFERROR(VLOOKUP(Table1[[#This Row],[SyStudentId]],ISIR!$A$2:$X$999,7,FALSE),"")</f>
        <v/>
      </c>
      <c r="AI163" s="121" t="str">
        <f>IF(Table1[[#This Row],[EFCRaw]]="","",IF(Table1[[#This Row],[EFCRaw]]="No EFC","No EFC",_xlfn.NUMBERVALUE(Table1[[#This Row],[EFCRaw]])))</f>
        <v/>
      </c>
      <c r="AJ163" s="119" t="str">
        <f>IFERROR(VLOOKUP(Table1[[#This Row],[SyStudentId]],ISIR!$A$2:$X$4999,19,FALSE),"")</f>
        <v/>
      </c>
      <c r="AK163" s="113" t="str">
        <f>IFERROR(VLOOKUP(Table1[[#This Row],[SyStudentId]],ISIR!$A$2:$X$4999,8,FALSE),"")</f>
        <v/>
      </c>
      <c r="AL163" s="132" t="str">
        <f>IF(Table1[[#This Row],[VerReq]]="N","n/a","")</f>
        <v/>
      </c>
      <c r="AM163" s="122"/>
      <c r="AN163" s="122"/>
      <c r="AO163" s="122"/>
      <c r="AP163" s="122"/>
      <c r="AQ163" s="122"/>
      <c r="AR163" s="122"/>
      <c r="AS163" s="122"/>
      <c r="AT163" s="122"/>
      <c r="AU163" s="122"/>
      <c r="AV163" s="122"/>
      <c r="AW163" s="122"/>
      <c r="AX163" s="122"/>
      <c r="AY163" s="122"/>
      <c r="AZ163" s="122"/>
      <c r="BA163" s="122"/>
      <c r="BB163" s="122"/>
      <c r="BC163" s="148"/>
      <c r="BD163" s="140" t="str">
        <f>IF(Table1[[#This Row],[VerReq]]="N","x","")</f>
        <v/>
      </c>
      <c r="BE163" s="140" t="str">
        <f>IF(Table1[[#This Row],[VerReq]]="N","x","")</f>
        <v/>
      </c>
      <c r="BF163" s="140" t="str">
        <f>IF(Table1[[#This Row],[VerReq]]="N","x","")</f>
        <v/>
      </c>
      <c r="BG163" s="140" t="str">
        <f>IF(Table1[[#This Row],[VerReq]]="N","x","")</f>
        <v/>
      </c>
      <c r="BH163" s="140" t="str">
        <f>IF(Table1[[#This Row],[VerReq]]="N","x","")</f>
        <v/>
      </c>
      <c r="BI163" s="140" t="str">
        <f>IF(Table1[[#This Row],[VerReq]]="N","x","")</f>
        <v/>
      </c>
      <c r="BJ163" s="123">
        <f>1-((COUNTBLANK(Table1[[#This Row],[ALESent]:[TaxTran]]))/(COUNT(Table1[[#This Row],[ALESent]:[TaxTran]])+COUNTBLANK(Table1[[#This Row],[ALESent]:[TaxTran]])))</f>
        <v>0</v>
      </c>
      <c r="BK163" s="150">
        <f>IF(VLOOKUP(Table1[[#This Row],[SyStudentId]],SSR!$A$2:$CC$4982,22,FALSE)=44109,44109,"Check Program")</f>
        <v>44109</v>
      </c>
      <c r="BL163" s="150">
        <f>IF(Table1[[#This Row],[AYStart]]=44109,44356,"Check Program")</f>
        <v>44356</v>
      </c>
      <c r="BM163" s="219">
        <v>8505</v>
      </c>
      <c r="BN163" s="219">
        <v>8505</v>
      </c>
      <c r="BO163" s="219">
        <v>8505</v>
      </c>
      <c r="BP163" s="220">
        <f t="shared" si="6"/>
        <v>25515</v>
      </c>
      <c r="BQ163" s="221">
        <v>3300</v>
      </c>
      <c r="BR163" s="219">
        <v>400</v>
      </c>
      <c r="BS163" s="219">
        <v>400</v>
      </c>
      <c r="BT163" s="220">
        <f t="shared" si="7"/>
        <v>4100</v>
      </c>
      <c r="BU163" s="219">
        <v>2100</v>
      </c>
      <c r="BV163" s="219">
        <v>2100</v>
      </c>
      <c r="BW163" s="219">
        <v>2100</v>
      </c>
      <c r="BX163" s="220">
        <f t="shared" si="8"/>
        <v>6300</v>
      </c>
      <c r="BY163" s="275">
        <v>1200</v>
      </c>
      <c r="BZ163" s="275">
        <v>1200</v>
      </c>
      <c r="CA163" s="275">
        <v>1200</v>
      </c>
      <c r="CB163" s="220">
        <f>SUM(Table1[[#This Row],[LEQ1]:[LEQ3]])</f>
        <v>3600</v>
      </c>
      <c r="CC163" s="269"/>
      <c r="CD163" s="269"/>
      <c r="CE163" s="269"/>
      <c r="CF163" s="220">
        <f>SUM(Table1[[#This Row],[OthCostQ1]:[OthCostQ3]])</f>
        <v>0</v>
      </c>
      <c r="CG163" s="220">
        <f>(Table1[[#This Row],[T&amp;FTot]]+Table1[[#This Row],[B&amp;STot]]+Table1[[#This Row],[HousTot]]+Table1[[#This Row],[LETot]]+Table1[[#This Row],[OthCostTot]])</f>
        <v>39515</v>
      </c>
      <c r="CH163" s="250"/>
      <c r="CI163" s="250"/>
      <c r="CJ163" s="250"/>
      <c r="CK163" s="251">
        <f>SUM(Table1[[#This Row],[SEOGQ1]:[SEOGQ3]])</f>
        <v>0</v>
      </c>
      <c r="CL163" s="250">
        <f>IFERROR(ROUNDUP(Table1[[#This Row],[PellTot]]/3,0),0)</f>
        <v>0</v>
      </c>
      <c r="CM163" s="250">
        <f>IFERROR(ROUND(Table1[[#This Row],[PellTot]]/3,0),0)</f>
        <v>0</v>
      </c>
      <c r="CN163" s="250">
        <f>IFERROR(ROUNDDOWN(Table1[[#This Row],[PellTot]]/3,0),0)</f>
        <v>0</v>
      </c>
      <c r="CO163" s="251">
        <f>IFERROR(LOOKUP(Table1[EFC],Pell_Table[#Data],Pell_Table[Pell Amt]),0)</f>
        <v>0</v>
      </c>
      <c r="CP163" s="250">
        <f>Table1[[#This Row],[AccessTot]]/3</f>
        <v>0</v>
      </c>
      <c r="CQ163" s="250">
        <f>Table1[[#This Row],[AccessTot]]/3</f>
        <v>0</v>
      </c>
      <c r="CR163" s="250">
        <f>Table1[[#This Row],[AccessTot]]/3</f>
        <v>0</v>
      </c>
      <c r="CS163" s="251">
        <f>IF(Table1[[#This Row],[PellTot]]&gt;0,1500,0)</f>
        <v>0</v>
      </c>
      <c r="CT163" s="250">
        <f>Table1[[#This Row],[AchiTot]]/3</f>
        <v>1000</v>
      </c>
      <c r="CU163" s="250">
        <f>Table1[[#This Row],[AchiTot]]/3</f>
        <v>1000</v>
      </c>
      <c r="CV163" s="250">
        <f>Table1[[#This Row],[AchiTot]]/3</f>
        <v>1000</v>
      </c>
      <c r="CW163" s="252">
        <f>IF(Table1[[#This Row],[Rank]]="","",IF(Table1[[#This Row],[Rank]]=1,5100,IF(Table1[[#This Row],[Rank]]=2,4500,IF(Table1[[#This Row],[Rank]]=3,3900,IF(Table1[[#This Row],[Rank]]=4,3750,IF(Table1[[#This Row],[Rank]]=5,3000,IF(Table1[[#This Row],[Rank]]=6,2250,0)))))))</f>
        <v>3000</v>
      </c>
      <c r="CX163" s="250">
        <f>Table1[[#This Row],[UTTot]]/3</f>
        <v>3000</v>
      </c>
      <c r="CY163" s="250">
        <f>Table1[[#This Row],[UTTot]]/3</f>
        <v>3000</v>
      </c>
      <c r="CZ163" s="250">
        <f>Table1[[#This Row],[UTTot]]/3</f>
        <v>3000</v>
      </c>
      <c r="DA163" s="251">
        <f>IF(Table1[[#This Row],[State]]="UT",9000,0)</f>
        <v>9000</v>
      </c>
      <c r="DB163" s="250">
        <f>Table1[[#This Row],[WITTot]]/3</f>
        <v>0</v>
      </c>
      <c r="DC163" s="250">
        <f>Table1[[#This Row],[WITTot]]/3</f>
        <v>0</v>
      </c>
      <c r="DD163" s="250">
        <f>Table1[[#This Row],[WITTot]]/3</f>
        <v>0</v>
      </c>
      <c r="DE163" s="251">
        <f>IF(Table1[[#This Row],[Gender]]="Female",3000,0)</f>
        <v>0</v>
      </c>
      <c r="DF163" s="250">
        <f>Table1[[#This Row],[SerTot]]/3</f>
        <v>0</v>
      </c>
      <c r="DG163" s="250">
        <f>Table1[[#This Row],[SerTot]]/3</f>
        <v>0</v>
      </c>
      <c r="DH163" s="250">
        <f>Table1[[#This Row],[SerTot]]/3</f>
        <v>0</v>
      </c>
      <c r="DI163" s="252"/>
      <c r="DJ163" s="250"/>
      <c r="DK163" s="250"/>
      <c r="DL163" s="250"/>
      <c r="DM163" s="252"/>
      <c r="DN163" s="250">
        <f>Table1[[#This Row],[MatTot]]/3</f>
        <v>0</v>
      </c>
      <c r="DO163" s="250">
        <f>Table1[[#This Row],[MatTot]]/3</f>
        <v>0</v>
      </c>
      <c r="DP163" s="250">
        <f>Table1[[#This Row],[MatTot]]/3</f>
        <v>0</v>
      </c>
      <c r="DQ163" s="252"/>
      <c r="DR163" s="250">
        <f>Table1[[#This Row],[OutTot]]/3</f>
        <v>0</v>
      </c>
      <c r="DS163" s="250">
        <f>Table1[[#This Row],[OutTot]]/3</f>
        <v>0</v>
      </c>
      <c r="DT163" s="250">
        <f>Table1[[#This Row],[OutTot]]/3</f>
        <v>0</v>
      </c>
      <c r="DU163" s="252"/>
      <c r="DV163" s="250"/>
      <c r="DW163" s="250"/>
      <c r="DX163" s="250"/>
      <c r="DY163" s="252">
        <f>SUM(Table1[[#This Row],[VAQ1]:[VAQ3]])</f>
        <v>0</v>
      </c>
      <c r="DZ163" s="250"/>
      <c r="EA163" s="250"/>
      <c r="EB163" s="250"/>
      <c r="EC163" s="270">
        <f>SUM(Table1[[#This Row],[OthGrantQ1]:[OthGrantQ3]])</f>
        <v>0</v>
      </c>
      <c r="ED163" s="263">
        <f>Table1[[#This Row],[SEOGTot]]+Table1[[#This Row],[PellTot]]+Table1[[#This Row],[AccessTot]]+Table1[[#This Row],[AchiTot]]+Table1[[#This Row],[UTTot]]+Table1[[#This Row],[WITTot]]+Table1[[#This Row],[SerTot]]+Table1[[#This Row],[TranTot]]+Table1[[#This Row],[MatTot]]+Table1[[#This Row],[OutTot]]+Table1[[#This Row],[VATot]]+Table1[[#This Row],[OthGrantTot]]</f>
        <v>12000</v>
      </c>
      <c r="EE163" s="282"/>
      <c r="EF163" s="237"/>
      <c r="EG163" s="237"/>
      <c r="EH163" s="232">
        <f>SUM(Table1[[#This Row],[CashQ1]]:Table1[[#This Row],[CashQ3]])</f>
        <v>0</v>
      </c>
      <c r="EI163" s="271">
        <f>ROUND((Table1[[#This Row],[SubTot]]/3)/1.01059,0)</f>
        <v>0</v>
      </c>
      <c r="EJ163" s="234">
        <f>ROUND((Table1[[#This Row],[SubTot]]/3)/1.01059,0)</f>
        <v>0</v>
      </c>
      <c r="EK163" s="234">
        <f>ROUNDUP((Table1[[#This Row],[SubTot]]/3)/1.01059,0)</f>
        <v>0</v>
      </c>
      <c r="EL163" s="235"/>
      <c r="EM163" s="240">
        <f>Table1[[#This Row],[SubTot]]*0.01059</f>
        <v>0</v>
      </c>
      <c r="EN163" s="234">
        <f>ROUND((Table1[[#This Row],[UnsubTot]]/3)/1.01062,0)</f>
        <v>660</v>
      </c>
      <c r="EO163" s="234">
        <f>ROUND((Table1[[#This Row],[UnsubTot]]/3)/1.01062,0)</f>
        <v>660</v>
      </c>
      <c r="EP163" s="234">
        <f>ROUNDDOWN((Table1[[#This Row],[UnsubTot]]/3)/1.01062,0)</f>
        <v>659</v>
      </c>
      <c r="EQ163" s="235">
        <f>IF(Table1[D/I]="I",6000,2000)</f>
        <v>2000</v>
      </c>
      <c r="ER163" s="240">
        <f>Table1[[#This Row],[UnsubTot]]*0.01062</f>
        <v>21.24</v>
      </c>
      <c r="ES163" s="234">
        <f>ROUND((Table1[[#This Row],[PLUSTot]]/3)/1.04248,0)</f>
        <v>0</v>
      </c>
      <c r="ET163" s="234">
        <f>ROUND((Table1[[#This Row],[PLUSTot]]/3)/1.04248,0)</f>
        <v>0</v>
      </c>
      <c r="EU163" s="234">
        <f>ROUND((Table1[[#This Row],[PLUSTot]]/3)/1.04248,0)</f>
        <v>0</v>
      </c>
      <c r="EV163" s="235"/>
      <c r="EW163" s="239">
        <f>Table1[[#This Row],[PLUSTot]]*0.04248</f>
        <v>0</v>
      </c>
      <c r="EX163" s="237"/>
      <c r="EY163" s="237"/>
      <c r="EZ163" s="237"/>
      <c r="FA163" s="232">
        <f>SUM(Table1[[#This Row],[PrivQ1]:[PrivQ3]])</f>
        <v>0</v>
      </c>
      <c r="FB163" s="237"/>
      <c r="FC163" s="237"/>
      <c r="FD163" s="237"/>
      <c r="FE163" s="232">
        <f>SUM(Table1[[#This Row],[TOQ1]:[TOQ3]])</f>
        <v>0</v>
      </c>
      <c r="FF163" s="237"/>
      <c r="FG163" s="237"/>
      <c r="FH163" s="237"/>
      <c r="FI163" s="232">
        <f>SUM(Table1[[#This Row],[OFundQ1]:[OFundQ3]])</f>
        <v>0</v>
      </c>
      <c r="FJ163" s="239">
        <f>(Table1[[#This Row],[SubTot]]-Table1[[#This Row],[SubFee]])+(Table1[[#This Row],[UnsubTot]]-Table1[[#This Row],[UnsubFee]])+(Table1[[#This Row],[PLUSTot]]-Table1[[#This Row],[PLUSFee]])+Table1[[#This Row],[PrivTot]]+Table1[[#This Row],[TOTot]]+Table1[[#This Row],[OFundTot]]</f>
        <v>1978.76</v>
      </c>
      <c r="FK163" s="125">
        <f>Table1[[#This Row],[CostTot]]-Table1[[#This Row],[GiftTot]]</f>
        <v>27515</v>
      </c>
      <c r="FL163" s="130">
        <f>Table1[[#This Row],[NetNeed]]/(1-0.04248)</f>
        <v>26669.145292004345</v>
      </c>
      <c r="FM163" s="131">
        <f>Table1[[#This Row],[NetCost]]-Table1[[#This Row],[CashTot]]-(Table1[[#This Row],[SubTot]]-Table1[[#This Row],[SubFee]])-(Table1[[#This Row],[UnsubTot]]-Table1[[#This Row],[UnsubFee]])-(Table1[[#This Row],[PLUSTot]]-Table1[[#This Row],[PLUSFee]])-Table1[[#This Row],[PrivTot]]-Table1[[#This Row],[TOTot]]-Table1[[#This Row],[OFundTot]]</f>
        <v>25536.240000000002</v>
      </c>
      <c r="FN163" s="156"/>
      <c r="FO163" s="113"/>
      <c r="FP163" s="113"/>
    </row>
    <row r="164" spans="1:172" ht="15" x14ac:dyDescent="0.25">
      <c r="A164" s="287">
        <v>196270</v>
      </c>
      <c r="B164" s="113" t="str">
        <f>VLOOKUP(Table1[[#This Row],[SyStudentId]],SSR!$A$2:$CC$4982,4,FALSE)</f>
        <v>Sutton</v>
      </c>
      <c r="C164" s="113" t="str">
        <f>VLOOKUP(Table1[[#This Row],[SyStudentId]],SSR!$A$2:$CC$4982,5,FALSE)</f>
        <v>Shamar</v>
      </c>
      <c r="D164" s="113" t="str">
        <f>VLOOKUP(Table1[[#This Row],[SyStudentId]],SSR!$A$2:$CC$4982,6,FALSE)</f>
        <v>Sutton, Shamar</v>
      </c>
      <c r="E164" s="113" t="str">
        <f>CONCATENATE(Table1[[#This Row],[FirstName]]," ",Table1[[#This Row],[LastName]])</f>
        <v>Shamar Sutton</v>
      </c>
      <c r="F164" s="112"/>
      <c r="G164" s="114"/>
      <c r="H164" s="114"/>
      <c r="I164" s="114"/>
      <c r="J164" s="115"/>
      <c r="K164" s="116"/>
      <c r="L164" s="112" t="str">
        <f>IFERROR(VLOOKUP(Table1[[#This Row],[SyStudentId]],ISIR!$A$2:$X$999,11,FALSE),"")</f>
        <v/>
      </c>
      <c r="M164" s="113" t="str">
        <f>VLOOKUP(Table1[[#This Row],[SyStudentId]],SSR!$A$2:$CC$4982,7,FALSE)</f>
        <v>shamarsuttonss@gmail.com</v>
      </c>
      <c r="N164" s="113" t="str">
        <f>VLOOKUP(Table1[[#This Row],[SyStudentId]],SSR!$A$2:$CC$4982,8,FALSE)</f>
        <v>61 Orange St.</v>
      </c>
      <c r="O164" s="113" t="str">
        <f>VLOOKUP(Table1[[#This Row],[SyStudentId]],SSR!$A$2:$CC$4982,9,FALSE)</f>
        <v>Hartford</v>
      </c>
      <c r="P164" s="303" t="str">
        <f>VLOOKUP(Table1[[#This Row],[SyStudentId]],SSR!$A$2:$CC$4982,10,FALSE)</f>
        <v>CT</v>
      </c>
      <c r="Q164" s="117" t="str">
        <f>VLOOKUP(Table1[[#This Row],[SyStudentId]],SSR!$A$2:$CC$4982,11,FALSE)</f>
        <v xml:space="preserve">06106     </v>
      </c>
      <c r="R164" s="118">
        <f>VLOOKUP(Table1[[#This Row],[SyStudentId]],SSR!$A$2:$CC$4982,15,FALSE)</f>
        <v>2.214</v>
      </c>
      <c r="S164" s="119">
        <f>VLOOKUP(Table1[[#This Row],[SyStudentId]],SSR!$A$2:$CC$4982,22,FALSE)</f>
        <v>44109</v>
      </c>
      <c r="T164" s="113" t="str">
        <f>VLOOKUP(Table1[[#This Row],[SyStudentId]],SSR!$A$2:$CC$4982,24,FALSE)</f>
        <v>JT</v>
      </c>
      <c r="U164" s="113" t="str">
        <f>IF(VLOOKUP(Table1[[#This Row],[SyStudentId]],SSR!$A$2:$CC$4982,26,FALSE)=0,"Not Selected",VLOOKUP(Table1[[#This Row],[SyStudentId]],SSR!$A$2:$CC$4982,26,FALSE))</f>
        <v>Male</v>
      </c>
      <c r="V164" s="113" t="str">
        <f>VLOOKUP(Table1[[#This Row],[SyStudentId]],SSR!$A$2:$CC$4982,27,FALSE)</f>
        <v xml:space="preserve">HS2020  </v>
      </c>
      <c r="W164" s="113" t="str">
        <f>VLOOKUP(LEFT(Table1[[#This Row],[LastName]],1),Alpha!$A$1:$B$26,2,FALSE)</f>
        <v>Maureen Ranks</v>
      </c>
      <c r="X164" s="149" t="str">
        <f>VLOOKUP(Table1[[#This Row],[FAA]],Alpha!$B$1:$D$26,2,FALSE)</f>
        <v>mranks@neumont.edu</v>
      </c>
      <c r="Y164" s="113">
        <f>VLOOKUP(Table1[[#This Row],[FAA]],Alpha!$B$1:$D$26,3,FALSE)</f>
        <v>8883022894</v>
      </c>
      <c r="Z164" s="182" t="str">
        <f>VLOOKUP(Table1[[#This Row],[SyStudentId]],SSR!$A$2:$CC$4982,30,FALSE)</f>
        <v>16-Accepted</v>
      </c>
      <c r="AA164" s="113" t="str">
        <f>IF(VLOOKUP(Table1[[#This Row],[SyStudentId]],SSR!$A$2:$CC$4982,36,FALSE)="Bachelor of Science","BS Computer Science","Check Program")</f>
        <v>BS Computer Science</v>
      </c>
      <c r="AB164" s="113">
        <f>VLOOKUP(Table1[[#This Row],[SyStudentId]],SSR!$A$2:$CC$4982,37,FALSE)</f>
        <v>0</v>
      </c>
      <c r="AC164" s="113" t="str">
        <f>VLOOKUP(Table1[[#This Row],[SyStudentId]],SSR!$A$2:$CC$4982,42,FALSE)</f>
        <v xml:space="preserve">1010    </v>
      </c>
      <c r="AD164" s="113" t="str">
        <f>VLOOKUP(Table1[[#This Row],[SyStudentId]],SSR!$A$2:$CC$4982,46,FALSE)</f>
        <v>83</v>
      </c>
      <c r="AE164" s="113" t="str">
        <f>VLOOKUP(Table1[[#This Row],[SyStudentId]],SSR!$A$2:$CC$4982,65,FALSE)</f>
        <v>X</v>
      </c>
      <c r="AF164"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10</v>
      </c>
      <c r="AG164" s="113" t="str">
        <f>VLOOKUP(Table1[[#This Row],[SyStudentId]],SSR!$A$2:$CC$4982,66,FALSE)</f>
        <v>July-October</v>
      </c>
      <c r="AH164" s="113" t="str">
        <f>IFERROR(VLOOKUP(Table1[[#This Row],[SyStudentId]],ISIR!$A$2:$X$999,7,FALSE),"")</f>
        <v/>
      </c>
      <c r="AI164" s="121" t="str">
        <f>IF(Table1[[#This Row],[EFCRaw]]="","",IF(Table1[[#This Row],[EFCRaw]]="No EFC","No EFC",_xlfn.NUMBERVALUE(Table1[[#This Row],[EFCRaw]])))</f>
        <v/>
      </c>
      <c r="AJ164" s="119" t="str">
        <f>IFERROR(VLOOKUP(Table1[[#This Row],[SyStudentId]],ISIR!$A$2:$X$4999,19,FALSE),"")</f>
        <v/>
      </c>
      <c r="AK164" s="113" t="str">
        <f>IFERROR(VLOOKUP(Table1[[#This Row],[SyStudentId]],ISIR!$A$2:$X$4999,8,FALSE),"")</f>
        <v/>
      </c>
      <c r="AL164" s="132" t="str">
        <f>IF(Table1[[#This Row],[VerReq]]="N","n/a","")</f>
        <v/>
      </c>
      <c r="AM164" s="122"/>
      <c r="AN164" s="122"/>
      <c r="AO164" s="122"/>
      <c r="AP164" s="122"/>
      <c r="AQ164" s="122"/>
      <c r="AR164" s="122"/>
      <c r="AS164" s="122"/>
      <c r="AT164" s="122"/>
      <c r="AU164" s="122"/>
      <c r="AV164" s="122"/>
      <c r="AW164" s="122"/>
      <c r="AX164" s="122"/>
      <c r="AY164" s="122"/>
      <c r="AZ164" s="122"/>
      <c r="BA164" s="122"/>
      <c r="BB164" s="122"/>
      <c r="BC164" s="148"/>
      <c r="BD164" s="140" t="str">
        <f>IF(Table1[[#This Row],[VerReq]]="N","x","")</f>
        <v/>
      </c>
      <c r="BE164" s="140" t="str">
        <f>IF(Table1[[#This Row],[VerReq]]="N","x","")</f>
        <v/>
      </c>
      <c r="BF164" s="140" t="str">
        <f>IF(Table1[[#This Row],[VerReq]]="N","x","")</f>
        <v/>
      </c>
      <c r="BG164" s="140" t="str">
        <f>IF(Table1[[#This Row],[VerReq]]="N","x","")</f>
        <v/>
      </c>
      <c r="BH164" s="140" t="str">
        <f>IF(Table1[[#This Row],[VerReq]]="N","x","")</f>
        <v/>
      </c>
      <c r="BI164" s="140" t="str">
        <f>IF(Table1[[#This Row],[VerReq]]="N","x","")</f>
        <v/>
      </c>
      <c r="BJ164" s="123">
        <f>1-((COUNTBLANK(Table1[[#This Row],[ALESent]:[TaxTran]]))/(COUNT(Table1[[#This Row],[ALESent]:[TaxTran]])+COUNTBLANK(Table1[[#This Row],[ALESent]:[TaxTran]])))</f>
        <v>0</v>
      </c>
      <c r="BK164" s="150">
        <f>IF(VLOOKUP(Table1[[#This Row],[SyStudentId]],SSR!$A$2:$CC$4982,22,FALSE)=44109,44109,"Check Program")</f>
        <v>44109</v>
      </c>
      <c r="BL164" s="150">
        <f>IF(Table1[[#This Row],[AYStart]]=44109,44356,"Check Program")</f>
        <v>44356</v>
      </c>
      <c r="BM164" s="219">
        <v>8505</v>
      </c>
      <c r="BN164" s="219">
        <v>8505</v>
      </c>
      <c r="BO164" s="219">
        <v>8505</v>
      </c>
      <c r="BP164" s="220">
        <f t="shared" si="6"/>
        <v>25515</v>
      </c>
      <c r="BQ164" s="221">
        <v>3300</v>
      </c>
      <c r="BR164" s="219">
        <v>400</v>
      </c>
      <c r="BS164" s="219">
        <v>400</v>
      </c>
      <c r="BT164" s="220">
        <f t="shared" si="7"/>
        <v>4100</v>
      </c>
      <c r="BU164" s="219">
        <v>2100</v>
      </c>
      <c r="BV164" s="219">
        <v>2100</v>
      </c>
      <c r="BW164" s="219">
        <v>2100</v>
      </c>
      <c r="BX164" s="222">
        <f t="shared" si="8"/>
        <v>6300</v>
      </c>
      <c r="BY164" s="275">
        <v>1200</v>
      </c>
      <c r="BZ164" s="275">
        <v>1200</v>
      </c>
      <c r="CA164" s="275">
        <v>1200</v>
      </c>
      <c r="CB164" s="222">
        <f>SUM(Table1[[#This Row],[LEQ1]:[LEQ3]])</f>
        <v>3600</v>
      </c>
      <c r="CC164" s="276">
        <v>0</v>
      </c>
      <c r="CD164" s="276">
        <v>0</v>
      </c>
      <c r="CE164" s="276">
        <v>0</v>
      </c>
      <c r="CF164" s="222">
        <f>SUM(Table1[[#This Row],[OthCostQ1]:[OthCostQ3]])</f>
        <v>0</v>
      </c>
      <c r="CG164" s="220">
        <f>(Table1[[#This Row],[T&amp;FTot]]+Table1[[#This Row],[B&amp;STot]]+Table1[[#This Row],[HousTot]]+Table1[[#This Row],[LETot]]+Table1[[#This Row],[OthCostTot]])</f>
        <v>39515</v>
      </c>
      <c r="CH164" s="250"/>
      <c r="CI164" s="250"/>
      <c r="CJ164" s="250"/>
      <c r="CK164" s="251">
        <f>SUM(Table1[[#This Row],[SEOGQ1]:[SEOGQ3]])</f>
        <v>0</v>
      </c>
      <c r="CL164" s="250">
        <f>IFERROR(ROUNDUP(Table1[[#This Row],[PellTot]]/3,0),0)</f>
        <v>0</v>
      </c>
      <c r="CM164" s="250">
        <f>IFERROR(ROUND(Table1[[#This Row],[PellTot]]/3,0),0)</f>
        <v>0</v>
      </c>
      <c r="CN164" s="250">
        <f>IFERROR(ROUNDDOWN(Table1[[#This Row],[PellTot]]/3,0),0)</f>
        <v>0</v>
      </c>
      <c r="CO164" s="251">
        <f>IFERROR(LOOKUP(Table1[EFC],Pell_Table[#Data],Pell_Table[Pell Amt]),0)</f>
        <v>0</v>
      </c>
      <c r="CP164" s="250">
        <f>Table1[[#This Row],[AccessTot]]/3</f>
        <v>0</v>
      </c>
      <c r="CQ164" s="250">
        <f>Table1[[#This Row],[AccessTot]]/3</f>
        <v>0</v>
      </c>
      <c r="CR164" s="250">
        <f>Table1[[#This Row],[AccessTot]]/3</f>
        <v>0</v>
      </c>
      <c r="CS164" s="251">
        <f>IF(Table1[[#This Row],[PellTot]]&gt;0,1500,0)</f>
        <v>0</v>
      </c>
      <c r="CT164" s="250">
        <f>Table1[[#This Row],[AchiTot]]/3</f>
        <v>0</v>
      </c>
      <c r="CU164" s="250">
        <f>Table1[[#This Row],[AchiTot]]/3</f>
        <v>0</v>
      </c>
      <c r="CV164" s="250">
        <f>Table1[[#This Row],[AchiTot]]/3</f>
        <v>0</v>
      </c>
      <c r="CW164" s="252">
        <f>IF(Table1[[#This Row],[Rank]]="","",IF(Table1[[#This Row],[Rank]]=1,5100,IF(Table1[[#This Row],[Rank]]=2,4500,IF(Table1[[#This Row],[Rank]]=3,3900,IF(Table1[[#This Row],[Rank]]=4,3750,IF(Table1[[#This Row],[Rank]]=5,3000,IF(Table1[[#This Row],[Rank]]=6,2250,0)))))))</f>
        <v>0</v>
      </c>
      <c r="CX164" s="250">
        <f>Table1[[#This Row],[UTTot]]/3</f>
        <v>0</v>
      </c>
      <c r="CY164" s="250">
        <f>Table1[[#This Row],[UTTot]]/3</f>
        <v>0</v>
      </c>
      <c r="CZ164" s="250">
        <f>Table1[[#This Row],[UTTot]]/3</f>
        <v>0</v>
      </c>
      <c r="DA164" s="251">
        <f>IF(Table1[[#This Row],[State]]="UT",9000,0)</f>
        <v>0</v>
      </c>
      <c r="DB164" s="250">
        <f>Table1[[#This Row],[WITTot]]/3</f>
        <v>0</v>
      </c>
      <c r="DC164" s="250">
        <f>Table1[[#This Row],[WITTot]]/3</f>
        <v>0</v>
      </c>
      <c r="DD164" s="250">
        <f>Table1[[#This Row],[WITTot]]/3</f>
        <v>0</v>
      </c>
      <c r="DE164" s="251">
        <f>IF(Table1[[#This Row],[Gender]]="Female",3000,0)</f>
        <v>0</v>
      </c>
      <c r="DF164" s="250">
        <f>Table1[[#This Row],[SerTot]]/3</f>
        <v>0</v>
      </c>
      <c r="DG164" s="250">
        <f>Table1[[#This Row],[SerTot]]/3</f>
        <v>0</v>
      </c>
      <c r="DH164" s="250">
        <f>Table1[[#This Row],[SerTot]]/3</f>
        <v>0</v>
      </c>
      <c r="DI164" s="252"/>
      <c r="DJ164" s="250"/>
      <c r="DK164" s="250"/>
      <c r="DL164" s="250"/>
      <c r="DM164" s="252"/>
      <c r="DN164" s="250">
        <f>Table1[[#This Row],[MatTot]]/3</f>
        <v>0</v>
      </c>
      <c r="DO164" s="250">
        <f>Table1[[#This Row],[MatTot]]/3</f>
        <v>0</v>
      </c>
      <c r="DP164" s="250">
        <f>Table1[[#This Row],[MatTot]]/3</f>
        <v>0</v>
      </c>
      <c r="DQ164" s="252"/>
      <c r="DR164" s="253">
        <f>Table1[[#This Row],[OutTot]]/3</f>
        <v>0</v>
      </c>
      <c r="DS164" s="253">
        <f>Table1[[#This Row],[OutTot]]/3</f>
        <v>0</v>
      </c>
      <c r="DT164" s="253">
        <f>Table1[[#This Row],[OutTot]]/3</f>
        <v>0</v>
      </c>
      <c r="DU164" s="255">
        <v>0</v>
      </c>
      <c r="DV164" s="250"/>
      <c r="DW164" s="250"/>
      <c r="DX164" s="250"/>
      <c r="DY164" s="252">
        <f>SUM(Table1[[#This Row],[VAQ1]:[VAQ3]])</f>
        <v>0</v>
      </c>
      <c r="DZ164" s="256">
        <v>0</v>
      </c>
      <c r="EA164" s="256">
        <v>0</v>
      </c>
      <c r="EB164" s="256">
        <v>0</v>
      </c>
      <c r="EC164" s="279">
        <f>SUM(Table1[[#This Row],[OthGrantQ1]:[OthGrantQ3]])</f>
        <v>0</v>
      </c>
      <c r="ED164" s="263">
        <f>Table1[[#This Row],[SEOGTot]]+Table1[[#This Row],[PellTot]]+Table1[[#This Row],[AccessTot]]+Table1[[#This Row],[AchiTot]]+Table1[[#This Row],[UTTot]]+Table1[[#This Row],[WITTot]]+Table1[[#This Row],[SerTot]]+Table1[[#This Row],[TranTot]]+Table1[[#This Row],[MatTot]]+Table1[[#This Row],[OutTot]]+Table1[[#This Row],[VATot]]+Table1[[#This Row],[OthGrantTot]]</f>
        <v>0</v>
      </c>
      <c r="EE164" s="298">
        <v>0</v>
      </c>
      <c r="EF164" s="227">
        <v>0</v>
      </c>
      <c r="EG164" s="227">
        <v>0</v>
      </c>
      <c r="EH164" s="228">
        <f>SUM(Table1[[#This Row],[CashQ1]]:Table1[[#This Row],[CashQ3]])</f>
        <v>0</v>
      </c>
      <c r="EI164" s="229">
        <f>ROUND((Table1[[#This Row],[SubTot]]/3)/1.01059,0)</f>
        <v>1154</v>
      </c>
      <c r="EJ164" s="230">
        <f>ROUND((Table1[[#This Row],[SubTot]]/3)/1.01059,0)</f>
        <v>1154</v>
      </c>
      <c r="EK164" s="230">
        <f>ROUNDUP((Table1[[#This Row],[SubTot]]/3)/1.01059,0)</f>
        <v>1155</v>
      </c>
      <c r="EL164" s="231">
        <v>3500</v>
      </c>
      <c r="EM164" s="240">
        <f>Table1[[#This Row],[SubTot]]*0.01059</f>
        <v>37.065000000000005</v>
      </c>
      <c r="EN164" s="230">
        <f>ROUND((Table1[[#This Row],[UnsubTot]]/3)/1.01062,0)</f>
        <v>660</v>
      </c>
      <c r="EO164" s="230">
        <f>ROUND((Table1[[#This Row],[UnsubTot]]/3)/1.01062,0)</f>
        <v>660</v>
      </c>
      <c r="EP164" s="230">
        <f>ROUNDDOWN((Table1[[#This Row],[UnsubTot]]/3)/1.01062,0)</f>
        <v>659</v>
      </c>
      <c r="EQ164" s="231">
        <f>IF(Table1[D/I]="I",6000,2000)</f>
        <v>2000</v>
      </c>
      <c r="ER164" s="233">
        <f>Table1[[#This Row],[UnsubTot]]*0.01059</f>
        <v>21.18</v>
      </c>
      <c r="ES164" s="230">
        <f>ROUND((Table1[[#This Row],[PLUSTot]]/3)/1.04236,0)</f>
        <v>0</v>
      </c>
      <c r="ET164" s="230">
        <f>ROUND((Table1[[#This Row],[PLUSTot]]/3)/1.04236,0)</f>
        <v>0</v>
      </c>
      <c r="EU164" s="230">
        <f>ROUND((Table1[[#This Row],[PLUSTot]]/3)/1.04236,0)</f>
        <v>0</v>
      </c>
      <c r="EV164" s="231">
        <v>0</v>
      </c>
      <c r="EW164" s="239">
        <f>Table1[[#This Row],[PLUSTot]]*0.04248</f>
        <v>0</v>
      </c>
      <c r="EX164" s="237"/>
      <c r="EY164" s="237"/>
      <c r="EZ164" s="237"/>
      <c r="FA164" s="232">
        <f>SUM(Table1[[#This Row],[PrivQ1]:[PrivQ3]])</f>
        <v>0</v>
      </c>
      <c r="FB164" s="237"/>
      <c r="FC164" s="237"/>
      <c r="FD164" s="237"/>
      <c r="FE164" s="232">
        <f>SUM(Table1[[#This Row],[TOQ1]:[TOQ3]])</f>
        <v>0</v>
      </c>
      <c r="FF164" s="237"/>
      <c r="FG164" s="237"/>
      <c r="FH164" s="237"/>
      <c r="FI164" s="232">
        <f>SUM(Table1[[#This Row],[OFundQ1]:[OFundQ3]])</f>
        <v>0</v>
      </c>
      <c r="FJ164" s="239">
        <f>(Table1[[#This Row],[SubTot]]-Table1[[#This Row],[SubFee]])+(Table1[[#This Row],[UnsubTot]]-Table1[[#This Row],[UnsubFee]])+(Table1[[#This Row],[PLUSTot]]-Table1[[#This Row],[PLUSFee]])+Table1[[#This Row],[PrivTot]]+Table1[[#This Row],[TOTot]]+Table1[[#This Row],[OFundTot]]</f>
        <v>5441.7550000000001</v>
      </c>
      <c r="FK164" s="125">
        <f>Table1[[#This Row],[CostTot]]-Table1[[#This Row],[GiftTot]]</f>
        <v>39515</v>
      </c>
      <c r="FL164" s="130">
        <f>Table1[[#This Row],[NetNeed]]/(1-0.04248)</f>
        <v>35584.891177207784</v>
      </c>
      <c r="FM164" s="131">
        <f>Table1[[#This Row],[NetCost]]-Table1[[#This Row],[CashTot]]-(Table1[[#This Row],[SubTot]]-Table1[[#This Row],[SubFee]])-(Table1[[#This Row],[UnsubTot]]-Table1[[#This Row],[UnsubFee]])-(Table1[[#This Row],[PLUSTot]]-Table1[[#This Row],[PLUSFee]])-Table1[[#This Row],[PrivTot]]-Table1[[#This Row],[TOTot]]-Table1[[#This Row],[OFundTot]]</f>
        <v>34073.245000000003</v>
      </c>
      <c r="FN164" s="217"/>
      <c r="FO164" s="162"/>
      <c r="FP164" s="162"/>
    </row>
    <row r="165" spans="1:172" ht="15" x14ac:dyDescent="0.25">
      <c r="A165" s="281">
        <v>198623</v>
      </c>
      <c r="B165" s="113" t="str">
        <f>VLOOKUP(Table1[[#This Row],[SyStudentId]],SSR!$A$2:$CC$4982,4,FALSE)</f>
        <v>Taray</v>
      </c>
      <c r="C165" s="113" t="str">
        <f>VLOOKUP(Table1[[#This Row],[SyStudentId]],SSR!$A$2:$CC$4982,5,FALSE)</f>
        <v>Anthony</v>
      </c>
      <c r="D165" s="113" t="str">
        <f>VLOOKUP(Table1[[#This Row],[SyStudentId]],SSR!$A$2:$CC$4982,6,FALSE)</f>
        <v>Taray, Anthony</v>
      </c>
      <c r="E165" s="113" t="str">
        <f>CONCATENATE(Table1[[#This Row],[FirstName]]," ",Table1[[#This Row],[LastName]])</f>
        <v>Anthony Taray</v>
      </c>
      <c r="F165" s="112"/>
      <c r="G165" s="114"/>
      <c r="H165" s="114"/>
      <c r="I165" s="114"/>
      <c r="J165" s="115"/>
      <c r="K165" s="116"/>
      <c r="L165" s="112" t="str">
        <f>IFERROR(VLOOKUP(Table1[[#This Row],[SyStudentId]],ISIR!$A$2:$X$999,11,FALSE),"")</f>
        <v/>
      </c>
      <c r="M165" s="113" t="str">
        <f>VLOOKUP(Table1[[#This Row],[SyStudentId]],SSR!$A$2:$CC$4982,7,FALSE)</f>
        <v>tarayton000@student.prbschools.org</v>
      </c>
      <c r="N165" s="113" t="str">
        <f>VLOOKUP(Table1[[#This Row],[SyStudentId]],SSR!$A$2:$CC$4982,8,FALSE)</f>
        <v>9387 County Rd. 1</v>
      </c>
      <c r="O165" s="113" t="str">
        <f>VLOOKUP(Table1[[#This Row],[SyStudentId]],SSR!$A$2:$CC$4982,9,FALSE)</f>
        <v>Pine River</v>
      </c>
      <c r="P165" s="113" t="str">
        <f>VLOOKUP(Table1[[#This Row],[SyStudentId]],SSR!$A$2:$CC$4982,10,FALSE)</f>
        <v>MN</v>
      </c>
      <c r="Q165" s="117" t="str">
        <f>VLOOKUP(Table1[[#This Row],[SyStudentId]],SSR!$A$2:$CC$4982,11,FALSE)</f>
        <v xml:space="preserve">56474     </v>
      </c>
      <c r="R165" s="118">
        <f>VLOOKUP(Table1[[#This Row],[SyStudentId]],SSR!$A$2:$CC$4982,15,FALSE)</f>
        <v>3.82</v>
      </c>
      <c r="S165" s="119">
        <f>VLOOKUP(Table1[[#This Row],[SyStudentId]],SSR!$A$2:$CC$4982,22,FALSE)</f>
        <v>44109</v>
      </c>
      <c r="T165" s="113" t="str">
        <f>VLOOKUP(Table1[[#This Row],[SyStudentId]],SSR!$A$2:$CC$4982,24,FALSE)</f>
        <v>JT</v>
      </c>
      <c r="U165" s="113" t="str">
        <f>IF(VLOOKUP(Table1[[#This Row],[SyStudentId]],SSR!$A$2:$CC$4982,26,FALSE)=0,"Not Selected",VLOOKUP(Table1[[#This Row],[SyStudentId]],SSR!$A$2:$CC$4982,26,FALSE))</f>
        <v>Male</v>
      </c>
      <c r="V165" s="113" t="str">
        <f>VLOOKUP(Table1[[#This Row],[SyStudentId]],SSR!$A$2:$CC$4982,27,FALSE)</f>
        <v xml:space="preserve">HS2020  </v>
      </c>
      <c r="W165" s="113" t="str">
        <f>VLOOKUP(LEFT(Table1[[#This Row],[LastName]],1),Alpha!$A$1:$B$26,2,FALSE)</f>
        <v>Maureen Ranks</v>
      </c>
      <c r="X165" s="149" t="str">
        <f>VLOOKUP(Table1[[#This Row],[FAA]],Alpha!$B$1:$D$26,2,FALSE)</f>
        <v>mranks@neumont.edu</v>
      </c>
      <c r="Y165" s="113">
        <f>VLOOKUP(Table1[[#This Row],[FAA]],Alpha!$B$1:$D$26,3,FALSE)</f>
        <v>8883022894</v>
      </c>
      <c r="Z165" s="182" t="str">
        <f>VLOOKUP(Table1[[#This Row],[SyStudentId]],SSR!$A$2:$CC$4982,30,FALSE)</f>
        <v>16-Accepted</v>
      </c>
      <c r="AA165" s="113" t="str">
        <f>IF(VLOOKUP(Table1[[#This Row],[SyStudentId]],SSR!$A$2:$CC$4982,36,FALSE)="Bachelor of Science","BS Computer Science","Check Program")</f>
        <v>BS Computer Science</v>
      </c>
      <c r="AB165" s="113" t="str">
        <f>VLOOKUP(Table1[[#This Row],[SyStudentId]],SSR!$A$2:$CC$4982,37,FALSE)</f>
        <v xml:space="preserve">24      </v>
      </c>
      <c r="AC165" s="113">
        <f>VLOOKUP(Table1[[#This Row],[SyStudentId]],SSR!$A$2:$CC$4982,42,FALSE)</f>
        <v>0</v>
      </c>
      <c r="AD165" s="113" t="str">
        <f>VLOOKUP(Table1[[#This Row],[SyStudentId]],SSR!$A$2:$CC$4982,46,FALSE)</f>
        <v>117</v>
      </c>
      <c r="AE165" s="113" t="str">
        <f>VLOOKUP(Table1[[#This Row],[SyStudentId]],SSR!$A$2:$CC$4982,65,FALSE)</f>
        <v>I</v>
      </c>
      <c r="AF165"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65" s="113" t="str">
        <f>VLOOKUP(Table1[[#This Row],[SyStudentId]],SSR!$A$2:$CC$4982,66,FALSE)</f>
        <v>July-October</v>
      </c>
      <c r="AH165" s="113" t="str">
        <f>IFERROR(VLOOKUP(Table1[[#This Row],[SyStudentId]],ISIR!$A$2:$X$999,7,FALSE),"")</f>
        <v/>
      </c>
      <c r="AI165" s="121" t="str">
        <f>IF(Table1[[#This Row],[EFCRaw]]="","",IF(Table1[[#This Row],[EFCRaw]]="No EFC","No EFC",_xlfn.NUMBERVALUE(Table1[[#This Row],[EFCRaw]])))</f>
        <v/>
      </c>
      <c r="AJ165" s="119" t="str">
        <f>IFERROR(VLOOKUP(Table1[[#This Row],[SyStudentId]],ISIR!$A$2:$X$4999,19,FALSE),"")</f>
        <v/>
      </c>
      <c r="AK165" s="113" t="str">
        <f>IFERROR(VLOOKUP(Table1[[#This Row],[SyStudentId]],ISIR!$A$2:$X$4999,8,FALSE),"")</f>
        <v/>
      </c>
      <c r="AL165" s="132" t="str">
        <f>IF(Table1[[#This Row],[VerReq]]="N","n/a","")</f>
        <v/>
      </c>
      <c r="AM165" s="122"/>
      <c r="AN165" s="122"/>
      <c r="AO165" s="122"/>
      <c r="AP165" s="122"/>
      <c r="AQ165" s="122"/>
      <c r="AR165" s="122"/>
      <c r="AS165" s="122"/>
      <c r="AT165" s="122"/>
      <c r="AU165" s="122"/>
      <c r="AV165" s="122"/>
      <c r="AW165" s="122"/>
      <c r="AX165" s="122"/>
      <c r="AY165" s="122"/>
      <c r="AZ165" s="122"/>
      <c r="BA165" s="122"/>
      <c r="BB165" s="122"/>
      <c r="BC165" s="148"/>
      <c r="BD165" s="140" t="str">
        <f>IF(Table1[[#This Row],[VerReq]]="N","x","")</f>
        <v/>
      </c>
      <c r="BE165" s="140" t="str">
        <f>IF(Table1[[#This Row],[VerReq]]="N","x","")</f>
        <v/>
      </c>
      <c r="BF165" s="140" t="str">
        <f>IF(Table1[[#This Row],[VerReq]]="N","x","")</f>
        <v/>
      </c>
      <c r="BG165" s="140" t="str">
        <f>IF(Table1[[#This Row],[VerReq]]="N","x","")</f>
        <v/>
      </c>
      <c r="BH165" s="140" t="str">
        <f>IF(Table1[[#This Row],[VerReq]]="N","x","")</f>
        <v/>
      </c>
      <c r="BI165" s="140" t="str">
        <f>IF(Table1[[#This Row],[VerReq]]="N","x","")</f>
        <v/>
      </c>
      <c r="BJ165" s="123">
        <f>1-((COUNTBLANK(Table1[[#This Row],[ALESent]:[TaxTran]]))/(COUNT(Table1[[#This Row],[ALESent]:[TaxTran]])+COUNTBLANK(Table1[[#This Row],[ALESent]:[TaxTran]])))</f>
        <v>0</v>
      </c>
      <c r="BK165" s="150">
        <f>IF(VLOOKUP(Table1[[#This Row],[SyStudentId]],SSR!$A$2:$CC$4982,22,FALSE)=44109,44109,"Check Program")</f>
        <v>44109</v>
      </c>
      <c r="BL165" s="150">
        <f>IF(Table1[[#This Row],[AYStart]]=44109,44356,"Check Program")</f>
        <v>44356</v>
      </c>
      <c r="BM165" s="219">
        <v>8505</v>
      </c>
      <c r="BN165" s="219">
        <v>8505</v>
      </c>
      <c r="BO165" s="219">
        <v>8505</v>
      </c>
      <c r="BP165" s="220">
        <f t="shared" si="6"/>
        <v>25515</v>
      </c>
      <c r="BQ165" s="221">
        <v>3300</v>
      </c>
      <c r="BR165" s="219">
        <v>400</v>
      </c>
      <c r="BS165" s="219">
        <v>400</v>
      </c>
      <c r="BT165" s="220">
        <f t="shared" si="7"/>
        <v>4100</v>
      </c>
      <c r="BU165" s="219">
        <v>2100</v>
      </c>
      <c r="BV165" s="219">
        <v>2100</v>
      </c>
      <c r="BW165" s="219">
        <v>2100</v>
      </c>
      <c r="BX165" s="222">
        <f t="shared" si="8"/>
        <v>6300</v>
      </c>
      <c r="BY165" s="275">
        <v>1200</v>
      </c>
      <c r="BZ165" s="275">
        <v>1200</v>
      </c>
      <c r="CA165" s="275">
        <v>1200</v>
      </c>
      <c r="CB165" s="222">
        <f>SUM(Table1[[#This Row],[LEQ1]:[LEQ3]])</f>
        <v>3600</v>
      </c>
      <c r="CC165" s="276">
        <v>0</v>
      </c>
      <c r="CD165" s="276">
        <v>0</v>
      </c>
      <c r="CE165" s="276">
        <v>0</v>
      </c>
      <c r="CF165" s="222">
        <f>SUM(Table1[[#This Row],[OthCostQ1]:[OthCostQ3]])</f>
        <v>0</v>
      </c>
      <c r="CG165" s="220">
        <f>(Table1[[#This Row],[T&amp;FTot]]+Table1[[#This Row],[B&amp;STot]]+Table1[[#This Row],[HousTot]]+Table1[[#This Row],[LETot]]+Table1[[#This Row],[OthCostTot]])</f>
        <v>39515</v>
      </c>
      <c r="CH165" s="250"/>
      <c r="CI165" s="250"/>
      <c r="CJ165" s="250"/>
      <c r="CK165" s="251">
        <f>SUM(Table1[[#This Row],[SEOGQ1]:[SEOGQ3]])</f>
        <v>0</v>
      </c>
      <c r="CL165" s="250">
        <f>IFERROR(ROUNDUP(Table1[[#This Row],[PellTot]]/3,0),0)</f>
        <v>0</v>
      </c>
      <c r="CM165" s="250">
        <f>IFERROR(ROUND(Table1[[#This Row],[PellTot]]/3,0),0)</f>
        <v>0</v>
      </c>
      <c r="CN165" s="250">
        <f>IFERROR(ROUNDDOWN(Table1[[#This Row],[PellTot]]/3,0),0)</f>
        <v>0</v>
      </c>
      <c r="CO165" s="251">
        <f>IFERROR(LOOKUP(Table1[EFC],Pell_Table[#Data],Pell_Table[Pell Amt]),0)</f>
        <v>0</v>
      </c>
      <c r="CP165" s="250">
        <f>Table1[[#This Row],[AccessTot]]/3</f>
        <v>0</v>
      </c>
      <c r="CQ165" s="250">
        <f>Table1[[#This Row],[AccessTot]]/3</f>
        <v>0</v>
      </c>
      <c r="CR165" s="250">
        <f>Table1[[#This Row],[AccessTot]]/3</f>
        <v>0</v>
      </c>
      <c r="CS165" s="251">
        <f>IF(Table1[[#This Row],[PellTot]]&gt;0,1500,0)</f>
        <v>0</v>
      </c>
      <c r="CT165" s="250">
        <f>Table1[[#This Row],[AchiTot]]/3</f>
        <v>1700</v>
      </c>
      <c r="CU165" s="250">
        <f>Table1[[#This Row],[AchiTot]]/3</f>
        <v>1700</v>
      </c>
      <c r="CV165" s="250">
        <f>Table1[[#This Row],[AchiTot]]/3</f>
        <v>1700</v>
      </c>
      <c r="CW165" s="252">
        <f>IF(Table1[[#This Row],[Rank]]="","",IF(Table1[[#This Row],[Rank]]=1,5100,IF(Table1[[#This Row],[Rank]]=2,4500,IF(Table1[[#This Row],[Rank]]=3,3900,IF(Table1[[#This Row],[Rank]]=4,3750,IF(Table1[[#This Row],[Rank]]=5,3000,IF(Table1[[#This Row],[Rank]]=6,2250,0)))))))</f>
        <v>5100</v>
      </c>
      <c r="CX165" s="250">
        <f>Table1[[#This Row],[UTTot]]/3</f>
        <v>0</v>
      </c>
      <c r="CY165" s="250">
        <f>Table1[[#This Row],[UTTot]]/3</f>
        <v>0</v>
      </c>
      <c r="CZ165" s="250">
        <f>Table1[[#This Row],[UTTot]]/3</f>
        <v>0</v>
      </c>
      <c r="DA165" s="251">
        <f>IF(Table1[[#This Row],[State]]="UT",9000,0)</f>
        <v>0</v>
      </c>
      <c r="DB165" s="250">
        <f>Table1[[#This Row],[WITTot]]/3</f>
        <v>0</v>
      </c>
      <c r="DC165" s="250">
        <f>Table1[[#This Row],[WITTot]]/3</f>
        <v>0</v>
      </c>
      <c r="DD165" s="250">
        <f>Table1[[#This Row],[WITTot]]/3</f>
        <v>0</v>
      </c>
      <c r="DE165" s="251">
        <f>IF(Table1[[#This Row],[Gender]]="Female",3000,0)</f>
        <v>0</v>
      </c>
      <c r="DF165" s="250">
        <f>Table1[[#This Row],[SerTot]]/3</f>
        <v>0</v>
      </c>
      <c r="DG165" s="250">
        <f>Table1[[#This Row],[SerTot]]/3</f>
        <v>0</v>
      </c>
      <c r="DH165" s="250">
        <f>Table1[[#This Row],[SerTot]]/3</f>
        <v>0</v>
      </c>
      <c r="DI165" s="252"/>
      <c r="DJ165" s="250"/>
      <c r="DK165" s="250"/>
      <c r="DL165" s="250"/>
      <c r="DM165" s="252"/>
      <c r="DN165" s="250">
        <f>Table1[[#This Row],[MatTot]]/3</f>
        <v>0</v>
      </c>
      <c r="DO165" s="250">
        <f>Table1[[#This Row],[MatTot]]/3</f>
        <v>0</v>
      </c>
      <c r="DP165" s="250">
        <f>Table1[[#This Row],[MatTot]]/3</f>
        <v>0</v>
      </c>
      <c r="DQ165" s="252"/>
      <c r="DR165" s="253">
        <f>Table1[[#This Row],[OutTot]]/3</f>
        <v>0</v>
      </c>
      <c r="DS165" s="253">
        <f>Table1[[#This Row],[OutTot]]/3</f>
        <v>0</v>
      </c>
      <c r="DT165" s="253">
        <f>Table1[[#This Row],[OutTot]]/3</f>
        <v>0</v>
      </c>
      <c r="DU165" s="255">
        <v>0</v>
      </c>
      <c r="DV165" s="250"/>
      <c r="DW165" s="250"/>
      <c r="DX165" s="250"/>
      <c r="DY165" s="252">
        <f>SUM(Table1[[#This Row],[VAQ1]:[VAQ3]])</f>
        <v>0</v>
      </c>
      <c r="DZ165" s="253">
        <v>0</v>
      </c>
      <c r="EA165" s="253">
        <v>0</v>
      </c>
      <c r="EB165" s="253">
        <v>0</v>
      </c>
      <c r="EC165" s="278">
        <f>SUM(Table1[[#This Row],[OthGrantQ1]:[OthGrantQ3]])</f>
        <v>0</v>
      </c>
      <c r="ED165" s="263">
        <f>Table1[[#This Row],[SEOGTot]]+Table1[[#This Row],[PellTot]]+Table1[[#This Row],[AccessTot]]+Table1[[#This Row],[AchiTot]]+Table1[[#This Row],[UTTot]]+Table1[[#This Row],[WITTot]]+Table1[[#This Row],[SerTot]]+Table1[[#This Row],[TranTot]]+Table1[[#This Row],[MatTot]]+Table1[[#This Row],[OutTot]]+Table1[[#This Row],[VATot]]+Table1[[#This Row],[OthGrantTot]]</f>
        <v>5100</v>
      </c>
      <c r="EE165" s="298">
        <v>0</v>
      </c>
      <c r="EF165" s="227">
        <v>0</v>
      </c>
      <c r="EG165" s="227">
        <v>0</v>
      </c>
      <c r="EH165" s="228">
        <f>SUM(Table1[[#This Row],[CashQ1]]:Table1[[#This Row],[CashQ3]])</f>
        <v>0</v>
      </c>
      <c r="EI165" s="229">
        <f>ROUND((Table1[[#This Row],[SubTot]]/3)/1.01059,0)</f>
        <v>1154</v>
      </c>
      <c r="EJ165" s="230">
        <f>ROUND((Table1[[#This Row],[SubTot]]/3)/1.01059,0)</f>
        <v>1154</v>
      </c>
      <c r="EK165" s="230">
        <f>ROUNDUP((Table1[[#This Row],[SubTot]]/3)/1.01059,0)</f>
        <v>1155</v>
      </c>
      <c r="EL165" s="231">
        <v>3500</v>
      </c>
      <c r="EM165" s="240">
        <f>Table1[[#This Row],[SubTot]]*0.01059</f>
        <v>37.065000000000005</v>
      </c>
      <c r="EN165" s="230">
        <f>ROUND((Table1[[#This Row],[UnsubTot]]/3)/1.01062,0)</f>
        <v>660</v>
      </c>
      <c r="EO165" s="230">
        <f>ROUND((Table1[[#This Row],[UnsubTot]]/3)/1.01062,0)</f>
        <v>660</v>
      </c>
      <c r="EP165" s="230">
        <f>ROUNDDOWN((Table1[[#This Row],[UnsubTot]]/3)/1.01062,0)</f>
        <v>659</v>
      </c>
      <c r="EQ165" s="231">
        <f>IF(Table1[D/I]="I",6000,2000)</f>
        <v>2000</v>
      </c>
      <c r="ER165" s="233">
        <f>Table1[[#This Row],[UnsubTot]]*0.01059</f>
        <v>21.18</v>
      </c>
      <c r="ES165" s="230">
        <f>ROUND((Table1[[#This Row],[PLUSTot]]/3)/1.04236,0)</f>
        <v>0</v>
      </c>
      <c r="ET165" s="230">
        <f>ROUND((Table1[[#This Row],[PLUSTot]]/3)/1.04236,0)</f>
        <v>0</v>
      </c>
      <c r="EU165" s="230">
        <f>ROUND((Table1[[#This Row],[PLUSTot]]/3)/1.04236,0)</f>
        <v>0</v>
      </c>
      <c r="EV165" s="231">
        <v>0</v>
      </c>
      <c r="EW165" s="239">
        <f>Table1[[#This Row],[PLUSTot]]*0.04248</f>
        <v>0</v>
      </c>
      <c r="EX165" s="237"/>
      <c r="EY165" s="237"/>
      <c r="EZ165" s="237"/>
      <c r="FA165" s="232">
        <f>SUM(Table1[[#This Row],[PrivQ1]:[PrivQ3]])</f>
        <v>0</v>
      </c>
      <c r="FB165" s="237"/>
      <c r="FC165" s="237"/>
      <c r="FD165" s="237"/>
      <c r="FE165" s="232">
        <f>SUM(Table1[[#This Row],[TOQ1]:[TOQ3]])</f>
        <v>0</v>
      </c>
      <c r="FF165" s="237"/>
      <c r="FG165" s="237"/>
      <c r="FH165" s="237"/>
      <c r="FI165" s="232">
        <f>SUM(Table1[[#This Row],[OFundQ1]:[OFundQ3]])</f>
        <v>0</v>
      </c>
      <c r="FJ165" s="239">
        <f>(Table1[[#This Row],[SubTot]]-Table1[[#This Row],[SubFee]])+(Table1[[#This Row],[UnsubTot]]-Table1[[#This Row],[UnsubFee]])+(Table1[[#This Row],[PLUSTot]]-Table1[[#This Row],[PLUSFee]])+Table1[[#This Row],[PrivTot]]+Table1[[#This Row],[TOTot]]+Table1[[#This Row],[OFundTot]]</f>
        <v>5441.7550000000001</v>
      </c>
      <c r="FK165" s="125">
        <f>Table1[[#This Row],[CostTot]]-Table1[[#This Row],[GiftTot]]</f>
        <v>34415</v>
      </c>
      <c r="FL165" s="130">
        <f>Table1[[#This Row],[NetNeed]]/(1-0.04248)</f>
        <v>30258.631673489846</v>
      </c>
      <c r="FM165" s="131">
        <f>Table1[[#This Row],[NetCost]]-Table1[[#This Row],[CashTot]]-(Table1[[#This Row],[SubTot]]-Table1[[#This Row],[SubFee]])-(Table1[[#This Row],[UnsubTot]]-Table1[[#This Row],[UnsubFee]])-(Table1[[#This Row],[PLUSTot]]-Table1[[#This Row],[PLUSFee]])-Table1[[#This Row],[PrivTot]]-Table1[[#This Row],[TOTot]]-Table1[[#This Row],[OFundTot]]</f>
        <v>28973.244999999999</v>
      </c>
      <c r="FN165" s="217"/>
      <c r="FO165" s="162"/>
      <c r="FP165" s="162"/>
    </row>
    <row r="166" spans="1:172" ht="15" x14ac:dyDescent="0.25">
      <c r="A166" s="309">
        <v>198522</v>
      </c>
      <c r="B166" s="113" t="str">
        <f>VLOOKUP(Table1[[#This Row],[SyStudentId]],SSR!$A$2:$CC$4982,4,FALSE)</f>
        <v>Taylor</v>
      </c>
      <c r="C166" s="113" t="str">
        <f>VLOOKUP(Table1[[#This Row],[SyStudentId]],SSR!$A$2:$CC$4982,5,FALSE)</f>
        <v>Cassidy</v>
      </c>
      <c r="D166" s="113" t="str">
        <f>VLOOKUP(Table1[[#This Row],[SyStudentId]],SSR!$A$2:$CC$4982,6,FALSE)</f>
        <v>Taylor, Cassidy</v>
      </c>
      <c r="E166" s="113" t="str">
        <f>CONCATENATE(Table1[[#This Row],[FirstName]]," ",Table1[[#This Row],[LastName]])</f>
        <v>Cassidy Taylor</v>
      </c>
      <c r="F166" s="112"/>
      <c r="G166" s="114"/>
      <c r="H166" s="114"/>
      <c r="I166" s="114"/>
      <c r="J166" s="115"/>
      <c r="K166" s="116"/>
      <c r="L166" s="112" t="str">
        <f>IFERROR(VLOOKUP(Table1[[#This Row],[SyStudentId]],ISIR!$A$2:$X$999,11,FALSE),"")</f>
        <v/>
      </c>
      <c r="M166" s="113" t="str">
        <f>VLOOKUP(Table1[[#This Row],[SyStudentId]],SSR!$A$2:$CC$4982,7,FALSE)</f>
        <v>cassidy.taylor696@gaston.k12.nc.us</v>
      </c>
      <c r="N166" s="113" t="str">
        <f>VLOOKUP(Table1[[#This Row],[SyStudentId]],SSR!$A$2:$CC$4982,8,FALSE)</f>
        <v>22 Bowen Drive</v>
      </c>
      <c r="O166" s="113" t="str">
        <f>VLOOKUP(Table1[[#This Row],[SyStudentId]],SSR!$A$2:$CC$4982,9,FALSE)</f>
        <v>Belmont</v>
      </c>
      <c r="P166" s="303" t="str">
        <f>VLOOKUP(Table1[[#This Row],[SyStudentId]],SSR!$A$2:$CC$4982,10,FALSE)</f>
        <v>NC</v>
      </c>
      <c r="Q166" s="117" t="str">
        <f>VLOOKUP(Table1[[#This Row],[SyStudentId]],SSR!$A$2:$CC$4982,11,FALSE)</f>
        <v xml:space="preserve">28012     </v>
      </c>
      <c r="R166" s="118">
        <f>VLOOKUP(Table1[[#This Row],[SyStudentId]],SSR!$A$2:$CC$4982,15,FALSE)</f>
        <v>3.8</v>
      </c>
      <c r="S166" s="119">
        <f>VLOOKUP(Table1[[#This Row],[SyStudentId]],SSR!$A$2:$CC$4982,22,FALSE)</f>
        <v>44109</v>
      </c>
      <c r="T166" s="113" t="str">
        <f>VLOOKUP(Table1[[#This Row],[SyStudentId]],SSR!$A$2:$CC$4982,24,FALSE)</f>
        <v>GM</v>
      </c>
      <c r="U166" s="113" t="str">
        <f>IF(VLOOKUP(Table1[[#This Row],[SyStudentId]],SSR!$A$2:$CC$4982,26,FALSE)=0,"Not Selected",VLOOKUP(Table1[[#This Row],[SyStudentId]],SSR!$A$2:$CC$4982,26,FALSE))</f>
        <v>Female</v>
      </c>
      <c r="V166" s="113" t="str">
        <f>VLOOKUP(Table1[[#This Row],[SyStudentId]],SSR!$A$2:$CC$4982,27,FALSE)</f>
        <v xml:space="preserve">HS2020  </v>
      </c>
      <c r="W166" s="113" t="str">
        <f>VLOOKUP(LEFT(Table1[[#This Row],[LastName]],1),Alpha!$A$1:$B$26,2,FALSE)</f>
        <v>Maureen Ranks</v>
      </c>
      <c r="X166" s="149" t="str">
        <f>VLOOKUP(Table1[[#This Row],[FAA]],Alpha!$B$1:$D$26,2,FALSE)</f>
        <v>mranks@neumont.edu</v>
      </c>
      <c r="Y166" s="113">
        <f>VLOOKUP(Table1[[#This Row],[FAA]],Alpha!$B$1:$D$26,3,FALSE)</f>
        <v>8883022894</v>
      </c>
      <c r="Z166" s="113" t="str">
        <f>VLOOKUP(Table1[[#This Row],[SyStudentId]],SSR!$A$2:$CC$4982,30,FALSE)</f>
        <v>16-Accepted</v>
      </c>
      <c r="AA166" s="113" t="str">
        <f>IF(VLOOKUP(Table1[[#This Row],[SyStudentId]],SSR!$A$2:$CC$4982,36,FALSE)="Bachelor of Science","BS Computer Science","Check Program")</f>
        <v>BS Computer Science</v>
      </c>
      <c r="AB166" s="113">
        <f>VLOOKUP(Table1[[#This Row],[SyStudentId]],SSR!$A$2:$CC$4982,37,FALSE)</f>
        <v>0</v>
      </c>
      <c r="AC166" s="113">
        <f>VLOOKUP(Table1[[#This Row],[SyStudentId]],SSR!$A$2:$CC$4982,42,FALSE)</f>
        <v>0</v>
      </c>
      <c r="AD166" s="113" t="str">
        <f>VLOOKUP(Table1[[#This Row],[SyStudentId]],SSR!$A$2:$CC$4982,46,FALSE)</f>
        <v>0</v>
      </c>
      <c r="AE166" s="113" t="str">
        <f>VLOOKUP(Table1[[#This Row],[SyStudentId]],SSR!$A$2:$CC$4982,65,FALSE)</f>
        <v>VI</v>
      </c>
      <c r="AF166"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6</v>
      </c>
      <c r="AG166" s="113" t="str">
        <f>VLOOKUP(Table1[[#This Row],[SyStudentId]],SSR!$A$2:$CC$4982,66,FALSE)</f>
        <v>October</v>
      </c>
      <c r="AH166" s="113" t="str">
        <f>IFERROR(VLOOKUP(Table1[[#This Row],[SyStudentId]],ISIR!$A$2:$X$999,7,FALSE),"")</f>
        <v/>
      </c>
      <c r="AI166" s="121" t="str">
        <f>IF(Table1[[#This Row],[EFCRaw]]="","",IF(Table1[[#This Row],[EFCRaw]]="No EFC","No EFC",_xlfn.NUMBERVALUE(Table1[[#This Row],[EFCRaw]])))</f>
        <v/>
      </c>
      <c r="AJ166" s="119" t="str">
        <f>IFERROR(VLOOKUP(Table1[[#This Row],[SyStudentId]],ISIR!$A$2:$X$4999,19,FALSE),"")</f>
        <v/>
      </c>
      <c r="AK166" s="113" t="str">
        <f>IFERROR(VLOOKUP(Table1[[#This Row],[SyStudentId]],ISIR!$A$2:$X$4999,8,FALSE),"")</f>
        <v/>
      </c>
      <c r="AL166" s="132" t="str">
        <f>IF(Table1[[#This Row],[VerReq]]="N","n/a","")</f>
        <v/>
      </c>
      <c r="AM166" s="122"/>
      <c r="AN166" s="122"/>
      <c r="AO166" s="122"/>
      <c r="AP166" s="122"/>
      <c r="AQ166" s="122"/>
      <c r="AR166" s="122"/>
      <c r="AS166" s="122"/>
      <c r="AT166" s="122"/>
      <c r="AU166" s="122"/>
      <c r="AV166" s="122"/>
      <c r="AW166" s="122"/>
      <c r="AX166" s="122"/>
      <c r="AY166" s="122"/>
      <c r="AZ166" s="122"/>
      <c r="BA166" s="122"/>
      <c r="BB166" s="122"/>
      <c r="BC166" s="148"/>
      <c r="BD166" s="140" t="str">
        <f>IF(Table1[[#This Row],[VerReq]]="N","x","")</f>
        <v/>
      </c>
      <c r="BE166" s="140" t="str">
        <f>IF(Table1[[#This Row],[VerReq]]="N","x","")</f>
        <v/>
      </c>
      <c r="BF166" s="140" t="str">
        <f>IF(Table1[[#This Row],[VerReq]]="N","x","")</f>
        <v/>
      </c>
      <c r="BG166" s="140" t="str">
        <f>IF(Table1[[#This Row],[VerReq]]="N","x","")</f>
        <v/>
      </c>
      <c r="BH166" s="140" t="str">
        <f>IF(Table1[[#This Row],[VerReq]]="N","x","")</f>
        <v/>
      </c>
      <c r="BI166" s="140" t="str">
        <f>IF(Table1[[#This Row],[VerReq]]="N","x","")</f>
        <v/>
      </c>
      <c r="BJ166" s="123">
        <f>1-((COUNTBLANK(Table1[[#This Row],[ALESent]:[TaxTran]]))/(COUNT(Table1[[#This Row],[ALESent]:[TaxTran]])+COUNTBLANK(Table1[[#This Row],[ALESent]:[TaxTran]])))</f>
        <v>0</v>
      </c>
      <c r="BK166" s="150">
        <f>IF(VLOOKUP(Table1[[#This Row],[SyStudentId]],SSR!$A$2:$CC$4982,22,FALSE)=44109,44109,"Check Program")</f>
        <v>44109</v>
      </c>
      <c r="BL166" s="150">
        <f>IF(Table1[[#This Row],[AYStart]]=44109,44356,"Check Program")</f>
        <v>44356</v>
      </c>
      <c r="BM166" s="219">
        <v>8505</v>
      </c>
      <c r="BN166" s="219">
        <v>8505</v>
      </c>
      <c r="BO166" s="219">
        <v>8505</v>
      </c>
      <c r="BP166" s="220">
        <f t="shared" si="6"/>
        <v>25515</v>
      </c>
      <c r="BQ166" s="221">
        <v>3300</v>
      </c>
      <c r="BR166" s="219">
        <v>400</v>
      </c>
      <c r="BS166" s="219">
        <v>400</v>
      </c>
      <c r="BT166" s="220">
        <f t="shared" si="7"/>
        <v>4100</v>
      </c>
      <c r="BU166" s="219">
        <v>2100</v>
      </c>
      <c r="BV166" s="219">
        <v>2100</v>
      </c>
      <c r="BW166" s="219">
        <v>2100</v>
      </c>
      <c r="BX166" s="220">
        <f t="shared" si="8"/>
        <v>6300</v>
      </c>
      <c r="BY166" s="275">
        <v>1200</v>
      </c>
      <c r="BZ166" s="275">
        <v>1200</v>
      </c>
      <c r="CA166" s="275">
        <v>1200</v>
      </c>
      <c r="CB166" s="220">
        <f>SUM(Table1[[#This Row],[LEQ1]:[LEQ3]])</f>
        <v>3600</v>
      </c>
      <c r="CC166" s="269"/>
      <c r="CD166" s="269"/>
      <c r="CE166" s="269"/>
      <c r="CF166" s="220">
        <f>SUM(Table1[[#This Row],[OthCostQ1]:[OthCostQ3]])</f>
        <v>0</v>
      </c>
      <c r="CG166" s="220">
        <f>(Table1[[#This Row],[T&amp;FTot]]+Table1[[#This Row],[B&amp;STot]]+Table1[[#This Row],[HousTot]]+Table1[[#This Row],[LETot]]+Table1[[#This Row],[OthCostTot]])</f>
        <v>39515</v>
      </c>
      <c r="CH166" s="250"/>
      <c r="CI166" s="250"/>
      <c r="CJ166" s="250"/>
      <c r="CK166" s="251">
        <f>SUM(Table1[[#This Row],[SEOGQ1]:[SEOGQ3]])</f>
        <v>0</v>
      </c>
      <c r="CL166" s="250">
        <f>IFERROR(ROUNDUP(Table1[[#This Row],[PellTot]]/3,0),0)</f>
        <v>0</v>
      </c>
      <c r="CM166" s="250">
        <f>IFERROR(ROUND(Table1[[#This Row],[PellTot]]/3,0),0)</f>
        <v>0</v>
      </c>
      <c r="CN166" s="250">
        <f>IFERROR(ROUNDDOWN(Table1[[#This Row],[PellTot]]/3,0),0)</f>
        <v>0</v>
      </c>
      <c r="CO166" s="251">
        <f>IFERROR(LOOKUP(Table1[EFC],Pell_Table[#Data],Pell_Table[Pell Amt]),0)</f>
        <v>0</v>
      </c>
      <c r="CP166" s="250">
        <f>Table1[[#This Row],[AccessTot]]/3</f>
        <v>0</v>
      </c>
      <c r="CQ166" s="250">
        <f>Table1[[#This Row],[AccessTot]]/3</f>
        <v>0</v>
      </c>
      <c r="CR166" s="250">
        <f>Table1[[#This Row],[AccessTot]]/3</f>
        <v>0</v>
      </c>
      <c r="CS166" s="251">
        <f>IF(Table1[[#This Row],[PellTot]]&gt;0,1500,0)</f>
        <v>0</v>
      </c>
      <c r="CT166" s="250">
        <f>Table1[[#This Row],[AchiTot]]/3</f>
        <v>750</v>
      </c>
      <c r="CU166" s="250">
        <f>Table1[[#This Row],[AchiTot]]/3</f>
        <v>750</v>
      </c>
      <c r="CV166" s="250">
        <f>Table1[[#This Row],[AchiTot]]/3</f>
        <v>750</v>
      </c>
      <c r="CW166" s="252">
        <f>IF(Table1[[#This Row],[Rank]]="","",IF(Table1[[#This Row],[Rank]]=1,5100,IF(Table1[[#This Row],[Rank]]=2,4500,IF(Table1[[#This Row],[Rank]]=3,3900,IF(Table1[[#This Row],[Rank]]=4,3750,IF(Table1[[#This Row],[Rank]]=5,3000,IF(Table1[[#This Row],[Rank]]=6,2250,0)))))))</f>
        <v>2250</v>
      </c>
      <c r="CX166" s="250">
        <f>Table1[[#This Row],[UTTot]]/3</f>
        <v>0</v>
      </c>
      <c r="CY166" s="250">
        <f>Table1[[#This Row],[UTTot]]/3</f>
        <v>0</v>
      </c>
      <c r="CZ166" s="250">
        <f>Table1[[#This Row],[UTTot]]/3</f>
        <v>0</v>
      </c>
      <c r="DA166" s="251">
        <f>IF(Table1[[#This Row],[State]]="UT",9000,0)</f>
        <v>0</v>
      </c>
      <c r="DB166" s="250">
        <f>Table1[[#This Row],[WITTot]]/3</f>
        <v>1000</v>
      </c>
      <c r="DC166" s="250">
        <f>Table1[[#This Row],[WITTot]]/3</f>
        <v>1000</v>
      </c>
      <c r="DD166" s="250">
        <f>Table1[[#This Row],[WITTot]]/3</f>
        <v>1000</v>
      </c>
      <c r="DE166" s="251">
        <f>IF(Table1[[#This Row],[Gender]]="Female",3000,0)</f>
        <v>3000</v>
      </c>
      <c r="DF166" s="250">
        <f>Table1[[#This Row],[SerTot]]/3</f>
        <v>0</v>
      </c>
      <c r="DG166" s="250">
        <f>Table1[[#This Row],[SerTot]]/3</f>
        <v>0</v>
      </c>
      <c r="DH166" s="250">
        <f>Table1[[#This Row],[SerTot]]/3</f>
        <v>0</v>
      </c>
      <c r="DI166" s="252"/>
      <c r="DJ166" s="250"/>
      <c r="DK166" s="250"/>
      <c r="DL166" s="250"/>
      <c r="DM166" s="252"/>
      <c r="DN166" s="250">
        <f>Table1[[#This Row],[MatTot]]/3</f>
        <v>0</v>
      </c>
      <c r="DO166" s="250">
        <f>Table1[[#This Row],[MatTot]]/3</f>
        <v>0</v>
      </c>
      <c r="DP166" s="250">
        <f>Table1[[#This Row],[MatTot]]/3</f>
        <v>0</v>
      </c>
      <c r="DQ166" s="252"/>
      <c r="DR166" s="250">
        <f>Table1[[#This Row],[OutTot]]/3</f>
        <v>0</v>
      </c>
      <c r="DS166" s="250">
        <f>Table1[[#This Row],[OutTot]]/3</f>
        <v>0</v>
      </c>
      <c r="DT166" s="250">
        <f>Table1[[#This Row],[OutTot]]/3</f>
        <v>0</v>
      </c>
      <c r="DU166" s="252"/>
      <c r="DV166" s="250"/>
      <c r="DW166" s="250"/>
      <c r="DX166" s="250"/>
      <c r="DY166" s="252">
        <f>SUM(Table1[[#This Row],[VAQ1]:[VAQ3]])</f>
        <v>0</v>
      </c>
      <c r="DZ166" s="250"/>
      <c r="EA166" s="250"/>
      <c r="EB166" s="250"/>
      <c r="EC166" s="270">
        <f>SUM(Table1[[#This Row],[OthGrantQ1]:[OthGrantQ3]])</f>
        <v>0</v>
      </c>
      <c r="ED166" s="263">
        <f>Table1[[#This Row],[SEOGTot]]+Table1[[#This Row],[PellTot]]+Table1[[#This Row],[AccessTot]]+Table1[[#This Row],[AchiTot]]+Table1[[#This Row],[UTTot]]+Table1[[#This Row],[WITTot]]+Table1[[#This Row],[SerTot]]+Table1[[#This Row],[TranTot]]+Table1[[#This Row],[MatTot]]+Table1[[#This Row],[OutTot]]+Table1[[#This Row],[VATot]]+Table1[[#This Row],[OthGrantTot]]</f>
        <v>5250</v>
      </c>
      <c r="EE166" s="282"/>
      <c r="EF166" s="237"/>
      <c r="EG166" s="237"/>
      <c r="EH166" s="232">
        <f>SUM(Table1[[#This Row],[CashQ1]]:Table1[[#This Row],[CashQ3]])</f>
        <v>0</v>
      </c>
      <c r="EI166" s="271">
        <f>ROUND((Table1[[#This Row],[SubTot]]/3)/1.01059,0)</f>
        <v>0</v>
      </c>
      <c r="EJ166" s="234">
        <f>ROUND((Table1[[#This Row],[SubTot]]/3)/1.01059,0)</f>
        <v>0</v>
      </c>
      <c r="EK166" s="234">
        <f>ROUNDUP((Table1[[#This Row],[SubTot]]/3)/1.01059,0)</f>
        <v>0</v>
      </c>
      <c r="EL166" s="235"/>
      <c r="EM166" s="240">
        <f>Table1[[#This Row],[SubTot]]*0.01059</f>
        <v>0</v>
      </c>
      <c r="EN166" s="234">
        <f>ROUND((Table1[[#This Row],[UnsubTot]]/3)/1.01062,0)</f>
        <v>660</v>
      </c>
      <c r="EO166" s="234">
        <f>ROUND((Table1[[#This Row],[UnsubTot]]/3)/1.01062,0)</f>
        <v>660</v>
      </c>
      <c r="EP166" s="234">
        <f>ROUNDDOWN((Table1[[#This Row],[UnsubTot]]/3)/1.01062,0)</f>
        <v>659</v>
      </c>
      <c r="EQ166" s="235">
        <f>IF(Table1[D/I]="I",6000,2000)</f>
        <v>2000</v>
      </c>
      <c r="ER166" s="240">
        <f>Table1[[#This Row],[UnsubTot]]*0.01062</f>
        <v>21.24</v>
      </c>
      <c r="ES166" s="234">
        <f>ROUND((Table1[[#This Row],[PLUSTot]]/3)/1.04248,0)</f>
        <v>0</v>
      </c>
      <c r="ET166" s="234">
        <f>ROUND((Table1[[#This Row],[PLUSTot]]/3)/1.04248,0)</f>
        <v>0</v>
      </c>
      <c r="EU166" s="234">
        <f>ROUND((Table1[[#This Row],[PLUSTot]]/3)/1.04248,0)</f>
        <v>0</v>
      </c>
      <c r="EV166" s="235"/>
      <c r="EW166" s="239">
        <f>Table1[[#This Row],[PLUSTot]]*0.04248</f>
        <v>0</v>
      </c>
      <c r="EX166" s="237"/>
      <c r="EY166" s="237"/>
      <c r="EZ166" s="237"/>
      <c r="FA166" s="232">
        <f>SUM(Table1[[#This Row],[PrivQ1]:[PrivQ3]])</f>
        <v>0</v>
      </c>
      <c r="FB166" s="237"/>
      <c r="FC166" s="237"/>
      <c r="FD166" s="237"/>
      <c r="FE166" s="232">
        <f>SUM(Table1[[#This Row],[TOQ1]:[TOQ3]])</f>
        <v>0</v>
      </c>
      <c r="FF166" s="237"/>
      <c r="FG166" s="237"/>
      <c r="FH166" s="237"/>
      <c r="FI166" s="232">
        <f>SUM(Table1[[#This Row],[OFundQ1]:[OFundQ3]])</f>
        <v>0</v>
      </c>
      <c r="FJ166" s="239">
        <f>(Table1[[#This Row],[SubTot]]-Table1[[#This Row],[SubFee]])+(Table1[[#This Row],[UnsubTot]]-Table1[[#This Row],[UnsubFee]])+(Table1[[#This Row],[PLUSTot]]-Table1[[#This Row],[PLUSFee]])+Table1[[#This Row],[PrivTot]]+Table1[[#This Row],[TOTot]]+Table1[[#This Row],[OFundTot]]</f>
        <v>1978.76</v>
      </c>
      <c r="FK166" s="125">
        <f>Table1[[#This Row],[CostTot]]-Table1[[#This Row],[GiftTot]]</f>
        <v>34265</v>
      </c>
      <c r="FL166" s="130">
        <f>Table1[[#This Row],[NetNeed]]/(1-0.04248)</f>
        <v>33718.606399866323</v>
      </c>
      <c r="FM166" s="131">
        <f>Table1[[#This Row],[NetCost]]-Table1[[#This Row],[CashTot]]-(Table1[[#This Row],[SubTot]]-Table1[[#This Row],[SubFee]])-(Table1[[#This Row],[UnsubTot]]-Table1[[#This Row],[UnsubFee]])-(Table1[[#This Row],[PLUSTot]]-Table1[[#This Row],[PLUSFee]])-Table1[[#This Row],[PrivTot]]-Table1[[#This Row],[TOTot]]-Table1[[#This Row],[OFundTot]]</f>
        <v>32286.240000000002</v>
      </c>
      <c r="FN166" s="156"/>
      <c r="FO166" s="113"/>
      <c r="FP166" s="113"/>
    </row>
    <row r="167" spans="1:172" ht="15" x14ac:dyDescent="0.25">
      <c r="A167" s="309">
        <v>199355</v>
      </c>
      <c r="B167" s="113" t="str">
        <f>VLOOKUP(Table1[[#This Row],[SyStudentId]],SSR!$A$2:$CC$4982,4,FALSE)</f>
        <v>Taylor</v>
      </c>
      <c r="C167" s="113" t="str">
        <f>VLOOKUP(Table1[[#This Row],[SyStudentId]],SSR!$A$2:$CC$4982,5,FALSE)</f>
        <v>Curtis</v>
      </c>
      <c r="D167" s="113" t="str">
        <f>VLOOKUP(Table1[[#This Row],[SyStudentId]],SSR!$A$2:$CC$4982,6,FALSE)</f>
        <v>Taylor, Curtis</v>
      </c>
      <c r="E167" s="113" t="str">
        <f>CONCATENATE(Table1[[#This Row],[FirstName]]," ",Table1[[#This Row],[LastName]])</f>
        <v>Curtis Taylor</v>
      </c>
      <c r="F167" s="112"/>
      <c r="G167" s="114"/>
      <c r="H167" s="114"/>
      <c r="I167" s="114"/>
      <c r="J167" s="115" t="s">
        <v>5311</v>
      </c>
      <c r="K167" s="116"/>
      <c r="L167" s="112" t="str">
        <f>IFERROR(VLOOKUP(Table1[[#This Row],[SyStudentId]],ISIR!$A$2:$X$999,11,FALSE),"")</f>
        <v/>
      </c>
      <c r="M167" s="113" t="str">
        <f>VLOOKUP(Table1[[#This Row],[SyStudentId]],SSR!$A$2:$CC$4982,7,FALSE)</f>
        <v>curtisktaylorrrr@gmail.com</v>
      </c>
      <c r="N167" s="113" t="str">
        <f>VLOOKUP(Table1[[#This Row],[SyStudentId]],SSR!$A$2:$CC$4982,8,FALSE)</f>
        <v>7024 Teak Way</v>
      </c>
      <c r="O167" s="113" t="str">
        <f>VLOOKUP(Table1[[#This Row],[SyStudentId]],SSR!$A$2:$CC$4982,9,FALSE)</f>
        <v>Rancho Cucamonga</v>
      </c>
      <c r="P167" s="290" t="str">
        <f>VLOOKUP(Table1[[#This Row],[SyStudentId]],SSR!$A$2:$CC$4982,10,FALSE)</f>
        <v>CA</v>
      </c>
      <c r="Q167" s="117" t="str">
        <f>VLOOKUP(Table1[[#This Row],[SyStudentId]],SSR!$A$2:$CC$4982,11,FALSE)</f>
        <v xml:space="preserve">91701     </v>
      </c>
      <c r="R167" s="118">
        <f>VLOOKUP(Table1[[#This Row],[SyStudentId]],SSR!$A$2:$CC$4982,15,FALSE)</f>
        <v>3.2778</v>
      </c>
      <c r="S167" s="119">
        <f>VLOOKUP(Table1[[#This Row],[SyStudentId]],SSR!$A$2:$CC$4982,22,FALSE)</f>
        <v>44109</v>
      </c>
      <c r="T167" s="113" t="str">
        <f>VLOOKUP(Table1[[#This Row],[SyStudentId]],SSR!$A$2:$CC$4982,24,FALSE)</f>
        <v>JT</v>
      </c>
      <c r="U167" s="113" t="str">
        <f>IF(VLOOKUP(Table1[[#This Row],[SyStudentId]],SSR!$A$2:$CC$4982,26,FALSE)=0,"Not Selected",VLOOKUP(Table1[[#This Row],[SyStudentId]],SSR!$A$2:$CC$4982,26,FALSE))</f>
        <v>Male</v>
      </c>
      <c r="V167" s="113" t="str">
        <f>VLOOKUP(Table1[[#This Row],[SyStudentId]],SSR!$A$2:$CC$4982,27,FALSE)</f>
        <v xml:space="preserve">HS2020  </v>
      </c>
      <c r="W167" s="113" t="str">
        <f>VLOOKUP(LEFT(Table1[[#This Row],[LastName]],1),Alpha!$A$1:$B$26,2,FALSE)</f>
        <v>Maureen Ranks</v>
      </c>
      <c r="X167" s="149" t="str">
        <f>VLOOKUP(Table1[[#This Row],[FAA]],Alpha!$B$1:$D$26,2,FALSE)</f>
        <v>mranks@neumont.edu</v>
      </c>
      <c r="Y167" s="113">
        <f>VLOOKUP(Table1[[#This Row],[FAA]],Alpha!$B$1:$D$26,3,FALSE)</f>
        <v>8883022894</v>
      </c>
      <c r="Z167" s="113" t="str">
        <f>VLOOKUP(Table1[[#This Row],[SyStudentId]],SSR!$A$2:$CC$4982,30,FALSE)</f>
        <v>16-Accepted</v>
      </c>
      <c r="AA167" s="113" t="str">
        <f>IF(VLOOKUP(Table1[[#This Row],[SyStudentId]],SSR!$A$2:$CC$4982,36,FALSE)="Bachelor of Science","BS Computer Science","Check Program")</f>
        <v>BS Computer Science</v>
      </c>
      <c r="AB167" s="113">
        <f>VLOOKUP(Table1[[#This Row],[SyStudentId]],SSR!$A$2:$CC$4982,37,FALSE)</f>
        <v>0</v>
      </c>
      <c r="AC167" s="113" t="str">
        <f>VLOOKUP(Table1[[#This Row],[SyStudentId]],SSR!$A$2:$CC$4982,42,FALSE)</f>
        <v xml:space="preserve">1260    </v>
      </c>
      <c r="AD167" s="113" t="str">
        <f>VLOOKUP(Table1[[#This Row],[SyStudentId]],SSR!$A$2:$CC$4982,46,FALSE)</f>
        <v>115</v>
      </c>
      <c r="AE167" s="113" t="str">
        <f>VLOOKUP(Table1[[#This Row],[SyStudentId]],SSR!$A$2:$CC$4982,65,FALSE)</f>
        <v>IV</v>
      </c>
      <c r="AF167"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4</v>
      </c>
      <c r="AG167" s="113" t="str">
        <f>VLOOKUP(Table1[[#This Row],[SyStudentId]],SSR!$A$2:$CC$4982,66,FALSE)</f>
        <v>November</v>
      </c>
      <c r="AH167" s="113" t="str">
        <f>IFERROR(VLOOKUP(Table1[[#This Row],[SyStudentId]],ISIR!$A$2:$X$999,7,FALSE),"")</f>
        <v/>
      </c>
      <c r="AI167" s="121" t="str">
        <f>IF(Table1[[#This Row],[EFCRaw]]="","",IF(Table1[[#This Row],[EFCRaw]]="No EFC","No EFC",_xlfn.NUMBERVALUE(Table1[[#This Row],[EFCRaw]])))</f>
        <v/>
      </c>
      <c r="AJ167" s="119" t="str">
        <f>IFERROR(VLOOKUP(Table1[[#This Row],[SyStudentId]],ISIR!$A$2:$X$4999,19,FALSE),"")</f>
        <v/>
      </c>
      <c r="AK167" s="113" t="str">
        <f>IFERROR(VLOOKUP(Table1[[#This Row],[SyStudentId]],ISIR!$A$2:$X$4999,8,FALSE),"")</f>
        <v/>
      </c>
      <c r="AL167" s="132" t="str">
        <f>IF(Table1[[#This Row],[VerReq]]="N","n/a","")</f>
        <v/>
      </c>
      <c r="AM167" s="122"/>
      <c r="AN167" s="122"/>
      <c r="AO167" s="122"/>
      <c r="AP167" s="122"/>
      <c r="AQ167" s="122"/>
      <c r="AR167" s="122"/>
      <c r="AS167" s="122"/>
      <c r="AT167" s="122"/>
      <c r="AU167" s="122"/>
      <c r="AV167" s="122"/>
      <c r="AW167" s="122"/>
      <c r="AX167" s="122"/>
      <c r="AY167" s="122"/>
      <c r="AZ167" s="122"/>
      <c r="BA167" s="122"/>
      <c r="BB167" s="122"/>
      <c r="BC167" s="148"/>
      <c r="BD167" s="140" t="str">
        <f>IF(Table1[[#This Row],[VerReq]]="N","x","")</f>
        <v/>
      </c>
      <c r="BE167" s="140" t="str">
        <f>IF(Table1[[#This Row],[VerReq]]="N","x","")</f>
        <v/>
      </c>
      <c r="BF167" s="140" t="str">
        <f>IF(Table1[[#This Row],[VerReq]]="N","x","")</f>
        <v/>
      </c>
      <c r="BG167" s="140" t="str">
        <f>IF(Table1[[#This Row],[VerReq]]="N","x","")</f>
        <v/>
      </c>
      <c r="BH167" s="140" t="str">
        <f>IF(Table1[[#This Row],[VerReq]]="N","x","")</f>
        <v/>
      </c>
      <c r="BI167" s="140" t="str">
        <f>IF(Table1[[#This Row],[VerReq]]="N","x","")</f>
        <v/>
      </c>
      <c r="BJ167" s="123">
        <f>1-((COUNTBLANK(Table1[[#This Row],[ALESent]:[TaxTran]]))/(COUNT(Table1[[#This Row],[ALESent]:[TaxTran]])+COUNTBLANK(Table1[[#This Row],[ALESent]:[TaxTran]])))</f>
        <v>0</v>
      </c>
      <c r="BK167" s="150">
        <f>IF(VLOOKUP(Table1[[#This Row],[SyStudentId]],SSR!$A$2:$CC$4982,22,FALSE)=44109,44109,"Check Program")</f>
        <v>44109</v>
      </c>
      <c r="BL167" s="150">
        <f>IF(Table1[[#This Row],[AYStart]]=44109,44356,"Check Program")</f>
        <v>44356</v>
      </c>
      <c r="BM167" s="219">
        <v>8505</v>
      </c>
      <c r="BN167" s="219">
        <v>8505</v>
      </c>
      <c r="BO167" s="219">
        <v>8505</v>
      </c>
      <c r="BP167" s="220">
        <f t="shared" si="6"/>
        <v>25515</v>
      </c>
      <c r="BQ167" s="221">
        <v>3300</v>
      </c>
      <c r="BR167" s="219">
        <v>400</v>
      </c>
      <c r="BS167" s="219">
        <v>400</v>
      </c>
      <c r="BT167" s="220">
        <f t="shared" si="7"/>
        <v>4100</v>
      </c>
      <c r="BU167" s="219">
        <v>2100</v>
      </c>
      <c r="BV167" s="219">
        <v>2100</v>
      </c>
      <c r="BW167" s="219">
        <v>2100</v>
      </c>
      <c r="BX167" s="220">
        <f t="shared" si="8"/>
        <v>6300</v>
      </c>
      <c r="BY167" s="275">
        <v>1200</v>
      </c>
      <c r="BZ167" s="275">
        <v>1200</v>
      </c>
      <c r="CA167" s="275">
        <v>1200</v>
      </c>
      <c r="CB167" s="220">
        <f>SUM(Table1[[#This Row],[LEQ1]:[LEQ3]])</f>
        <v>3600</v>
      </c>
      <c r="CC167" s="269"/>
      <c r="CD167" s="269"/>
      <c r="CE167" s="269"/>
      <c r="CF167" s="220">
        <f>SUM(Table1[[#This Row],[OthCostQ1]:[OthCostQ3]])</f>
        <v>0</v>
      </c>
      <c r="CG167" s="220">
        <f>(Table1[[#This Row],[T&amp;FTot]]+Table1[[#This Row],[B&amp;STot]]+Table1[[#This Row],[HousTot]]+Table1[[#This Row],[LETot]]+Table1[[#This Row],[OthCostTot]])</f>
        <v>39515</v>
      </c>
      <c r="CH167" s="250"/>
      <c r="CI167" s="250"/>
      <c r="CJ167" s="250"/>
      <c r="CK167" s="251">
        <f>SUM(Table1[[#This Row],[SEOGQ1]:[SEOGQ3]])</f>
        <v>0</v>
      </c>
      <c r="CL167" s="250">
        <f>IFERROR(ROUNDUP(Table1[[#This Row],[PellTot]]/3,0),0)</f>
        <v>0</v>
      </c>
      <c r="CM167" s="250">
        <f>IFERROR(ROUND(Table1[[#This Row],[PellTot]]/3,0),0)</f>
        <v>0</v>
      </c>
      <c r="CN167" s="250">
        <f>IFERROR(ROUNDDOWN(Table1[[#This Row],[PellTot]]/3,0),0)</f>
        <v>0</v>
      </c>
      <c r="CO167" s="251">
        <f>IFERROR(LOOKUP(Table1[EFC],Pell_Table[#Data],Pell_Table[Pell Amt]),0)</f>
        <v>0</v>
      </c>
      <c r="CP167" s="250">
        <f>Table1[[#This Row],[AccessTot]]/3</f>
        <v>0</v>
      </c>
      <c r="CQ167" s="250">
        <f>Table1[[#This Row],[AccessTot]]/3</f>
        <v>0</v>
      </c>
      <c r="CR167" s="250">
        <f>Table1[[#This Row],[AccessTot]]/3</f>
        <v>0</v>
      </c>
      <c r="CS167" s="251">
        <f>IF(Table1[[#This Row],[PellTot]]&gt;0,1500,0)</f>
        <v>0</v>
      </c>
      <c r="CT167" s="250">
        <f>Table1[[#This Row],[AchiTot]]/3</f>
        <v>1250</v>
      </c>
      <c r="CU167" s="250">
        <f>Table1[[#This Row],[AchiTot]]/3</f>
        <v>1250</v>
      </c>
      <c r="CV167" s="250">
        <f>Table1[[#This Row],[AchiTot]]/3</f>
        <v>1250</v>
      </c>
      <c r="CW167" s="252">
        <f>IF(Table1[[#This Row],[Rank]]="","",IF(Table1[[#This Row],[Rank]]=1,5100,IF(Table1[[#This Row],[Rank]]=2,4500,IF(Table1[[#This Row],[Rank]]=3,3900,IF(Table1[[#This Row],[Rank]]=4,3750,IF(Table1[[#This Row],[Rank]]=5,3000,IF(Table1[[#This Row],[Rank]]=6,2250,0)))))))</f>
        <v>3750</v>
      </c>
      <c r="CX167" s="250">
        <f>Table1[[#This Row],[UTTot]]/3</f>
        <v>0</v>
      </c>
      <c r="CY167" s="250">
        <f>Table1[[#This Row],[UTTot]]/3</f>
        <v>0</v>
      </c>
      <c r="CZ167" s="250">
        <f>Table1[[#This Row],[UTTot]]/3</f>
        <v>0</v>
      </c>
      <c r="DA167" s="251">
        <f>IF(Table1[[#This Row],[State]]="UT",9000,0)</f>
        <v>0</v>
      </c>
      <c r="DB167" s="250">
        <f>Table1[[#This Row],[WITTot]]/3</f>
        <v>0</v>
      </c>
      <c r="DC167" s="250">
        <f>Table1[[#This Row],[WITTot]]/3</f>
        <v>0</v>
      </c>
      <c r="DD167" s="250">
        <f>Table1[[#This Row],[WITTot]]/3</f>
        <v>0</v>
      </c>
      <c r="DE167" s="251">
        <f>IF(Table1[[#This Row],[Gender]]="Female",3000,0)</f>
        <v>0</v>
      </c>
      <c r="DF167" s="250">
        <f>Table1[[#This Row],[SerTot]]/3</f>
        <v>0</v>
      </c>
      <c r="DG167" s="250">
        <f>Table1[[#This Row],[SerTot]]/3</f>
        <v>0</v>
      </c>
      <c r="DH167" s="250">
        <f>Table1[[#This Row],[SerTot]]/3</f>
        <v>0</v>
      </c>
      <c r="DI167" s="252"/>
      <c r="DJ167" s="250"/>
      <c r="DK167" s="250"/>
      <c r="DL167" s="250"/>
      <c r="DM167" s="252"/>
      <c r="DN167" s="250">
        <f>Table1[[#This Row],[MatTot]]/3</f>
        <v>0</v>
      </c>
      <c r="DO167" s="250">
        <f>Table1[[#This Row],[MatTot]]/3</f>
        <v>0</v>
      </c>
      <c r="DP167" s="250">
        <f>Table1[[#This Row],[MatTot]]/3</f>
        <v>0</v>
      </c>
      <c r="DQ167" s="252"/>
      <c r="DR167" s="250">
        <f>Table1[[#This Row],[OutTot]]/3</f>
        <v>0</v>
      </c>
      <c r="DS167" s="250">
        <f>Table1[[#This Row],[OutTot]]/3</f>
        <v>0</v>
      </c>
      <c r="DT167" s="250">
        <f>Table1[[#This Row],[OutTot]]/3</f>
        <v>0</v>
      </c>
      <c r="DU167" s="252"/>
      <c r="DV167" s="250"/>
      <c r="DW167" s="250"/>
      <c r="DX167" s="250"/>
      <c r="DY167" s="252">
        <f>SUM(Table1[[#This Row],[VAQ1]:[VAQ3]])</f>
        <v>0</v>
      </c>
      <c r="DZ167" s="250"/>
      <c r="EA167" s="250"/>
      <c r="EB167" s="250"/>
      <c r="EC167" s="270">
        <f>SUM(Table1[[#This Row],[OthGrantQ1]:[OthGrantQ3]])</f>
        <v>0</v>
      </c>
      <c r="ED167" s="263">
        <f>Table1[[#This Row],[SEOGTot]]+Table1[[#This Row],[PellTot]]+Table1[[#This Row],[AccessTot]]+Table1[[#This Row],[AchiTot]]+Table1[[#This Row],[UTTot]]+Table1[[#This Row],[WITTot]]+Table1[[#This Row],[SerTot]]+Table1[[#This Row],[TranTot]]+Table1[[#This Row],[MatTot]]+Table1[[#This Row],[OutTot]]+Table1[[#This Row],[VATot]]+Table1[[#This Row],[OthGrantTot]]</f>
        <v>3750</v>
      </c>
      <c r="EE167" s="282"/>
      <c r="EF167" s="237"/>
      <c r="EG167" s="237"/>
      <c r="EH167" s="232">
        <f>SUM(Table1[[#This Row],[CashQ1]]:Table1[[#This Row],[CashQ3]])</f>
        <v>0</v>
      </c>
      <c r="EI167" s="271">
        <f>ROUND((Table1[[#This Row],[SubTot]]/3)/1.01059,0)</f>
        <v>0</v>
      </c>
      <c r="EJ167" s="234">
        <f>ROUND((Table1[[#This Row],[SubTot]]/3)/1.01059,0)</f>
        <v>0</v>
      </c>
      <c r="EK167" s="234">
        <f>ROUNDUP((Table1[[#This Row],[SubTot]]/3)/1.01059,0)</f>
        <v>0</v>
      </c>
      <c r="EL167" s="235"/>
      <c r="EM167" s="240">
        <f>Table1[[#This Row],[SubTot]]*0.01059</f>
        <v>0</v>
      </c>
      <c r="EN167" s="234">
        <f>ROUND((Table1[[#This Row],[UnsubTot]]/3)/1.01062,0)</f>
        <v>660</v>
      </c>
      <c r="EO167" s="234">
        <f>ROUND((Table1[[#This Row],[UnsubTot]]/3)/1.01062,0)</f>
        <v>660</v>
      </c>
      <c r="EP167" s="234">
        <f>ROUNDDOWN((Table1[[#This Row],[UnsubTot]]/3)/1.01062,0)</f>
        <v>659</v>
      </c>
      <c r="EQ167" s="235">
        <f>IF(Table1[D/I]="I",6000,2000)</f>
        <v>2000</v>
      </c>
      <c r="ER167" s="240">
        <f>Table1[[#This Row],[UnsubTot]]*0.01062</f>
        <v>21.24</v>
      </c>
      <c r="ES167" s="234">
        <f>ROUND((Table1[[#This Row],[PLUSTot]]/3)/1.04248,0)</f>
        <v>0</v>
      </c>
      <c r="ET167" s="234">
        <f>ROUND((Table1[[#This Row],[PLUSTot]]/3)/1.04248,0)</f>
        <v>0</v>
      </c>
      <c r="EU167" s="234">
        <f>ROUND((Table1[[#This Row],[PLUSTot]]/3)/1.04248,0)</f>
        <v>0</v>
      </c>
      <c r="EV167" s="235"/>
      <c r="EW167" s="239">
        <f>Table1[[#This Row],[PLUSTot]]*0.04248</f>
        <v>0</v>
      </c>
      <c r="EX167" s="237"/>
      <c r="EY167" s="237"/>
      <c r="EZ167" s="237"/>
      <c r="FA167" s="232">
        <f>SUM(Table1[[#This Row],[PrivQ1]:[PrivQ3]])</f>
        <v>0</v>
      </c>
      <c r="FB167" s="237"/>
      <c r="FC167" s="237"/>
      <c r="FD167" s="237"/>
      <c r="FE167" s="232">
        <f>SUM(Table1[[#This Row],[TOQ1]:[TOQ3]])</f>
        <v>0</v>
      </c>
      <c r="FF167" s="237"/>
      <c r="FG167" s="237"/>
      <c r="FH167" s="237"/>
      <c r="FI167" s="232">
        <f>SUM(Table1[[#This Row],[OFundQ1]:[OFundQ3]])</f>
        <v>0</v>
      </c>
      <c r="FJ167" s="239">
        <f>(Table1[[#This Row],[SubTot]]-Table1[[#This Row],[SubFee]])+(Table1[[#This Row],[UnsubTot]]-Table1[[#This Row],[UnsubFee]])+(Table1[[#This Row],[PLUSTot]]-Table1[[#This Row],[PLUSFee]])+Table1[[#This Row],[PrivTot]]+Table1[[#This Row],[TOTot]]+Table1[[#This Row],[OFundTot]]</f>
        <v>1978.76</v>
      </c>
      <c r="FK167" s="125">
        <f>Table1[[#This Row],[CostTot]]-Table1[[#This Row],[GiftTot]]</f>
        <v>35765</v>
      </c>
      <c r="FL167" s="130">
        <f>Table1[[#This Row],[NetNeed]]/(1-0.04248)</f>
        <v>35285.153312724535</v>
      </c>
      <c r="FM167" s="131">
        <f>Table1[[#This Row],[NetCost]]-Table1[[#This Row],[CashTot]]-(Table1[[#This Row],[SubTot]]-Table1[[#This Row],[SubFee]])-(Table1[[#This Row],[UnsubTot]]-Table1[[#This Row],[UnsubFee]])-(Table1[[#This Row],[PLUSTot]]-Table1[[#This Row],[PLUSFee]])-Table1[[#This Row],[PrivTot]]-Table1[[#This Row],[TOTot]]-Table1[[#This Row],[OFundTot]]</f>
        <v>33786.239999999998</v>
      </c>
      <c r="FN167" s="156"/>
      <c r="FO167" s="113"/>
      <c r="FP167" s="113"/>
    </row>
    <row r="168" spans="1:172" ht="15" x14ac:dyDescent="0.25">
      <c r="A168" s="309">
        <v>198763</v>
      </c>
      <c r="B168" s="182" t="str">
        <f>VLOOKUP(Table1[[#This Row],[SyStudentId]],SSR!$A$2:$CC$4982,4,FALSE)</f>
        <v>Taylor</v>
      </c>
      <c r="C168" s="182" t="str">
        <f>VLOOKUP(Table1[[#This Row],[SyStudentId]],SSR!$A$2:$CC$4982,5,FALSE)</f>
        <v>Mackenzie</v>
      </c>
      <c r="D168" s="182" t="str">
        <f>VLOOKUP(Table1[[#This Row],[SyStudentId]],SSR!$A$2:$CC$4982,6,FALSE)</f>
        <v>Taylor, Mackenzie</v>
      </c>
      <c r="E168" s="113" t="str">
        <f>CONCATENATE(Table1[[#This Row],[FirstName]]," ",Table1[[#This Row],[LastName]])</f>
        <v>Mackenzie Taylor</v>
      </c>
      <c r="F168" s="183"/>
      <c r="G168" s="184"/>
      <c r="H168" s="184"/>
      <c r="I168" s="184"/>
      <c r="J168" s="185"/>
      <c r="K168" s="186"/>
      <c r="L168" s="183" t="str">
        <f>IFERROR(VLOOKUP(Table1[[#This Row],[SyStudentId]],ISIR!$A$2:$X$4999,11,FALSE),"")</f>
        <v/>
      </c>
      <c r="M168" s="182" t="str">
        <f>VLOOKUP(Table1[[#This Row],[SyStudentId]],SSR!$A$2:$CC$4982,7,FALSE)</f>
        <v>m.ashlyn1028@gmail.com</v>
      </c>
      <c r="N168" s="182" t="str">
        <f>VLOOKUP(Table1[[#This Row],[SyStudentId]],SSR!$A$2:$CC$4982,8,FALSE)</f>
        <v>19215 Eldridge Lane</v>
      </c>
      <c r="O168" s="182" t="str">
        <f>VLOOKUP(Table1[[#This Row],[SyStudentId]],SSR!$A$2:$CC$4982,9,FALSE)</f>
        <v>Southfield</v>
      </c>
      <c r="P168" s="306" t="str">
        <f>VLOOKUP(Table1[[#This Row],[SyStudentId]],SSR!$A$2:$CC$4982,10,FALSE)</f>
        <v>MI</v>
      </c>
      <c r="Q168" s="187" t="str">
        <f>VLOOKUP(Table1[[#This Row],[SyStudentId]],SSR!$A$2:$CC$4982,11,FALSE)</f>
        <v xml:space="preserve">48076     </v>
      </c>
      <c r="R168" s="188">
        <f>VLOOKUP(Table1[[#This Row],[SyStudentId]],SSR!$A$2:$CC$4982,15,FALSE)</f>
        <v>2.7</v>
      </c>
      <c r="S168" s="189">
        <f>VLOOKUP(Table1[[#This Row],[SyStudentId]],SSR!$A$2:$CC$4982,22,FALSE)</f>
        <v>44109</v>
      </c>
      <c r="T168" s="182" t="str">
        <f>VLOOKUP(Table1[[#This Row],[SyStudentId]],SSR!$A$2:$CC$4982,24,FALSE)</f>
        <v>JT</v>
      </c>
      <c r="U168" s="182" t="str">
        <f>IF(VLOOKUP(Table1[[#This Row],[SyStudentId]],SSR!$A$2:$CC$4982,26,FALSE)=0,"Not Selected",VLOOKUP(Table1[[#This Row],[SyStudentId]],SSR!$A$2:$CC$4982,26,FALSE))</f>
        <v>Female</v>
      </c>
      <c r="V168" s="182" t="str">
        <f>VLOOKUP(Table1[[#This Row],[SyStudentId]],SSR!$A$2:$CC$4982,27,FALSE)</f>
        <v xml:space="preserve">HS2020  </v>
      </c>
      <c r="W168" s="182" t="str">
        <f>VLOOKUP(LEFT(Table1[[#This Row],[LastName]],1),Alpha!$A$1:$B$26,2,FALSE)</f>
        <v>Maureen Ranks</v>
      </c>
      <c r="X168" s="190" t="str">
        <f>VLOOKUP(Table1[[#This Row],[FAA]],Alpha!$B$1:$D$26,2,FALSE)</f>
        <v>mranks@neumont.edu</v>
      </c>
      <c r="Y168" s="182">
        <f>VLOOKUP(Table1[[#This Row],[FAA]],Alpha!$B$1:$D$26,3,FALSE)</f>
        <v>8883022894</v>
      </c>
      <c r="Z168" s="182" t="str">
        <f>VLOOKUP(Table1[[#This Row],[SyStudentId]],SSR!$A$2:$CC$4982,30,FALSE)</f>
        <v>16-Accepted</v>
      </c>
      <c r="AA168" s="182" t="str">
        <f>IF(VLOOKUP(Table1[[#This Row],[SyStudentId]],SSR!$A$2:$CC$4982,36,FALSE)="Bachelor of Science","BS Computer Science","Check Program")</f>
        <v>BS Computer Science</v>
      </c>
      <c r="AB168" s="182">
        <f>VLOOKUP(Table1[[#This Row],[SyStudentId]],SSR!$A$2:$CC$4982,37,FALSE)</f>
        <v>0</v>
      </c>
      <c r="AC168" s="182">
        <f>VLOOKUP(Table1[[#This Row],[SyStudentId]],SSR!$A$2:$CC$4982,42,FALSE)</f>
        <v>0</v>
      </c>
      <c r="AD168" s="182" t="str">
        <f>VLOOKUP(Table1[[#This Row],[SyStudentId]],SSR!$A$2:$CC$4982,46,FALSE)</f>
        <v>0</v>
      </c>
      <c r="AE168" s="182" t="str">
        <f>VLOOKUP(Table1[[#This Row],[SyStudentId]],SSR!$A$2:$CC$4982,65,FALSE)</f>
        <v>IX</v>
      </c>
      <c r="AF168" s="191">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168" s="182" t="str">
        <f>VLOOKUP(Table1[[#This Row],[SyStudentId]],SSR!$A$2:$CC$4982,66,FALSE)</f>
        <v>July-October</v>
      </c>
      <c r="AH168" s="182" t="str">
        <f>IFERROR(VLOOKUP(Table1[[#This Row],[SyStudentId]],ISIR!$A$2:$X$1999,7,FALSE),"")</f>
        <v/>
      </c>
      <c r="AI168" s="192" t="str">
        <f>IF(Table1[[#This Row],[EFCRaw]]="","",IF(Table1[[#This Row],[EFCRaw]]="No EFC","No EFC",_xlfn.NUMBERVALUE(Table1[[#This Row],[EFCRaw]])))</f>
        <v/>
      </c>
      <c r="AJ168" s="189" t="str">
        <f>IFERROR(VLOOKUP(Table1[[#This Row],[SyStudentId]],ISIR!$A$2:$X$4999,19,FALSE),"")</f>
        <v/>
      </c>
      <c r="AK168" s="182" t="str">
        <f>IFERROR(VLOOKUP(Table1[[#This Row],[SyStudentId]],ISIR!$A$2:$X$4999,8,FALSE),"")</f>
        <v/>
      </c>
      <c r="AL168" s="318" t="str">
        <f>IF(Table1[[#This Row],[VerReq]]="N","n/a","")</f>
        <v/>
      </c>
      <c r="AM168" s="193"/>
      <c r="AN168" s="193"/>
      <c r="AO168" s="193"/>
      <c r="AP168" s="193"/>
      <c r="AQ168" s="193"/>
      <c r="AR168" s="193"/>
      <c r="AS168" s="193"/>
      <c r="AT168" s="193"/>
      <c r="AU168" s="193"/>
      <c r="AV168" s="193"/>
      <c r="AW168" s="193"/>
      <c r="AX168" s="193"/>
      <c r="AY168" s="193"/>
      <c r="AZ168" s="193"/>
      <c r="BA168" s="193"/>
      <c r="BB168" s="193"/>
      <c r="BC168" s="272"/>
      <c r="BD168" s="140" t="str">
        <f>IF(Table1[[#This Row],[VerReq]]="N","x","")</f>
        <v/>
      </c>
      <c r="BE168" s="140" t="str">
        <f>IF(Table1[[#This Row],[VerReq]]="N","x","")</f>
        <v/>
      </c>
      <c r="BF168" s="140" t="str">
        <f>IF(Table1[[#This Row],[VerReq]]="N","x","")</f>
        <v/>
      </c>
      <c r="BG168" s="140" t="str">
        <f>IF(Table1[[#This Row],[VerReq]]="N","x","")</f>
        <v/>
      </c>
      <c r="BH168" s="140" t="str">
        <f>IF(Table1[[#This Row],[VerReq]]="N","x","")</f>
        <v/>
      </c>
      <c r="BI168" s="140" t="str">
        <f>IF(Table1[[#This Row],[VerReq]]="N","x","")</f>
        <v/>
      </c>
      <c r="BJ168" s="194">
        <f>1-((COUNTBLANK(Table1[[#This Row],[ALESent]:[TaxTran]]))/(COUNT(Table1[[#This Row],[ALESent]:[TaxTran]])+COUNTBLANK(Table1[[#This Row],[ALESent]:[TaxTran]])))</f>
        <v>0</v>
      </c>
      <c r="BK168" s="273">
        <f>IF(VLOOKUP(Table1[[#This Row],[SyStudentId]],SSR!$A$2:$CC$4982,22,FALSE)=44109,44109,"Check Program")</f>
        <v>44109</v>
      </c>
      <c r="BL168" s="273">
        <f>IF(Table1[[#This Row],[AYStart]]=44109,44356,"Check Program")</f>
        <v>44356</v>
      </c>
      <c r="BM168" s="219">
        <v>8505</v>
      </c>
      <c r="BN168" s="219">
        <v>8505</v>
      </c>
      <c r="BO168" s="219">
        <v>8505</v>
      </c>
      <c r="BP168" s="220">
        <f t="shared" si="6"/>
        <v>25515</v>
      </c>
      <c r="BQ168" s="221">
        <v>3300</v>
      </c>
      <c r="BR168" s="219">
        <v>400</v>
      </c>
      <c r="BS168" s="219">
        <v>400</v>
      </c>
      <c r="BT168" s="224">
        <f t="shared" si="7"/>
        <v>4100</v>
      </c>
      <c r="BU168" s="219">
        <v>2100</v>
      </c>
      <c r="BV168" s="219">
        <v>2100</v>
      </c>
      <c r="BW168" s="219">
        <v>2100</v>
      </c>
      <c r="BX168" s="222">
        <f t="shared" si="8"/>
        <v>6300</v>
      </c>
      <c r="BY168" s="275">
        <v>1200</v>
      </c>
      <c r="BZ168" s="275">
        <v>1200</v>
      </c>
      <c r="CA168" s="275">
        <v>1200</v>
      </c>
      <c r="CB168" s="222">
        <f>SUM(Table1[[#This Row],[LEQ1]:[LEQ3]])</f>
        <v>3600</v>
      </c>
      <c r="CC168" s="276">
        <v>0</v>
      </c>
      <c r="CD168" s="276">
        <v>0</v>
      </c>
      <c r="CE168" s="276">
        <v>0</v>
      </c>
      <c r="CF168" s="222">
        <f>SUM(Table1[[#This Row],[OthCostQ1]:[OthCostQ3]])</f>
        <v>0</v>
      </c>
      <c r="CG168" s="224">
        <f>(Table1[[#This Row],[T&amp;FTot]]+Table1[[#This Row],[B&amp;STot]]+Table1[[#This Row],[HousTot]]+Table1[[#This Row],[LETot]]+Table1[[#This Row],[OthCostTot]])</f>
        <v>39515</v>
      </c>
      <c r="CH168" s="256">
        <v>0</v>
      </c>
      <c r="CI168" s="256">
        <v>0</v>
      </c>
      <c r="CJ168" s="256">
        <v>0</v>
      </c>
      <c r="CK168" s="257">
        <f>SUM(Table1[[#This Row],[SEOGQ1]:[SEOGQ3]])</f>
        <v>0</v>
      </c>
      <c r="CL168" s="256">
        <f>IFERROR(ROUNDUP(Table1[[#This Row],[PellTot]]/3,0),0)</f>
        <v>0</v>
      </c>
      <c r="CM168" s="256">
        <f>IFERROR(ROUND(Table1[[#This Row],[PellTot]]/3,0),0)</f>
        <v>0</v>
      </c>
      <c r="CN168" s="256">
        <f>IFERROR(ROUNDDOWN(Table1[[#This Row],[PellTot]]/3,0),0)</f>
        <v>0</v>
      </c>
      <c r="CO168" s="257">
        <f>IFERROR(LOOKUP(Table1[EFC],Pell_Table[#Data],Pell_Table[Pell Amt]),0)</f>
        <v>0</v>
      </c>
      <c r="CP168" s="256">
        <f>Table1[[#This Row],[AccessTot]]/3</f>
        <v>0</v>
      </c>
      <c r="CQ168" s="256">
        <f>Table1[[#This Row],[AccessTot]]/3</f>
        <v>0</v>
      </c>
      <c r="CR168" s="256">
        <f>Table1[[#This Row],[AccessTot]]/3</f>
        <v>0</v>
      </c>
      <c r="CS168" s="257">
        <f>IF(Table1[[#This Row],[PellTot]]&gt;0,1500,0)</f>
        <v>0</v>
      </c>
      <c r="CT168" s="256">
        <f>Table1[[#This Row],[AchiTot]]/3</f>
        <v>0</v>
      </c>
      <c r="CU168" s="256">
        <f>Table1[[#This Row],[AchiTot]]/3</f>
        <v>0</v>
      </c>
      <c r="CV168" s="256">
        <f>Table1[[#This Row],[AchiTot]]/3</f>
        <v>0</v>
      </c>
      <c r="CW168" s="258">
        <f>IF(Table1[[#This Row],[Rank]]="","",IF(Table1[[#This Row],[Rank]]=1,5100,IF(Table1[[#This Row],[Rank]]=2,4500,IF(Table1[[#This Row],[Rank]]=3,3900,IF(Table1[[#This Row],[Rank]]=4,3750,IF(Table1[[#This Row],[Rank]]=5,3000,IF(Table1[[#This Row],[Rank]]=6,2250,0)))))))</f>
        <v>0</v>
      </c>
      <c r="CX168" s="256">
        <f>Table1[[#This Row],[UTTot]]/3</f>
        <v>0</v>
      </c>
      <c r="CY168" s="256">
        <f>Table1[[#This Row],[UTTot]]/3</f>
        <v>0</v>
      </c>
      <c r="CZ168" s="256">
        <f>Table1[[#This Row],[UTTot]]/3</f>
        <v>0</v>
      </c>
      <c r="DA168" s="257">
        <f>IF(Table1[[#This Row],[State]]="UT",9000,0)</f>
        <v>0</v>
      </c>
      <c r="DB168" s="256">
        <f>Table1[[#This Row],[WITTot]]/3</f>
        <v>1000</v>
      </c>
      <c r="DC168" s="256">
        <f>Table1[[#This Row],[WITTot]]/3</f>
        <v>1000</v>
      </c>
      <c r="DD168" s="256">
        <f>Table1[[#This Row],[WITTot]]/3</f>
        <v>1000</v>
      </c>
      <c r="DE168" s="257">
        <f>IF(Table1[[#This Row],[Gender]]="Female",3000,0)</f>
        <v>3000</v>
      </c>
      <c r="DF168" s="256">
        <f>Table1[[#This Row],[SerTot]]/3</f>
        <v>0</v>
      </c>
      <c r="DG168" s="256">
        <f>Table1[[#This Row],[SerTot]]/3</f>
        <v>0</v>
      </c>
      <c r="DH168" s="256">
        <f>Table1[[#This Row],[SerTot]]/3</f>
        <v>0</v>
      </c>
      <c r="DI168" s="258">
        <v>0</v>
      </c>
      <c r="DJ168" s="256">
        <f>IFERROR(ROUNDUP(Table1[[#This Row],[TranTot]]/3,0),0)</f>
        <v>0</v>
      </c>
      <c r="DK168" s="256">
        <f>IFERROR(ROUND(Table1[[#This Row],[TranTot]]/3,0),0)</f>
        <v>0</v>
      </c>
      <c r="DL168" s="256">
        <f>IFERROR(ROUNDDOWN(Table1[[#This Row],[TranTot]]/3,0),0)</f>
        <v>0</v>
      </c>
      <c r="DM168" s="258">
        <v>0</v>
      </c>
      <c r="DN168" s="256">
        <f>Table1[[#This Row],[MatTot]]/3</f>
        <v>0</v>
      </c>
      <c r="DO168" s="256">
        <f>Table1[[#This Row],[MatTot]]/3</f>
        <v>0</v>
      </c>
      <c r="DP168" s="256">
        <f>Table1[[#This Row],[MatTot]]/3</f>
        <v>0</v>
      </c>
      <c r="DQ168" s="258">
        <v>0</v>
      </c>
      <c r="DR168" s="253">
        <f>Table1[[#This Row],[OutTot]]/3</f>
        <v>0</v>
      </c>
      <c r="DS168" s="253">
        <f>Table1[[#This Row],[OutTot]]/3</f>
        <v>0</v>
      </c>
      <c r="DT168" s="253">
        <f>Table1[[#This Row],[OutTot]]/3</f>
        <v>0</v>
      </c>
      <c r="DU168" s="255">
        <v>0</v>
      </c>
      <c r="DV168" s="256">
        <v>0</v>
      </c>
      <c r="DW168" s="256">
        <v>0</v>
      </c>
      <c r="DX168" s="256">
        <v>0</v>
      </c>
      <c r="DY168" s="258">
        <f>SUM(Table1[[#This Row],[VAQ1]:[VAQ3]])</f>
        <v>0</v>
      </c>
      <c r="DZ168" s="256">
        <v>0</v>
      </c>
      <c r="EA168" s="256">
        <v>0</v>
      </c>
      <c r="EB168" s="256">
        <v>0</v>
      </c>
      <c r="EC168" s="279">
        <f>SUM(Table1[[#This Row],[OthGrantQ1]:[OthGrantQ3]])</f>
        <v>0</v>
      </c>
      <c r="ED168" s="265">
        <f>Table1[[#This Row],[SEOGTot]]+Table1[[#This Row],[PellTot]]+Table1[[#This Row],[AccessTot]]+Table1[[#This Row],[AchiTot]]+Table1[[#This Row],[UTTot]]+Table1[[#This Row],[WITTot]]+Table1[[#This Row],[SerTot]]+Table1[[#This Row],[TranTot]]+Table1[[#This Row],[MatTot]]+Table1[[#This Row],[OutTot]]+Table1[[#This Row],[VATot]]+Table1[[#This Row],[OthGrantTot]]</f>
        <v>3000</v>
      </c>
      <c r="EE168" s="298">
        <v>0</v>
      </c>
      <c r="EF168" s="227">
        <v>0</v>
      </c>
      <c r="EG168" s="227">
        <v>0</v>
      </c>
      <c r="EH168" s="228">
        <f>SUM(Table1[[#This Row],[CashQ1]]:Table1[[#This Row],[CashQ3]])</f>
        <v>0</v>
      </c>
      <c r="EI168" s="229">
        <f>ROUND((Table1[[#This Row],[SubTot]]/3)/1.01059,0)</f>
        <v>1154</v>
      </c>
      <c r="EJ168" s="230">
        <f>ROUND((Table1[[#This Row],[SubTot]]/3)/1.01059,0)</f>
        <v>1154</v>
      </c>
      <c r="EK168" s="230">
        <f>ROUNDUP((Table1[[#This Row],[SubTot]]/3)/1.01059,0)</f>
        <v>1155</v>
      </c>
      <c r="EL168" s="231">
        <v>3500</v>
      </c>
      <c r="EM168" s="241">
        <f>Table1[[#This Row],[SubTot]]*0.01059</f>
        <v>37.065000000000005</v>
      </c>
      <c r="EN168" s="230">
        <f>ROUND((Table1[[#This Row],[UnsubTot]]/3)/1.01062,0)</f>
        <v>660</v>
      </c>
      <c r="EO168" s="230">
        <f>ROUND((Table1[[#This Row],[UnsubTot]]/3)/1.01062,0)</f>
        <v>660</v>
      </c>
      <c r="EP168" s="230">
        <f>ROUNDDOWN((Table1[[#This Row],[UnsubTot]]/3)/1.01062,0)</f>
        <v>659</v>
      </c>
      <c r="EQ168" s="231">
        <f>IF(Table1[D/I]="I",6000,2000)</f>
        <v>2000</v>
      </c>
      <c r="ER168" s="233">
        <f>Table1[[#This Row],[UnsubTot]]*0.01059</f>
        <v>21.18</v>
      </c>
      <c r="ES168" s="230">
        <f>ROUND((Table1[[#This Row],[PLUSTot]]/3)/1.04236,0)</f>
        <v>0</v>
      </c>
      <c r="ET168" s="230">
        <f>ROUND((Table1[[#This Row],[PLUSTot]]/3)/1.04236,0)</f>
        <v>0</v>
      </c>
      <c r="EU168" s="230">
        <f>ROUND((Table1[[#This Row],[PLUSTot]]/3)/1.04236,0)</f>
        <v>0</v>
      </c>
      <c r="EV168" s="231">
        <v>0</v>
      </c>
      <c r="EW168" s="242">
        <f>Table1[[#This Row],[PLUSTot]]*0.04236</f>
        <v>0</v>
      </c>
      <c r="EX168" s="243"/>
      <c r="EY168" s="243"/>
      <c r="EZ168" s="243"/>
      <c r="FA168" s="244">
        <f>SUM(Table1[[#This Row],[PrivQ1]:[PrivQ3]])</f>
        <v>0</v>
      </c>
      <c r="FB168" s="243"/>
      <c r="FC168" s="243"/>
      <c r="FD168" s="243"/>
      <c r="FE168" s="244">
        <f>SUM(Table1[[#This Row],[TOQ1]:[TOQ3]])</f>
        <v>0</v>
      </c>
      <c r="FF168" s="243"/>
      <c r="FG168" s="243"/>
      <c r="FH168" s="243"/>
      <c r="FI168" s="244">
        <f>SUM(Table1[[#This Row],[OFundQ1]:[OFundQ3]])</f>
        <v>0</v>
      </c>
      <c r="FJ168" s="242">
        <f>(Table1[[#This Row],[SubTot]]-Table1[[#This Row],[SubFee]])+(Table1[[#This Row],[UnsubTot]]-Table1[[#This Row],[UnsubFee]])+(Table1[[#This Row],[PLUSTot]]-Table1[[#This Row],[PLUSFee]])+Table1[[#This Row],[PrivTot]]+Table1[[#This Row],[TOTot]]+Table1[[#This Row],[OFundTot]]</f>
        <v>5441.7550000000001</v>
      </c>
      <c r="FK168" s="195">
        <f>Table1[[#This Row],[CostTot]]-Table1[[#This Row],[GiftTot]]</f>
        <v>36515</v>
      </c>
      <c r="FL168" s="196">
        <f>Table1[[#This Row],[NetNeed]]/(1-0.04236)</f>
        <v>32447.730880080198</v>
      </c>
      <c r="FM168" s="197">
        <f>Table1[[#This Row],[NetCost]]-Table1[[#This Row],[CashTot]]-(Table1[[#This Row],[SubTot]]-Table1[[#This Row],[SubFee]])-(Table1[[#This Row],[UnsubTot]]-Table1[[#This Row],[UnsubFee]])-(Table1[[#This Row],[PLUSTot]]-Table1[[#This Row],[PLUSFee]])-Table1[[#This Row],[PrivTot]]-Table1[[#This Row],[TOTot]]-Table1[[#This Row],[OFundTot]]</f>
        <v>31073.245000000003</v>
      </c>
      <c r="FN168" s="217"/>
      <c r="FO168" s="162"/>
      <c r="FP168" s="162"/>
    </row>
    <row r="169" spans="1:172" ht="15" x14ac:dyDescent="0.25">
      <c r="A169" s="309">
        <v>192847</v>
      </c>
      <c r="B169" s="113" t="str">
        <f>VLOOKUP(Table1[[#This Row],[SyStudentId]],SSR!$A$2:$CC$4982,4,FALSE)</f>
        <v>Terrazas</v>
      </c>
      <c r="C169" s="113" t="str">
        <f>VLOOKUP(Table1[[#This Row],[SyStudentId]],SSR!$A$2:$CC$4982,5,FALSE)</f>
        <v>Marcos</v>
      </c>
      <c r="D169" s="113" t="str">
        <f>VLOOKUP(Table1[[#This Row],[SyStudentId]],SSR!$A$2:$CC$4982,6,FALSE)</f>
        <v>Terrazas, Marcos</v>
      </c>
      <c r="E169" s="113" t="str">
        <f>CONCATENATE(Table1[[#This Row],[FirstName]]," ",Table1[[#This Row],[LastName]])</f>
        <v>Marcos Terrazas</v>
      </c>
      <c r="F169" s="112"/>
      <c r="G169" s="114"/>
      <c r="H169" s="114"/>
      <c r="I169" s="114"/>
      <c r="J169" s="115" t="s">
        <v>6041</v>
      </c>
      <c r="K169" s="116"/>
      <c r="L169" s="112" t="str">
        <f>IFERROR(VLOOKUP(Table1[[#This Row],[SyStudentId]],ISIR!$A$2:$X$999,11,FALSE),"")</f>
        <v/>
      </c>
      <c r="M169" s="113" t="str">
        <f>VLOOKUP(Table1[[#This Row],[SyStudentId]],SSR!$A$2:$CC$4982,7,FALSE)</f>
        <v>marcosterrazas2002@gmail.com</v>
      </c>
      <c r="N169" s="113" t="str">
        <f>VLOOKUP(Table1[[#This Row],[SyStudentId]],SSR!$A$2:$CC$4982,8,FALSE)</f>
        <v>P.O. BOX 2115</v>
      </c>
      <c r="O169" s="113" t="str">
        <f>VLOOKUP(Table1[[#This Row],[SyStudentId]],SSR!$A$2:$CC$4982,9,FALSE)</f>
        <v>SANTA CRUZ</v>
      </c>
      <c r="P169" s="113" t="str">
        <f>VLOOKUP(Table1[[#This Row],[SyStudentId]],SSR!$A$2:$CC$4982,10,FALSE)</f>
        <v>NM</v>
      </c>
      <c r="Q169" s="117" t="str">
        <f>VLOOKUP(Table1[[#This Row],[SyStudentId]],SSR!$A$2:$CC$4982,11,FALSE)</f>
        <v xml:space="preserve">87567     </v>
      </c>
      <c r="R169" s="118">
        <f>VLOOKUP(Table1[[#This Row],[SyStudentId]],SSR!$A$2:$CC$4982,15,FALSE)</f>
        <v>3</v>
      </c>
      <c r="S169" s="119">
        <f>VLOOKUP(Table1[[#This Row],[SyStudentId]],SSR!$A$2:$CC$4982,22,FALSE)</f>
        <v>44109</v>
      </c>
      <c r="T169" s="113" t="str">
        <f>VLOOKUP(Table1[[#This Row],[SyStudentId]],SSR!$A$2:$CC$4982,24,FALSE)</f>
        <v>GM</v>
      </c>
      <c r="U169" s="113" t="str">
        <f>IF(VLOOKUP(Table1[[#This Row],[SyStudentId]],SSR!$A$2:$CC$4982,26,FALSE)=0,"Not Selected",VLOOKUP(Table1[[#This Row],[SyStudentId]],SSR!$A$2:$CC$4982,26,FALSE))</f>
        <v>Male</v>
      </c>
      <c r="V169" s="113" t="str">
        <f>VLOOKUP(Table1[[#This Row],[SyStudentId]],SSR!$A$2:$CC$4982,27,FALSE)</f>
        <v xml:space="preserve">HS2020  </v>
      </c>
      <c r="W169" s="113" t="str">
        <f>VLOOKUP(LEFT(Table1[[#This Row],[LastName]],1),Alpha!$A$1:$B$26,2,FALSE)</f>
        <v>Maureen Ranks</v>
      </c>
      <c r="X169" s="149" t="str">
        <f>VLOOKUP(Table1[[#This Row],[FAA]],Alpha!$B$1:$D$26,2,FALSE)</f>
        <v>mranks@neumont.edu</v>
      </c>
      <c r="Y169" s="113">
        <f>VLOOKUP(Table1[[#This Row],[FAA]],Alpha!$B$1:$D$26,3,FALSE)</f>
        <v>8883022894</v>
      </c>
      <c r="Z169" s="113" t="str">
        <f>VLOOKUP(Table1[[#This Row],[SyStudentId]],SSR!$A$2:$CC$4982,30,FALSE)</f>
        <v>16-Accepted</v>
      </c>
      <c r="AA169" s="113" t="str">
        <f>IF(VLOOKUP(Table1[[#This Row],[SyStudentId]],SSR!$A$2:$CC$4982,36,FALSE)="Bachelor of Science","BS Computer Science","Check Program")</f>
        <v>BS Computer Science</v>
      </c>
      <c r="AB169" s="113">
        <f>VLOOKUP(Table1[[#This Row],[SyStudentId]],SSR!$A$2:$CC$4982,37,FALSE)</f>
        <v>0</v>
      </c>
      <c r="AC169" s="113">
        <f>VLOOKUP(Table1[[#This Row],[SyStudentId]],SSR!$A$2:$CC$4982,42,FALSE)</f>
        <v>0</v>
      </c>
      <c r="AD169" s="113" t="str">
        <f>VLOOKUP(Table1[[#This Row],[SyStudentId]],SSR!$A$2:$CC$4982,46,FALSE)</f>
        <v>0</v>
      </c>
      <c r="AE169" s="113" t="str">
        <f>VLOOKUP(Table1[[#This Row],[SyStudentId]],SSR!$A$2:$CC$4982,65,FALSE)</f>
        <v>VIII</v>
      </c>
      <c r="AF169"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169" s="113" t="str">
        <f>VLOOKUP(Table1[[#This Row],[SyStudentId]],SSR!$A$2:$CC$4982,66,FALSE)</f>
        <v>November</v>
      </c>
      <c r="AH169" s="113" t="str">
        <f>IFERROR(VLOOKUP(Table1[[#This Row],[SyStudentId]],ISIR!$A$2:$X$999,7,FALSE),"")</f>
        <v/>
      </c>
      <c r="AI169" s="121" t="str">
        <f>IF(Table1[[#This Row],[EFCRaw]]="","",IF(Table1[[#This Row],[EFCRaw]]="No EFC","No EFC",_xlfn.NUMBERVALUE(Table1[[#This Row],[EFCRaw]])))</f>
        <v/>
      </c>
      <c r="AJ169" s="119" t="str">
        <f>IFERROR(VLOOKUP(Table1[[#This Row],[SyStudentId]],ISIR!$A$2:$X$4999,19,FALSE),"")</f>
        <v/>
      </c>
      <c r="AK169" s="113" t="str">
        <f>IFERROR(VLOOKUP(Table1[[#This Row],[SyStudentId]],ISIR!$A$2:$X$4999,8,FALSE),"")</f>
        <v/>
      </c>
      <c r="AL169" s="132" t="str">
        <f>IF(Table1[[#This Row],[VerReq]]="N","n/a","")</f>
        <v/>
      </c>
      <c r="AM169" s="122"/>
      <c r="AN169" s="122"/>
      <c r="AO169" s="122"/>
      <c r="AP169" s="122"/>
      <c r="AQ169" s="122"/>
      <c r="AR169" s="122"/>
      <c r="AS169" s="122"/>
      <c r="AT169" s="122"/>
      <c r="AU169" s="122"/>
      <c r="AV169" s="122"/>
      <c r="AW169" s="122"/>
      <c r="AX169" s="122"/>
      <c r="AY169" s="122"/>
      <c r="AZ169" s="122"/>
      <c r="BA169" s="122"/>
      <c r="BB169" s="122"/>
      <c r="BC169" s="148"/>
      <c r="BD169" s="140" t="str">
        <f>IF(Table1[[#This Row],[VerReq]]="N","x","")</f>
        <v/>
      </c>
      <c r="BE169" s="140" t="str">
        <f>IF(Table1[[#This Row],[VerReq]]="N","x","")</f>
        <v/>
      </c>
      <c r="BF169" s="140" t="str">
        <f>IF(Table1[[#This Row],[VerReq]]="N","x","")</f>
        <v/>
      </c>
      <c r="BG169" s="140" t="str">
        <f>IF(Table1[[#This Row],[VerReq]]="N","x","")</f>
        <v/>
      </c>
      <c r="BH169" s="140" t="str">
        <f>IF(Table1[[#This Row],[VerReq]]="N","x","")</f>
        <v/>
      </c>
      <c r="BI169" s="140" t="str">
        <f>IF(Table1[[#This Row],[VerReq]]="N","x","")</f>
        <v/>
      </c>
      <c r="BJ169" s="123">
        <f>1-((COUNTBLANK(Table1[[#This Row],[ALESent]:[TaxTran]]))/(COUNT(Table1[[#This Row],[ALESent]:[TaxTran]])+COUNTBLANK(Table1[[#This Row],[ALESent]:[TaxTran]])))</f>
        <v>0</v>
      </c>
      <c r="BK169" s="150">
        <f>IF(VLOOKUP(Table1[[#This Row],[SyStudentId]],SSR!$A$2:$CC$4982,22,FALSE)=44109,44109,"Check Program")</f>
        <v>44109</v>
      </c>
      <c r="BL169" s="150">
        <f>IF(Table1[[#This Row],[AYStart]]=44109,44356,"Check Program")</f>
        <v>44356</v>
      </c>
      <c r="BM169" s="219"/>
      <c r="BN169" s="219"/>
      <c r="BO169" s="219"/>
      <c r="BP169" s="220">
        <f t="shared" si="6"/>
        <v>0</v>
      </c>
      <c r="BQ169" s="221"/>
      <c r="BR169" s="219"/>
      <c r="BS169" s="219"/>
      <c r="BT169" s="220">
        <f t="shared" si="7"/>
        <v>0</v>
      </c>
      <c r="BU169" s="219"/>
      <c r="BV169" s="219"/>
      <c r="BW169" s="219"/>
      <c r="BX169" s="220">
        <f t="shared" si="8"/>
        <v>0</v>
      </c>
      <c r="BY169" s="275"/>
      <c r="BZ169" s="275"/>
      <c r="CA169" s="275"/>
      <c r="CB169" s="220">
        <f>SUM(Table1[[#This Row],[LEQ1]:[LEQ3]])</f>
        <v>0</v>
      </c>
      <c r="CC169" s="269"/>
      <c r="CD169" s="269"/>
      <c r="CE169" s="269"/>
      <c r="CF169" s="220">
        <f>SUM(Table1[[#This Row],[OthCostQ1]:[OthCostQ3]])</f>
        <v>0</v>
      </c>
      <c r="CG169" s="220">
        <f>(Table1[[#This Row],[T&amp;FTot]]+Table1[[#This Row],[B&amp;STot]]+Table1[[#This Row],[HousTot]]+Table1[[#This Row],[LETot]]+Table1[[#This Row],[OthCostTot]])</f>
        <v>0</v>
      </c>
      <c r="CH169" s="250"/>
      <c r="CI169" s="250"/>
      <c r="CJ169" s="250"/>
      <c r="CK169" s="251">
        <f>SUM(Table1[[#This Row],[SEOGQ1]:[SEOGQ3]])</f>
        <v>0</v>
      </c>
      <c r="CL169" s="250">
        <f>IFERROR(ROUNDUP(Table1[[#This Row],[PellTot]]/3,0),0)</f>
        <v>0</v>
      </c>
      <c r="CM169" s="250">
        <f>IFERROR(ROUND(Table1[[#This Row],[PellTot]]/3,0),0)</f>
        <v>0</v>
      </c>
      <c r="CN169" s="250">
        <f>IFERROR(ROUNDDOWN(Table1[[#This Row],[PellTot]]/3,0),0)</f>
        <v>0</v>
      </c>
      <c r="CO169" s="251">
        <f>IFERROR(LOOKUP(Table1[EFC],Pell_Table[#Data],Pell_Table[Pell Amt]),0)</f>
        <v>0</v>
      </c>
      <c r="CP169" s="250">
        <f>Table1[[#This Row],[AccessTot]]/3</f>
        <v>0</v>
      </c>
      <c r="CQ169" s="250">
        <f>Table1[[#This Row],[AccessTot]]/3</f>
        <v>0</v>
      </c>
      <c r="CR169" s="250">
        <f>Table1[[#This Row],[AccessTot]]/3</f>
        <v>0</v>
      </c>
      <c r="CS169" s="251">
        <f>IF(Table1[[#This Row],[PellTot]]&gt;0,1500,0)</f>
        <v>0</v>
      </c>
      <c r="CT169" s="250">
        <f>Table1[[#This Row],[AchiTot]]/3</f>
        <v>0</v>
      </c>
      <c r="CU169" s="250">
        <f>Table1[[#This Row],[AchiTot]]/3</f>
        <v>0</v>
      </c>
      <c r="CV169" s="250">
        <f>Table1[[#This Row],[AchiTot]]/3</f>
        <v>0</v>
      </c>
      <c r="CW169" s="252">
        <f>IF(Table1[[#This Row],[Rank]]="","",IF(Table1[[#This Row],[Rank]]=1,5100,IF(Table1[[#This Row],[Rank]]=2,4500,IF(Table1[[#This Row],[Rank]]=3,3900,IF(Table1[[#This Row],[Rank]]=4,3750,IF(Table1[[#This Row],[Rank]]=5,3000,IF(Table1[[#This Row],[Rank]]=6,2250,0)))))))</f>
        <v>0</v>
      </c>
      <c r="CX169" s="250">
        <f>Table1[[#This Row],[UTTot]]/3</f>
        <v>0</v>
      </c>
      <c r="CY169" s="250">
        <f>Table1[[#This Row],[UTTot]]/3</f>
        <v>0</v>
      </c>
      <c r="CZ169" s="250">
        <f>Table1[[#This Row],[UTTot]]/3</f>
        <v>0</v>
      </c>
      <c r="DA169" s="251">
        <f>IF(Table1[[#This Row],[State]]="UT",9000,0)</f>
        <v>0</v>
      </c>
      <c r="DB169" s="250">
        <f>Table1[[#This Row],[WITTot]]/3</f>
        <v>0</v>
      </c>
      <c r="DC169" s="250">
        <f>Table1[[#This Row],[WITTot]]/3</f>
        <v>0</v>
      </c>
      <c r="DD169" s="250">
        <f>Table1[[#This Row],[WITTot]]/3</f>
        <v>0</v>
      </c>
      <c r="DE169" s="251">
        <f>IF(Table1[[#This Row],[Gender]]="Female",3000,0)</f>
        <v>0</v>
      </c>
      <c r="DF169" s="250">
        <f>Table1[[#This Row],[SerTot]]/3</f>
        <v>0</v>
      </c>
      <c r="DG169" s="250">
        <f>Table1[[#This Row],[SerTot]]/3</f>
        <v>0</v>
      </c>
      <c r="DH169" s="250">
        <f>Table1[[#This Row],[SerTot]]/3</f>
        <v>0</v>
      </c>
      <c r="DI169" s="252"/>
      <c r="DJ169" s="250"/>
      <c r="DK169" s="250"/>
      <c r="DL169" s="250"/>
      <c r="DM169" s="252"/>
      <c r="DN169" s="250">
        <f>Table1[[#This Row],[MatTot]]/3</f>
        <v>0</v>
      </c>
      <c r="DO169" s="250">
        <f>Table1[[#This Row],[MatTot]]/3</f>
        <v>0</v>
      </c>
      <c r="DP169" s="250">
        <f>Table1[[#This Row],[MatTot]]/3</f>
        <v>0</v>
      </c>
      <c r="DQ169" s="252"/>
      <c r="DR169" s="250">
        <f>Table1[[#This Row],[OutTot]]/3</f>
        <v>0</v>
      </c>
      <c r="DS169" s="250">
        <f>Table1[[#This Row],[OutTot]]/3</f>
        <v>0</v>
      </c>
      <c r="DT169" s="250">
        <f>Table1[[#This Row],[OutTot]]/3</f>
        <v>0</v>
      </c>
      <c r="DU169" s="252"/>
      <c r="DV169" s="250"/>
      <c r="DW169" s="250"/>
      <c r="DX169" s="250"/>
      <c r="DY169" s="252">
        <f>SUM(Table1[[#This Row],[VAQ1]:[VAQ3]])</f>
        <v>0</v>
      </c>
      <c r="DZ169" s="250"/>
      <c r="EA169" s="250"/>
      <c r="EB169" s="250"/>
      <c r="EC169" s="270">
        <f>SUM(Table1[[#This Row],[OthGrantQ1]:[OthGrantQ3]])</f>
        <v>0</v>
      </c>
      <c r="ED169" s="263">
        <f>Table1[[#This Row],[SEOGTot]]+Table1[[#This Row],[PellTot]]+Table1[[#This Row],[AccessTot]]+Table1[[#This Row],[AchiTot]]+Table1[[#This Row],[UTTot]]+Table1[[#This Row],[WITTot]]+Table1[[#This Row],[SerTot]]+Table1[[#This Row],[TranTot]]+Table1[[#This Row],[MatTot]]+Table1[[#This Row],[OutTot]]+Table1[[#This Row],[VATot]]+Table1[[#This Row],[OthGrantTot]]</f>
        <v>0</v>
      </c>
      <c r="EE169" s="282"/>
      <c r="EF169" s="237"/>
      <c r="EG169" s="237"/>
      <c r="EH169" s="232">
        <f>SUM(Table1[[#This Row],[CashQ1]]:Table1[[#This Row],[CashQ3]])</f>
        <v>0</v>
      </c>
      <c r="EI169" s="271">
        <f>ROUND((Table1[[#This Row],[SubTot]]/3)/1.01059,0)</f>
        <v>0</v>
      </c>
      <c r="EJ169" s="234">
        <f>ROUND((Table1[[#This Row],[SubTot]]/3)/1.01059,0)</f>
        <v>0</v>
      </c>
      <c r="EK169" s="234">
        <f>ROUNDUP((Table1[[#This Row],[SubTot]]/3)/1.01059,0)</f>
        <v>0</v>
      </c>
      <c r="EL169" s="235"/>
      <c r="EM169" s="240">
        <f>Table1[[#This Row],[SubTot]]*0.01059</f>
        <v>0</v>
      </c>
      <c r="EN169" s="234">
        <f>ROUND((Table1[[#This Row],[UnsubTot]]/3)/1.01062,0)</f>
        <v>660</v>
      </c>
      <c r="EO169" s="234">
        <f>ROUND((Table1[[#This Row],[UnsubTot]]/3)/1.01062,0)</f>
        <v>660</v>
      </c>
      <c r="EP169" s="234">
        <f>ROUNDDOWN((Table1[[#This Row],[UnsubTot]]/3)/1.01062,0)</f>
        <v>659</v>
      </c>
      <c r="EQ169" s="235">
        <f>IF(Table1[D/I]="I",6000,2000)</f>
        <v>2000</v>
      </c>
      <c r="ER169" s="240">
        <f>Table1[[#This Row],[UnsubTot]]*0.01062</f>
        <v>21.24</v>
      </c>
      <c r="ES169" s="234">
        <f>ROUND((Table1[[#This Row],[PLUSTot]]/3)/1.04248,0)</f>
        <v>0</v>
      </c>
      <c r="ET169" s="234">
        <f>ROUND((Table1[[#This Row],[PLUSTot]]/3)/1.04248,0)</f>
        <v>0</v>
      </c>
      <c r="EU169" s="234">
        <f>ROUND((Table1[[#This Row],[PLUSTot]]/3)/1.04248,0)</f>
        <v>0</v>
      </c>
      <c r="EV169" s="235"/>
      <c r="EW169" s="239">
        <f>Table1[[#This Row],[PLUSTot]]*0.04248</f>
        <v>0</v>
      </c>
      <c r="EX169" s="237"/>
      <c r="EY169" s="237"/>
      <c r="EZ169" s="237"/>
      <c r="FA169" s="232">
        <f>SUM(Table1[[#This Row],[PrivQ1]:[PrivQ3]])</f>
        <v>0</v>
      </c>
      <c r="FB169" s="237"/>
      <c r="FC169" s="237"/>
      <c r="FD169" s="237"/>
      <c r="FE169" s="232">
        <f>SUM(Table1[[#This Row],[TOQ1]:[TOQ3]])</f>
        <v>0</v>
      </c>
      <c r="FF169" s="237"/>
      <c r="FG169" s="237"/>
      <c r="FH169" s="237"/>
      <c r="FI169" s="232">
        <f>SUM(Table1[[#This Row],[OFundQ1]:[OFundQ3]])</f>
        <v>0</v>
      </c>
      <c r="FJ169" s="239">
        <f>(Table1[[#This Row],[SubTot]]-Table1[[#This Row],[SubFee]])+(Table1[[#This Row],[UnsubTot]]-Table1[[#This Row],[UnsubFee]])+(Table1[[#This Row],[PLUSTot]]-Table1[[#This Row],[PLUSFee]])+Table1[[#This Row],[PrivTot]]+Table1[[#This Row],[TOTot]]+Table1[[#This Row],[OFundTot]]</f>
        <v>1978.76</v>
      </c>
      <c r="FK169" s="125">
        <f>Table1[[#This Row],[CostTot]]-Table1[[#This Row],[GiftTot]]</f>
        <v>0</v>
      </c>
      <c r="FL169" s="130">
        <f>Table1[[#This Row],[NetNeed]]/(1-0.04248)</f>
        <v>-2066.5469128582172</v>
      </c>
      <c r="FM169" s="131">
        <f>Table1[[#This Row],[NetCost]]-Table1[[#This Row],[CashTot]]-(Table1[[#This Row],[SubTot]]-Table1[[#This Row],[SubFee]])-(Table1[[#This Row],[UnsubTot]]-Table1[[#This Row],[UnsubFee]])-(Table1[[#This Row],[PLUSTot]]-Table1[[#This Row],[PLUSFee]])-Table1[[#This Row],[PrivTot]]-Table1[[#This Row],[TOTot]]-Table1[[#This Row],[OFundTot]]</f>
        <v>-1978.76</v>
      </c>
      <c r="FN169" s="156"/>
      <c r="FO169" s="113"/>
      <c r="FP169" s="113"/>
    </row>
    <row r="170" spans="1:172" ht="15" x14ac:dyDescent="0.25">
      <c r="A170" s="309">
        <v>198761</v>
      </c>
      <c r="B170" s="160" t="str">
        <f>VLOOKUP(Table1[[#This Row],[SyStudentId]],SSR!$A$2:$CC$4982,4,FALSE)</f>
        <v>Tieu</v>
      </c>
      <c r="C170" s="160" t="str">
        <f>VLOOKUP(Table1[[#This Row],[SyStudentId]],SSR!$A$2:$CC$4982,5,FALSE)</f>
        <v>Isaac</v>
      </c>
      <c r="D170" s="160" t="str">
        <f>VLOOKUP(Table1[[#This Row],[SyStudentId]],SSR!$A$2:$CC$4982,6,FALSE)</f>
        <v>Tieu, Isaac</v>
      </c>
      <c r="E170" s="113" t="str">
        <f>CONCATENATE(Table1[[#This Row],[FirstName]]," ",Table1[[#This Row],[LastName]])</f>
        <v>Isaac Tieu</v>
      </c>
      <c r="F170" s="158"/>
      <c r="G170" s="114"/>
      <c r="H170" s="114"/>
      <c r="I170" s="114"/>
      <c r="J170" s="163"/>
      <c r="K170" s="164"/>
      <c r="L170" s="158" t="str">
        <f>IFERROR(VLOOKUP(Table1[[#This Row],[SyStudentId]],ISIR!$A$2:$X$4999,11,FALSE),"")</f>
        <v/>
      </c>
      <c r="M170" s="160" t="str">
        <f>VLOOKUP(Table1[[#This Row],[SyStudentId]],SSR!$A$2:$CC$4982,7,FALSE)</f>
        <v>spilers0120@gmail.com</v>
      </c>
      <c r="N170" s="160" t="str">
        <f>VLOOKUP(Table1[[#This Row],[SyStudentId]],SSR!$A$2:$CC$4982,8,FALSE)</f>
        <v>2909 Barrowby St.</v>
      </c>
      <c r="O170" s="160" t="str">
        <f>VLOOKUP(Table1[[#This Row],[SyStudentId]],SSR!$A$2:$CC$4982,9,FALSE)</f>
        <v>Bakersfield</v>
      </c>
      <c r="P170" s="300" t="str">
        <f>VLOOKUP(Table1[[#This Row],[SyStudentId]],SSR!$A$2:$CC$4982,10,FALSE)</f>
        <v>CA</v>
      </c>
      <c r="Q170" s="165" t="str">
        <f>VLOOKUP(Table1[[#This Row],[SyStudentId]],SSR!$A$2:$CC$4982,11,FALSE)</f>
        <v xml:space="preserve">93311     </v>
      </c>
      <c r="R170" s="166">
        <f>VLOOKUP(Table1[[#This Row],[SyStudentId]],SSR!$A$2:$CC$4982,15,FALSE)</f>
        <v>3.6</v>
      </c>
      <c r="S170" s="167">
        <f>VLOOKUP(Table1[[#This Row],[SyStudentId]],SSR!$A$2:$CC$4982,22,FALSE)</f>
        <v>44109</v>
      </c>
      <c r="T170" s="160" t="str">
        <f>VLOOKUP(Table1[[#This Row],[SyStudentId]],SSR!$A$2:$CC$4982,24,FALSE)</f>
        <v>JT</v>
      </c>
      <c r="U170" s="113" t="str">
        <f>IF(VLOOKUP(Table1[[#This Row],[SyStudentId]],SSR!$A$2:$CC$4982,26,FALSE)=0,"Not Selected",VLOOKUP(Table1[[#This Row],[SyStudentId]],SSR!$A$2:$CC$4982,26,FALSE))</f>
        <v>Male</v>
      </c>
      <c r="V170" s="160" t="str">
        <f>VLOOKUP(Table1[[#This Row],[SyStudentId]],SSR!$A$2:$CC$4982,27,FALSE)</f>
        <v xml:space="preserve">HS2020  </v>
      </c>
      <c r="W170" s="160" t="str">
        <f>VLOOKUP(LEFT(Table1[[#This Row],[LastName]],1),Alpha!$A$1:$B$26,2,FALSE)</f>
        <v>Maureen Ranks</v>
      </c>
      <c r="X170" s="179" t="str">
        <f>VLOOKUP(Table1[[#This Row],[FAA]],Alpha!$B$1:$D$26,2,FALSE)</f>
        <v>mranks@neumont.edu</v>
      </c>
      <c r="Y170" s="160">
        <f>VLOOKUP(Table1[[#This Row],[FAA]],Alpha!$B$1:$D$26,3,FALSE)</f>
        <v>8883022894</v>
      </c>
      <c r="Z170" s="160" t="str">
        <f>VLOOKUP(Table1[[#This Row],[SyStudentId]],SSR!$A$2:$CC$4982,30,FALSE)</f>
        <v>16-Accepted</v>
      </c>
      <c r="AA170" s="160" t="str">
        <f>IF(VLOOKUP(Table1[[#This Row],[SyStudentId]],SSR!$A$2:$CC$4982,36,FALSE)="Bachelor of Science","BS Computer Science","Check Program")</f>
        <v>BS Computer Science</v>
      </c>
      <c r="AB170" s="160">
        <f>VLOOKUP(Table1[[#This Row],[SyStudentId]],SSR!$A$2:$CC$4982,37,FALSE)</f>
        <v>0</v>
      </c>
      <c r="AC170" s="160" t="str">
        <f>VLOOKUP(Table1[[#This Row],[SyStudentId]],SSR!$A$2:$CC$4982,42,FALSE)</f>
        <v xml:space="preserve">1190    </v>
      </c>
      <c r="AD170" s="160" t="str">
        <f>VLOOKUP(Table1[[#This Row],[SyStudentId]],SSR!$A$2:$CC$4982,46,FALSE)</f>
        <v>117</v>
      </c>
      <c r="AE170" s="160" t="str">
        <f>VLOOKUP(Table1[[#This Row],[SyStudentId]],SSR!$A$2:$CC$4982,65,FALSE)</f>
        <v>I</v>
      </c>
      <c r="AF170"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70" s="160" t="str">
        <f>VLOOKUP(Table1[[#This Row],[SyStudentId]],SSR!$A$2:$CC$4982,66,FALSE)</f>
        <v>July-October</v>
      </c>
      <c r="AH170" s="160" t="str">
        <f>IFERROR(VLOOKUP(Table1[[#This Row],[SyStudentId]],ISIR!$A$2:$X$1999,7,FALSE),"")</f>
        <v/>
      </c>
      <c r="AI170" s="170" t="str">
        <f>IF(Table1[[#This Row],[EFCRaw]]="","",IF(Table1[[#This Row],[EFCRaw]]="No EFC","No EFC",_xlfn.NUMBERVALUE(Table1[[#This Row],[EFCRaw]])))</f>
        <v/>
      </c>
      <c r="AJ170" s="167" t="str">
        <f>IFERROR(VLOOKUP(Table1[[#This Row],[SyStudentId]],ISIR!$A$2:$X$4999,19,FALSE),"")</f>
        <v/>
      </c>
      <c r="AK170" s="160" t="str">
        <f>IFERROR(VLOOKUP(Table1[[#This Row],[SyStudentId]],ISIR!$A$2:$X$4999,8,FALSE),"")</f>
        <v/>
      </c>
      <c r="AL170" s="178" t="str">
        <f>IF(Table1[[#This Row],[VerReq]]="N","n/a","")</f>
        <v/>
      </c>
      <c r="AM170" s="122"/>
      <c r="AN170" s="122"/>
      <c r="AO170" s="122"/>
      <c r="AP170" s="122"/>
      <c r="AQ170" s="122"/>
      <c r="AR170" s="122"/>
      <c r="AS170" s="122"/>
      <c r="AT170" s="122"/>
      <c r="AU170" s="122"/>
      <c r="AV170" s="122"/>
      <c r="AW170" s="122"/>
      <c r="AX170" s="122"/>
      <c r="AY170" s="122"/>
      <c r="AZ170" s="122"/>
      <c r="BA170" s="122"/>
      <c r="BB170" s="122"/>
      <c r="BC170" s="148"/>
      <c r="BD170" s="140" t="str">
        <f>IF(Table1[[#This Row],[VerReq]]="N","x","")</f>
        <v/>
      </c>
      <c r="BE170" s="140" t="str">
        <f>IF(Table1[[#This Row],[VerReq]]="N","x","")</f>
        <v/>
      </c>
      <c r="BF170" s="140" t="str">
        <f>IF(Table1[[#This Row],[VerReq]]="N","x","")</f>
        <v/>
      </c>
      <c r="BG170" s="140" t="str">
        <f>IF(Table1[[#This Row],[VerReq]]="N","x","")</f>
        <v/>
      </c>
      <c r="BH170" s="140" t="str">
        <f>IF(Table1[[#This Row],[VerReq]]="N","x","")</f>
        <v/>
      </c>
      <c r="BI170" s="140" t="str">
        <f>IF(Table1[[#This Row],[VerReq]]="N","x","")</f>
        <v/>
      </c>
      <c r="BJ170" s="181">
        <f>1-((COUNTBLANK(Table1[[#This Row],[ALESent]:[TaxTran]]))/(COUNT(Table1[[#This Row],[ALESent]:[TaxTran]])+COUNTBLANK(Table1[[#This Row],[ALESent]:[TaxTran]])))</f>
        <v>0</v>
      </c>
      <c r="BK170" s="216">
        <f>IF(VLOOKUP(Table1[[#This Row],[SyStudentId]],SSR!$A$2:$CC$4982,22,FALSE)=44109,44109,"Check Program")</f>
        <v>44109</v>
      </c>
      <c r="BL170" s="216">
        <f>IF(Table1[[#This Row],[AYStart]]=44109,44356,"Check Program")</f>
        <v>44356</v>
      </c>
      <c r="BM170" s="219">
        <v>8505</v>
      </c>
      <c r="BN170" s="219">
        <v>8505</v>
      </c>
      <c r="BO170" s="219">
        <v>8505</v>
      </c>
      <c r="BP170" s="220">
        <f t="shared" si="6"/>
        <v>25515</v>
      </c>
      <c r="BQ170" s="221">
        <v>3300</v>
      </c>
      <c r="BR170" s="219">
        <v>400</v>
      </c>
      <c r="BS170" s="219">
        <v>400</v>
      </c>
      <c r="BT170" s="222">
        <f t="shared" si="7"/>
        <v>4100</v>
      </c>
      <c r="BU170" s="219">
        <v>2100</v>
      </c>
      <c r="BV170" s="219">
        <v>2100</v>
      </c>
      <c r="BW170" s="219">
        <v>2100</v>
      </c>
      <c r="BX170" s="222">
        <f t="shared" si="8"/>
        <v>6300</v>
      </c>
      <c r="BY170" s="275">
        <v>1200</v>
      </c>
      <c r="BZ170" s="275">
        <v>1200</v>
      </c>
      <c r="CA170" s="275">
        <v>1200</v>
      </c>
      <c r="CB170" s="222">
        <f>SUM(Table1[[#This Row],[LEQ1]:[LEQ3]])</f>
        <v>3600</v>
      </c>
      <c r="CC170" s="276">
        <v>0</v>
      </c>
      <c r="CD170" s="276">
        <v>0</v>
      </c>
      <c r="CE170" s="276">
        <v>0</v>
      </c>
      <c r="CF170" s="222">
        <f>SUM(Table1[[#This Row],[OthCostQ1]:[OthCostQ3]])</f>
        <v>0</v>
      </c>
      <c r="CG170" s="222">
        <f>(Table1[[#This Row],[T&amp;FTot]]+Table1[[#This Row],[B&amp;STot]]+Table1[[#This Row],[HousTot]]+Table1[[#This Row],[LETot]]+Table1[[#This Row],[OthCostTot]])</f>
        <v>39515</v>
      </c>
      <c r="CH170" s="253">
        <v>0</v>
      </c>
      <c r="CI170" s="253">
        <v>0</v>
      </c>
      <c r="CJ170" s="253">
        <v>0</v>
      </c>
      <c r="CK170" s="254">
        <f>SUM(Table1[[#This Row],[SEOGQ1]:[SEOGQ3]])</f>
        <v>0</v>
      </c>
      <c r="CL170" s="253">
        <f>IFERROR(ROUNDUP(Table1[[#This Row],[PellTot]]/3,0),0)</f>
        <v>0</v>
      </c>
      <c r="CM170" s="253">
        <f>IFERROR(ROUND(Table1[[#This Row],[PellTot]]/3,0),0)</f>
        <v>0</v>
      </c>
      <c r="CN170" s="253">
        <f>IFERROR(ROUNDDOWN(Table1[[#This Row],[PellTot]]/3,0),0)</f>
        <v>0</v>
      </c>
      <c r="CO170" s="254">
        <f>IFERROR(LOOKUP(Table1[EFC],Pell_Table[#Data],Pell_Table[Pell Amt]),0)</f>
        <v>0</v>
      </c>
      <c r="CP170" s="253">
        <f>Table1[[#This Row],[AccessTot]]/3</f>
        <v>0</v>
      </c>
      <c r="CQ170" s="253">
        <f>Table1[[#This Row],[AccessTot]]/3</f>
        <v>0</v>
      </c>
      <c r="CR170" s="253">
        <f>Table1[[#This Row],[AccessTot]]/3</f>
        <v>0</v>
      </c>
      <c r="CS170" s="254">
        <f>IF(Table1[[#This Row],[PellTot]]&gt;0,1500,0)</f>
        <v>0</v>
      </c>
      <c r="CT170" s="253">
        <f>Table1[[#This Row],[AchiTot]]/3</f>
        <v>3825</v>
      </c>
      <c r="CU170" s="253">
        <f>Table1[[#This Row],[AchiTot]]/3</f>
        <v>3825</v>
      </c>
      <c r="CV170" s="253">
        <f>Table1[[#This Row],[AchiTot]]/3</f>
        <v>3825</v>
      </c>
      <c r="CW170" s="255">
        <v>11475</v>
      </c>
      <c r="CX170" s="253">
        <f>Table1[[#This Row],[UTTot]]/3</f>
        <v>0</v>
      </c>
      <c r="CY170" s="253">
        <f>Table1[[#This Row],[UTTot]]/3</f>
        <v>0</v>
      </c>
      <c r="CZ170" s="253">
        <f>Table1[[#This Row],[UTTot]]/3</f>
        <v>0</v>
      </c>
      <c r="DA170" s="254">
        <f>IF(Table1[[#This Row],[State]]="UT",9000,0)</f>
        <v>0</v>
      </c>
      <c r="DB170" s="253">
        <f>Table1[[#This Row],[WITTot]]/3</f>
        <v>0</v>
      </c>
      <c r="DC170" s="253">
        <f>Table1[[#This Row],[WITTot]]/3</f>
        <v>0</v>
      </c>
      <c r="DD170" s="253">
        <f>Table1[[#This Row],[WITTot]]/3</f>
        <v>0</v>
      </c>
      <c r="DE170" s="254">
        <f>IF(Table1[[#This Row],[Gender]]="Female",3000,0)</f>
        <v>0</v>
      </c>
      <c r="DF170" s="253">
        <f>Table1[[#This Row],[SerTot]]/3</f>
        <v>0</v>
      </c>
      <c r="DG170" s="253">
        <f>Table1[[#This Row],[SerTot]]/3</f>
        <v>0</v>
      </c>
      <c r="DH170" s="253">
        <f>Table1[[#This Row],[SerTot]]/3</f>
        <v>0</v>
      </c>
      <c r="DI170" s="255">
        <v>0</v>
      </c>
      <c r="DJ170" s="253">
        <f>IFERROR(ROUNDUP(Table1[[#This Row],[TranTot]]/3,0),0)</f>
        <v>0</v>
      </c>
      <c r="DK170" s="253">
        <f>IFERROR(ROUND(Table1[[#This Row],[TranTot]]/3,0),0)</f>
        <v>0</v>
      </c>
      <c r="DL170" s="253">
        <f>IFERROR(ROUNDDOWN(Table1[[#This Row],[TranTot]]/3,0),0)</f>
        <v>0</v>
      </c>
      <c r="DM170" s="255">
        <v>0</v>
      </c>
      <c r="DN170" s="253">
        <f>Table1[[#This Row],[MatTot]]/3</f>
        <v>0</v>
      </c>
      <c r="DO170" s="253">
        <f>Table1[[#This Row],[MatTot]]/3</f>
        <v>0</v>
      </c>
      <c r="DP170" s="253">
        <f>Table1[[#This Row],[MatTot]]/3</f>
        <v>0</v>
      </c>
      <c r="DQ170" s="255">
        <v>0</v>
      </c>
      <c r="DR170" s="253">
        <f>Table1[[#This Row],[OutTot]]/3</f>
        <v>0</v>
      </c>
      <c r="DS170" s="253">
        <f>Table1[[#This Row],[OutTot]]/3</f>
        <v>0</v>
      </c>
      <c r="DT170" s="253">
        <f>Table1[[#This Row],[OutTot]]/3</f>
        <v>0</v>
      </c>
      <c r="DU170" s="255">
        <v>0</v>
      </c>
      <c r="DV170" s="253">
        <v>0</v>
      </c>
      <c r="DW170" s="253">
        <v>0</v>
      </c>
      <c r="DX170" s="253">
        <v>0</v>
      </c>
      <c r="DY170" s="255">
        <f>SUM(Table1[[#This Row],[VAQ1]:[VAQ3]])</f>
        <v>0</v>
      </c>
      <c r="DZ170" s="253">
        <v>0</v>
      </c>
      <c r="EA170" s="253">
        <v>0</v>
      </c>
      <c r="EB170" s="253">
        <v>0</v>
      </c>
      <c r="EC170" s="278">
        <f>SUM(Table1[[#This Row],[OthGrantQ1]:[OthGrantQ3]])</f>
        <v>0</v>
      </c>
      <c r="ED170" s="264">
        <f>Table1[[#This Row],[SEOGTot]]+Table1[[#This Row],[PellTot]]+Table1[[#This Row],[AccessTot]]+Table1[[#This Row],[AchiTot]]+Table1[[#This Row],[UTTot]]+Table1[[#This Row],[WITTot]]+Table1[[#This Row],[SerTot]]+Table1[[#This Row],[TranTot]]+Table1[[#This Row],[MatTot]]+Table1[[#This Row],[OutTot]]+Table1[[#This Row],[VATot]]+Table1[[#This Row],[OthGrantTot]]</f>
        <v>11475</v>
      </c>
      <c r="EE170" s="298">
        <v>0</v>
      </c>
      <c r="EF170" s="227">
        <v>0</v>
      </c>
      <c r="EG170" s="227">
        <v>0</v>
      </c>
      <c r="EH170" s="228">
        <f>SUM(Table1[[#This Row],[CashQ1]]:Table1[[#This Row],[CashQ3]])</f>
        <v>0</v>
      </c>
      <c r="EI170" s="229">
        <f>ROUND((Table1[[#This Row],[SubTot]]/3)/1.01059,0)</f>
        <v>1154</v>
      </c>
      <c r="EJ170" s="230">
        <f>ROUND((Table1[[#This Row],[SubTot]]/3)/1.01059,0)</f>
        <v>1154</v>
      </c>
      <c r="EK170" s="230">
        <f>ROUNDUP((Table1[[#This Row],[SubTot]]/3)/1.01059,0)</f>
        <v>1155</v>
      </c>
      <c r="EL170" s="231">
        <v>3500</v>
      </c>
      <c r="EM170" s="233">
        <f>Table1[[#This Row],[SubTot]]*0.01059</f>
        <v>37.065000000000005</v>
      </c>
      <c r="EN170" s="230">
        <f>ROUND((Table1[[#This Row],[UnsubTot]]/3)/1.01062,0)</f>
        <v>660</v>
      </c>
      <c r="EO170" s="230">
        <f>ROUND((Table1[[#This Row],[UnsubTot]]/3)/1.01062,0)</f>
        <v>660</v>
      </c>
      <c r="EP170" s="230">
        <f>ROUNDDOWN((Table1[[#This Row],[UnsubTot]]/3)/1.01062,0)</f>
        <v>659</v>
      </c>
      <c r="EQ170" s="231">
        <f>IF(Table1[D/I]="I",6000,2000)</f>
        <v>2000</v>
      </c>
      <c r="ER170" s="233">
        <f>Table1[[#This Row],[UnsubTot]]*0.01059</f>
        <v>21.18</v>
      </c>
      <c r="ES170" s="230">
        <f>ROUND((Table1[[#This Row],[PLUSTot]]/3)/1.04236,0)</f>
        <v>0</v>
      </c>
      <c r="ET170" s="230">
        <f>ROUND((Table1[[#This Row],[PLUSTot]]/3)/1.04236,0)</f>
        <v>0</v>
      </c>
      <c r="EU170" s="230">
        <f>ROUND((Table1[[#This Row],[PLUSTot]]/3)/1.04236,0)</f>
        <v>0</v>
      </c>
      <c r="EV170" s="231">
        <v>0</v>
      </c>
      <c r="EW170" s="236">
        <f>Table1[[#This Row],[PLUSTot]]*0.04236</f>
        <v>0</v>
      </c>
      <c r="EX170" s="227"/>
      <c r="EY170" s="227"/>
      <c r="EZ170" s="227"/>
      <c r="FA170" s="228">
        <f>SUM(Table1[[#This Row],[PrivQ1]:[PrivQ3]])</f>
        <v>0</v>
      </c>
      <c r="FB170" s="227"/>
      <c r="FC170" s="227"/>
      <c r="FD170" s="227"/>
      <c r="FE170" s="228">
        <f>SUM(Table1[[#This Row],[TOQ1]:[TOQ3]])</f>
        <v>0</v>
      </c>
      <c r="FF170" s="227"/>
      <c r="FG170" s="227"/>
      <c r="FH170" s="227"/>
      <c r="FI170" s="228">
        <f>SUM(Table1[[#This Row],[OFundQ1]:[OFundQ3]])</f>
        <v>0</v>
      </c>
      <c r="FJ170" s="236">
        <f>(Table1[[#This Row],[SubTot]]-Table1[[#This Row],[SubFee]])+(Table1[[#This Row],[UnsubTot]]-Table1[[#This Row],[UnsubFee]])+(Table1[[#This Row],[PLUSTot]]-Table1[[#This Row],[PLUSFee]])+Table1[[#This Row],[PrivTot]]+Table1[[#This Row],[TOTot]]+Table1[[#This Row],[OFundTot]]</f>
        <v>5441.7550000000001</v>
      </c>
      <c r="FK170" s="159">
        <f>Table1[[#This Row],[CostTot]]-Table1[[#This Row],[GiftTot]]</f>
        <v>28040</v>
      </c>
      <c r="FL170" s="174">
        <f>Table1[[#This Row],[NetNeed]]/(1-0.04236)</f>
        <v>23597.849922726702</v>
      </c>
      <c r="FM170" s="176">
        <f>Table1[[#This Row],[NetCost]]-Table1[[#This Row],[CashTot]]-(Table1[[#This Row],[SubTot]]-Table1[[#This Row],[SubFee]])-(Table1[[#This Row],[UnsubTot]]-Table1[[#This Row],[UnsubFee]])-(Table1[[#This Row],[PLUSTot]]-Table1[[#This Row],[PLUSFee]])-Table1[[#This Row],[PrivTot]]-Table1[[#This Row],[TOTot]]-Table1[[#This Row],[OFundTot]]</f>
        <v>22598.244999999999</v>
      </c>
      <c r="FN170" s="217"/>
      <c r="FO170" s="162"/>
      <c r="FP170" s="162"/>
    </row>
    <row r="171" spans="1:172" ht="15" x14ac:dyDescent="0.25">
      <c r="A171" s="287">
        <v>197549</v>
      </c>
      <c r="B171" s="113" t="str">
        <f>VLOOKUP(Table1[[#This Row],[SyStudentId]],SSR!$A$2:$CC$4982,4,FALSE)</f>
        <v>Tir</v>
      </c>
      <c r="C171" s="113" t="str">
        <f>VLOOKUP(Table1[[#This Row],[SyStudentId]],SSR!$A$2:$CC$4982,5,FALSE)</f>
        <v>Linda</v>
      </c>
      <c r="D171" s="113" t="str">
        <f>VLOOKUP(Table1[[#This Row],[SyStudentId]],SSR!$A$2:$CC$4982,6,FALSE)</f>
        <v>Tir, Linda</v>
      </c>
      <c r="E171" s="113" t="str">
        <f>CONCATENATE(Table1[[#This Row],[FirstName]]," ",Table1[[#This Row],[LastName]])</f>
        <v>Linda Tir</v>
      </c>
      <c r="F171" s="112">
        <v>1</v>
      </c>
      <c r="G171" s="114"/>
      <c r="H171" s="114"/>
      <c r="I171" s="114">
        <v>43783</v>
      </c>
      <c r="J171" s="115"/>
      <c r="K171" s="116"/>
      <c r="L171" s="112" t="str">
        <f>IFERROR(VLOOKUP(Table1[[#This Row],[SyStudentId]],ISIR!$A$2:$X$4999,11,FALSE),"")</f>
        <v>X</v>
      </c>
      <c r="M171" s="113" t="str">
        <f>VLOOKUP(Table1[[#This Row],[SyStudentId]],SSR!$A$2:$CC$4982,7,FALSE)</f>
        <v>LOTirl11@stu.lok12.org</v>
      </c>
      <c r="N171" s="113" t="str">
        <f>VLOOKUP(Table1[[#This Row],[SyStudentId]],SSR!$A$2:$CC$4982,8,FALSE)</f>
        <v>1100 American Elm St</v>
      </c>
      <c r="O171" s="113" t="str">
        <f>VLOOKUP(Table1[[#This Row],[SyStudentId]],SSR!$A$2:$CC$4982,9,FALSE)</f>
        <v>Lake Orion</v>
      </c>
      <c r="P171" s="303" t="str">
        <f>VLOOKUP(Table1[[#This Row],[SyStudentId]],SSR!$A$2:$CC$4982,10,FALSE)</f>
        <v>MI</v>
      </c>
      <c r="Q171" s="117" t="str">
        <f>VLOOKUP(Table1[[#This Row],[SyStudentId]],SSR!$A$2:$CC$4982,11,FALSE)</f>
        <v xml:space="preserve">48360     </v>
      </c>
      <c r="R171" s="118">
        <f>VLOOKUP(Table1[[#This Row],[SyStudentId]],SSR!$A$2:$CC$4982,15,FALSE)</f>
        <v>3.7957999999999998</v>
      </c>
      <c r="S171" s="119">
        <f>VLOOKUP(Table1[[#This Row],[SyStudentId]],SSR!$A$2:$CC$4982,22,FALSE)</f>
        <v>44109</v>
      </c>
      <c r="T171" s="113" t="str">
        <f>VLOOKUP(Table1[[#This Row],[SyStudentId]],SSR!$A$2:$CC$4982,24,FALSE)</f>
        <v>JT</v>
      </c>
      <c r="U171" s="113" t="str">
        <f>IF(VLOOKUP(Table1[[#This Row],[SyStudentId]],SSR!$A$2:$CC$4982,26,FALSE)=0,"Not Selected",VLOOKUP(Table1[[#This Row],[SyStudentId]],SSR!$A$2:$CC$4982,26,FALSE))</f>
        <v>Female</v>
      </c>
      <c r="V171" s="113" t="str">
        <f>VLOOKUP(Table1[[#This Row],[SyStudentId]],SSR!$A$2:$CC$4982,27,FALSE)</f>
        <v xml:space="preserve">HS2020  </v>
      </c>
      <c r="W171" s="113" t="str">
        <f>VLOOKUP(LEFT(Table1[[#This Row],[LastName]],1),Alpha!$A$1:$B$26,2,FALSE)</f>
        <v>Maureen Ranks</v>
      </c>
      <c r="X171" s="149" t="str">
        <f>VLOOKUP(Table1[[#This Row],[FAA]],Alpha!$B$1:$D$26,2,FALSE)</f>
        <v>mranks@neumont.edu</v>
      </c>
      <c r="Y171" s="113">
        <f>VLOOKUP(Table1[[#This Row],[FAA]],Alpha!$B$1:$D$26,3,FALSE)</f>
        <v>8883022894</v>
      </c>
      <c r="Z171" s="113" t="str">
        <f>VLOOKUP(Table1[[#This Row],[SyStudentId]],SSR!$A$2:$CC$4982,30,FALSE)</f>
        <v>16-Accepted</v>
      </c>
      <c r="AA171" s="113" t="str">
        <f>IF(VLOOKUP(Table1[[#This Row],[SyStudentId]],SSR!$A$2:$CC$4982,36,FALSE)="Bachelor of Science","BS Computer Science","Check Program")</f>
        <v>BS Computer Science</v>
      </c>
      <c r="AB171" s="113" t="str">
        <f>VLOOKUP(Table1[[#This Row],[SyStudentId]],SSR!$A$2:$CC$4982,37,FALSE)</f>
        <v xml:space="preserve">28      </v>
      </c>
      <c r="AC171" s="113" t="str">
        <f>VLOOKUP(Table1[[#This Row],[SyStudentId]],SSR!$A$2:$CC$4982,42,FALSE)</f>
        <v xml:space="preserve">1240    </v>
      </c>
      <c r="AD171" s="113" t="str">
        <f>VLOOKUP(Table1[[#This Row],[SyStudentId]],SSR!$A$2:$CC$4982,46,FALSE)</f>
        <v>124</v>
      </c>
      <c r="AE171" s="113" t="str">
        <f>VLOOKUP(Table1[[#This Row],[SyStudentId]],SSR!$A$2:$CC$4982,65,FALSE)</f>
        <v>I</v>
      </c>
      <c r="AF171"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71" s="113" t="str">
        <f>VLOOKUP(Table1[[#This Row],[SyStudentId]],SSR!$A$2:$CC$4982,66,FALSE)</f>
        <v>July-October</v>
      </c>
      <c r="AH171" s="283">
        <f>IFERROR(VLOOKUP(Table1[[#This Row],[SyStudentId]],ISIR!$A$2:$X$1999,7,FALSE),"")</f>
        <v>0</v>
      </c>
      <c r="AI171" s="121">
        <f>IF(Table1[[#This Row],[EFCRaw]]="","",IF(Table1[[#This Row],[EFCRaw]]="No EFC","No EFC",_xlfn.NUMBERVALUE(Table1[[#This Row],[EFCRaw]])))</f>
        <v>0</v>
      </c>
      <c r="AJ171" s="119">
        <f>IFERROR(VLOOKUP(Table1[[#This Row],[SyStudentId]],ISIR!$A$2:$X$4999,19,FALSE),"")</f>
        <v>43774</v>
      </c>
      <c r="AK171" s="113" t="str">
        <f>IFERROR(VLOOKUP(Table1[[#This Row],[SyStudentId]],ISIR!$A$2:$X$4999,8,FALSE),"")</f>
        <v>N</v>
      </c>
      <c r="AL171" s="132" t="str">
        <f>IF(Table1[[#This Row],[VerReq]]="N","n/a","")</f>
        <v>n/a</v>
      </c>
      <c r="AM171" s="122"/>
      <c r="AN171" s="122"/>
      <c r="AO171" s="122"/>
      <c r="AP171" s="122"/>
      <c r="AQ171" s="122"/>
      <c r="AR171" s="122"/>
      <c r="AS171" s="122"/>
      <c r="AT171" s="122"/>
      <c r="AU171" s="122"/>
      <c r="AV171" s="122"/>
      <c r="AW171" s="122"/>
      <c r="AX171" s="122"/>
      <c r="AY171" s="122"/>
      <c r="AZ171" s="122"/>
      <c r="BA171" s="122"/>
      <c r="BB171" s="122"/>
      <c r="BC171" s="148"/>
      <c r="BD171" s="140" t="str">
        <f>IF(Table1[[#This Row],[VerReq]]="N","x","")</f>
        <v>x</v>
      </c>
      <c r="BE171" s="140" t="str">
        <f>IF(Table1[[#This Row],[VerReq]]="N","x","")</f>
        <v>x</v>
      </c>
      <c r="BF171" s="140" t="str">
        <f>IF(Table1[[#This Row],[VerReq]]="N","x","")</f>
        <v>x</v>
      </c>
      <c r="BG171" s="140" t="str">
        <f>IF(Table1[[#This Row],[VerReq]]="N","x","")</f>
        <v>x</v>
      </c>
      <c r="BH171" s="140" t="str">
        <f>IF(Table1[[#This Row],[VerReq]]="N","x","")</f>
        <v>x</v>
      </c>
      <c r="BI171" s="140" t="str">
        <f>IF(Table1[[#This Row],[VerReq]]="N","x","")</f>
        <v>x</v>
      </c>
      <c r="BJ171" s="123">
        <f>1-((COUNTBLANK(Table1[[#This Row],[ALESent]:[TaxTran]]))/(COUNT(Table1[[#This Row],[ALESent]:[TaxTran]])+COUNTBLANK(Table1[[#This Row],[ALESent]:[TaxTran]])))</f>
        <v>0</v>
      </c>
      <c r="BK171" s="150">
        <f>IF(VLOOKUP(Table1[[#This Row],[SyStudentId]],SSR!$A$2:$CC$4982,22,FALSE)=44109,44109,"Check Program")</f>
        <v>44109</v>
      </c>
      <c r="BL171" s="150">
        <f>IF(Table1[[#This Row],[AYStart]]=44109,44356,"Check Program")</f>
        <v>44356</v>
      </c>
      <c r="BM171" s="219">
        <v>8505</v>
      </c>
      <c r="BN171" s="219">
        <v>8505</v>
      </c>
      <c r="BO171" s="219">
        <v>8505</v>
      </c>
      <c r="BP171" s="220">
        <f t="shared" si="6"/>
        <v>25515</v>
      </c>
      <c r="BQ171" s="221">
        <v>3300</v>
      </c>
      <c r="BR171" s="219">
        <v>400</v>
      </c>
      <c r="BS171" s="219">
        <v>400</v>
      </c>
      <c r="BT171" s="220">
        <f t="shared" si="7"/>
        <v>4100</v>
      </c>
      <c r="BU171" s="219">
        <v>2100</v>
      </c>
      <c r="BV171" s="219">
        <v>2100</v>
      </c>
      <c r="BW171" s="219">
        <v>2100</v>
      </c>
      <c r="BX171" s="222">
        <f t="shared" si="8"/>
        <v>6300</v>
      </c>
      <c r="BY171" s="275">
        <v>1200</v>
      </c>
      <c r="BZ171" s="275">
        <v>1200</v>
      </c>
      <c r="CA171" s="275">
        <v>1200</v>
      </c>
      <c r="CB171" s="222">
        <f>SUM(Table1[[#This Row],[LEQ1]:[LEQ3]])</f>
        <v>3600</v>
      </c>
      <c r="CC171" s="276">
        <v>0</v>
      </c>
      <c r="CD171" s="276">
        <v>0</v>
      </c>
      <c r="CE171" s="276">
        <v>0</v>
      </c>
      <c r="CF171" s="222">
        <f>SUM(Table1[[#This Row],[OthCostQ1]:[OthCostQ3]])</f>
        <v>0</v>
      </c>
      <c r="CG171" s="220">
        <f>(Table1[[#This Row],[T&amp;FTot]]+Table1[[#This Row],[B&amp;STot]]+Table1[[#This Row],[HousTot]]+Table1[[#This Row],[LETot]]+Table1[[#This Row],[OthCostTot]])</f>
        <v>39515</v>
      </c>
      <c r="CH171" s="250">
        <v>0</v>
      </c>
      <c r="CI171" s="250">
        <v>0</v>
      </c>
      <c r="CJ171" s="250">
        <v>0</v>
      </c>
      <c r="CK171" s="251">
        <f>SUM(Table1[[#This Row],[SEOGQ1]:[SEOGQ3]])</f>
        <v>0</v>
      </c>
      <c r="CL171" s="250">
        <f>IFERROR(ROUNDUP(Table1[[#This Row],[PellTot]]/3,0),0)</f>
        <v>2065</v>
      </c>
      <c r="CM171" s="250">
        <f>IFERROR(ROUND(Table1[[#This Row],[PellTot]]/3,0),0)</f>
        <v>2065</v>
      </c>
      <c r="CN171" s="250">
        <f>IFERROR(ROUNDDOWN(Table1[[#This Row],[PellTot]]/3,0),0)</f>
        <v>2065</v>
      </c>
      <c r="CO171" s="251">
        <f>IFERROR(LOOKUP(Table1[EFC],Pell_Table[#Data],Pell_Table[Pell Amt]),0)</f>
        <v>6195</v>
      </c>
      <c r="CP171" s="250">
        <f>Table1[[#This Row],[AccessTot]]/3</f>
        <v>500</v>
      </c>
      <c r="CQ171" s="250">
        <f>Table1[[#This Row],[AccessTot]]/3</f>
        <v>500</v>
      </c>
      <c r="CR171" s="250">
        <f>Table1[[#This Row],[AccessTot]]/3</f>
        <v>500</v>
      </c>
      <c r="CS171" s="251">
        <f>IF(Table1[[#This Row],[PellTot]]&gt;0,1500,0)</f>
        <v>1500</v>
      </c>
      <c r="CT171" s="250">
        <f>Table1[[#This Row],[AchiTot]]/3</f>
        <v>1700</v>
      </c>
      <c r="CU171" s="250">
        <f>Table1[[#This Row],[AchiTot]]/3</f>
        <v>1700</v>
      </c>
      <c r="CV171" s="250">
        <f>Table1[[#This Row],[AchiTot]]/3</f>
        <v>1700</v>
      </c>
      <c r="CW171" s="252">
        <f>IF(Table1[[#This Row],[Rank]]="","",IF(Table1[[#This Row],[Rank]]=1,5100,IF(Table1[[#This Row],[Rank]]=2,4500,IF(Table1[[#This Row],[Rank]]=3,3900,IF(Table1[[#This Row],[Rank]]=4,3750,IF(Table1[[#This Row],[Rank]]=5,3000,IF(Table1[[#This Row],[Rank]]=6,2250,0)))))))</f>
        <v>5100</v>
      </c>
      <c r="CX171" s="250">
        <f>Table1[[#This Row],[UTTot]]/3</f>
        <v>0</v>
      </c>
      <c r="CY171" s="250">
        <f>Table1[[#This Row],[UTTot]]/3</f>
        <v>0</v>
      </c>
      <c r="CZ171" s="250">
        <f>Table1[[#This Row],[UTTot]]/3</f>
        <v>0</v>
      </c>
      <c r="DA171" s="251">
        <f>IF(Table1[[#This Row],[State]]="UT",9000,0)</f>
        <v>0</v>
      </c>
      <c r="DB171" s="250">
        <f>Table1[[#This Row],[WITTot]]/3</f>
        <v>1000</v>
      </c>
      <c r="DC171" s="250">
        <f>Table1[[#This Row],[WITTot]]/3</f>
        <v>1000</v>
      </c>
      <c r="DD171" s="250">
        <f>Table1[[#This Row],[WITTot]]/3</f>
        <v>1000</v>
      </c>
      <c r="DE171" s="251">
        <f>IF(Table1[[#This Row],[Gender]]="Female",3000,0)</f>
        <v>3000</v>
      </c>
      <c r="DF171" s="250">
        <f>Table1[[#This Row],[SerTot]]/3</f>
        <v>0</v>
      </c>
      <c r="DG171" s="250">
        <f>Table1[[#This Row],[SerTot]]/3</f>
        <v>0</v>
      </c>
      <c r="DH171" s="250">
        <f>Table1[[#This Row],[SerTot]]/3</f>
        <v>0</v>
      </c>
      <c r="DI171" s="252">
        <v>0</v>
      </c>
      <c r="DJ171" s="250">
        <f>IFERROR(ROUNDUP(Table1[[#This Row],[TranTot]]/3,0),0)</f>
        <v>0</v>
      </c>
      <c r="DK171" s="250">
        <f>IFERROR(ROUND(Table1[[#This Row],[TranTot]]/3,0),0)</f>
        <v>0</v>
      </c>
      <c r="DL171" s="250">
        <f>IFERROR(ROUNDDOWN(Table1[[#This Row],[TranTot]]/3,0),0)</f>
        <v>0</v>
      </c>
      <c r="DM171" s="252">
        <v>0</v>
      </c>
      <c r="DN171" s="250">
        <f>Table1[[#This Row],[MatTot]]/3</f>
        <v>0</v>
      </c>
      <c r="DO171" s="250">
        <f>Table1[[#This Row],[MatTot]]/3</f>
        <v>0</v>
      </c>
      <c r="DP171" s="250">
        <f>Table1[[#This Row],[MatTot]]/3</f>
        <v>0</v>
      </c>
      <c r="DQ171" s="252">
        <v>0</v>
      </c>
      <c r="DR171" s="253">
        <f>Table1[[#This Row],[OutTot]]/3</f>
        <v>0</v>
      </c>
      <c r="DS171" s="253">
        <f>Table1[[#This Row],[OutTot]]/3</f>
        <v>0</v>
      </c>
      <c r="DT171" s="253">
        <f>Table1[[#This Row],[OutTot]]/3</f>
        <v>0</v>
      </c>
      <c r="DU171" s="255">
        <v>0</v>
      </c>
      <c r="DV171" s="250">
        <v>0</v>
      </c>
      <c r="DW171" s="250">
        <v>0</v>
      </c>
      <c r="DX171" s="250">
        <v>0</v>
      </c>
      <c r="DY171" s="252">
        <f>SUM(Table1[[#This Row],[VAQ1]:[VAQ3]])</f>
        <v>0</v>
      </c>
      <c r="DZ171" s="250">
        <v>0</v>
      </c>
      <c r="EA171" s="250">
        <v>0</v>
      </c>
      <c r="EB171" s="250">
        <v>0</v>
      </c>
      <c r="EC171" s="270">
        <f>SUM(Table1[[#This Row],[OthGrantQ1]:[OthGrantQ3]])</f>
        <v>0</v>
      </c>
      <c r="ED171" s="263">
        <f>Table1[[#This Row],[SEOGTot]]+Table1[[#This Row],[PellTot]]+Table1[[#This Row],[AccessTot]]+Table1[[#This Row],[AchiTot]]+Table1[[#This Row],[UTTot]]+Table1[[#This Row],[WITTot]]+Table1[[#This Row],[SerTot]]+Table1[[#This Row],[TranTot]]+Table1[[#This Row],[MatTot]]+Table1[[#This Row],[OutTot]]+Table1[[#This Row],[VATot]]+Table1[[#This Row],[OthGrantTot]]</f>
        <v>15795</v>
      </c>
      <c r="EE171" s="298">
        <v>0</v>
      </c>
      <c r="EF171" s="227">
        <v>0</v>
      </c>
      <c r="EG171" s="227">
        <v>0</v>
      </c>
      <c r="EH171" s="228">
        <f>SUM(Table1[[#This Row],[CashQ1]]:Table1[[#This Row],[CashQ3]])</f>
        <v>0</v>
      </c>
      <c r="EI171" s="229">
        <f>ROUND((Table1[[#This Row],[SubTot]]/3)/1.01059,0)</f>
        <v>1154</v>
      </c>
      <c r="EJ171" s="230">
        <f>ROUND((Table1[[#This Row],[SubTot]]/3)/1.01059,0)</f>
        <v>1154</v>
      </c>
      <c r="EK171" s="230">
        <f>ROUNDUP((Table1[[#This Row],[SubTot]]/3)/1.01059,0)</f>
        <v>1155</v>
      </c>
      <c r="EL171" s="231">
        <v>3500</v>
      </c>
      <c r="EM171" s="240">
        <f>Table1[[#This Row],[SubTot]]*0.01059</f>
        <v>37.065000000000005</v>
      </c>
      <c r="EN171" s="230">
        <f>ROUND((Table1[[#This Row],[UnsubTot]]/3)/1.01062,0)</f>
        <v>660</v>
      </c>
      <c r="EO171" s="230">
        <f>ROUND((Table1[[#This Row],[UnsubTot]]/3)/1.01062,0)</f>
        <v>660</v>
      </c>
      <c r="EP171" s="230">
        <f>ROUNDDOWN((Table1[[#This Row],[UnsubTot]]/3)/1.01062,0)</f>
        <v>659</v>
      </c>
      <c r="EQ171" s="231">
        <f>IF(Table1[D/I]="I",6000,2000)</f>
        <v>2000</v>
      </c>
      <c r="ER171" s="233">
        <f>Table1[[#This Row],[UnsubTot]]*0.01059</f>
        <v>21.18</v>
      </c>
      <c r="ES171" s="230">
        <f>ROUND((Table1[[#This Row],[PLUSTot]]/3)/1.04236,0)</f>
        <v>0</v>
      </c>
      <c r="ET171" s="230">
        <f>ROUND((Table1[[#This Row],[PLUSTot]]/3)/1.04236,0)</f>
        <v>0</v>
      </c>
      <c r="EU171" s="230">
        <f>ROUND((Table1[[#This Row],[PLUSTot]]/3)/1.04236,0)</f>
        <v>0</v>
      </c>
      <c r="EV171" s="231">
        <v>0</v>
      </c>
      <c r="EW171" s="239">
        <f>Table1[[#This Row],[PLUSTot]]*0.04236</f>
        <v>0</v>
      </c>
      <c r="EX171" s="237"/>
      <c r="EY171" s="237"/>
      <c r="EZ171" s="237"/>
      <c r="FA171" s="232">
        <f>SUM(Table1[[#This Row],[PrivQ1]:[PrivQ3]])</f>
        <v>0</v>
      </c>
      <c r="FB171" s="237"/>
      <c r="FC171" s="237"/>
      <c r="FD171" s="237"/>
      <c r="FE171" s="232">
        <f>SUM(Table1[[#This Row],[TOQ1]:[TOQ3]])</f>
        <v>0</v>
      </c>
      <c r="FF171" s="237"/>
      <c r="FG171" s="237"/>
      <c r="FH171" s="237"/>
      <c r="FI171" s="232">
        <f>SUM(Table1[[#This Row],[OFundQ1]:[OFundQ3]])</f>
        <v>0</v>
      </c>
      <c r="FJ171" s="239">
        <f>(Table1[[#This Row],[SubTot]]-Table1[[#This Row],[SubFee]])+(Table1[[#This Row],[UnsubTot]]-Table1[[#This Row],[UnsubFee]])+(Table1[[#This Row],[PLUSTot]]-Table1[[#This Row],[PLUSFee]])+Table1[[#This Row],[PrivTot]]+Table1[[#This Row],[TOTot]]+Table1[[#This Row],[OFundTot]]</f>
        <v>5441.7550000000001</v>
      </c>
      <c r="FK171" s="125">
        <f>Table1[[#This Row],[CostTot]]-Table1[[#This Row],[GiftTot]]</f>
        <v>23720</v>
      </c>
      <c r="FL171" s="130">
        <f>Table1[[#This Row],[NetNeed]]/(1-0.04236)</f>
        <v>19086.7601603943</v>
      </c>
      <c r="FM171" s="131">
        <f>Table1[[#This Row],[NetCost]]-Table1[[#This Row],[CashTot]]-(Table1[[#This Row],[SubTot]]-Table1[[#This Row],[SubFee]])-(Table1[[#This Row],[UnsubTot]]-Table1[[#This Row],[UnsubFee]])-(Table1[[#This Row],[PLUSTot]]-Table1[[#This Row],[PLUSFee]])-Table1[[#This Row],[PrivTot]]-Table1[[#This Row],[TOTot]]-Table1[[#This Row],[OFundTot]]</f>
        <v>18278.244999999999</v>
      </c>
      <c r="FN171" s="217"/>
      <c r="FO171" s="162"/>
      <c r="FP171" s="162"/>
    </row>
    <row r="172" spans="1:172" ht="15" x14ac:dyDescent="0.25">
      <c r="A172" s="309">
        <v>196217</v>
      </c>
      <c r="B172" s="113" t="str">
        <f>VLOOKUP(Table1[[#This Row],[SyStudentId]],SSR!$A$2:$CC$4982,4,FALSE)</f>
        <v>Tolefree</v>
      </c>
      <c r="C172" s="113" t="str">
        <f>VLOOKUP(Table1[[#This Row],[SyStudentId]],SSR!$A$2:$CC$4982,5,FALSE)</f>
        <v>Kristian</v>
      </c>
      <c r="D172" s="113" t="str">
        <f>VLOOKUP(Table1[[#This Row],[SyStudentId]],SSR!$A$2:$CC$4982,6,FALSE)</f>
        <v>Tolefree, Kristian</v>
      </c>
      <c r="E172" s="113" t="str">
        <f>CONCATENATE(Table1[[#This Row],[FirstName]]," ",Table1[[#This Row],[LastName]])</f>
        <v>Kristian Tolefree</v>
      </c>
      <c r="F172" s="112"/>
      <c r="G172" s="114"/>
      <c r="H172" s="114"/>
      <c r="I172" s="114"/>
      <c r="J172" s="115" t="s">
        <v>5311</v>
      </c>
      <c r="K172" s="116"/>
      <c r="L172" s="112" t="str">
        <f>IFERROR(VLOOKUP(Table1[[#This Row],[SyStudentId]],ISIR!$A$2:$X$999,11,FALSE),"")</f>
        <v/>
      </c>
      <c r="M172" s="113" t="str">
        <f>VLOOKUP(Table1[[#This Row],[SyStudentId]],SSR!$A$2:$CC$4982,7,FALSE)</f>
        <v>ttolefree45@att.net</v>
      </c>
      <c r="N172" s="113" t="str">
        <f>VLOOKUP(Table1[[#This Row],[SyStudentId]],SSR!$A$2:$CC$4982,8,FALSE)</f>
        <v>12905 CYPRESS LN</v>
      </c>
      <c r="O172" s="113" t="str">
        <f>VLOOKUP(Table1[[#This Row],[SyStudentId]],SSR!$A$2:$CC$4982,9,FALSE)</f>
        <v>PLAINFIELD</v>
      </c>
      <c r="P172" s="113" t="str">
        <f>VLOOKUP(Table1[[#This Row],[SyStudentId]],SSR!$A$2:$CC$4982,10,FALSE)</f>
        <v>IL</v>
      </c>
      <c r="Q172" s="117" t="str">
        <f>VLOOKUP(Table1[[#This Row],[SyStudentId]],SSR!$A$2:$CC$4982,11,FALSE)</f>
        <v xml:space="preserve">60585     </v>
      </c>
      <c r="R172" s="118">
        <f>VLOOKUP(Table1[[#This Row],[SyStudentId]],SSR!$A$2:$CC$4982,15,FALSE)</f>
        <v>4</v>
      </c>
      <c r="S172" s="119">
        <f>VLOOKUP(Table1[[#This Row],[SyStudentId]],SSR!$A$2:$CC$4982,22,FALSE)</f>
        <v>44109</v>
      </c>
      <c r="T172" s="113" t="str">
        <f>VLOOKUP(Table1[[#This Row],[SyStudentId]],SSR!$A$2:$CC$4982,24,FALSE)</f>
        <v>JT</v>
      </c>
      <c r="U172" s="113" t="str">
        <f>IF(VLOOKUP(Table1[[#This Row],[SyStudentId]],SSR!$A$2:$CC$4982,26,FALSE)=0,"Not Selected",VLOOKUP(Table1[[#This Row],[SyStudentId]],SSR!$A$2:$CC$4982,26,FALSE))</f>
        <v>Male</v>
      </c>
      <c r="V172" s="113" t="str">
        <f>VLOOKUP(Table1[[#This Row],[SyStudentId]],SSR!$A$2:$CC$4982,27,FALSE)</f>
        <v xml:space="preserve">HS2020  </v>
      </c>
      <c r="W172" s="113" t="str">
        <f>VLOOKUP(LEFT(Table1[[#This Row],[LastName]],1),Alpha!$A$1:$B$26,2,FALSE)</f>
        <v>Maureen Ranks</v>
      </c>
      <c r="X172" s="149" t="str">
        <f>VLOOKUP(Table1[[#This Row],[FAA]],Alpha!$B$1:$D$26,2,FALSE)</f>
        <v>mranks@neumont.edu</v>
      </c>
      <c r="Y172" s="113">
        <f>VLOOKUP(Table1[[#This Row],[FAA]],Alpha!$B$1:$D$26,3,FALSE)</f>
        <v>8883022894</v>
      </c>
      <c r="Z172" s="113" t="str">
        <f>VLOOKUP(Table1[[#This Row],[SyStudentId]],SSR!$A$2:$CC$4982,30,FALSE)</f>
        <v>16-Accepted</v>
      </c>
      <c r="AA172" s="113" t="str">
        <f>IF(VLOOKUP(Table1[[#This Row],[SyStudentId]],SSR!$A$2:$CC$4982,36,FALSE)="Bachelor of Science","BS Computer Science","Check Program")</f>
        <v>BS Computer Science</v>
      </c>
      <c r="AB172" s="113">
        <f>VLOOKUP(Table1[[#This Row],[SyStudentId]],SSR!$A$2:$CC$4982,37,FALSE)</f>
        <v>0</v>
      </c>
      <c r="AC172" s="113">
        <f>VLOOKUP(Table1[[#This Row],[SyStudentId]],SSR!$A$2:$CC$4982,42,FALSE)</f>
        <v>0</v>
      </c>
      <c r="AD172" s="113" t="str">
        <f>VLOOKUP(Table1[[#This Row],[SyStudentId]],SSR!$A$2:$CC$4982,46,FALSE)</f>
        <v>0</v>
      </c>
      <c r="AE172" s="113" t="str">
        <f>VLOOKUP(Table1[[#This Row],[SyStudentId]],SSR!$A$2:$CC$4982,65,FALSE)</f>
        <v>III</v>
      </c>
      <c r="AF172"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172" s="113" t="str">
        <f>VLOOKUP(Table1[[#This Row],[SyStudentId]],SSR!$A$2:$CC$4982,66,FALSE)</f>
        <v>November</v>
      </c>
      <c r="AH172" s="113" t="str">
        <f>IFERROR(VLOOKUP(Table1[[#This Row],[SyStudentId]],ISIR!$A$2:$X$999,7,FALSE),"")</f>
        <v/>
      </c>
      <c r="AI172" s="121" t="str">
        <f>IF(Table1[[#This Row],[EFCRaw]]="","",IF(Table1[[#This Row],[EFCRaw]]="No EFC","No EFC",_xlfn.NUMBERVALUE(Table1[[#This Row],[EFCRaw]])))</f>
        <v/>
      </c>
      <c r="AJ172" s="119" t="str">
        <f>IFERROR(VLOOKUP(Table1[[#This Row],[SyStudentId]],ISIR!$A$2:$X$4999,19,FALSE),"")</f>
        <v/>
      </c>
      <c r="AK172" s="113" t="str">
        <f>IFERROR(VLOOKUP(Table1[[#This Row],[SyStudentId]],ISIR!$A$2:$X$4999,8,FALSE),"")</f>
        <v/>
      </c>
      <c r="AL172" s="132" t="str">
        <f>IF(Table1[[#This Row],[VerReq]]="N","n/a","")</f>
        <v/>
      </c>
      <c r="AM172" s="122"/>
      <c r="AN172" s="122"/>
      <c r="AO172" s="122"/>
      <c r="AP172" s="122"/>
      <c r="AQ172" s="122"/>
      <c r="AR172" s="122"/>
      <c r="AS172" s="122"/>
      <c r="AT172" s="122"/>
      <c r="AU172" s="122"/>
      <c r="AV172" s="122"/>
      <c r="AW172" s="122"/>
      <c r="AX172" s="122"/>
      <c r="AY172" s="122"/>
      <c r="AZ172" s="122"/>
      <c r="BA172" s="122"/>
      <c r="BB172" s="122"/>
      <c r="BC172" s="148"/>
      <c r="BD172" s="140" t="str">
        <f>IF(Table1[[#This Row],[VerReq]]="N","x","")</f>
        <v/>
      </c>
      <c r="BE172" s="140" t="str">
        <f>IF(Table1[[#This Row],[VerReq]]="N","x","")</f>
        <v/>
      </c>
      <c r="BF172" s="140" t="str">
        <f>IF(Table1[[#This Row],[VerReq]]="N","x","")</f>
        <v/>
      </c>
      <c r="BG172" s="140" t="str">
        <f>IF(Table1[[#This Row],[VerReq]]="N","x","")</f>
        <v/>
      </c>
      <c r="BH172" s="140" t="str">
        <f>IF(Table1[[#This Row],[VerReq]]="N","x","")</f>
        <v/>
      </c>
      <c r="BI172" s="140" t="str">
        <f>IF(Table1[[#This Row],[VerReq]]="N","x","")</f>
        <v/>
      </c>
      <c r="BJ172" s="123">
        <f>1-((COUNTBLANK(Table1[[#This Row],[ALESent]:[TaxTran]]))/(COUNT(Table1[[#This Row],[ALESent]:[TaxTran]])+COUNTBLANK(Table1[[#This Row],[ALESent]:[TaxTran]])))</f>
        <v>0</v>
      </c>
      <c r="BK172" s="150">
        <f>IF(VLOOKUP(Table1[[#This Row],[SyStudentId]],SSR!$A$2:$CC$4982,22,FALSE)=44109,44109,"Check Program")</f>
        <v>44109</v>
      </c>
      <c r="BL172" s="150">
        <f>IF(Table1[[#This Row],[AYStart]]=44109,44356,"Check Program")</f>
        <v>44356</v>
      </c>
      <c r="BM172" s="219">
        <v>8505</v>
      </c>
      <c r="BN172" s="219">
        <v>8505</v>
      </c>
      <c r="BO172" s="219">
        <v>8505</v>
      </c>
      <c r="BP172" s="220">
        <f t="shared" si="6"/>
        <v>25515</v>
      </c>
      <c r="BQ172" s="221">
        <v>3300</v>
      </c>
      <c r="BR172" s="219">
        <v>400</v>
      </c>
      <c r="BS172" s="219">
        <v>400</v>
      </c>
      <c r="BT172" s="220">
        <f t="shared" si="7"/>
        <v>4100</v>
      </c>
      <c r="BU172" s="219">
        <v>2100</v>
      </c>
      <c r="BV172" s="219">
        <v>2100</v>
      </c>
      <c r="BW172" s="219">
        <v>2100</v>
      </c>
      <c r="BX172" s="220">
        <f t="shared" si="8"/>
        <v>6300</v>
      </c>
      <c r="BY172" s="275">
        <v>1200</v>
      </c>
      <c r="BZ172" s="275">
        <v>1200</v>
      </c>
      <c r="CA172" s="275">
        <v>1200</v>
      </c>
      <c r="CB172" s="220">
        <f>SUM(Table1[[#This Row],[LEQ1]:[LEQ3]])</f>
        <v>3600</v>
      </c>
      <c r="CC172" s="269"/>
      <c r="CD172" s="269"/>
      <c r="CE172" s="269"/>
      <c r="CF172" s="220">
        <f>SUM(Table1[[#This Row],[OthCostQ1]:[OthCostQ3]])</f>
        <v>0</v>
      </c>
      <c r="CG172" s="220">
        <f>(Table1[[#This Row],[T&amp;FTot]]+Table1[[#This Row],[B&amp;STot]]+Table1[[#This Row],[HousTot]]+Table1[[#This Row],[LETot]]+Table1[[#This Row],[OthCostTot]])</f>
        <v>39515</v>
      </c>
      <c r="CH172" s="250"/>
      <c r="CI172" s="250"/>
      <c r="CJ172" s="250"/>
      <c r="CK172" s="251">
        <f>SUM(Table1[[#This Row],[SEOGQ1]:[SEOGQ3]])</f>
        <v>0</v>
      </c>
      <c r="CL172" s="250">
        <f>IFERROR(ROUNDUP(Table1[[#This Row],[PellTot]]/3,0),0)</f>
        <v>0</v>
      </c>
      <c r="CM172" s="250">
        <f>IFERROR(ROUND(Table1[[#This Row],[PellTot]]/3,0),0)</f>
        <v>0</v>
      </c>
      <c r="CN172" s="250">
        <f>IFERROR(ROUNDDOWN(Table1[[#This Row],[PellTot]]/3,0),0)</f>
        <v>0</v>
      </c>
      <c r="CO172" s="251">
        <f>IFERROR(LOOKUP(Table1[EFC],Pell_Table[#Data],Pell_Table[Pell Amt]),0)</f>
        <v>0</v>
      </c>
      <c r="CP172" s="250">
        <f>Table1[[#This Row],[AccessTot]]/3</f>
        <v>0</v>
      </c>
      <c r="CQ172" s="250">
        <f>Table1[[#This Row],[AccessTot]]/3</f>
        <v>0</v>
      </c>
      <c r="CR172" s="250">
        <f>Table1[[#This Row],[AccessTot]]/3</f>
        <v>0</v>
      </c>
      <c r="CS172" s="251">
        <f>IF(Table1[[#This Row],[PellTot]]&gt;0,1500,0)</f>
        <v>0</v>
      </c>
      <c r="CT172" s="250">
        <f>Table1[[#This Row],[AchiTot]]/3</f>
        <v>1300</v>
      </c>
      <c r="CU172" s="250">
        <f>Table1[[#This Row],[AchiTot]]/3</f>
        <v>1300</v>
      </c>
      <c r="CV172" s="250">
        <f>Table1[[#This Row],[AchiTot]]/3</f>
        <v>1300</v>
      </c>
      <c r="CW172" s="252">
        <f>IF(Table1[[#This Row],[Rank]]="","",IF(Table1[[#This Row],[Rank]]=1,5100,IF(Table1[[#This Row],[Rank]]=2,4500,IF(Table1[[#This Row],[Rank]]=3,3900,IF(Table1[[#This Row],[Rank]]=4,3750,IF(Table1[[#This Row],[Rank]]=5,3000,IF(Table1[[#This Row],[Rank]]=6,2250,0)))))))</f>
        <v>3900</v>
      </c>
      <c r="CX172" s="250">
        <f>Table1[[#This Row],[UTTot]]/3</f>
        <v>0</v>
      </c>
      <c r="CY172" s="250">
        <f>Table1[[#This Row],[UTTot]]/3</f>
        <v>0</v>
      </c>
      <c r="CZ172" s="250">
        <f>Table1[[#This Row],[UTTot]]/3</f>
        <v>0</v>
      </c>
      <c r="DA172" s="251">
        <f>IF(Table1[[#This Row],[State]]="UT",9000,0)</f>
        <v>0</v>
      </c>
      <c r="DB172" s="250">
        <f>Table1[[#This Row],[WITTot]]/3</f>
        <v>0</v>
      </c>
      <c r="DC172" s="250">
        <f>Table1[[#This Row],[WITTot]]/3</f>
        <v>0</v>
      </c>
      <c r="DD172" s="250">
        <f>Table1[[#This Row],[WITTot]]/3</f>
        <v>0</v>
      </c>
      <c r="DE172" s="251">
        <f>IF(Table1[[#This Row],[Gender]]="Female",3000,0)</f>
        <v>0</v>
      </c>
      <c r="DF172" s="250">
        <f>Table1[[#This Row],[SerTot]]/3</f>
        <v>0</v>
      </c>
      <c r="DG172" s="250">
        <f>Table1[[#This Row],[SerTot]]/3</f>
        <v>0</v>
      </c>
      <c r="DH172" s="250">
        <f>Table1[[#This Row],[SerTot]]/3</f>
        <v>0</v>
      </c>
      <c r="DI172" s="252"/>
      <c r="DJ172" s="250"/>
      <c r="DK172" s="250"/>
      <c r="DL172" s="250"/>
      <c r="DM172" s="252"/>
      <c r="DN172" s="250">
        <f>Table1[[#This Row],[MatTot]]/3</f>
        <v>0</v>
      </c>
      <c r="DO172" s="250">
        <f>Table1[[#This Row],[MatTot]]/3</f>
        <v>0</v>
      </c>
      <c r="DP172" s="250">
        <f>Table1[[#This Row],[MatTot]]/3</f>
        <v>0</v>
      </c>
      <c r="DQ172" s="252"/>
      <c r="DR172" s="250">
        <f>Table1[[#This Row],[OutTot]]/3</f>
        <v>0</v>
      </c>
      <c r="DS172" s="250">
        <f>Table1[[#This Row],[OutTot]]/3</f>
        <v>0</v>
      </c>
      <c r="DT172" s="250">
        <f>Table1[[#This Row],[OutTot]]/3</f>
        <v>0</v>
      </c>
      <c r="DU172" s="252"/>
      <c r="DV172" s="250"/>
      <c r="DW172" s="250"/>
      <c r="DX172" s="250"/>
      <c r="DY172" s="252">
        <f>SUM(Table1[[#This Row],[VAQ1]:[VAQ3]])</f>
        <v>0</v>
      </c>
      <c r="DZ172" s="250"/>
      <c r="EA172" s="250"/>
      <c r="EB172" s="250"/>
      <c r="EC172" s="270">
        <f>SUM(Table1[[#This Row],[OthGrantQ1]:[OthGrantQ3]])</f>
        <v>0</v>
      </c>
      <c r="ED172" s="263">
        <f>Table1[[#This Row],[SEOGTot]]+Table1[[#This Row],[PellTot]]+Table1[[#This Row],[AccessTot]]+Table1[[#This Row],[AchiTot]]+Table1[[#This Row],[UTTot]]+Table1[[#This Row],[WITTot]]+Table1[[#This Row],[SerTot]]+Table1[[#This Row],[TranTot]]+Table1[[#This Row],[MatTot]]+Table1[[#This Row],[OutTot]]+Table1[[#This Row],[VATot]]+Table1[[#This Row],[OthGrantTot]]</f>
        <v>3900</v>
      </c>
      <c r="EE172" s="282"/>
      <c r="EF172" s="237"/>
      <c r="EG172" s="237"/>
      <c r="EH172" s="232">
        <f>SUM(Table1[[#This Row],[CashQ1]]:Table1[[#This Row],[CashQ3]])</f>
        <v>0</v>
      </c>
      <c r="EI172" s="271">
        <f>ROUND((Table1[[#This Row],[SubTot]]/3)/1.01059,0)</f>
        <v>0</v>
      </c>
      <c r="EJ172" s="234">
        <f>ROUND((Table1[[#This Row],[SubTot]]/3)/1.01059,0)</f>
        <v>0</v>
      </c>
      <c r="EK172" s="234">
        <f>ROUNDUP((Table1[[#This Row],[SubTot]]/3)/1.01059,0)</f>
        <v>0</v>
      </c>
      <c r="EL172" s="235"/>
      <c r="EM172" s="240">
        <f>Table1[[#This Row],[SubTot]]*0.01059</f>
        <v>0</v>
      </c>
      <c r="EN172" s="234">
        <f>ROUND((Table1[[#This Row],[UnsubTot]]/3)/1.01062,0)</f>
        <v>660</v>
      </c>
      <c r="EO172" s="234">
        <f>ROUND((Table1[[#This Row],[UnsubTot]]/3)/1.01062,0)</f>
        <v>660</v>
      </c>
      <c r="EP172" s="234">
        <f>ROUNDDOWN((Table1[[#This Row],[UnsubTot]]/3)/1.01062,0)</f>
        <v>659</v>
      </c>
      <c r="EQ172" s="235">
        <f>IF(Table1[D/I]="I",6000,2000)</f>
        <v>2000</v>
      </c>
      <c r="ER172" s="240">
        <f>Table1[[#This Row],[UnsubTot]]*0.01062</f>
        <v>21.24</v>
      </c>
      <c r="ES172" s="234">
        <f>ROUND((Table1[[#This Row],[PLUSTot]]/3)/1.04248,0)</f>
        <v>0</v>
      </c>
      <c r="ET172" s="234">
        <f>ROUND((Table1[[#This Row],[PLUSTot]]/3)/1.04248,0)</f>
        <v>0</v>
      </c>
      <c r="EU172" s="234">
        <f>ROUND((Table1[[#This Row],[PLUSTot]]/3)/1.04248,0)</f>
        <v>0</v>
      </c>
      <c r="EV172" s="235"/>
      <c r="EW172" s="239">
        <f>Table1[[#This Row],[PLUSTot]]*0.04248</f>
        <v>0</v>
      </c>
      <c r="EX172" s="237"/>
      <c r="EY172" s="237"/>
      <c r="EZ172" s="237"/>
      <c r="FA172" s="232">
        <f>SUM(Table1[[#This Row],[PrivQ1]:[PrivQ3]])</f>
        <v>0</v>
      </c>
      <c r="FB172" s="237"/>
      <c r="FC172" s="237"/>
      <c r="FD172" s="237"/>
      <c r="FE172" s="232">
        <f>SUM(Table1[[#This Row],[TOQ1]:[TOQ3]])</f>
        <v>0</v>
      </c>
      <c r="FF172" s="237"/>
      <c r="FG172" s="237"/>
      <c r="FH172" s="237"/>
      <c r="FI172" s="232">
        <f>SUM(Table1[[#This Row],[OFundQ1]:[OFundQ3]])</f>
        <v>0</v>
      </c>
      <c r="FJ172" s="239">
        <f>(Table1[[#This Row],[SubTot]]-Table1[[#This Row],[SubFee]])+(Table1[[#This Row],[UnsubTot]]-Table1[[#This Row],[UnsubFee]])+(Table1[[#This Row],[PLUSTot]]-Table1[[#This Row],[PLUSFee]])+Table1[[#This Row],[PrivTot]]+Table1[[#This Row],[TOTot]]+Table1[[#This Row],[OFundTot]]</f>
        <v>1978.76</v>
      </c>
      <c r="FK172" s="125">
        <f>Table1[[#This Row],[CostTot]]-Table1[[#This Row],[GiftTot]]</f>
        <v>35615</v>
      </c>
      <c r="FL172" s="130">
        <f>Table1[[#This Row],[NetNeed]]/(1-0.04248)</f>
        <v>35128.49862143871</v>
      </c>
      <c r="FM172" s="131">
        <f>Table1[[#This Row],[NetCost]]-Table1[[#This Row],[CashTot]]-(Table1[[#This Row],[SubTot]]-Table1[[#This Row],[SubFee]])-(Table1[[#This Row],[UnsubTot]]-Table1[[#This Row],[UnsubFee]])-(Table1[[#This Row],[PLUSTot]]-Table1[[#This Row],[PLUSFee]])-Table1[[#This Row],[PrivTot]]-Table1[[#This Row],[TOTot]]-Table1[[#This Row],[OFundTot]]</f>
        <v>33636.239999999998</v>
      </c>
      <c r="FN172" s="156"/>
      <c r="FO172" s="113"/>
      <c r="FP172" s="113"/>
    </row>
    <row r="173" spans="1:172" ht="15" x14ac:dyDescent="0.25">
      <c r="A173" s="310">
        <v>195366</v>
      </c>
      <c r="B173" s="113" t="str">
        <f>VLOOKUP(Table1[[#This Row],[SyStudentId]],SSR!$A$2:$CC$4982,4,FALSE)</f>
        <v>Torralba</v>
      </c>
      <c r="C173" s="113" t="str">
        <f>VLOOKUP(Table1[[#This Row],[SyStudentId]],SSR!$A$2:$CC$4982,5,FALSE)</f>
        <v>Joshua</v>
      </c>
      <c r="D173" s="113" t="str">
        <f>VLOOKUP(Table1[[#This Row],[SyStudentId]],SSR!$A$2:$CC$4982,6,FALSE)</f>
        <v>Torralba, Joshua</v>
      </c>
      <c r="E173" s="113" t="str">
        <f>CONCATENATE(Table1[[#This Row],[FirstName]]," ",Table1[[#This Row],[LastName]])</f>
        <v>Joshua Torralba</v>
      </c>
      <c r="F173" s="112"/>
      <c r="G173" s="114"/>
      <c r="H173" s="114"/>
      <c r="I173" s="114"/>
      <c r="J173" s="115" t="s">
        <v>5311</v>
      </c>
      <c r="K173" s="116"/>
      <c r="L173" s="112" t="str">
        <f>IFERROR(VLOOKUP(Table1[[#This Row],[SyStudentId]],ISIR!$A$2:$X$999,11,FALSE),"")</f>
        <v/>
      </c>
      <c r="M173" s="113" t="str">
        <f>VLOOKUP(Table1[[#This Row],[SyStudentId]],SSR!$A$2:$CC$4982,7,FALSE)</f>
        <v>torralba.joshua12@gmail.com</v>
      </c>
      <c r="N173" s="113" t="str">
        <f>VLOOKUP(Table1[[#This Row],[SyStudentId]],SSR!$A$2:$CC$4982,8,FALSE)</f>
        <v>P.O. BOX 347</v>
      </c>
      <c r="O173" s="113" t="str">
        <f>VLOOKUP(Table1[[#This Row],[SyStudentId]],SSR!$A$2:$CC$4982,9,FALSE)</f>
        <v>CAMERON</v>
      </c>
      <c r="P173" s="295" t="str">
        <f>VLOOKUP(Table1[[#This Row],[SyStudentId]],SSR!$A$2:$CC$4982,10,FALSE)</f>
        <v>AZ</v>
      </c>
      <c r="Q173" s="117" t="str">
        <f>VLOOKUP(Table1[[#This Row],[SyStudentId]],SSR!$A$2:$CC$4982,11,FALSE)</f>
        <v xml:space="preserve">86020     </v>
      </c>
      <c r="R173" s="118">
        <f>VLOOKUP(Table1[[#This Row],[SyStudentId]],SSR!$A$2:$CC$4982,15,FALSE)</f>
        <v>2.5830000000000002</v>
      </c>
      <c r="S173" s="119">
        <f>VLOOKUP(Table1[[#This Row],[SyStudentId]],SSR!$A$2:$CC$4982,22,FALSE)</f>
        <v>44109</v>
      </c>
      <c r="T173" s="113" t="str">
        <f>VLOOKUP(Table1[[#This Row],[SyStudentId]],SSR!$A$2:$CC$4982,24,FALSE)</f>
        <v>MN</v>
      </c>
      <c r="U173" s="113" t="str">
        <f>IF(VLOOKUP(Table1[[#This Row],[SyStudentId]],SSR!$A$2:$CC$4982,26,FALSE)=0,"Not Selected",VLOOKUP(Table1[[#This Row],[SyStudentId]],SSR!$A$2:$CC$4982,26,FALSE))</f>
        <v>Male</v>
      </c>
      <c r="V173" s="113" t="str">
        <f>VLOOKUP(Table1[[#This Row],[SyStudentId]],SSR!$A$2:$CC$4982,27,FALSE)</f>
        <v xml:space="preserve">HS2020  </v>
      </c>
      <c r="W173" s="113" t="str">
        <f>VLOOKUP(LEFT(Table1[[#This Row],[LastName]],1),Alpha!$A$1:$B$26,2,FALSE)</f>
        <v>Maureen Ranks</v>
      </c>
      <c r="X173" s="149" t="str">
        <f>VLOOKUP(Table1[[#This Row],[FAA]],Alpha!$B$1:$D$26,2,FALSE)</f>
        <v>mranks@neumont.edu</v>
      </c>
      <c r="Y173" s="113">
        <f>VLOOKUP(Table1[[#This Row],[FAA]],Alpha!$B$1:$D$26,3,FALSE)</f>
        <v>8883022894</v>
      </c>
      <c r="Z173" s="113" t="str">
        <f>VLOOKUP(Table1[[#This Row],[SyStudentId]],SSR!$A$2:$CC$4982,30,FALSE)</f>
        <v>18-Pending Enrollment</v>
      </c>
      <c r="AA173" s="113" t="str">
        <f>IF(VLOOKUP(Table1[[#This Row],[SyStudentId]],SSR!$A$2:$CC$4982,36,FALSE)="Bachelor of Science","BS Computer Science","Check Program")</f>
        <v>BS Computer Science</v>
      </c>
      <c r="AB173" s="113" t="str">
        <f>VLOOKUP(Table1[[#This Row],[SyStudentId]],SSR!$A$2:$CC$4982,37,FALSE)</f>
        <v xml:space="preserve">17      </v>
      </c>
      <c r="AC173" s="113">
        <f>VLOOKUP(Table1[[#This Row],[SyStudentId]],SSR!$A$2:$CC$4982,42,FALSE)</f>
        <v>0</v>
      </c>
      <c r="AD173" s="113" t="str">
        <f>VLOOKUP(Table1[[#This Row],[SyStudentId]],SSR!$A$2:$CC$4982,46,FALSE)</f>
        <v>83</v>
      </c>
      <c r="AE173" s="113" t="str">
        <f>VLOOKUP(Table1[[#This Row],[SyStudentId]],SSR!$A$2:$CC$4982,65,FALSE)</f>
        <v>IX</v>
      </c>
      <c r="AF17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173" s="113" t="str">
        <f>VLOOKUP(Table1[[#This Row],[SyStudentId]],SSR!$A$2:$CC$4982,66,FALSE)</f>
        <v>November</v>
      </c>
      <c r="AH173" s="113" t="str">
        <f>IFERROR(VLOOKUP(Table1[[#This Row],[SyStudentId]],ISIR!$A$2:$X$999,7,FALSE),"")</f>
        <v/>
      </c>
      <c r="AI173" s="121" t="str">
        <f>IF(Table1[[#This Row],[EFCRaw]]="","",IF(Table1[[#This Row],[EFCRaw]]="No EFC","No EFC",_xlfn.NUMBERVALUE(Table1[[#This Row],[EFCRaw]])))</f>
        <v/>
      </c>
      <c r="AJ173" s="119" t="str">
        <f>IFERROR(VLOOKUP(Table1[[#This Row],[SyStudentId]],ISIR!$A$2:$X$4999,19,FALSE),"")</f>
        <v/>
      </c>
      <c r="AK173" s="113" t="str">
        <f>IFERROR(VLOOKUP(Table1[[#This Row],[SyStudentId]],ISIR!$A$2:$X$4999,8,FALSE),"")</f>
        <v/>
      </c>
      <c r="AL173" s="132" t="str">
        <f>IF(Table1[[#This Row],[VerReq]]="N","n/a","")</f>
        <v/>
      </c>
      <c r="AM173" s="122"/>
      <c r="AN173" s="122"/>
      <c r="AO173" s="122"/>
      <c r="AP173" s="122"/>
      <c r="AQ173" s="122"/>
      <c r="AR173" s="122"/>
      <c r="AS173" s="122"/>
      <c r="AT173" s="122"/>
      <c r="AU173" s="122"/>
      <c r="AV173" s="122"/>
      <c r="AW173" s="122"/>
      <c r="AX173" s="122"/>
      <c r="AY173" s="122"/>
      <c r="AZ173" s="122"/>
      <c r="BA173" s="122"/>
      <c r="BB173" s="122"/>
      <c r="BC173" s="148"/>
      <c r="BD173" s="140" t="str">
        <f>IF(Table1[[#This Row],[VerReq]]="N","x","")</f>
        <v/>
      </c>
      <c r="BE173" s="140" t="str">
        <f>IF(Table1[[#This Row],[VerReq]]="N","x","")</f>
        <v/>
      </c>
      <c r="BF173" s="140" t="str">
        <f>IF(Table1[[#This Row],[VerReq]]="N","x","")</f>
        <v/>
      </c>
      <c r="BG173" s="140" t="str">
        <f>IF(Table1[[#This Row],[VerReq]]="N","x","")</f>
        <v/>
      </c>
      <c r="BH173" s="140" t="str">
        <f>IF(Table1[[#This Row],[VerReq]]="N","x","")</f>
        <v/>
      </c>
      <c r="BI173" s="140" t="str">
        <f>IF(Table1[[#This Row],[VerReq]]="N","x","")</f>
        <v/>
      </c>
      <c r="BJ173" s="123">
        <f>1-((COUNTBLANK(Table1[[#This Row],[ALESent]:[TaxTran]]))/(COUNT(Table1[[#This Row],[ALESent]:[TaxTran]])+COUNTBLANK(Table1[[#This Row],[ALESent]:[TaxTran]])))</f>
        <v>0</v>
      </c>
      <c r="BK173" s="150">
        <f>IF(VLOOKUP(Table1[[#This Row],[SyStudentId]],SSR!$A$2:$CC$4982,22,FALSE)=44109,44109,"Check Program")</f>
        <v>44109</v>
      </c>
      <c r="BL173" s="150">
        <f>IF(Table1[[#This Row],[AYStart]]=44109,44356,"Check Program")</f>
        <v>44356</v>
      </c>
      <c r="BM173" s="219">
        <v>8505</v>
      </c>
      <c r="BN173" s="219">
        <v>8505</v>
      </c>
      <c r="BO173" s="219">
        <v>8505</v>
      </c>
      <c r="BP173" s="220">
        <f t="shared" si="6"/>
        <v>25515</v>
      </c>
      <c r="BQ173" s="221">
        <v>3300</v>
      </c>
      <c r="BR173" s="219">
        <v>400</v>
      </c>
      <c r="BS173" s="219">
        <v>400</v>
      </c>
      <c r="BT173" s="220">
        <f t="shared" si="7"/>
        <v>4100</v>
      </c>
      <c r="BU173" s="219">
        <v>2100</v>
      </c>
      <c r="BV173" s="219">
        <v>2100</v>
      </c>
      <c r="BW173" s="219">
        <v>2100</v>
      </c>
      <c r="BX173" s="220">
        <f t="shared" si="8"/>
        <v>6300</v>
      </c>
      <c r="BY173" s="275">
        <v>1200</v>
      </c>
      <c r="BZ173" s="275">
        <v>1200</v>
      </c>
      <c r="CA173" s="275">
        <v>1200</v>
      </c>
      <c r="CB173" s="220">
        <f>SUM(Table1[[#This Row],[LEQ1]:[LEQ3]])</f>
        <v>3600</v>
      </c>
      <c r="CC173" s="269"/>
      <c r="CD173" s="269"/>
      <c r="CE173" s="269"/>
      <c r="CF173" s="220">
        <f>SUM(Table1[[#This Row],[OthCostQ1]:[OthCostQ3]])</f>
        <v>0</v>
      </c>
      <c r="CG173" s="220">
        <f>(Table1[[#This Row],[T&amp;FTot]]+Table1[[#This Row],[B&amp;STot]]+Table1[[#This Row],[HousTot]]+Table1[[#This Row],[LETot]]+Table1[[#This Row],[OthCostTot]])</f>
        <v>39515</v>
      </c>
      <c r="CH173" s="250"/>
      <c r="CI173" s="250"/>
      <c r="CJ173" s="250"/>
      <c r="CK173" s="251">
        <f>SUM(Table1[[#This Row],[SEOGQ1]:[SEOGQ3]])</f>
        <v>0</v>
      </c>
      <c r="CL173" s="250">
        <f>IFERROR(ROUNDUP(Table1[[#This Row],[PellTot]]/3,0),0)</f>
        <v>0</v>
      </c>
      <c r="CM173" s="250">
        <f>IFERROR(ROUND(Table1[[#This Row],[PellTot]]/3,0),0)</f>
        <v>0</v>
      </c>
      <c r="CN173" s="250">
        <f>IFERROR(ROUNDDOWN(Table1[[#This Row],[PellTot]]/3,0),0)</f>
        <v>0</v>
      </c>
      <c r="CO173" s="251">
        <f>IFERROR(LOOKUP(Table1[EFC],Pell_Table[#Data],Pell_Table[Pell Amt]),0)</f>
        <v>0</v>
      </c>
      <c r="CP173" s="250">
        <f>Table1[[#This Row],[AccessTot]]/3</f>
        <v>0</v>
      </c>
      <c r="CQ173" s="250">
        <f>Table1[[#This Row],[AccessTot]]/3</f>
        <v>0</v>
      </c>
      <c r="CR173" s="250">
        <f>Table1[[#This Row],[AccessTot]]/3</f>
        <v>0</v>
      </c>
      <c r="CS173" s="251">
        <f>IF(Table1[[#This Row],[PellTot]]&gt;0,1500,0)</f>
        <v>0</v>
      </c>
      <c r="CT173" s="250">
        <f>Table1[[#This Row],[AchiTot]]/3</f>
        <v>0</v>
      </c>
      <c r="CU173" s="250">
        <f>Table1[[#This Row],[AchiTot]]/3</f>
        <v>0</v>
      </c>
      <c r="CV173" s="250">
        <f>Table1[[#This Row],[AchiTot]]/3</f>
        <v>0</v>
      </c>
      <c r="CW173" s="252">
        <f>IF(Table1[[#This Row],[Rank]]="","",IF(Table1[[#This Row],[Rank]]=1,5100,IF(Table1[[#This Row],[Rank]]=2,4500,IF(Table1[[#This Row],[Rank]]=3,3900,IF(Table1[[#This Row],[Rank]]=4,3750,IF(Table1[[#This Row],[Rank]]=5,3000,IF(Table1[[#This Row],[Rank]]=6,2250,0)))))))</f>
        <v>0</v>
      </c>
      <c r="CX173" s="250">
        <f>Table1[[#This Row],[UTTot]]/3</f>
        <v>0</v>
      </c>
      <c r="CY173" s="250">
        <f>Table1[[#This Row],[UTTot]]/3</f>
        <v>0</v>
      </c>
      <c r="CZ173" s="250">
        <f>Table1[[#This Row],[UTTot]]/3</f>
        <v>0</v>
      </c>
      <c r="DA173" s="251">
        <f>IF(Table1[[#This Row],[State]]="UT",9000,0)</f>
        <v>0</v>
      </c>
      <c r="DB173" s="250">
        <f>Table1[[#This Row],[WITTot]]/3</f>
        <v>0</v>
      </c>
      <c r="DC173" s="250">
        <f>Table1[[#This Row],[WITTot]]/3</f>
        <v>0</v>
      </c>
      <c r="DD173" s="250">
        <f>Table1[[#This Row],[WITTot]]/3</f>
        <v>0</v>
      </c>
      <c r="DE173" s="251">
        <f>IF(Table1[[#This Row],[Gender]]="Female",3000,0)</f>
        <v>0</v>
      </c>
      <c r="DF173" s="250">
        <f>Table1[[#This Row],[SerTot]]/3</f>
        <v>0</v>
      </c>
      <c r="DG173" s="250">
        <f>Table1[[#This Row],[SerTot]]/3</f>
        <v>0</v>
      </c>
      <c r="DH173" s="250">
        <f>Table1[[#This Row],[SerTot]]/3</f>
        <v>0</v>
      </c>
      <c r="DI173" s="252"/>
      <c r="DJ173" s="250"/>
      <c r="DK173" s="250"/>
      <c r="DL173" s="250"/>
      <c r="DM173" s="252"/>
      <c r="DN173" s="250">
        <f>Table1[[#This Row],[MatTot]]/3</f>
        <v>0</v>
      </c>
      <c r="DO173" s="250">
        <f>Table1[[#This Row],[MatTot]]/3</f>
        <v>0</v>
      </c>
      <c r="DP173" s="250">
        <f>Table1[[#This Row],[MatTot]]/3</f>
        <v>0</v>
      </c>
      <c r="DQ173" s="252"/>
      <c r="DR173" s="250">
        <f>Table1[[#This Row],[OutTot]]/3</f>
        <v>0</v>
      </c>
      <c r="DS173" s="250">
        <f>Table1[[#This Row],[OutTot]]/3</f>
        <v>0</v>
      </c>
      <c r="DT173" s="250">
        <f>Table1[[#This Row],[OutTot]]/3</f>
        <v>0</v>
      </c>
      <c r="DU173" s="252"/>
      <c r="DV173" s="250"/>
      <c r="DW173" s="250"/>
      <c r="DX173" s="250"/>
      <c r="DY173" s="252">
        <f>SUM(Table1[[#This Row],[VAQ1]:[VAQ3]])</f>
        <v>0</v>
      </c>
      <c r="DZ173" s="250"/>
      <c r="EA173" s="250"/>
      <c r="EB173" s="250"/>
      <c r="EC173" s="270">
        <f>SUM(Table1[[#This Row],[OthGrantQ1]:[OthGrantQ3]])</f>
        <v>0</v>
      </c>
      <c r="ED173" s="263">
        <f>Table1[[#This Row],[SEOGTot]]+Table1[[#This Row],[PellTot]]+Table1[[#This Row],[AccessTot]]+Table1[[#This Row],[AchiTot]]+Table1[[#This Row],[UTTot]]+Table1[[#This Row],[WITTot]]+Table1[[#This Row],[SerTot]]+Table1[[#This Row],[TranTot]]+Table1[[#This Row],[MatTot]]+Table1[[#This Row],[OutTot]]+Table1[[#This Row],[VATot]]+Table1[[#This Row],[OthGrantTot]]</f>
        <v>0</v>
      </c>
      <c r="EE173" s="282"/>
      <c r="EF173" s="237"/>
      <c r="EG173" s="237"/>
      <c r="EH173" s="232">
        <f>SUM(Table1[[#This Row],[CashQ1]]:Table1[[#This Row],[CashQ3]])</f>
        <v>0</v>
      </c>
      <c r="EI173" s="271">
        <f>ROUND((Table1[[#This Row],[SubTot]]/3)/1.01059,0)</f>
        <v>0</v>
      </c>
      <c r="EJ173" s="234">
        <f>ROUND((Table1[[#This Row],[SubTot]]/3)/1.01059,0)</f>
        <v>0</v>
      </c>
      <c r="EK173" s="234">
        <f>ROUNDUP((Table1[[#This Row],[SubTot]]/3)/1.01059,0)</f>
        <v>0</v>
      </c>
      <c r="EL173" s="235"/>
      <c r="EM173" s="240">
        <f>Table1[[#This Row],[SubTot]]*0.01059</f>
        <v>0</v>
      </c>
      <c r="EN173" s="234">
        <f>ROUND((Table1[[#This Row],[UnsubTot]]/3)/1.01062,0)</f>
        <v>660</v>
      </c>
      <c r="EO173" s="234">
        <f>ROUND((Table1[[#This Row],[UnsubTot]]/3)/1.01062,0)</f>
        <v>660</v>
      </c>
      <c r="EP173" s="234">
        <f>ROUNDDOWN((Table1[[#This Row],[UnsubTot]]/3)/1.01062,0)</f>
        <v>659</v>
      </c>
      <c r="EQ173" s="235">
        <f>IF(Table1[D/I]="I",6000,2000)</f>
        <v>2000</v>
      </c>
      <c r="ER173" s="240">
        <f>Table1[[#This Row],[UnsubTot]]*0.01062</f>
        <v>21.24</v>
      </c>
      <c r="ES173" s="234">
        <f>ROUND((Table1[[#This Row],[PLUSTot]]/3)/1.04248,0)</f>
        <v>0</v>
      </c>
      <c r="ET173" s="234">
        <f>ROUND((Table1[[#This Row],[PLUSTot]]/3)/1.04248,0)</f>
        <v>0</v>
      </c>
      <c r="EU173" s="234">
        <f>ROUND((Table1[[#This Row],[PLUSTot]]/3)/1.04248,0)</f>
        <v>0</v>
      </c>
      <c r="EV173" s="235"/>
      <c r="EW173" s="239">
        <f>Table1[[#This Row],[PLUSTot]]*0.04248</f>
        <v>0</v>
      </c>
      <c r="EX173" s="237"/>
      <c r="EY173" s="237"/>
      <c r="EZ173" s="237"/>
      <c r="FA173" s="232">
        <f>SUM(Table1[[#This Row],[PrivQ1]:[PrivQ3]])</f>
        <v>0</v>
      </c>
      <c r="FB173" s="237"/>
      <c r="FC173" s="237"/>
      <c r="FD173" s="237"/>
      <c r="FE173" s="232">
        <f>SUM(Table1[[#This Row],[TOQ1]:[TOQ3]])</f>
        <v>0</v>
      </c>
      <c r="FF173" s="237"/>
      <c r="FG173" s="237"/>
      <c r="FH173" s="237"/>
      <c r="FI173" s="232">
        <f>SUM(Table1[[#This Row],[OFundQ1]:[OFundQ3]])</f>
        <v>0</v>
      </c>
      <c r="FJ173" s="239">
        <f>(Table1[[#This Row],[SubTot]]-Table1[[#This Row],[SubFee]])+(Table1[[#This Row],[UnsubTot]]-Table1[[#This Row],[UnsubFee]])+(Table1[[#This Row],[PLUSTot]]-Table1[[#This Row],[PLUSFee]])+Table1[[#This Row],[PrivTot]]+Table1[[#This Row],[TOTot]]+Table1[[#This Row],[OFundTot]]</f>
        <v>1978.76</v>
      </c>
      <c r="FK173" s="125">
        <f>Table1[[#This Row],[CostTot]]-Table1[[#This Row],[GiftTot]]</f>
        <v>39515</v>
      </c>
      <c r="FL173" s="130">
        <f>Table1[[#This Row],[NetNeed]]/(1-0.04248)</f>
        <v>39201.520594870075</v>
      </c>
      <c r="FM173" s="131">
        <f>Table1[[#This Row],[NetCost]]-Table1[[#This Row],[CashTot]]-(Table1[[#This Row],[SubTot]]-Table1[[#This Row],[SubFee]])-(Table1[[#This Row],[UnsubTot]]-Table1[[#This Row],[UnsubFee]])-(Table1[[#This Row],[PLUSTot]]-Table1[[#This Row],[PLUSFee]])-Table1[[#This Row],[PrivTot]]-Table1[[#This Row],[TOTot]]-Table1[[#This Row],[OFundTot]]</f>
        <v>37536.239999999998</v>
      </c>
      <c r="FN173" s="156"/>
      <c r="FO173" s="113"/>
      <c r="FP173" s="113"/>
    </row>
    <row r="174" spans="1:172" ht="15" x14ac:dyDescent="0.25">
      <c r="A174" s="310">
        <v>193206</v>
      </c>
      <c r="B174" s="160" t="str">
        <f>VLOOKUP(Table1[[#This Row],[SyStudentId]],SSR!$A$2:$CC$4982,4,FALSE)</f>
        <v>Townes</v>
      </c>
      <c r="C174" s="160" t="str">
        <f>VLOOKUP(Table1[[#This Row],[SyStudentId]],SSR!$A$2:$CC$4982,5,FALSE)</f>
        <v>Kwame'</v>
      </c>
      <c r="D174" s="160" t="str">
        <f>VLOOKUP(Table1[[#This Row],[SyStudentId]],SSR!$A$2:$CC$4982,6,FALSE)</f>
        <v>Townes, Kwame'</v>
      </c>
      <c r="E174" s="113" t="str">
        <f>CONCATENATE(Table1[[#This Row],[FirstName]]," ",Table1[[#This Row],[LastName]])</f>
        <v>Kwame' Townes</v>
      </c>
      <c r="F174" s="158"/>
      <c r="G174" s="114"/>
      <c r="H174" s="114"/>
      <c r="I174" s="114"/>
      <c r="J174" s="163"/>
      <c r="K174" s="164"/>
      <c r="L174" s="158" t="str">
        <f>IFERROR(VLOOKUP(Table1[[#This Row],[SyStudentId]],ISIR!$A$2:$X$4999,11,FALSE),"")</f>
        <v/>
      </c>
      <c r="M174" s="160" t="str">
        <f>VLOOKUP(Table1[[#This Row],[SyStudentId]],SSR!$A$2:$CC$4982,7,FALSE)</f>
        <v>townes.k.work@gmail.com</v>
      </c>
      <c r="N174" s="160" t="str">
        <f>VLOOKUP(Table1[[#This Row],[SyStudentId]],SSR!$A$2:$CC$4982,8,FALSE)</f>
        <v>154 Chatham Trce.</v>
      </c>
      <c r="O174" s="160" t="str">
        <f>VLOOKUP(Table1[[#This Row],[SyStudentId]],SSR!$A$2:$CC$4982,9,FALSE)</f>
        <v>Columbia</v>
      </c>
      <c r="P174" s="304" t="str">
        <f>VLOOKUP(Table1[[#This Row],[SyStudentId]],SSR!$A$2:$CC$4982,10,FALSE)</f>
        <v>SC</v>
      </c>
      <c r="Q174" s="165" t="str">
        <f>VLOOKUP(Table1[[#This Row],[SyStudentId]],SSR!$A$2:$CC$4982,11,FALSE)</f>
        <v xml:space="preserve">29229     </v>
      </c>
      <c r="R174" s="166">
        <f>VLOOKUP(Table1[[#This Row],[SyStudentId]],SSR!$A$2:$CC$4982,15,FALSE)</f>
        <v>3.6</v>
      </c>
      <c r="S174" s="167">
        <f>VLOOKUP(Table1[[#This Row],[SyStudentId]],SSR!$A$2:$CC$4982,22,FALSE)</f>
        <v>44109</v>
      </c>
      <c r="T174" s="160" t="str">
        <f>VLOOKUP(Table1[[#This Row],[SyStudentId]],SSR!$A$2:$CC$4982,24,FALSE)</f>
        <v>JT</v>
      </c>
      <c r="U174" s="160" t="str">
        <f>IF(VLOOKUP(Table1[[#This Row],[SyStudentId]],SSR!$A$2:$CC$4982,26,FALSE)=0,"Not Selected",VLOOKUP(Table1[[#This Row],[SyStudentId]],SSR!$A$2:$CC$4982,26,FALSE))</f>
        <v>Male</v>
      </c>
      <c r="V174" s="160" t="str">
        <f>VLOOKUP(Table1[[#This Row],[SyStudentId]],SSR!$A$2:$CC$4982,27,FALSE)</f>
        <v xml:space="preserve">HS2020  </v>
      </c>
      <c r="W174" s="160" t="str">
        <f>VLOOKUP(LEFT(Table1[[#This Row],[LastName]],1),Alpha!$A$1:$B$26,2,FALSE)</f>
        <v>Maureen Ranks</v>
      </c>
      <c r="X174" s="179" t="str">
        <f>VLOOKUP(Table1[[#This Row],[FAA]],Alpha!$B$1:$D$26,2,FALSE)</f>
        <v>mranks@neumont.edu</v>
      </c>
      <c r="Y174" s="160">
        <f>VLOOKUP(Table1[[#This Row],[FAA]],Alpha!$B$1:$D$26,3,FALSE)</f>
        <v>8883022894</v>
      </c>
      <c r="Z174" s="160" t="str">
        <f>VLOOKUP(Table1[[#This Row],[SyStudentId]],SSR!$A$2:$CC$4982,30,FALSE)</f>
        <v>16-Accepted</v>
      </c>
      <c r="AA174" s="160" t="str">
        <f>IF(VLOOKUP(Table1[[#This Row],[SyStudentId]],SSR!$A$2:$CC$4982,36,FALSE)="Bachelor of Science","BS Computer Science","Check Program")</f>
        <v>BS Computer Science</v>
      </c>
      <c r="AB174" s="160" t="str">
        <f>VLOOKUP(Table1[[#This Row],[SyStudentId]],SSR!$A$2:$CC$4982,37,FALSE)</f>
        <v xml:space="preserve">26      </v>
      </c>
      <c r="AC174" s="160">
        <f>VLOOKUP(Table1[[#This Row],[SyStudentId]],SSR!$A$2:$CC$4982,42,FALSE)</f>
        <v>0</v>
      </c>
      <c r="AD174" s="160" t="str">
        <f>VLOOKUP(Table1[[#This Row],[SyStudentId]],SSR!$A$2:$CC$4982,46,FALSE)</f>
        <v>117</v>
      </c>
      <c r="AE174" s="160" t="str">
        <f>VLOOKUP(Table1[[#This Row],[SyStudentId]],SSR!$A$2:$CC$4982,65,FALSE)</f>
        <v>I</v>
      </c>
      <c r="AF174"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74" s="160" t="str">
        <f>VLOOKUP(Table1[[#This Row],[SyStudentId]],SSR!$A$2:$CC$4982,66,FALSE)</f>
        <v>July-October</v>
      </c>
      <c r="AH174" s="160" t="str">
        <f>IFERROR(VLOOKUP(Table1[[#This Row],[SyStudentId]],ISIR!$A$2:$X$1999,7,FALSE),"")</f>
        <v/>
      </c>
      <c r="AI174" s="170" t="str">
        <f>IF(Table1[[#This Row],[EFCRaw]]="","",IF(Table1[[#This Row],[EFCRaw]]="No EFC","No EFC",_xlfn.NUMBERVALUE(Table1[[#This Row],[EFCRaw]])))</f>
        <v/>
      </c>
      <c r="AJ174" s="167" t="str">
        <f>IFERROR(VLOOKUP(Table1[[#This Row],[SyStudentId]],ISIR!$A$2:$X$4999,19,FALSE),"")</f>
        <v/>
      </c>
      <c r="AK174" s="160" t="str">
        <f>IFERROR(VLOOKUP(Table1[[#This Row],[SyStudentId]],ISIR!$A$2:$X$4999,8,FALSE),"")</f>
        <v/>
      </c>
      <c r="AL174" s="171" t="str">
        <f>IF(Table1[[#This Row],[VerReq]]="N","n/a","")</f>
        <v/>
      </c>
      <c r="AM174" s="122"/>
      <c r="AN174" s="122"/>
      <c r="AO174" s="122"/>
      <c r="AP174" s="122"/>
      <c r="AQ174" s="122"/>
      <c r="AR174" s="122"/>
      <c r="AS174" s="122"/>
      <c r="AT174" s="122"/>
      <c r="AU174" s="122"/>
      <c r="AV174" s="122"/>
      <c r="AW174" s="122"/>
      <c r="AX174" s="122"/>
      <c r="AY174" s="122"/>
      <c r="AZ174" s="122"/>
      <c r="BA174" s="122"/>
      <c r="BB174" s="122"/>
      <c r="BC174" s="148"/>
      <c r="BD174" s="140" t="str">
        <f>IF(Table1[[#This Row],[VerReq]]="N","x","")</f>
        <v/>
      </c>
      <c r="BE174" s="140" t="str">
        <f>IF(Table1[[#This Row],[VerReq]]="N","x","")</f>
        <v/>
      </c>
      <c r="BF174" s="140" t="str">
        <f>IF(Table1[[#This Row],[VerReq]]="N","x","")</f>
        <v/>
      </c>
      <c r="BG174" s="140" t="str">
        <f>IF(Table1[[#This Row],[VerReq]]="N","x","")</f>
        <v/>
      </c>
      <c r="BH174" s="140" t="str">
        <f>IF(Table1[[#This Row],[VerReq]]="N","x","")</f>
        <v/>
      </c>
      <c r="BI174" s="140" t="str">
        <f>IF(Table1[[#This Row],[VerReq]]="N","x","")</f>
        <v/>
      </c>
      <c r="BJ174" s="181">
        <f>1-((COUNTBLANK(Table1[[#This Row],[ALESent]:[TaxTran]]))/(COUNT(Table1[[#This Row],[ALESent]:[TaxTran]])+COUNTBLANK(Table1[[#This Row],[ALESent]:[TaxTran]])))</f>
        <v>0</v>
      </c>
      <c r="BK174" s="216">
        <f>IF(VLOOKUP(Table1[[#This Row],[SyStudentId]],SSR!$A$2:$CC$4982,22,FALSE)=44109,44109,"Check Program")</f>
        <v>44109</v>
      </c>
      <c r="BL174" s="216">
        <f>IF(Table1[[#This Row],[AYStart]]=44109,44356,"Check Program")</f>
        <v>44356</v>
      </c>
      <c r="BM174" s="219">
        <v>8505</v>
      </c>
      <c r="BN174" s="219">
        <v>8505</v>
      </c>
      <c r="BO174" s="219">
        <v>8505</v>
      </c>
      <c r="BP174" s="220">
        <f t="shared" si="6"/>
        <v>25515</v>
      </c>
      <c r="BQ174" s="221">
        <v>3300</v>
      </c>
      <c r="BR174" s="219">
        <v>400</v>
      </c>
      <c r="BS174" s="219">
        <v>400</v>
      </c>
      <c r="BT174" s="222">
        <f t="shared" si="7"/>
        <v>4100</v>
      </c>
      <c r="BU174" s="219">
        <v>2100</v>
      </c>
      <c r="BV174" s="219">
        <v>2100</v>
      </c>
      <c r="BW174" s="219">
        <v>2100</v>
      </c>
      <c r="BX174" s="222">
        <f t="shared" si="8"/>
        <v>6300</v>
      </c>
      <c r="BY174" s="275">
        <v>1200</v>
      </c>
      <c r="BZ174" s="275">
        <v>1200</v>
      </c>
      <c r="CA174" s="275">
        <v>1200</v>
      </c>
      <c r="CB174" s="222">
        <f>SUM(Table1[[#This Row],[LEQ1]:[LEQ3]])</f>
        <v>3600</v>
      </c>
      <c r="CC174" s="276">
        <v>0</v>
      </c>
      <c r="CD174" s="276">
        <v>0</v>
      </c>
      <c r="CE174" s="276">
        <v>0</v>
      </c>
      <c r="CF174" s="222">
        <f>SUM(Table1[[#This Row],[OthCostQ1]:[OthCostQ3]])</f>
        <v>0</v>
      </c>
      <c r="CG174" s="222">
        <f>(Table1[[#This Row],[T&amp;FTot]]+Table1[[#This Row],[B&amp;STot]]+Table1[[#This Row],[HousTot]]+Table1[[#This Row],[LETot]]+Table1[[#This Row],[OthCostTot]])</f>
        <v>39515</v>
      </c>
      <c r="CH174" s="253">
        <v>0</v>
      </c>
      <c r="CI174" s="253">
        <v>0</v>
      </c>
      <c r="CJ174" s="253">
        <v>0</v>
      </c>
      <c r="CK174" s="254">
        <f>SUM(Table1[[#This Row],[SEOGQ1]:[SEOGQ3]])</f>
        <v>0</v>
      </c>
      <c r="CL174" s="253">
        <f>IFERROR(ROUNDUP(Table1[[#This Row],[PellTot]]/3,0),0)</f>
        <v>0</v>
      </c>
      <c r="CM174" s="253">
        <f>IFERROR(ROUND(Table1[[#This Row],[PellTot]]/3,0),0)</f>
        <v>0</v>
      </c>
      <c r="CN174" s="253">
        <f>IFERROR(ROUNDDOWN(Table1[[#This Row],[PellTot]]/3,0),0)</f>
        <v>0</v>
      </c>
      <c r="CO174" s="254">
        <f>IFERROR(LOOKUP(Table1[EFC],Pell_Table[#Data],Pell_Table[Pell Amt]),0)</f>
        <v>0</v>
      </c>
      <c r="CP174" s="253">
        <f>Table1[[#This Row],[AccessTot]]/3</f>
        <v>0</v>
      </c>
      <c r="CQ174" s="253">
        <f>Table1[[#This Row],[AccessTot]]/3</f>
        <v>0</v>
      </c>
      <c r="CR174" s="253">
        <f>Table1[[#This Row],[AccessTot]]/3</f>
        <v>0</v>
      </c>
      <c r="CS174" s="254">
        <f>IF(Table1[[#This Row],[PellTot]]&gt;0,1500,0)</f>
        <v>0</v>
      </c>
      <c r="CT174" s="253">
        <f>Table1[[#This Row],[AchiTot]]/3</f>
        <v>1700</v>
      </c>
      <c r="CU174" s="253">
        <f>Table1[[#This Row],[AchiTot]]/3</f>
        <v>1700</v>
      </c>
      <c r="CV174" s="253">
        <f>Table1[[#This Row],[AchiTot]]/3</f>
        <v>1700</v>
      </c>
      <c r="CW174" s="255">
        <f>IF(Table1[[#This Row],[Rank]]="","",IF(Table1[[#This Row],[Rank]]=1,5100,IF(Table1[[#This Row],[Rank]]=2,4500,IF(Table1[[#This Row],[Rank]]=3,3900,IF(Table1[[#This Row],[Rank]]=4,3750,IF(Table1[[#This Row],[Rank]]=5,3000,IF(Table1[[#This Row],[Rank]]=6,2250,0)))))))</f>
        <v>5100</v>
      </c>
      <c r="CX174" s="253">
        <f>Table1[[#This Row],[UTTot]]/3</f>
        <v>0</v>
      </c>
      <c r="CY174" s="253">
        <f>Table1[[#This Row],[UTTot]]/3</f>
        <v>0</v>
      </c>
      <c r="CZ174" s="253">
        <f>Table1[[#This Row],[UTTot]]/3</f>
        <v>0</v>
      </c>
      <c r="DA174" s="254">
        <f>IF(Table1[[#This Row],[State]]="UT",9000,0)</f>
        <v>0</v>
      </c>
      <c r="DB174" s="253">
        <f>Table1[[#This Row],[WITTot]]/3</f>
        <v>0</v>
      </c>
      <c r="DC174" s="253">
        <f>Table1[[#This Row],[WITTot]]/3</f>
        <v>0</v>
      </c>
      <c r="DD174" s="253">
        <f>Table1[[#This Row],[WITTot]]/3</f>
        <v>0</v>
      </c>
      <c r="DE174" s="254">
        <f>IF(Table1[[#This Row],[Gender]]="Female",3000,0)</f>
        <v>0</v>
      </c>
      <c r="DF174" s="253">
        <f>Table1[[#This Row],[SerTot]]/3</f>
        <v>0</v>
      </c>
      <c r="DG174" s="253">
        <f>Table1[[#This Row],[SerTot]]/3</f>
        <v>0</v>
      </c>
      <c r="DH174" s="253">
        <f>Table1[[#This Row],[SerTot]]/3</f>
        <v>0</v>
      </c>
      <c r="DI174" s="255">
        <v>0</v>
      </c>
      <c r="DJ174" s="253">
        <f>IFERROR(ROUNDUP(Table1[[#This Row],[TranTot]]/3,0),0)</f>
        <v>0</v>
      </c>
      <c r="DK174" s="253">
        <f>IFERROR(ROUND(Table1[[#This Row],[TranTot]]/3,0),0)</f>
        <v>0</v>
      </c>
      <c r="DL174" s="253">
        <f>IFERROR(ROUNDDOWN(Table1[[#This Row],[TranTot]]/3,0),0)</f>
        <v>0</v>
      </c>
      <c r="DM174" s="255">
        <v>0</v>
      </c>
      <c r="DN174" s="253">
        <f>Table1[[#This Row],[MatTot]]/3</f>
        <v>0</v>
      </c>
      <c r="DO174" s="253">
        <f>Table1[[#This Row],[MatTot]]/3</f>
        <v>0</v>
      </c>
      <c r="DP174" s="253">
        <f>Table1[[#This Row],[MatTot]]/3</f>
        <v>0</v>
      </c>
      <c r="DQ174" s="255">
        <v>0</v>
      </c>
      <c r="DR174" s="253">
        <f>Table1[[#This Row],[OutTot]]/3</f>
        <v>0</v>
      </c>
      <c r="DS174" s="253">
        <f>Table1[[#This Row],[OutTot]]/3</f>
        <v>0</v>
      </c>
      <c r="DT174" s="253">
        <f>Table1[[#This Row],[OutTot]]/3</f>
        <v>0</v>
      </c>
      <c r="DU174" s="255">
        <v>0</v>
      </c>
      <c r="DV174" s="253">
        <v>0</v>
      </c>
      <c r="DW174" s="253">
        <v>0</v>
      </c>
      <c r="DX174" s="253">
        <v>0</v>
      </c>
      <c r="DY174" s="255">
        <f>SUM(Table1[[#This Row],[VAQ1]:[VAQ3]])</f>
        <v>0</v>
      </c>
      <c r="DZ174" s="253">
        <v>0</v>
      </c>
      <c r="EA174" s="253">
        <v>0</v>
      </c>
      <c r="EB174" s="253">
        <v>0</v>
      </c>
      <c r="EC174" s="278">
        <f>SUM(Table1[[#This Row],[OthGrantQ1]:[OthGrantQ3]])</f>
        <v>0</v>
      </c>
      <c r="ED174" s="264">
        <f>Table1[[#This Row],[SEOGTot]]+Table1[[#This Row],[PellTot]]+Table1[[#This Row],[AccessTot]]+Table1[[#This Row],[AchiTot]]+Table1[[#This Row],[UTTot]]+Table1[[#This Row],[WITTot]]+Table1[[#This Row],[SerTot]]+Table1[[#This Row],[TranTot]]+Table1[[#This Row],[MatTot]]+Table1[[#This Row],[OutTot]]+Table1[[#This Row],[VATot]]+Table1[[#This Row],[OthGrantTot]]</f>
        <v>5100</v>
      </c>
      <c r="EE174" s="298">
        <v>0</v>
      </c>
      <c r="EF174" s="227">
        <v>0</v>
      </c>
      <c r="EG174" s="227">
        <v>0</v>
      </c>
      <c r="EH174" s="228">
        <f>SUM(Table1[[#This Row],[CashQ1]]:Table1[[#This Row],[CashQ3]])</f>
        <v>0</v>
      </c>
      <c r="EI174" s="229">
        <f>ROUND((Table1[[#This Row],[SubTot]]/3)/1.01059,0)</f>
        <v>1154</v>
      </c>
      <c r="EJ174" s="230">
        <f>ROUND((Table1[[#This Row],[SubTot]]/3)/1.01059,0)</f>
        <v>1154</v>
      </c>
      <c r="EK174" s="230">
        <f>ROUNDUP((Table1[[#This Row],[SubTot]]/3)/1.01059,0)</f>
        <v>1155</v>
      </c>
      <c r="EL174" s="231">
        <v>3500</v>
      </c>
      <c r="EM174" s="233">
        <f>Table1[[#This Row],[SubTot]]*0.01059</f>
        <v>37.065000000000005</v>
      </c>
      <c r="EN174" s="230">
        <f>ROUND((Table1[[#This Row],[UnsubTot]]/3)/1.01062,0)</f>
        <v>660</v>
      </c>
      <c r="EO174" s="230">
        <f>ROUND((Table1[[#This Row],[UnsubTot]]/3)/1.01062,0)</f>
        <v>660</v>
      </c>
      <c r="EP174" s="230">
        <f>ROUNDDOWN((Table1[[#This Row],[UnsubTot]]/3)/1.01062,0)</f>
        <v>659</v>
      </c>
      <c r="EQ174" s="231">
        <f>IF(Table1[D/I]="I",6000,2000)</f>
        <v>2000</v>
      </c>
      <c r="ER174" s="233">
        <f>Table1[[#This Row],[UnsubTot]]*0.01059</f>
        <v>21.18</v>
      </c>
      <c r="ES174" s="230">
        <f>ROUND((Table1[[#This Row],[PLUSTot]]/3)/1.04236,0)</f>
        <v>0</v>
      </c>
      <c r="ET174" s="230">
        <f>ROUND((Table1[[#This Row],[PLUSTot]]/3)/1.04236,0)</f>
        <v>0</v>
      </c>
      <c r="EU174" s="230">
        <f>ROUND((Table1[[#This Row],[PLUSTot]]/3)/1.04236,0)</f>
        <v>0</v>
      </c>
      <c r="EV174" s="231">
        <v>0</v>
      </c>
      <c r="EW174" s="236">
        <f>Table1[[#This Row],[PLUSTot]]*0.04236</f>
        <v>0</v>
      </c>
      <c r="EX174" s="227"/>
      <c r="EY174" s="227"/>
      <c r="EZ174" s="227"/>
      <c r="FA174" s="228">
        <f>SUM(Table1[[#This Row],[PrivQ1]:[PrivQ3]])</f>
        <v>0</v>
      </c>
      <c r="FB174" s="227"/>
      <c r="FC174" s="227"/>
      <c r="FD174" s="227"/>
      <c r="FE174" s="228">
        <f>SUM(Table1[[#This Row],[TOQ1]:[TOQ3]])</f>
        <v>0</v>
      </c>
      <c r="FF174" s="227"/>
      <c r="FG174" s="227"/>
      <c r="FH174" s="227"/>
      <c r="FI174" s="228">
        <f>SUM(Table1[[#This Row],[OFundQ1]:[OFundQ3]])</f>
        <v>0</v>
      </c>
      <c r="FJ174" s="236">
        <f>(Table1[[#This Row],[SubTot]]-Table1[[#This Row],[SubFee]])+(Table1[[#This Row],[UnsubTot]]-Table1[[#This Row],[UnsubFee]])+(Table1[[#This Row],[PLUSTot]]-Table1[[#This Row],[PLUSFee]])+Table1[[#This Row],[PrivTot]]+Table1[[#This Row],[TOTot]]+Table1[[#This Row],[OFundTot]]</f>
        <v>5441.7550000000001</v>
      </c>
      <c r="FK174" s="159">
        <f>Table1[[#This Row],[CostTot]]-Table1[[#This Row],[GiftTot]]</f>
        <v>34415</v>
      </c>
      <c r="FL174" s="174">
        <f>Table1[[#This Row],[NetNeed]]/(1-0.04236)</f>
        <v>30254.840023390832</v>
      </c>
      <c r="FM174" s="176">
        <f>Table1[[#This Row],[NetCost]]-Table1[[#This Row],[CashTot]]-(Table1[[#This Row],[SubTot]]-Table1[[#This Row],[SubFee]])-(Table1[[#This Row],[UnsubTot]]-Table1[[#This Row],[UnsubFee]])-(Table1[[#This Row],[PLUSTot]]-Table1[[#This Row],[PLUSFee]])-Table1[[#This Row],[PrivTot]]-Table1[[#This Row],[TOTot]]-Table1[[#This Row],[OFundTot]]</f>
        <v>28973.244999999999</v>
      </c>
      <c r="FN174" s="217"/>
      <c r="FO174" s="162"/>
      <c r="FP174" s="162"/>
    </row>
    <row r="175" spans="1:172" ht="15" x14ac:dyDescent="0.25">
      <c r="A175" s="310">
        <v>197751</v>
      </c>
      <c r="B175" s="160" t="str">
        <f>VLOOKUP(Table1[[#This Row],[SyStudentId]],SSR!$A$2:$CC$4982,4,FALSE)</f>
        <v>Tran</v>
      </c>
      <c r="C175" s="160" t="str">
        <f>VLOOKUP(Table1[[#This Row],[SyStudentId]],SSR!$A$2:$CC$4982,5,FALSE)</f>
        <v>Gia</v>
      </c>
      <c r="D175" s="160" t="str">
        <f>VLOOKUP(Table1[[#This Row],[SyStudentId]],SSR!$A$2:$CC$4982,6,FALSE)</f>
        <v>Tran, Gia</v>
      </c>
      <c r="E175" s="113" t="str">
        <f>CONCATENATE(Table1[[#This Row],[FirstName]]," ",Table1[[#This Row],[LastName]])</f>
        <v>Gia Tran</v>
      </c>
      <c r="F175" s="158">
        <v>1</v>
      </c>
      <c r="G175" s="114">
        <v>43794</v>
      </c>
      <c r="H175" s="114">
        <v>43794</v>
      </c>
      <c r="I175" s="114">
        <v>43794</v>
      </c>
      <c r="J175" s="163" t="s">
        <v>6122</v>
      </c>
      <c r="K175" s="164"/>
      <c r="L175" s="158" t="str">
        <f>IFERROR(VLOOKUP(Table1[[#This Row],[SyStudentId]],ISIR!$A$2:$X$4999,11,FALSE),"")</f>
        <v>D</v>
      </c>
      <c r="M175" s="160" t="str">
        <f>VLOOKUP(Table1[[#This Row],[SyStudentId]],SSR!$A$2:$CC$4982,7,FALSE)</f>
        <v>billtrancon12@gmail.com</v>
      </c>
      <c r="N175" s="160" t="str">
        <f>VLOOKUP(Table1[[#This Row],[SyStudentId]],SSR!$A$2:$CC$4982,8,FALSE)</f>
        <v>17018 Sereniah Cir</v>
      </c>
      <c r="O175" s="160" t="str">
        <f>VLOOKUP(Table1[[#This Row],[SyStudentId]],SSR!$A$2:$CC$4982,9,FALSE)</f>
        <v>Houston</v>
      </c>
      <c r="P175" s="294" t="str">
        <f>VLOOKUP(Table1[[#This Row],[SyStudentId]],SSR!$A$2:$CC$4982,10,FALSE)</f>
        <v>TX</v>
      </c>
      <c r="Q175" s="165" t="str">
        <f>VLOOKUP(Table1[[#This Row],[SyStudentId]],SSR!$A$2:$CC$4982,11,FALSE)</f>
        <v xml:space="preserve">77084     </v>
      </c>
      <c r="R175" s="166">
        <f>VLOOKUP(Table1[[#This Row],[SyStudentId]],SSR!$A$2:$CC$4982,15,FALSE)</f>
        <v>3.23</v>
      </c>
      <c r="S175" s="167">
        <f>VLOOKUP(Table1[[#This Row],[SyStudentId]],SSR!$A$2:$CC$4982,22,FALSE)</f>
        <v>44109</v>
      </c>
      <c r="T175" s="160" t="str">
        <f>VLOOKUP(Table1[[#This Row],[SyStudentId]],SSR!$A$2:$CC$4982,24,FALSE)</f>
        <v>MN</v>
      </c>
      <c r="U175" s="160" t="str">
        <f>IF(VLOOKUP(Table1[[#This Row],[SyStudentId]],SSR!$A$2:$CC$4982,26,FALSE)=0,"Not Selected",VLOOKUP(Table1[[#This Row],[SyStudentId]],SSR!$A$2:$CC$4982,26,FALSE))</f>
        <v>Male</v>
      </c>
      <c r="V175" s="160" t="str">
        <f>VLOOKUP(Table1[[#This Row],[SyStudentId]],SSR!$A$2:$CC$4982,27,FALSE)</f>
        <v xml:space="preserve">HS2020  </v>
      </c>
      <c r="W175" s="160" t="str">
        <f>VLOOKUP(LEFT(Table1[[#This Row],[LastName]],1),Alpha!$A$1:$B$26,2,FALSE)</f>
        <v>Maureen Ranks</v>
      </c>
      <c r="X175" s="168" t="str">
        <f>VLOOKUP(Table1[[#This Row],[FAA]],Alpha!$B$1:$D$26,2,FALSE)</f>
        <v>mranks@neumont.edu</v>
      </c>
      <c r="Y175" s="160">
        <f>VLOOKUP(Table1[[#This Row],[FAA]],Alpha!$B$1:$D$26,3,FALSE)</f>
        <v>8883022894</v>
      </c>
      <c r="Z175" s="160" t="str">
        <f>VLOOKUP(Table1[[#This Row],[SyStudentId]],SSR!$A$2:$CC$4982,30,FALSE)</f>
        <v>16-Accepted</v>
      </c>
      <c r="AA175" s="160" t="str">
        <f>IF(VLOOKUP(Table1[[#This Row],[SyStudentId]],SSR!$A$2:$CC$4982,36,FALSE)="Bachelor of Science","BS Computer Science","Check Program")</f>
        <v>BS Computer Science</v>
      </c>
      <c r="AB175" s="160">
        <f>VLOOKUP(Table1[[#This Row],[SyStudentId]],SSR!$A$2:$CC$4982,37,FALSE)</f>
        <v>0</v>
      </c>
      <c r="AC175" s="160" t="str">
        <f>VLOOKUP(Table1[[#This Row],[SyStudentId]],SSR!$A$2:$CC$4982,42,FALSE)</f>
        <v xml:space="preserve">1350    </v>
      </c>
      <c r="AD175" s="160" t="str">
        <f>VLOOKUP(Table1[[#This Row],[SyStudentId]],SSR!$A$2:$CC$4982,46,FALSE)</f>
        <v>117</v>
      </c>
      <c r="AE175" s="160" t="str">
        <f>VLOOKUP(Table1[[#This Row],[SyStudentId]],SSR!$A$2:$CC$4982,65,FALSE)</f>
        <v>I</v>
      </c>
      <c r="AF175"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75" s="160" t="str">
        <f>VLOOKUP(Table1[[#This Row],[SyStudentId]],SSR!$A$2:$CC$4982,66,FALSE)</f>
        <v>July-October</v>
      </c>
      <c r="AH175" s="160" t="str">
        <f>IFERROR(VLOOKUP(Table1[[#This Row],[SyStudentId]],ISIR!$A$2:$X$1999,7,FALSE),"")</f>
        <v>000000</v>
      </c>
      <c r="AI175" s="170">
        <f>IF(Table1[[#This Row],[EFCRaw]]="","",IF(Table1[[#This Row],[EFCRaw]]="No EFC","No EFC",_xlfn.NUMBERVALUE(Table1[[#This Row],[EFCRaw]])))</f>
        <v>0</v>
      </c>
      <c r="AJ175" s="167">
        <f>IFERROR(VLOOKUP(Table1[[#This Row],[SyStudentId]],ISIR!$A$2:$X$4999,19,FALSE),"")</f>
        <v>43774</v>
      </c>
      <c r="AK175" s="160" t="str">
        <f>IFERROR(VLOOKUP(Table1[[#This Row],[SyStudentId]],ISIR!$A$2:$X$4999,8,FALSE),"")</f>
        <v>N</v>
      </c>
      <c r="AL175" s="171" t="str">
        <f>IF(Table1[[#This Row],[VerReq]]="N","n/a","")</f>
        <v>n/a</v>
      </c>
      <c r="AM175" s="122"/>
      <c r="AN175" s="122"/>
      <c r="AO175" s="122"/>
      <c r="AP175" s="122"/>
      <c r="AQ175" s="122"/>
      <c r="AR175" s="122"/>
      <c r="AS175" s="122"/>
      <c r="AT175" s="122"/>
      <c r="AU175" s="122"/>
      <c r="AV175" s="122"/>
      <c r="AW175" s="122"/>
      <c r="AX175" s="122"/>
      <c r="AY175" s="122"/>
      <c r="AZ175" s="122"/>
      <c r="BA175" s="122"/>
      <c r="BB175" s="122"/>
      <c r="BC175" s="148"/>
      <c r="BD175" s="140" t="str">
        <f>IF(Table1[[#This Row],[VerReq]]="N","x","")</f>
        <v>x</v>
      </c>
      <c r="BE175" s="140" t="str">
        <f>IF(Table1[[#This Row],[VerReq]]="N","x","")</f>
        <v>x</v>
      </c>
      <c r="BF175" s="140" t="str">
        <f>IF(Table1[[#This Row],[VerReq]]="N","x","")</f>
        <v>x</v>
      </c>
      <c r="BG175" s="140" t="str">
        <f>IF(Table1[[#This Row],[VerReq]]="N","x","")</f>
        <v>x</v>
      </c>
      <c r="BH175" s="140" t="str">
        <f>IF(Table1[[#This Row],[VerReq]]="N","x","")</f>
        <v>x</v>
      </c>
      <c r="BI175" s="140" t="str">
        <f>IF(Table1[[#This Row],[VerReq]]="N","x","")</f>
        <v>x</v>
      </c>
      <c r="BJ175" s="181">
        <f>1-((COUNTBLANK(Table1[[#This Row],[ALESent]:[TaxTran]]))/(COUNT(Table1[[#This Row],[ALESent]:[TaxTran]])+COUNTBLANK(Table1[[#This Row],[ALESent]:[TaxTran]])))</f>
        <v>0</v>
      </c>
      <c r="BK175" s="216">
        <f>IF(VLOOKUP(Table1[[#This Row],[SyStudentId]],SSR!$A$2:$CC$4982,22,FALSE)=44109,44109,"Check Program")</f>
        <v>44109</v>
      </c>
      <c r="BL175" s="216">
        <f>IF(Table1[[#This Row],[AYStart]]=44109,44356,"Check Program")</f>
        <v>44356</v>
      </c>
      <c r="BM175" s="219">
        <v>8505</v>
      </c>
      <c r="BN175" s="219">
        <v>8505</v>
      </c>
      <c r="BO175" s="219">
        <v>8505</v>
      </c>
      <c r="BP175" s="220">
        <f t="shared" si="6"/>
        <v>25515</v>
      </c>
      <c r="BQ175" s="221">
        <v>3300</v>
      </c>
      <c r="BR175" s="219">
        <v>400</v>
      </c>
      <c r="BS175" s="219">
        <v>400</v>
      </c>
      <c r="BT175" s="222">
        <f t="shared" si="7"/>
        <v>4100</v>
      </c>
      <c r="BU175" s="219">
        <v>2100</v>
      </c>
      <c r="BV175" s="219">
        <v>2100</v>
      </c>
      <c r="BW175" s="219">
        <v>2100</v>
      </c>
      <c r="BX175" s="222">
        <f t="shared" si="8"/>
        <v>6300</v>
      </c>
      <c r="BY175" s="275">
        <v>1200</v>
      </c>
      <c r="BZ175" s="275">
        <v>1200</v>
      </c>
      <c r="CA175" s="275">
        <v>1200</v>
      </c>
      <c r="CB175" s="222">
        <f>SUM(Table1[[#This Row],[LEQ1]:[LEQ3]])</f>
        <v>3600</v>
      </c>
      <c r="CC175" s="276">
        <v>0</v>
      </c>
      <c r="CD175" s="276">
        <v>0</v>
      </c>
      <c r="CE175" s="276">
        <v>0</v>
      </c>
      <c r="CF175" s="222">
        <f>SUM(Table1[[#This Row],[OthCostQ1]:[OthCostQ3]])</f>
        <v>0</v>
      </c>
      <c r="CG175" s="222">
        <f>(Table1[[#This Row],[T&amp;FTot]]+Table1[[#This Row],[B&amp;STot]]+Table1[[#This Row],[HousTot]]+Table1[[#This Row],[LETot]]+Table1[[#This Row],[OthCostTot]])</f>
        <v>39515</v>
      </c>
      <c r="CH175" s="253">
        <v>0</v>
      </c>
      <c r="CI175" s="253">
        <v>0</v>
      </c>
      <c r="CJ175" s="253">
        <v>0</v>
      </c>
      <c r="CK175" s="254">
        <f>SUM(Table1[[#This Row],[SEOGQ1]:[SEOGQ3]])</f>
        <v>0</v>
      </c>
      <c r="CL175" s="253">
        <f>IFERROR(ROUNDUP(Table1[[#This Row],[PellTot]]/3,0),0)</f>
        <v>2065</v>
      </c>
      <c r="CM175" s="253">
        <f>IFERROR(ROUND(Table1[[#This Row],[PellTot]]/3,0),0)</f>
        <v>2065</v>
      </c>
      <c r="CN175" s="253">
        <f>IFERROR(ROUNDDOWN(Table1[[#This Row],[PellTot]]/3,0),0)</f>
        <v>2065</v>
      </c>
      <c r="CO175" s="254">
        <f>IFERROR(LOOKUP(Table1[EFC],Pell_Table[#Data],Pell_Table[Pell Amt]),0)</f>
        <v>6195</v>
      </c>
      <c r="CP175" s="253">
        <f>Table1[[#This Row],[AccessTot]]/3</f>
        <v>500</v>
      </c>
      <c r="CQ175" s="253">
        <f>Table1[[#This Row],[AccessTot]]/3</f>
        <v>500</v>
      </c>
      <c r="CR175" s="253">
        <f>Table1[[#This Row],[AccessTot]]/3</f>
        <v>500</v>
      </c>
      <c r="CS175" s="254">
        <f>IF(Table1[[#This Row],[PellTot]]&gt;0,1500,0)</f>
        <v>1500</v>
      </c>
      <c r="CT175" s="253">
        <f>Table1[[#This Row],[AchiTot]]/3</f>
        <v>1700</v>
      </c>
      <c r="CU175" s="253">
        <f>Table1[[#This Row],[AchiTot]]/3</f>
        <v>1700</v>
      </c>
      <c r="CV175" s="253">
        <f>Table1[[#This Row],[AchiTot]]/3</f>
        <v>1700</v>
      </c>
      <c r="CW175" s="255">
        <f>IF(Table1[[#This Row],[Rank]]="","",IF(Table1[[#This Row],[Rank]]=1,5100,IF(Table1[[#This Row],[Rank]]=2,4500,IF(Table1[[#This Row],[Rank]]=3,3900,IF(Table1[[#This Row],[Rank]]=4,3750,IF(Table1[[#This Row],[Rank]]=5,3000,IF(Table1[[#This Row],[Rank]]=6,2250,0)))))))</f>
        <v>5100</v>
      </c>
      <c r="CX175" s="253">
        <f>Table1[[#This Row],[UTTot]]/3</f>
        <v>0</v>
      </c>
      <c r="CY175" s="253">
        <f>Table1[[#This Row],[UTTot]]/3</f>
        <v>0</v>
      </c>
      <c r="CZ175" s="253">
        <f>Table1[[#This Row],[UTTot]]/3</f>
        <v>0</v>
      </c>
      <c r="DA175" s="254">
        <f>IF(Table1[[#This Row],[State]]="UT",9000,0)</f>
        <v>0</v>
      </c>
      <c r="DB175" s="253">
        <f>Table1[[#This Row],[WITTot]]/3</f>
        <v>0</v>
      </c>
      <c r="DC175" s="253">
        <f>Table1[[#This Row],[WITTot]]/3</f>
        <v>0</v>
      </c>
      <c r="DD175" s="253">
        <f>Table1[[#This Row],[WITTot]]/3</f>
        <v>0</v>
      </c>
      <c r="DE175" s="254">
        <f>IF(Table1[[#This Row],[Gender]]="Female",3000,0)</f>
        <v>0</v>
      </c>
      <c r="DF175" s="253">
        <f>Table1[[#This Row],[SerTot]]/3</f>
        <v>0</v>
      </c>
      <c r="DG175" s="253">
        <f>Table1[[#This Row],[SerTot]]/3</f>
        <v>0</v>
      </c>
      <c r="DH175" s="253">
        <f>Table1[[#This Row],[SerTot]]/3</f>
        <v>0</v>
      </c>
      <c r="DI175" s="255">
        <v>0</v>
      </c>
      <c r="DJ175" s="253">
        <f>IFERROR(ROUNDUP(Table1[[#This Row],[TranTot]]/3,0),0)</f>
        <v>0</v>
      </c>
      <c r="DK175" s="253">
        <f>IFERROR(ROUND(Table1[[#This Row],[TranTot]]/3,0),0)</f>
        <v>0</v>
      </c>
      <c r="DL175" s="253">
        <f>IFERROR(ROUNDDOWN(Table1[[#This Row],[TranTot]]/3,0),0)</f>
        <v>0</v>
      </c>
      <c r="DM175" s="255">
        <v>0</v>
      </c>
      <c r="DN175" s="253">
        <f>Table1[[#This Row],[MatTot]]/3</f>
        <v>0</v>
      </c>
      <c r="DO175" s="253">
        <f>Table1[[#This Row],[MatTot]]/3</f>
        <v>0</v>
      </c>
      <c r="DP175" s="253">
        <f>Table1[[#This Row],[MatTot]]/3</f>
        <v>0</v>
      </c>
      <c r="DQ175" s="255">
        <v>0</v>
      </c>
      <c r="DR175" s="253">
        <f>Table1[[#This Row],[OutTot]]/3</f>
        <v>0</v>
      </c>
      <c r="DS175" s="253">
        <f>Table1[[#This Row],[OutTot]]/3</f>
        <v>0</v>
      </c>
      <c r="DT175" s="253">
        <f>Table1[[#This Row],[OutTot]]/3</f>
        <v>0</v>
      </c>
      <c r="DU175" s="255">
        <v>0</v>
      </c>
      <c r="DV175" s="253">
        <v>0</v>
      </c>
      <c r="DW175" s="253">
        <v>0</v>
      </c>
      <c r="DX175" s="253">
        <v>0</v>
      </c>
      <c r="DY175" s="255">
        <f>SUM(Table1[[#This Row],[VAQ1]:[VAQ3]])</f>
        <v>0</v>
      </c>
      <c r="DZ175" s="253">
        <v>0</v>
      </c>
      <c r="EA175" s="253">
        <v>0</v>
      </c>
      <c r="EB175" s="253">
        <v>0</v>
      </c>
      <c r="EC175" s="278">
        <f>SUM(Table1[[#This Row],[OthGrantQ1]:[OthGrantQ3]])</f>
        <v>0</v>
      </c>
      <c r="ED175" s="264">
        <f>Table1[[#This Row],[SEOGTot]]+Table1[[#This Row],[PellTot]]+Table1[[#This Row],[AccessTot]]+Table1[[#This Row],[AchiTot]]+Table1[[#This Row],[UTTot]]+Table1[[#This Row],[WITTot]]+Table1[[#This Row],[SerTot]]+Table1[[#This Row],[TranTot]]+Table1[[#This Row],[MatTot]]+Table1[[#This Row],[OutTot]]+Table1[[#This Row],[VATot]]+Table1[[#This Row],[OthGrantTot]]</f>
        <v>12795</v>
      </c>
      <c r="EE175" s="298">
        <v>0</v>
      </c>
      <c r="EF175" s="227">
        <v>0</v>
      </c>
      <c r="EG175" s="227">
        <v>0</v>
      </c>
      <c r="EH175" s="228">
        <f>SUM(Table1[[#This Row],[CashQ1]]:Table1[[#This Row],[CashQ3]])</f>
        <v>0</v>
      </c>
      <c r="EI175" s="229">
        <f>ROUND((Table1[[#This Row],[SubTot]]/3)/1.01059,0)</f>
        <v>1154</v>
      </c>
      <c r="EJ175" s="230">
        <f>ROUND((Table1[[#This Row],[SubTot]]/3)/1.01059,0)</f>
        <v>1154</v>
      </c>
      <c r="EK175" s="230">
        <f>ROUNDUP((Table1[[#This Row],[SubTot]]/3)/1.01059,0)</f>
        <v>1155</v>
      </c>
      <c r="EL175" s="231">
        <v>3500</v>
      </c>
      <c r="EM175" s="233">
        <f>Table1[[#This Row],[SubTot]]*0.01059</f>
        <v>37.065000000000005</v>
      </c>
      <c r="EN175" s="230">
        <f>ROUND((Table1[[#This Row],[UnsubTot]]/3)/1.01062,0)</f>
        <v>660</v>
      </c>
      <c r="EO175" s="230">
        <f>ROUND((Table1[[#This Row],[UnsubTot]]/3)/1.01062,0)</f>
        <v>660</v>
      </c>
      <c r="EP175" s="230">
        <f>ROUNDDOWN((Table1[[#This Row],[UnsubTot]]/3)/1.01062,0)</f>
        <v>659</v>
      </c>
      <c r="EQ175" s="231">
        <f>IF(Table1[D/I]="I",6000,2000)</f>
        <v>2000</v>
      </c>
      <c r="ER175" s="233">
        <f>Table1[[#This Row],[UnsubTot]]*0.01059</f>
        <v>21.18</v>
      </c>
      <c r="ES175" s="230">
        <f>ROUND((Table1[[#This Row],[PLUSTot]]/3)/1.04236,0)</f>
        <v>0</v>
      </c>
      <c r="ET175" s="230">
        <f>ROUND((Table1[[#This Row],[PLUSTot]]/3)/1.04236,0)</f>
        <v>0</v>
      </c>
      <c r="EU175" s="230">
        <f>ROUND((Table1[[#This Row],[PLUSTot]]/3)/1.04236,0)</f>
        <v>0</v>
      </c>
      <c r="EV175" s="231">
        <v>0</v>
      </c>
      <c r="EW175" s="236">
        <f>Table1[[#This Row],[PLUSTot]]*0.04236</f>
        <v>0</v>
      </c>
      <c r="EX175" s="227"/>
      <c r="EY175" s="227"/>
      <c r="EZ175" s="227"/>
      <c r="FA175" s="228">
        <f>SUM(Table1[[#This Row],[PrivQ1]:[PrivQ3]])</f>
        <v>0</v>
      </c>
      <c r="FB175" s="227"/>
      <c r="FC175" s="227"/>
      <c r="FD175" s="227"/>
      <c r="FE175" s="228">
        <f>SUM(Table1[[#This Row],[TOQ1]:[TOQ3]])</f>
        <v>0</v>
      </c>
      <c r="FF175" s="227"/>
      <c r="FG175" s="227"/>
      <c r="FH175" s="227"/>
      <c r="FI175" s="228">
        <f>SUM(Table1[[#This Row],[OFundQ1]:[OFundQ3]])</f>
        <v>0</v>
      </c>
      <c r="FJ175" s="236">
        <f>(Table1[[#This Row],[SubTot]]-Table1[[#This Row],[SubFee]])+(Table1[[#This Row],[UnsubTot]]-Table1[[#This Row],[UnsubFee]])+(Table1[[#This Row],[PLUSTot]]-Table1[[#This Row],[PLUSFee]])+Table1[[#This Row],[PrivTot]]+Table1[[#This Row],[TOTot]]+Table1[[#This Row],[OFundTot]]</f>
        <v>5441.7550000000001</v>
      </c>
      <c r="FK175" s="159">
        <f>Table1[[#This Row],[CostTot]]-Table1[[#This Row],[GiftTot]]</f>
        <v>26720</v>
      </c>
      <c r="FL175" s="174">
        <f>Table1[[#This Row],[NetNeed]]/(1-0.04236)</f>
        <v>22219.461384236245</v>
      </c>
      <c r="FM175" s="176">
        <f>Table1[[#This Row],[NetCost]]-Table1[[#This Row],[CashTot]]-(Table1[[#This Row],[SubTot]]-Table1[[#This Row],[SubFee]])-(Table1[[#This Row],[UnsubTot]]-Table1[[#This Row],[UnsubFee]])-(Table1[[#This Row],[PLUSTot]]-Table1[[#This Row],[PLUSFee]])-Table1[[#This Row],[PrivTot]]-Table1[[#This Row],[TOTot]]-Table1[[#This Row],[OFundTot]]</f>
        <v>21278.244999999999</v>
      </c>
      <c r="FN175" s="217"/>
      <c r="FO175" s="162"/>
      <c r="FP175" s="162"/>
    </row>
    <row r="176" spans="1:172" ht="15" x14ac:dyDescent="0.25">
      <c r="A176" s="310">
        <v>197955</v>
      </c>
      <c r="B176" s="113" t="str">
        <f>VLOOKUP(Table1[[#This Row],[SyStudentId]],SSR!$A$2:$CC$4982,4,FALSE)</f>
        <v>Tran</v>
      </c>
      <c r="C176" s="113" t="str">
        <f>VLOOKUP(Table1[[#This Row],[SyStudentId]],SSR!$A$2:$CC$4982,5,FALSE)</f>
        <v>Leon</v>
      </c>
      <c r="D176" s="113" t="str">
        <f>VLOOKUP(Table1[[#This Row],[SyStudentId]],SSR!$A$2:$CC$4982,6,FALSE)</f>
        <v>Tran, Leon</v>
      </c>
      <c r="E176" s="113" t="str">
        <f>CONCATENATE(Table1[[#This Row],[FirstName]]," ",Table1[[#This Row],[LastName]])</f>
        <v>Leon Tran</v>
      </c>
      <c r="F176" s="112"/>
      <c r="G176" s="114"/>
      <c r="H176" s="114"/>
      <c r="I176" s="114"/>
      <c r="J176" s="115"/>
      <c r="K176" s="116"/>
      <c r="L176" s="112" t="str">
        <f>IFERROR(VLOOKUP(Table1[[#This Row],[SyStudentId]],ISIR!$A$2:$X$999,11,FALSE),"")</f>
        <v/>
      </c>
      <c r="M176" s="113" t="str">
        <f>VLOOKUP(Table1[[#This Row],[SyStudentId]],SSR!$A$2:$CC$4982,7,FALSE)</f>
        <v>blazgreenflame@gmail.com</v>
      </c>
      <c r="N176" s="113" t="str">
        <f>VLOOKUP(Table1[[#This Row],[SyStudentId]],SSR!$A$2:$CC$4982,8,FALSE)</f>
        <v>19211 N 78th Ln</v>
      </c>
      <c r="O176" s="113" t="str">
        <f>VLOOKUP(Table1[[#This Row],[SyStudentId]],SSR!$A$2:$CC$4982,9,FALSE)</f>
        <v>Glendale</v>
      </c>
      <c r="P176" s="295" t="str">
        <f>VLOOKUP(Table1[[#This Row],[SyStudentId]],SSR!$A$2:$CC$4982,10,FALSE)</f>
        <v>AZ</v>
      </c>
      <c r="Q176" s="117" t="str">
        <f>VLOOKUP(Table1[[#This Row],[SyStudentId]],SSR!$A$2:$CC$4982,11,FALSE)</f>
        <v xml:space="preserve">85308     </v>
      </c>
      <c r="R176" s="118">
        <f>VLOOKUP(Table1[[#This Row],[SyStudentId]],SSR!$A$2:$CC$4982,15,FALSE)</f>
        <v>4</v>
      </c>
      <c r="S176" s="119">
        <f>VLOOKUP(Table1[[#This Row],[SyStudentId]],SSR!$A$2:$CC$4982,22,FALSE)</f>
        <v>44109</v>
      </c>
      <c r="T176" s="113" t="str">
        <f>VLOOKUP(Table1[[#This Row],[SyStudentId]],SSR!$A$2:$CC$4982,24,FALSE)</f>
        <v>GM</v>
      </c>
      <c r="U176" s="113" t="str">
        <f>IF(VLOOKUP(Table1[[#This Row],[SyStudentId]],SSR!$A$2:$CC$4982,26,FALSE)=0,"Not Selected",VLOOKUP(Table1[[#This Row],[SyStudentId]],SSR!$A$2:$CC$4982,26,FALSE))</f>
        <v>Male</v>
      </c>
      <c r="V176" s="113" t="str">
        <f>VLOOKUP(Table1[[#This Row],[SyStudentId]],SSR!$A$2:$CC$4982,27,FALSE)</f>
        <v xml:space="preserve">HS2020  </v>
      </c>
      <c r="W176" s="113" t="str">
        <f>VLOOKUP(LEFT(Table1[[#This Row],[LastName]],1),Alpha!$A$1:$B$26,2,FALSE)</f>
        <v>Maureen Ranks</v>
      </c>
      <c r="X176" s="149" t="str">
        <f>VLOOKUP(Table1[[#This Row],[FAA]],Alpha!$B$1:$D$26,2,FALSE)</f>
        <v>mranks@neumont.edu</v>
      </c>
      <c r="Y176" s="113">
        <f>VLOOKUP(Table1[[#This Row],[FAA]],Alpha!$B$1:$D$26,3,FALSE)</f>
        <v>8883022894</v>
      </c>
      <c r="Z176" s="113" t="str">
        <f>VLOOKUP(Table1[[#This Row],[SyStudentId]],SSR!$A$2:$CC$4982,30,FALSE)</f>
        <v>16-Accepted</v>
      </c>
      <c r="AA176" s="113" t="str">
        <f>IF(VLOOKUP(Table1[[#This Row],[SyStudentId]],SSR!$A$2:$CC$4982,36,FALSE)="Bachelor of Science","BS Computer Science","Check Program")</f>
        <v>BS Computer Science</v>
      </c>
      <c r="AB176" s="113" t="str">
        <f>VLOOKUP(Table1[[#This Row],[SyStudentId]],SSR!$A$2:$CC$4982,37,FALSE)</f>
        <v xml:space="preserve">31      </v>
      </c>
      <c r="AC176" s="113">
        <f>VLOOKUP(Table1[[#This Row],[SyStudentId]],SSR!$A$2:$CC$4982,42,FALSE)</f>
        <v>0</v>
      </c>
      <c r="AD176" s="113" t="str">
        <f>VLOOKUP(Table1[[#This Row],[SyStudentId]],SSR!$A$2:$CC$4982,46,FALSE)</f>
        <v>133</v>
      </c>
      <c r="AE176" s="113" t="str">
        <f>VLOOKUP(Table1[[#This Row],[SyStudentId]],SSR!$A$2:$CC$4982,65,FALSE)</f>
        <v>I</v>
      </c>
      <c r="AF176"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76" s="113" t="str">
        <f>VLOOKUP(Table1[[#This Row],[SyStudentId]],SSR!$A$2:$CC$4982,66,FALSE)</f>
        <v>July-October</v>
      </c>
      <c r="AH176" s="113" t="str">
        <f>IFERROR(VLOOKUP(Table1[[#This Row],[SyStudentId]],ISIR!$A$2:$X$999,7,FALSE),"")</f>
        <v/>
      </c>
      <c r="AI176" s="121" t="str">
        <f>IF(Table1[[#This Row],[EFCRaw]]="","",IF(Table1[[#This Row],[EFCRaw]]="No EFC","No EFC",_xlfn.NUMBERVALUE(Table1[[#This Row],[EFCRaw]])))</f>
        <v/>
      </c>
      <c r="AJ176" s="119" t="str">
        <f>IFERROR(VLOOKUP(Table1[[#This Row],[SyStudentId]],ISIR!$A$2:$X$4999,19,FALSE),"")</f>
        <v/>
      </c>
      <c r="AK176" s="113" t="str">
        <f>IFERROR(VLOOKUP(Table1[[#This Row],[SyStudentId]],ISIR!$A$2:$X$4999,8,FALSE),"")</f>
        <v/>
      </c>
      <c r="AL176" s="132" t="str">
        <f>IF(Table1[[#This Row],[VerReq]]="N","n/a","")</f>
        <v/>
      </c>
      <c r="AM176" s="122"/>
      <c r="AN176" s="122"/>
      <c r="AO176" s="122"/>
      <c r="AP176" s="122"/>
      <c r="AQ176" s="122"/>
      <c r="AR176" s="122"/>
      <c r="AS176" s="122"/>
      <c r="AT176" s="122"/>
      <c r="AU176" s="122"/>
      <c r="AV176" s="122"/>
      <c r="AW176" s="122"/>
      <c r="AX176" s="122"/>
      <c r="AY176" s="122"/>
      <c r="AZ176" s="122"/>
      <c r="BA176" s="122"/>
      <c r="BB176" s="122"/>
      <c r="BC176" s="148"/>
      <c r="BD176" s="140" t="str">
        <f>IF(Table1[[#This Row],[VerReq]]="N","x","")</f>
        <v/>
      </c>
      <c r="BE176" s="140" t="str">
        <f>IF(Table1[[#This Row],[VerReq]]="N","x","")</f>
        <v/>
      </c>
      <c r="BF176" s="140" t="str">
        <f>IF(Table1[[#This Row],[VerReq]]="N","x","")</f>
        <v/>
      </c>
      <c r="BG176" s="140" t="str">
        <f>IF(Table1[[#This Row],[VerReq]]="N","x","")</f>
        <v/>
      </c>
      <c r="BH176" s="140" t="str">
        <f>IF(Table1[[#This Row],[VerReq]]="N","x","")</f>
        <v/>
      </c>
      <c r="BI176" s="140" t="str">
        <f>IF(Table1[[#This Row],[VerReq]]="N","x","")</f>
        <v/>
      </c>
      <c r="BJ176" s="123">
        <f>1-((COUNTBLANK(Table1[[#This Row],[ALESent]:[TaxTran]]))/(COUNT(Table1[[#This Row],[ALESent]:[TaxTran]])+COUNTBLANK(Table1[[#This Row],[ALESent]:[TaxTran]])))</f>
        <v>0</v>
      </c>
      <c r="BK176" s="150">
        <f>IF(VLOOKUP(Table1[[#This Row],[SyStudentId]],SSR!$A$2:$CC$4982,22,FALSE)=44109,44109,"Check Program")</f>
        <v>44109</v>
      </c>
      <c r="BL176" s="150">
        <f>IF(Table1[[#This Row],[AYStart]]=44109,44356,"Check Program")</f>
        <v>44356</v>
      </c>
      <c r="BM176" s="219">
        <v>8505</v>
      </c>
      <c r="BN176" s="219">
        <v>8505</v>
      </c>
      <c r="BO176" s="219">
        <v>8505</v>
      </c>
      <c r="BP176" s="220">
        <f t="shared" si="6"/>
        <v>25515</v>
      </c>
      <c r="BQ176" s="221">
        <v>3300</v>
      </c>
      <c r="BR176" s="219">
        <v>400</v>
      </c>
      <c r="BS176" s="219">
        <v>400</v>
      </c>
      <c r="BT176" s="220">
        <f t="shared" si="7"/>
        <v>4100</v>
      </c>
      <c r="BU176" s="219">
        <v>2100</v>
      </c>
      <c r="BV176" s="219">
        <v>2100</v>
      </c>
      <c r="BW176" s="219">
        <v>2100</v>
      </c>
      <c r="BX176" s="222">
        <f t="shared" si="8"/>
        <v>6300</v>
      </c>
      <c r="BY176" s="275">
        <v>1200</v>
      </c>
      <c r="BZ176" s="275">
        <v>1200</v>
      </c>
      <c r="CA176" s="275">
        <v>1200</v>
      </c>
      <c r="CB176" s="222">
        <f>SUM(Table1[[#This Row],[LEQ1]:[LEQ3]])</f>
        <v>3600</v>
      </c>
      <c r="CC176" s="276">
        <v>0</v>
      </c>
      <c r="CD176" s="276">
        <v>0</v>
      </c>
      <c r="CE176" s="276">
        <v>0</v>
      </c>
      <c r="CF176" s="222">
        <f>SUM(Table1[[#This Row],[OthCostQ1]:[OthCostQ3]])</f>
        <v>0</v>
      </c>
      <c r="CG176" s="220">
        <f>(Table1[[#This Row],[T&amp;FTot]]+Table1[[#This Row],[B&amp;STot]]+Table1[[#This Row],[HousTot]]+Table1[[#This Row],[LETot]]+Table1[[#This Row],[OthCostTot]])</f>
        <v>39515</v>
      </c>
      <c r="CH176" s="250"/>
      <c r="CI176" s="250"/>
      <c r="CJ176" s="250"/>
      <c r="CK176" s="251">
        <f>SUM(Table1[[#This Row],[SEOGQ1]:[SEOGQ3]])</f>
        <v>0</v>
      </c>
      <c r="CL176" s="250">
        <f>IFERROR(ROUNDUP(Table1[[#This Row],[PellTot]]/3,0),0)</f>
        <v>0</v>
      </c>
      <c r="CM176" s="250">
        <f>IFERROR(ROUND(Table1[[#This Row],[PellTot]]/3,0),0)</f>
        <v>0</v>
      </c>
      <c r="CN176" s="250">
        <f>IFERROR(ROUNDDOWN(Table1[[#This Row],[PellTot]]/3,0),0)</f>
        <v>0</v>
      </c>
      <c r="CO176" s="251">
        <f>IFERROR(LOOKUP(Table1[EFC],Pell_Table[#Data],Pell_Table[Pell Amt]),0)</f>
        <v>0</v>
      </c>
      <c r="CP176" s="250">
        <f>Table1[[#This Row],[AccessTot]]/3</f>
        <v>0</v>
      </c>
      <c r="CQ176" s="250">
        <f>Table1[[#This Row],[AccessTot]]/3</f>
        <v>0</v>
      </c>
      <c r="CR176" s="250">
        <f>Table1[[#This Row],[AccessTot]]/3</f>
        <v>0</v>
      </c>
      <c r="CS176" s="251">
        <f>IF(Table1[[#This Row],[PellTot]]&gt;0,1500,0)</f>
        <v>0</v>
      </c>
      <c r="CT176" s="250">
        <f>Table1[[#This Row],[AchiTot]]/3</f>
        <v>1700</v>
      </c>
      <c r="CU176" s="250">
        <f>Table1[[#This Row],[AchiTot]]/3</f>
        <v>1700</v>
      </c>
      <c r="CV176" s="250">
        <f>Table1[[#This Row],[AchiTot]]/3</f>
        <v>1700</v>
      </c>
      <c r="CW176" s="252">
        <f>IF(Table1[[#This Row],[Rank]]="","",IF(Table1[[#This Row],[Rank]]=1,5100,IF(Table1[[#This Row],[Rank]]=2,4500,IF(Table1[[#This Row],[Rank]]=3,3900,IF(Table1[[#This Row],[Rank]]=4,3750,IF(Table1[[#This Row],[Rank]]=5,3000,IF(Table1[[#This Row],[Rank]]=6,2250,0)))))))</f>
        <v>5100</v>
      </c>
      <c r="CX176" s="250">
        <f>Table1[[#This Row],[UTTot]]/3</f>
        <v>0</v>
      </c>
      <c r="CY176" s="250">
        <f>Table1[[#This Row],[UTTot]]/3</f>
        <v>0</v>
      </c>
      <c r="CZ176" s="250">
        <f>Table1[[#This Row],[UTTot]]/3</f>
        <v>0</v>
      </c>
      <c r="DA176" s="251">
        <f>IF(Table1[[#This Row],[State]]="UT",9000,0)</f>
        <v>0</v>
      </c>
      <c r="DB176" s="250">
        <f>Table1[[#This Row],[WITTot]]/3</f>
        <v>0</v>
      </c>
      <c r="DC176" s="250">
        <f>Table1[[#This Row],[WITTot]]/3</f>
        <v>0</v>
      </c>
      <c r="DD176" s="250">
        <f>Table1[[#This Row],[WITTot]]/3</f>
        <v>0</v>
      </c>
      <c r="DE176" s="251">
        <f>IF(Table1[[#This Row],[Gender]]="Female",3000,0)</f>
        <v>0</v>
      </c>
      <c r="DF176" s="250">
        <f>Table1[[#This Row],[SerTot]]/3</f>
        <v>0</v>
      </c>
      <c r="DG176" s="250">
        <f>Table1[[#This Row],[SerTot]]/3</f>
        <v>0</v>
      </c>
      <c r="DH176" s="250">
        <f>Table1[[#This Row],[SerTot]]/3</f>
        <v>0</v>
      </c>
      <c r="DI176" s="252"/>
      <c r="DJ176" s="250"/>
      <c r="DK176" s="250"/>
      <c r="DL176" s="250"/>
      <c r="DM176" s="252"/>
      <c r="DN176" s="250">
        <f>Table1[[#This Row],[MatTot]]/3</f>
        <v>0</v>
      </c>
      <c r="DO176" s="250">
        <f>Table1[[#This Row],[MatTot]]/3</f>
        <v>0</v>
      </c>
      <c r="DP176" s="250">
        <f>Table1[[#This Row],[MatTot]]/3</f>
        <v>0</v>
      </c>
      <c r="DQ176" s="252"/>
      <c r="DR176" s="253">
        <f>Table1[[#This Row],[OutTot]]/3</f>
        <v>0</v>
      </c>
      <c r="DS176" s="253">
        <f>Table1[[#This Row],[OutTot]]/3</f>
        <v>0</v>
      </c>
      <c r="DT176" s="253">
        <f>Table1[[#This Row],[OutTot]]/3</f>
        <v>0</v>
      </c>
      <c r="DU176" s="255">
        <v>0</v>
      </c>
      <c r="DV176" s="250"/>
      <c r="DW176" s="250"/>
      <c r="DX176" s="250"/>
      <c r="DY176" s="252">
        <f>SUM(Table1[[#This Row],[VAQ1]:[VAQ3]])</f>
        <v>0</v>
      </c>
      <c r="DZ176" s="253">
        <v>0</v>
      </c>
      <c r="EA176" s="253">
        <v>0</v>
      </c>
      <c r="EB176" s="253">
        <v>0</v>
      </c>
      <c r="EC176" s="278">
        <f>SUM(Table1[[#This Row],[OthGrantQ1]:[OthGrantQ3]])</f>
        <v>0</v>
      </c>
      <c r="ED176" s="263">
        <f>Table1[[#This Row],[SEOGTot]]+Table1[[#This Row],[PellTot]]+Table1[[#This Row],[AccessTot]]+Table1[[#This Row],[AchiTot]]+Table1[[#This Row],[UTTot]]+Table1[[#This Row],[WITTot]]+Table1[[#This Row],[SerTot]]+Table1[[#This Row],[TranTot]]+Table1[[#This Row],[MatTot]]+Table1[[#This Row],[OutTot]]+Table1[[#This Row],[VATot]]+Table1[[#This Row],[OthGrantTot]]</f>
        <v>5100</v>
      </c>
      <c r="EE176" s="298">
        <v>0</v>
      </c>
      <c r="EF176" s="227">
        <v>0</v>
      </c>
      <c r="EG176" s="227">
        <v>0</v>
      </c>
      <c r="EH176" s="228">
        <f>SUM(Table1[[#This Row],[CashQ1]]:Table1[[#This Row],[CashQ3]])</f>
        <v>0</v>
      </c>
      <c r="EI176" s="229">
        <f>ROUND((Table1[[#This Row],[SubTot]]/3)/1.01059,0)</f>
        <v>1154</v>
      </c>
      <c r="EJ176" s="230">
        <f>ROUND((Table1[[#This Row],[SubTot]]/3)/1.01059,0)</f>
        <v>1154</v>
      </c>
      <c r="EK176" s="230">
        <f>ROUNDUP((Table1[[#This Row],[SubTot]]/3)/1.01059,0)</f>
        <v>1155</v>
      </c>
      <c r="EL176" s="231">
        <v>3500</v>
      </c>
      <c r="EM176" s="240">
        <f>Table1[[#This Row],[SubTot]]*0.01059</f>
        <v>37.065000000000005</v>
      </c>
      <c r="EN176" s="230">
        <f>ROUND((Table1[[#This Row],[UnsubTot]]/3)/1.01062,0)</f>
        <v>660</v>
      </c>
      <c r="EO176" s="230">
        <f>ROUND((Table1[[#This Row],[UnsubTot]]/3)/1.01062,0)</f>
        <v>660</v>
      </c>
      <c r="EP176" s="230">
        <f>ROUNDDOWN((Table1[[#This Row],[UnsubTot]]/3)/1.01062,0)</f>
        <v>659</v>
      </c>
      <c r="EQ176" s="231">
        <f>IF(Table1[D/I]="I",6000,2000)</f>
        <v>2000</v>
      </c>
      <c r="ER176" s="233">
        <f>Table1[[#This Row],[UnsubTot]]*0.01059</f>
        <v>21.18</v>
      </c>
      <c r="ES176" s="230">
        <f>ROUND((Table1[[#This Row],[PLUSTot]]/3)/1.04236,0)</f>
        <v>0</v>
      </c>
      <c r="ET176" s="230">
        <f>ROUND((Table1[[#This Row],[PLUSTot]]/3)/1.04236,0)</f>
        <v>0</v>
      </c>
      <c r="EU176" s="230">
        <f>ROUND((Table1[[#This Row],[PLUSTot]]/3)/1.04236,0)</f>
        <v>0</v>
      </c>
      <c r="EV176" s="231">
        <v>0</v>
      </c>
      <c r="EW176" s="239">
        <f>Table1[[#This Row],[PLUSTot]]*0.04248</f>
        <v>0</v>
      </c>
      <c r="EX176" s="237"/>
      <c r="EY176" s="237"/>
      <c r="EZ176" s="237"/>
      <c r="FA176" s="232">
        <f>SUM(Table1[[#This Row],[PrivQ1]:[PrivQ3]])</f>
        <v>0</v>
      </c>
      <c r="FB176" s="237"/>
      <c r="FC176" s="237"/>
      <c r="FD176" s="237"/>
      <c r="FE176" s="232">
        <f>SUM(Table1[[#This Row],[TOQ1]:[TOQ3]])</f>
        <v>0</v>
      </c>
      <c r="FF176" s="237"/>
      <c r="FG176" s="237"/>
      <c r="FH176" s="237"/>
      <c r="FI176" s="232">
        <f>SUM(Table1[[#This Row],[OFundQ1]:[OFundQ3]])</f>
        <v>0</v>
      </c>
      <c r="FJ176" s="239">
        <f>(Table1[[#This Row],[SubTot]]-Table1[[#This Row],[SubFee]])+(Table1[[#This Row],[UnsubTot]]-Table1[[#This Row],[UnsubFee]])+(Table1[[#This Row],[PLUSTot]]-Table1[[#This Row],[PLUSFee]])+Table1[[#This Row],[PrivTot]]+Table1[[#This Row],[TOTot]]+Table1[[#This Row],[OFundTot]]</f>
        <v>5441.7550000000001</v>
      </c>
      <c r="FK176" s="125">
        <f>Table1[[#This Row],[CostTot]]-Table1[[#This Row],[GiftTot]]</f>
        <v>34415</v>
      </c>
      <c r="FL176" s="130">
        <f>Table1[[#This Row],[NetNeed]]/(1-0.04248)</f>
        <v>30258.631673489846</v>
      </c>
      <c r="FM176" s="131">
        <f>Table1[[#This Row],[NetCost]]-Table1[[#This Row],[CashTot]]-(Table1[[#This Row],[SubTot]]-Table1[[#This Row],[SubFee]])-(Table1[[#This Row],[UnsubTot]]-Table1[[#This Row],[UnsubFee]])-(Table1[[#This Row],[PLUSTot]]-Table1[[#This Row],[PLUSFee]])-Table1[[#This Row],[PrivTot]]-Table1[[#This Row],[TOTot]]-Table1[[#This Row],[OFundTot]]</f>
        <v>28973.244999999999</v>
      </c>
      <c r="FN176" s="217"/>
      <c r="FO176" s="113"/>
      <c r="FP176" s="162"/>
    </row>
    <row r="177" spans="1:172" ht="15" x14ac:dyDescent="0.25">
      <c r="A177" s="296">
        <v>193741</v>
      </c>
      <c r="B177" s="160" t="str">
        <f>VLOOKUP(Table1[[#This Row],[SyStudentId]],SSR!$A$2:$CC$4982,4,FALSE)</f>
        <v>Trowbridge</v>
      </c>
      <c r="C177" s="160" t="str">
        <f>VLOOKUP(Table1[[#This Row],[SyStudentId]],SSR!$A$2:$CC$4982,5,FALSE)</f>
        <v>Conner</v>
      </c>
      <c r="D177" s="160" t="str">
        <f>VLOOKUP(Table1[[#This Row],[SyStudentId]],SSR!$A$2:$CC$4982,6,FALSE)</f>
        <v>Trowbridge, Conner</v>
      </c>
      <c r="E177" s="113" t="str">
        <f>CONCATENATE(Table1[[#This Row],[FirstName]]," ",Table1[[#This Row],[LastName]])</f>
        <v>Conner Trowbridge</v>
      </c>
      <c r="F177" s="158"/>
      <c r="G177" s="114"/>
      <c r="H177" s="114"/>
      <c r="I177" s="114"/>
      <c r="J177" s="163"/>
      <c r="K177" s="164"/>
      <c r="L177" s="158" t="str">
        <f>IFERROR(VLOOKUP(Table1[[#This Row],[SyStudentId]],ISIR!$A$2:$X$4999,11,FALSE),"")</f>
        <v>D</v>
      </c>
      <c r="M177" s="160" t="str">
        <f>VLOOKUP(Table1[[#This Row],[SyStudentId]],SSR!$A$2:$CC$4982,7,FALSE)</f>
        <v>conner.trowbridge@stu.bgreen.kyschools.us</v>
      </c>
      <c r="N177" s="160" t="str">
        <f>VLOOKUP(Table1[[#This Row],[SyStudentId]],SSR!$A$2:$CC$4982,8,FALSE)</f>
        <v>1261 Shannon Way</v>
      </c>
      <c r="O177" s="160" t="str">
        <f>VLOOKUP(Table1[[#This Row],[SyStudentId]],SSR!$A$2:$CC$4982,9,FALSE)</f>
        <v>Bowling Green</v>
      </c>
      <c r="P177" s="160" t="str">
        <f>VLOOKUP(Table1[[#This Row],[SyStudentId]],SSR!$A$2:$CC$4982,10,FALSE)</f>
        <v>KY</v>
      </c>
      <c r="Q177" s="165" t="str">
        <f>VLOOKUP(Table1[[#This Row],[SyStudentId]],SSR!$A$2:$CC$4982,11,FALSE)</f>
        <v xml:space="preserve">42101     </v>
      </c>
      <c r="R177" s="166">
        <f>VLOOKUP(Table1[[#This Row],[SyStudentId]],SSR!$A$2:$CC$4982,15,FALSE)</f>
        <v>3.4</v>
      </c>
      <c r="S177" s="167">
        <f>VLOOKUP(Table1[[#This Row],[SyStudentId]],SSR!$A$2:$CC$4982,22,FALSE)</f>
        <v>44109</v>
      </c>
      <c r="T177" s="160" t="str">
        <f>VLOOKUP(Table1[[#This Row],[SyStudentId]],SSR!$A$2:$CC$4982,24,FALSE)</f>
        <v>GM</v>
      </c>
      <c r="U177" s="160" t="str">
        <f>IF(VLOOKUP(Table1[[#This Row],[SyStudentId]],SSR!$A$2:$CC$4982,26,FALSE)=0,"Not Selected",VLOOKUP(Table1[[#This Row],[SyStudentId]],SSR!$A$2:$CC$4982,26,FALSE))</f>
        <v>Male</v>
      </c>
      <c r="V177" s="160" t="str">
        <f>VLOOKUP(Table1[[#This Row],[SyStudentId]],SSR!$A$2:$CC$4982,27,FALSE)</f>
        <v xml:space="preserve">HS2020  </v>
      </c>
      <c r="W177" s="160" t="str">
        <f>VLOOKUP(LEFT(Table1[[#This Row],[LastName]],1),Alpha!$A$1:$B$26,2,FALSE)</f>
        <v>Maureen Ranks</v>
      </c>
      <c r="X177" s="168" t="str">
        <f>VLOOKUP(Table1[[#This Row],[FAA]],Alpha!$B$1:$D$26,2,FALSE)</f>
        <v>mranks@neumont.edu</v>
      </c>
      <c r="Y177" s="160">
        <f>VLOOKUP(Table1[[#This Row],[FAA]],Alpha!$B$1:$D$26,3,FALSE)</f>
        <v>8883022894</v>
      </c>
      <c r="Z177" s="160" t="str">
        <f>VLOOKUP(Table1[[#This Row],[SyStudentId]],SSR!$A$2:$CC$4982,30,FALSE)</f>
        <v>16-Accepted</v>
      </c>
      <c r="AA177" s="160" t="str">
        <f>IF(VLOOKUP(Table1[[#This Row],[SyStudentId]],SSR!$A$2:$CC$4982,36,FALSE)="Bachelor of Science","BS Computer Science","Check Program")</f>
        <v>BS Computer Science</v>
      </c>
      <c r="AB177" s="160" t="str">
        <f>VLOOKUP(Table1[[#This Row],[SyStudentId]],SSR!$A$2:$CC$4982,37,FALSE)</f>
        <v xml:space="preserve">25      </v>
      </c>
      <c r="AC177" s="160">
        <f>VLOOKUP(Table1[[#This Row],[SyStudentId]],SSR!$A$2:$CC$4982,42,FALSE)</f>
        <v>0</v>
      </c>
      <c r="AD177" s="160" t="str">
        <f>VLOOKUP(Table1[[#This Row],[SyStudentId]],SSR!$A$2:$CC$4982,46,FALSE)</f>
        <v>112</v>
      </c>
      <c r="AE177" s="160" t="str">
        <f>VLOOKUP(Table1[[#This Row],[SyStudentId]],SSR!$A$2:$CC$4982,65,FALSE)</f>
        <v>I</v>
      </c>
      <c r="AF177"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77" s="160" t="str">
        <f>VLOOKUP(Table1[[#This Row],[SyStudentId]],SSR!$A$2:$CC$4982,66,FALSE)</f>
        <v>July-October</v>
      </c>
      <c r="AH177" s="160" t="str">
        <f>IFERROR(VLOOKUP(Table1[[#This Row],[SyStudentId]],ISIR!$A$2:$X$1999,7,FALSE),"")</f>
        <v>000000</v>
      </c>
      <c r="AI177" s="170">
        <f>IF(Table1[[#This Row],[EFCRaw]]="","",IF(Table1[[#This Row],[EFCRaw]]="No EFC","No EFC",_xlfn.NUMBERVALUE(Table1[[#This Row],[EFCRaw]])))</f>
        <v>0</v>
      </c>
      <c r="AJ177" s="167">
        <f>IFERROR(VLOOKUP(Table1[[#This Row],[SyStudentId]],ISIR!$A$2:$X$4999,19,FALSE),"")</f>
        <v>43790</v>
      </c>
      <c r="AK177" s="160" t="str">
        <f>IFERROR(VLOOKUP(Table1[[#This Row],[SyStudentId]],ISIR!$A$2:$X$4999,8,FALSE),"")</f>
        <v>N</v>
      </c>
      <c r="AL177" s="171" t="str">
        <f>IF(Table1[[#This Row],[VerReq]]="N","n/a","")</f>
        <v>n/a</v>
      </c>
      <c r="AM177" s="122"/>
      <c r="AN177" s="122"/>
      <c r="AO177" s="122"/>
      <c r="AP177" s="122"/>
      <c r="AQ177" s="122"/>
      <c r="AR177" s="122"/>
      <c r="AS177" s="122"/>
      <c r="AT177" s="122"/>
      <c r="AU177" s="122"/>
      <c r="AV177" s="122"/>
      <c r="AW177" s="122"/>
      <c r="AX177" s="122"/>
      <c r="AY177" s="122"/>
      <c r="AZ177" s="122"/>
      <c r="BA177" s="122"/>
      <c r="BB177" s="122"/>
      <c r="BC177" s="148"/>
      <c r="BD177" s="140" t="str">
        <f>IF(Table1[[#This Row],[VerReq]]="N","x","")</f>
        <v>x</v>
      </c>
      <c r="BE177" s="140" t="str">
        <f>IF(Table1[[#This Row],[VerReq]]="N","x","")</f>
        <v>x</v>
      </c>
      <c r="BF177" s="140" t="str">
        <f>IF(Table1[[#This Row],[VerReq]]="N","x","")</f>
        <v>x</v>
      </c>
      <c r="BG177" s="140" t="str">
        <f>IF(Table1[[#This Row],[VerReq]]="N","x","")</f>
        <v>x</v>
      </c>
      <c r="BH177" s="140" t="str">
        <f>IF(Table1[[#This Row],[VerReq]]="N","x","")</f>
        <v>x</v>
      </c>
      <c r="BI177" s="140" t="str">
        <f>IF(Table1[[#This Row],[VerReq]]="N","x","")</f>
        <v>x</v>
      </c>
      <c r="BJ177" s="181">
        <f>1-((COUNTBLANK(Table1[[#This Row],[ALESent]:[TaxTran]]))/(COUNT(Table1[[#This Row],[ALESent]:[TaxTran]])+COUNTBLANK(Table1[[#This Row],[ALESent]:[TaxTran]])))</f>
        <v>0</v>
      </c>
      <c r="BK177" s="216">
        <f>IF(VLOOKUP(Table1[[#This Row],[SyStudentId]],SSR!$A$2:$CC$4982,22,FALSE)=44109,44109,"Check Program")</f>
        <v>44109</v>
      </c>
      <c r="BL177" s="216">
        <f>IF(Table1[[#This Row],[AYStart]]=44109,44356,"Check Program")</f>
        <v>44356</v>
      </c>
      <c r="BM177" s="219">
        <v>8505</v>
      </c>
      <c r="BN177" s="219">
        <v>8505</v>
      </c>
      <c r="BO177" s="219">
        <v>8505</v>
      </c>
      <c r="BP177" s="220">
        <f t="shared" si="6"/>
        <v>25515</v>
      </c>
      <c r="BQ177" s="221">
        <v>3300</v>
      </c>
      <c r="BR177" s="219">
        <v>400</v>
      </c>
      <c r="BS177" s="219">
        <v>400</v>
      </c>
      <c r="BT177" s="222">
        <f t="shared" si="7"/>
        <v>4100</v>
      </c>
      <c r="BU177" s="219">
        <v>2100</v>
      </c>
      <c r="BV177" s="219">
        <v>2100</v>
      </c>
      <c r="BW177" s="219">
        <v>2100</v>
      </c>
      <c r="BX177" s="222">
        <f t="shared" si="8"/>
        <v>6300</v>
      </c>
      <c r="BY177" s="275">
        <v>1200</v>
      </c>
      <c r="BZ177" s="275">
        <v>1200</v>
      </c>
      <c r="CA177" s="275">
        <v>1200</v>
      </c>
      <c r="CB177" s="222">
        <f>SUM(Table1[[#This Row],[LEQ1]:[LEQ3]])</f>
        <v>3600</v>
      </c>
      <c r="CC177" s="276">
        <v>0</v>
      </c>
      <c r="CD177" s="276">
        <v>0</v>
      </c>
      <c r="CE177" s="276">
        <v>0</v>
      </c>
      <c r="CF177" s="222">
        <f>SUM(Table1[[#This Row],[OthCostQ1]:[OthCostQ3]])</f>
        <v>0</v>
      </c>
      <c r="CG177" s="222">
        <f>(Table1[[#This Row],[T&amp;FTot]]+Table1[[#This Row],[B&amp;STot]]+Table1[[#This Row],[HousTot]]+Table1[[#This Row],[LETot]]+Table1[[#This Row],[OthCostTot]])</f>
        <v>39515</v>
      </c>
      <c r="CH177" s="253">
        <v>0</v>
      </c>
      <c r="CI177" s="253">
        <v>0</v>
      </c>
      <c r="CJ177" s="253">
        <v>0</v>
      </c>
      <c r="CK177" s="254">
        <f>SUM(Table1[[#This Row],[SEOGQ1]:[SEOGQ3]])</f>
        <v>0</v>
      </c>
      <c r="CL177" s="253">
        <f>IFERROR(ROUNDUP(Table1[[#This Row],[PellTot]]/3,0),0)</f>
        <v>2065</v>
      </c>
      <c r="CM177" s="253">
        <f>IFERROR(ROUND(Table1[[#This Row],[PellTot]]/3,0),0)</f>
        <v>2065</v>
      </c>
      <c r="CN177" s="253">
        <f>IFERROR(ROUNDDOWN(Table1[[#This Row],[PellTot]]/3,0),0)</f>
        <v>2065</v>
      </c>
      <c r="CO177" s="254">
        <f>IFERROR(LOOKUP(Table1[EFC],Pell_Table[#Data],Pell_Table[Pell Amt]),0)</f>
        <v>6195</v>
      </c>
      <c r="CP177" s="253">
        <f>Table1[[#This Row],[AccessTot]]/3</f>
        <v>500</v>
      </c>
      <c r="CQ177" s="253">
        <f>Table1[[#This Row],[AccessTot]]/3</f>
        <v>500</v>
      </c>
      <c r="CR177" s="253">
        <f>Table1[[#This Row],[AccessTot]]/3</f>
        <v>500</v>
      </c>
      <c r="CS177" s="254">
        <f>IF(Table1[[#This Row],[PellTot]]&gt;0,1500,0)</f>
        <v>1500</v>
      </c>
      <c r="CT177" s="253">
        <f>Table1[[#This Row],[AchiTot]]/3</f>
        <v>1700</v>
      </c>
      <c r="CU177" s="253">
        <f>Table1[[#This Row],[AchiTot]]/3</f>
        <v>1700</v>
      </c>
      <c r="CV177" s="253">
        <f>Table1[[#This Row],[AchiTot]]/3</f>
        <v>1700</v>
      </c>
      <c r="CW177" s="255">
        <f>IF(Table1[[#This Row],[Rank]]="","",IF(Table1[[#This Row],[Rank]]=1,5100,IF(Table1[[#This Row],[Rank]]=2,4500,IF(Table1[[#This Row],[Rank]]=3,3900,IF(Table1[[#This Row],[Rank]]=4,3750,IF(Table1[[#This Row],[Rank]]=5,3000,IF(Table1[[#This Row],[Rank]]=6,2250,0)))))))</f>
        <v>5100</v>
      </c>
      <c r="CX177" s="253">
        <f>Table1[[#This Row],[UTTot]]/3</f>
        <v>0</v>
      </c>
      <c r="CY177" s="253">
        <f>Table1[[#This Row],[UTTot]]/3</f>
        <v>0</v>
      </c>
      <c r="CZ177" s="253">
        <f>Table1[[#This Row],[UTTot]]/3</f>
        <v>0</v>
      </c>
      <c r="DA177" s="254">
        <f>IF(Table1[[#This Row],[State]]="UT",9000,0)</f>
        <v>0</v>
      </c>
      <c r="DB177" s="253">
        <f>Table1[[#This Row],[WITTot]]/3</f>
        <v>0</v>
      </c>
      <c r="DC177" s="253">
        <f>Table1[[#This Row],[WITTot]]/3</f>
        <v>0</v>
      </c>
      <c r="DD177" s="253">
        <f>Table1[[#This Row],[WITTot]]/3</f>
        <v>0</v>
      </c>
      <c r="DE177" s="254">
        <f>IF(Table1[[#This Row],[Gender]]="Female",3000,0)</f>
        <v>0</v>
      </c>
      <c r="DF177" s="253">
        <f>Table1[[#This Row],[SerTot]]/3</f>
        <v>0</v>
      </c>
      <c r="DG177" s="253">
        <f>Table1[[#This Row],[SerTot]]/3</f>
        <v>0</v>
      </c>
      <c r="DH177" s="253">
        <f>Table1[[#This Row],[SerTot]]/3</f>
        <v>0</v>
      </c>
      <c r="DI177" s="255">
        <v>0</v>
      </c>
      <c r="DJ177" s="253">
        <f>IFERROR(ROUNDUP(Table1[[#This Row],[TranTot]]/3,0),0)</f>
        <v>0</v>
      </c>
      <c r="DK177" s="253">
        <f>IFERROR(ROUND(Table1[[#This Row],[TranTot]]/3,0),0)</f>
        <v>0</v>
      </c>
      <c r="DL177" s="253">
        <f>IFERROR(ROUNDDOWN(Table1[[#This Row],[TranTot]]/3,0),0)</f>
        <v>0</v>
      </c>
      <c r="DM177" s="255">
        <v>0</v>
      </c>
      <c r="DN177" s="253">
        <f>Table1[[#This Row],[MatTot]]/3</f>
        <v>0</v>
      </c>
      <c r="DO177" s="253">
        <f>Table1[[#This Row],[MatTot]]/3</f>
        <v>0</v>
      </c>
      <c r="DP177" s="253">
        <f>Table1[[#This Row],[MatTot]]/3</f>
        <v>0</v>
      </c>
      <c r="DQ177" s="255">
        <v>0</v>
      </c>
      <c r="DR177" s="253">
        <f>Table1[[#This Row],[OutTot]]/3</f>
        <v>0</v>
      </c>
      <c r="DS177" s="253">
        <f>Table1[[#This Row],[OutTot]]/3</f>
        <v>0</v>
      </c>
      <c r="DT177" s="253">
        <f>Table1[[#This Row],[OutTot]]/3</f>
        <v>0</v>
      </c>
      <c r="DU177" s="255">
        <v>0</v>
      </c>
      <c r="DV177" s="253">
        <v>0</v>
      </c>
      <c r="DW177" s="253">
        <v>0</v>
      </c>
      <c r="DX177" s="253">
        <v>0</v>
      </c>
      <c r="DY177" s="255">
        <f>SUM(Table1[[#This Row],[VAQ1]:[VAQ3]])</f>
        <v>0</v>
      </c>
      <c r="DZ177" s="253">
        <v>0</v>
      </c>
      <c r="EA177" s="253">
        <v>0</v>
      </c>
      <c r="EB177" s="253">
        <v>0</v>
      </c>
      <c r="EC177" s="278">
        <f>SUM(Table1[[#This Row],[OthGrantQ1]:[OthGrantQ3]])</f>
        <v>0</v>
      </c>
      <c r="ED177" s="264">
        <f>Table1[[#This Row],[SEOGTot]]+Table1[[#This Row],[PellTot]]+Table1[[#This Row],[AccessTot]]+Table1[[#This Row],[AchiTot]]+Table1[[#This Row],[UTTot]]+Table1[[#This Row],[WITTot]]+Table1[[#This Row],[SerTot]]+Table1[[#This Row],[TranTot]]+Table1[[#This Row],[MatTot]]+Table1[[#This Row],[OutTot]]+Table1[[#This Row],[VATot]]+Table1[[#This Row],[OthGrantTot]]</f>
        <v>12795</v>
      </c>
      <c r="EE177" s="298">
        <v>0</v>
      </c>
      <c r="EF177" s="227">
        <v>0</v>
      </c>
      <c r="EG177" s="227">
        <v>0</v>
      </c>
      <c r="EH177" s="228">
        <f>SUM(Table1[[#This Row],[CashQ1]]:Table1[[#This Row],[CashQ3]])</f>
        <v>0</v>
      </c>
      <c r="EI177" s="229">
        <f>ROUND((Table1[[#This Row],[SubTot]]/3)/1.01059,0)</f>
        <v>1154</v>
      </c>
      <c r="EJ177" s="230">
        <f>ROUND((Table1[[#This Row],[SubTot]]/3)/1.01059,0)</f>
        <v>1154</v>
      </c>
      <c r="EK177" s="230">
        <f>ROUNDUP((Table1[[#This Row],[SubTot]]/3)/1.01059,0)</f>
        <v>1155</v>
      </c>
      <c r="EL177" s="231">
        <v>3500</v>
      </c>
      <c r="EM177" s="233">
        <f>Table1[[#This Row],[SubTot]]*0.01059</f>
        <v>37.065000000000005</v>
      </c>
      <c r="EN177" s="230">
        <f>ROUND((Table1[[#This Row],[UnsubTot]]/3)/1.01062,0)</f>
        <v>660</v>
      </c>
      <c r="EO177" s="230">
        <f>ROUND((Table1[[#This Row],[UnsubTot]]/3)/1.01062,0)</f>
        <v>660</v>
      </c>
      <c r="EP177" s="230">
        <f>ROUNDDOWN((Table1[[#This Row],[UnsubTot]]/3)/1.01062,0)</f>
        <v>659</v>
      </c>
      <c r="EQ177" s="231">
        <f>IF(Table1[D/I]="I",6000,2000)</f>
        <v>2000</v>
      </c>
      <c r="ER177" s="233">
        <f>Table1[[#This Row],[UnsubTot]]*0.01059</f>
        <v>21.18</v>
      </c>
      <c r="ES177" s="230">
        <f>ROUND((Table1[[#This Row],[PLUSTot]]/3)/1.04236,0)</f>
        <v>0</v>
      </c>
      <c r="ET177" s="230">
        <f>ROUND((Table1[[#This Row],[PLUSTot]]/3)/1.04236,0)</f>
        <v>0</v>
      </c>
      <c r="EU177" s="230">
        <f>ROUND((Table1[[#This Row],[PLUSTot]]/3)/1.04236,0)</f>
        <v>0</v>
      </c>
      <c r="EV177" s="231">
        <v>0</v>
      </c>
      <c r="EW177" s="236">
        <f>Table1[[#This Row],[PLUSTot]]*0.04236</f>
        <v>0</v>
      </c>
      <c r="EX177" s="227"/>
      <c r="EY177" s="227"/>
      <c r="EZ177" s="227"/>
      <c r="FA177" s="228">
        <f>SUM(Table1[[#This Row],[PrivQ1]:[PrivQ3]])</f>
        <v>0</v>
      </c>
      <c r="FB177" s="227"/>
      <c r="FC177" s="227"/>
      <c r="FD177" s="227"/>
      <c r="FE177" s="228">
        <f>SUM(Table1[[#This Row],[TOQ1]:[TOQ3]])</f>
        <v>0</v>
      </c>
      <c r="FF177" s="227"/>
      <c r="FG177" s="227"/>
      <c r="FH177" s="227"/>
      <c r="FI177" s="228">
        <f>SUM(Table1[[#This Row],[OFundQ1]:[OFundQ3]])</f>
        <v>0</v>
      </c>
      <c r="FJ177" s="236">
        <f>(Table1[[#This Row],[SubTot]]-Table1[[#This Row],[SubFee]])+(Table1[[#This Row],[UnsubTot]]-Table1[[#This Row],[UnsubFee]])+(Table1[[#This Row],[PLUSTot]]-Table1[[#This Row],[PLUSFee]])+Table1[[#This Row],[PrivTot]]+Table1[[#This Row],[TOTot]]+Table1[[#This Row],[OFundTot]]</f>
        <v>5441.7550000000001</v>
      </c>
      <c r="FK177" s="159">
        <f>Table1[[#This Row],[CostTot]]-Table1[[#This Row],[GiftTot]]</f>
        <v>26720</v>
      </c>
      <c r="FL177" s="174">
        <f>Table1[[#This Row],[NetNeed]]/(1-0.04236)</f>
        <v>22219.461384236245</v>
      </c>
      <c r="FM177" s="176">
        <f>Table1[[#This Row],[NetCost]]-Table1[[#This Row],[CashTot]]-(Table1[[#This Row],[SubTot]]-Table1[[#This Row],[SubFee]])-(Table1[[#This Row],[UnsubTot]]-Table1[[#This Row],[UnsubFee]])-(Table1[[#This Row],[PLUSTot]]-Table1[[#This Row],[PLUSFee]])-Table1[[#This Row],[PrivTot]]-Table1[[#This Row],[TOTot]]-Table1[[#This Row],[OFundTot]]</f>
        <v>21278.244999999999</v>
      </c>
      <c r="FN177" s="217"/>
      <c r="FO177" s="162"/>
      <c r="FP177" s="162"/>
    </row>
    <row r="178" spans="1:172" ht="15" x14ac:dyDescent="0.25">
      <c r="A178" s="310">
        <v>199197</v>
      </c>
      <c r="B178" s="113" t="str">
        <f>VLOOKUP(Table1[[#This Row],[SyStudentId]],SSR!$A$2:$CC$4982,4,FALSE)</f>
        <v>Trueitt</v>
      </c>
      <c r="C178" s="113" t="str">
        <f>VLOOKUP(Table1[[#This Row],[SyStudentId]],SSR!$A$2:$CC$4982,5,FALSE)</f>
        <v>Ste'fan</v>
      </c>
      <c r="D178" s="113" t="str">
        <f>VLOOKUP(Table1[[#This Row],[SyStudentId]],SSR!$A$2:$CC$4982,6,FALSE)</f>
        <v>Trueitt, Ste'fan</v>
      </c>
      <c r="E178" s="113" t="str">
        <f>CONCATENATE(Table1[[#This Row],[FirstName]]," ",Table1[[#This Row],[LastName]])</f>
        <v>Ste'fan Trueitt</v>
      </c>
      <c r="F178" s="112">
        <v>1</v>
      </c>
      <c r="G178" s="114"/>
      <c r="H178" s="114"/>
      <c r="I178" s="114">
        <v>43794</v>
      </c>
      <c r="J178" s="115"/>
      <c r="K178" s="116"/>
      <c r="L178" s="112" t="str">
        <f>IFERROR(VLOOKUP(Table1[[#This Row],[SyStudentId]],ISIR!$A$2:$X$999,11,FALSE),"")</f>
        <v>D</v>
      </c>
      <c r="M178" s="113" t="str">
        <f>VLOOKUP(Table1[[#This Row],[SyStudentId]],SSR!$A$2:$CC$4982,7,FALSE)</f>
        <v>lilstef27@yahoo.com</v>
      </c>
      <c r="N178" s="113" t="str">
        <f>VLOOKUP(Table1[[#This Row],[SyStudentId]],SSR!$A$2:$CC$4982,8,FALSE)</f>
        <v>7804 NESBITT DRIVE</v>
      </c>
      <c r="O178" s="113" t="str">
        <f>VLOOKUP(Table1[[#This Row],[SyStudentId]],SSR!$A$2:$CC$4982,9,FALSE)</f>
        <v>NORFOLK</v>
      </c>
      <c r="P178" s="303" t="str">
        <f>VLOOKUP(Table1[[#This Row],[SyStudentId]],SSR!$A$2:$CC$4982,10,FALSE)</f>
        <v>VA</v>
      </c>
      <c r="Q178" s="117" t="str">
        <f>VLOOKUP(Table1[[#This Row],[SyStudentId]],SSR!$A$2:$CC$4982,11,FALSE)</f>
        <v xml:space="preserve">23505     </v>
      </c>
      <c r="R178" s="118">
        <f>VLOOKUP(Table1[[#This Row],[SyStudentId]],SSR!$A$2:$CC$4982,15,FALSE)</f>
        <v>3.26</v>
      </c>
      <c r="S178" s="119">
        <f>VLOOKUP(Table1[[#This Row],[SyStudentId]],SSR!$A$2:$CC$4982,22,FALSE)</f>
        <v>44109</v>
      </c>
      <c r="T178" s="113" t="str">
        <f>VLOOKUP(Table1[[#This Row],[SyStudentId]],SSR!$A$2:$CC$4982,24,FALSE)</f>
        <v>JT</v>
      </c>
      <c r="U178" s="113" t="str">
        <f>IF(VLOOKUP(Table1[[#This Row],[SyStudentId]],SSR!$A$2:$CC$4982,26,FALSE)=0,"Not Selected",VLOOKUP(Table1[[#This Row],[SyStudentId]],SSR!$A$2:$CC$4982,26,FALSE))</f>
        <v>Male</v>
      </c>
      <c r="V178" s="113" t="str">
        <f>VLOOKUP(Table1[[#This Row],[SyStudentId]],SSR!$A$2:$CC$4982,27,FALSE)</f>
        <v xml:space="preserve">HS2020  </v>
      </c>
      <c r="W178" s="113" t="str">
        <f>VLOOKUP(LEFT(Table1[[#This Row],[LastName]],1),Alpha!$A$1:$B$26,2,FALSE)</f>
        <v>Maureen Ranks</v>
      </c>
      <c r="X178" s="149" t="str">
        <f>VLOOKUP(Table1[[#This Row],[FAA]],Alpha!$B$1:$D$26,2,FALSE)</f>
        <v>mranks@neumont.edu</v>
      </c>
      <c r="Y178" s="113">
        <f>VLOOKUP(Table1[[#This Row],[FAA]],Alpha!$B$1:$D$26,3,FALSE)</f>
        <v>8883022894</v>
      </c>
      <c r="Z178" s="113" t="str">
        <f>VLOOKUP(Table1[[#This Row],[SyStudentId]],SSR!$A$2:$CC$4982,30,FALSE)</f>
        <v>16-Accepted</v>
      </c>
      <c r="AA178" s="113" t="str">
        <f>IF(VLOOKUP(Table1[[#This Row],[SyStudentId]],SSR!$A$2:$CC$4982,36,FALSE)="Bachelor of Science","BS Computer Science","Check Program")</f>
        <v>BS Computer Science</v>
      </c>
      <c r="AB178" s="113">
        <f>VLOOKUP(Table1[[#This Row],[SyStudentId]],SSR!$A$2:$CC$4982,37,FALSE)</f>
        <v>0</v>
      </c>
      <c r="AC178" s="113">
        <f>VLOOKUP(Table1[[#This Row],[SyStudentId]],SSR!$A$2:$CC$4982,42,FALSE)</f>
        <v>0</v>
      </c>
      <c r="AD178" s="113" t="str">
        <f>VLOOKUP(Table1[[#This Row],[SyStudentId]],SSR!$A$2:$CC$4982,46,FALSE)</f>
        <v>0</v>
      </c>
      <c r="AE178" s="113" t="str">
        <f>VLOOKUP(Table1[[#This Row],[SyStudentId]],SSR!$A$2:$CC$4982,65,FALSE)</f>
        <v>VII</v>
      </c>
      <c r="AF178"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7</v>
      </c>
      <c r="AG178" s="113" t="str">
        <f>VLOOKUP(Table1[[#This Row],[SyStudentId]],SSR!$A$2:$CC$4982,66,FALSE)</f>
        <v>November</v>
      </c>
      <c r="AH178" s="113" t="str">
        <f>IFERROR(VLOOKUP(Table1[[#This Row],[SyStudentId]],ISIR!$A$2:$X$999,7,FALSE),"")</f>
        <v>004494</v>
      </c>
      <c r="AI178" s="121">
        <f>IF(Table1[[#This Row],[EFCRaw]]="","",IF(Table1[[#This Row],[EFCRaw]]="No EFC","No EFC",_xlfn.NUMBERVALUE(Table1[[#This Row],[EFCRaw]])))</f>
        <v>4494</v>
      </c>
      <c r="AJ178" s="119">
        <f>IFERROR(VLOOKUP(Table1[[#This Row],[SyStudentId]],ISIR!$A$2:$X$4999,19,FALSE),"")</f>
        <v>43774</v>
      </c>
      <c r="AK178" s="113" t="str">
        <f>IFERROR(VLOOKUP(Table1[[#This Row],[SyStudentId]],ISIR!$A$2:$X$4999,8,FALSE),"")</f>
        <v>Y</v>
      </c>
      <c r="AL178" s="132" t="str">
        <f>IF(Table1[[#This Row],[VerReq]]="N","n/a","")</f>
        <v/>
      </c>
      <c r="AM178" s="122"/>
      <c r="AN178" s="122"/>
      <c r="AO178" s="122"/>
      <c r="AP178" s="122"/>
      <c r="AQ178" s="122"/>
      <c r="AR178" s="122"/>
      <c r="AS178" s="122"/>
      <c r="AT178" s="122"/>
      <c r="AU178" s="122"/>
      <c r="AV178" s="122"/>
      <c r="AW178" s="122"/>
      <c r="AX178" s="122"/>
      <c r="AY178" s="122"/>
      <c r="AZ178" s="122"/>
      <c r="BA178" s="122"/>
      <c r="BB178" s="122"/>
      <c r="BC178" s="148"/>
      <c r="BD178" s="140" t="str">
        <f>IF(Table1[[#This Row],[VerReq]]="N","x","")</f>
        <v/>
      </c>
      <c r="BE178" s="140" t="str">
        <f>IF(Table1[[#This Row],[VerReq]]="N","x","")</f>
        <v/>
      </c>
      <c r="BF178" s="140" t="str">
        <f>IF(Table1[[#This Row],[VerReq]]="N","x","")</f>
        <v/>
      </c>
      <c r="BG178" s="140" t="str">
        <f>IF(Table1[[#This Row],[VerReq]]="N","x","")</f>
        <v/>
      </c>
      <c r="BH178" s="140" t="str">
        <f>IF(Table1[[#This Row],[VerReq]]="N","x","")</f>
        <v/>
      </c>
      <c r="BI178" s="140" t="str">
        <f>IF(Table1[[#This Row],[VerReq]]="N","x","")</f>
        <v/>
      </c>
      <c r="BJ178" s="123">
        <f>1-((COUNTBLANK(Table1[[#This Row],[ALESent]:[TaxTran]]))/(COUNT(Table1[[#This Row],[ALESent]:[TaxTran]])+COUNTBLANK(Table1[[#This Row],[ALESent]:[TaxTran]])))</f>
        <v>0</v>
      </c>
      <c r="BK178" s="150">
        <f>IF(VLOOKUP(Table1[[#This Row],[SyStudentId]],SSR!$A$2:$CC$4982,22,FALSE)=44109,44109,"Check Program")</f>
        <v>44109</v>
      </c>
      <c r="BL178" s="150">
        <f>IF(Table1[[#This Row],[AYStart]]=44109,44356,"Check Program")</f>
        <v>44356</v>
      </c>
      <c r="BM178" s="219">
        <v>8505</v>
      </c>
      <c r="BN178" s="219">
        <v>8505</v>
      </c>
      <c r="BO178" s="219">
        <v>8505</v>
      </c>
      <c r="BP178" s="220">
        <f t="shared" si="6"/>
        <v>25515</v>
      </c>
      <c r="BQ178" s="221">
        <v>3300</v>
      </c>
      <c r="BR178" s="219">
        <v>400</v>
      </c>
      <c r="BS178" s="219">
        <v>400</v>
      </c>
      <c r="BT178" s="220">
        <f t="shared" si="7"/>
        <v>4100</v>
      </c>
      <c r="BU178" s="219">
        <v>2100</v>
      </c>
      <c r="BV178" s="219">
        <v>2100</v>
      </c>
      <c r="BW178" s="219">
        <v>2100</v>
      </c>
      <c r="BX178" s="220">
        <f t="shared" si="8"/>
        <v>6300</v>
      </c>
      <c r="BY178" s="275">
        <v>1200</v>
      </c>
      <c r="BZ178" s="275">
        <v>1200</v>
      </c>
      <c r="CA178" s="275">
        <v>1200</v>
      </c>
      <c r="CB178" s="220">
        <f>SUM(Table1[[#This Row],[LEQ1]:[LEQ3]])</f>
        <v>3600</v>
      </c>
      <c r="CC178" s="269"/>
      <c r="CD178" s="269"/>
      <c r="CE178" s="269"/>
      <c r="CF178" s="220">
        <f>SUM(Table1[[#This Row],[OthCostQ1]:[OthCostQ3]])</f>
        <v>0</v>
      </c>
      <c r="CG178" s="220">
        <f>(Table1[[#This Row],[T&amp;FTot]]+Table1[[#This Row],[B&amp;STot]]+Table1[[#This Row],[HousTot]]+Table1[[#This Row],[LETot]]+Table1[[#This Row],[OthCostTot]])</f>
        <v>39515</v>
      </c>
      <c r="CH178" s="250"/>
      <c r="CI178" s="250"/>
      <c r="CJ178" s="250"/>
      <c r="CK178" s="251">
        <f>SUM(Table1[[#This Row],[SEOGQ1]:[SEOGQ3]])</f>
        <v>0</v>
      </c>
      <c r="CL178" s="250">
        <f>IFERROR(ROUNDUP(Table1[[#This Row],[PellTot]]/3,0),0)</f>
        <v>582</v>
      </c>
      <c r="CM178" s="250">
        <f>IFERROR(ROUND(Table1[[#This Row],[PellTot]]/3,0),0)</f>
        <v>582</v>
      </c>
      <c r="CN178" s="250">
        <f>IFERROR(ROUNDDOWN(Table1[[#This Row],[PellTot]]/3,0),0)</f>
        <v>581</v>
      </c>
      <c r="CO178" s="251">
        <f>IFERROR(LOOKUP(Table1[EFC],Pell_Table[#Data],Pell_Table[Pell Amt]),0)</f>
        <v>1745</v>
      </c>
      <c r="CP178" s="250">
        <f>Table1[[#This Row],[AccessTot]]/3</f>
        <v>500</v>
      </c>
      <c r="CQ178" s="250">
        <f>Table1[[#This Row],[AccessTot]]/3</f>
        <v>500</v>
      </c>
      <c r="CR178" s="250">
        <f>Table1[[#This Row],[AccessTot]]/3</f>
        <v>500</v>
      </c>
      <c r="CS178" s="251">
        <f>IF(Table1[[#This Row],[PellTot]]&gt;0,1500,0)</f>
        <v>1500</v>
      </c>
      <c r="CT178" s="250">
        <f>Table1[[#This Row],[AchiTot]]/3</f>
        <v>0</v>
      </c>
      <c r="CU178" s="250">
        <f>Table1[[#This Row],[AchiTot]]/3</f>
        <v>0</v>
      </c>
      <c r="CV178" s="250">
        <f>Table1[[#This Row],[AchiTot]]/3</f>
        <v>0</v>
      </c>
      <c r="CW178" s="252">
        <f>IF(Table1[[#This Row],[Rank]]="","",IF(Table1[[#This Row],[Rank]]=1,5100,IF(Table1[[#This Row],[Rank]]=2,4500,IF(Table1[[#This Row],[Rank]]=3,3900,IF(Table1[[#This Row],[Rank]]=4,3750,IF(Table1[[#This Row],[Rank]]=5,3000,IF(Table1[[#This Row],[Rank]]=6,2250,0)))))))</f>
        <v>0</v>
      </c>
      <c r="CX178" s="250">
        <f>Table1[[#This Row],[UTTot]]/3</f>
        <v>0</v>
      </c>
      <c r="CY178" s="250">
        <f>Table1[[#This Row],[UTTot]]/3</f>
        <v>0</v>
      </c>
      <c r="CZ178" s="250">
        <f>Table1[[#This Row],[UTTot]]/3</f>
        <v>0</v>
      </c>
      <c r="DA178" s="251">
        <f>IF(Table1[[#This Row],[State]]="UT",9000,0)</f>
        <v>0</v>
      </c>
      <c r="DB178" s="250">
        <f>Table1[[#This Row],[WITTot]]/3</f>
        <v>0</v>
      </c>
      <c r="DC178" s="250">
        <f>Table1[[#This Row],[WITTot]]/3</f>
        <v>0</v>
      </c>
      <c r="DD178" s="250">
        <f>Table1[[#This Row],[WITTot]]/3</f>
        <v>0</v>
      </c>
      <c r="DE178" s="251">
        <f>IF(Table1[[#This Row],[Gender]]="Female",3000,0)</f>
        <v>0</v>
      </c>
      <c r="DF178" s="250">
        <f>Table1[[#This Row],[SerTot]]/3</f>
        <v>0</v>
      </c>
      <c r="DG178" s="250">
        <f>Table1[[#This Row],[SerTot]]/3</f>
        <v>0</v>
      </c>
      <c r="DH178" s="250">
        <f>Table1[[#This Row],[SerTot]]/3</f>
        <v>0</v>
      </c>
      <c r="DI178" s="252"/>
      <c r="DJ178" s="250"/>
      <c r="DK178" s="250"/>
      <c r="DL178" s="250"/>
      <c r="DM178" s="252"/>
      <c r="DN178" s="250">
        <f>Table1[[#This Row],[MatTot]]/3</f>
        <v>0</v>
      </c>
      <c r="DO178" s="250">
        <f>Table1[[#This Row],[MatTot]]/3</f>
        <v>0</v>
      </c>
      <c r="DP178" s="250">
        <f>Table1[[#This Row],[MatTot]]/3</f>
        <v>0</v>
      </c>
      <c r="DQ178" s="252"/>
      <c r="DR178" s="250">
        <f>Table1[[#This Row],[OutTot]]/3</f>
        <v>0</v>
      </c>
      <c r="DS178" s="250">
        <f>Table1[[#This Row],[OutTot]]/3</f>
        <v>0</v>
      </c>
      <c r="DT178" s="250">
        <f>Table1[[#This Row],[OutTot]]/3</f>
        <v>0</v>
      </c>
      <c r="DU178" s="252"/>
      <c r="DV178" s="250"/>
      <c r="DW178" s="250"/>
      <c r="DX178" s="250"/>
      <c r="DY178" s="252">
        <f>SUM(Table1[[#This Row],[VAQ1]:[VAQ3]])</f>
        <v>0</v>
      </c>
      <c r="DZ178" s="250"/>
      <c r="EA178" s="250"/>
      <c r="EB178" s="250"/>
      <c r="EC178" s="270">
        <f>SUM(Table1[[#This Row],[OthGrantQ1]:[OthGrantQ3]])</f>
        <v>0</v>
      </c>
      <c r="ED178" s="263">
        <f>Table1[[#This Row],[SEOGTot]]+Table1[[#This Row],[PellTot]]+Table1[[#This Row],[AccessTot]]+Table1[[#This Row],[AchiTot]]+Table1[[#This Row],[UTTot]]+Table1[[#This Row],[WITTot]]+Table1[[#This Row],[SerTot]]+Table1[[#This Row],[TranTot]]+Table1[[#This Row],[MatTot]]+Table1[[#This Row],[OutTot]]+Table1[[#This Row],[VATot]]+Table1[[#This Row],[OthGrantTot]]</f>
        <v>3245</v>
      </c>
      <c r="EE178" s="282"/>
      <c r="EF178" s="237"/>
      <c r="EG178" s="237"/>
      <c r="EH178" s="232">
        <f>SUM(Table1[[#This Row],[CashQ1]]:Table1[[#This Row],[CashQ3]])</f>
        <v>0</v>
      </c>
      <c r="EI178" s="271">
        <f>ROUND((Table1[[#This Row],[SubTot]]/3)/1.01059,0)</f>
        <v>0</v>
      </c>
      <c r="EJ178" s="234">
        <f>ROUND((Table1[[#This Row],[SubTot]]/3)/1.01059,0)</f>
        <v>0</v>
      </c>
      <c r="EK178" s="234">
        <f>ROUNDUP((Table1[[#This Row],[SubTot]]/3)/1.01059,0)</f>
        <v>0</v>
      </c>
      <c r="EL178" s="235"/>
      <c r="EM178" s="240">
        <f>Table1[[#This Row],[SubTot]]*0.01059</f>
        <v>0</v>
      </c>
      <c r="EN178" s="234">
        <f>ROUND((Table1[[#This Row],[UnsubTot]]/3)/1.01062,0)</f>
        <v>660</v>
      </c>
      <c r="EO178" s="234">
        <f>ROUND((Table1[[#This Row],[UnsubTot]]/3)/1.01062,0)</f>
        <v>660</v>
      </c>
      <c r="EP178" s="234">
        <f>ROUNDDOWN((Table1[[#This Row],[UnsubTot]]/3)/1.01062,0)</f>
        <v>659</v>
      </c>
      <c r="EQ178" s="235">
        <f>IF(Table1[D/I]="I",6000,2000)</f>
        <v>2000</v>
      </c>
      <c r="ER178" s="240">
        <f>Table1[[#This Row],[UnsubTot]]*0.01062</f>
        <v>21.24</v>
      </c>
      <c r="ES178" s="234">
        <f>ROUND((Table1[[#This Row],[PLUSTot]]/3)/1.04248,0)</f>
        <v>0</v>
      </c>
      <c r="ET178" s="234">
        <f>ROUND((Table1[[#This Row],[PLUSTot]]/3)/1.04248,0)</f>
        <v>0</v>
      </c>
      <c r="EU178" s="234">
        <f>ROUND((Table1[[#This Row],[PLUSTot]]/3)/1.04248,0)</f>
        <v>0</v>
      </c>
      <c r="EV178" s="235"/>
      <c r="EW178" s="239">
        <f>Table1[[#This Row],[PLUSTot]]*0.04248</f>
        <v>0</v>
      </c>
      <c r="EX178" s="237"/>
      <c r="EY178" s="237"/>
      <c r="EZ178" s="237"/>
      <c r="FA178" s="232">
        <f>SUM(Table1[[#This Row],[PrivQ1]:[PrivQ3]])</f>
        <v>0</v>
      </c>
      <c r="FB178" s="237"/>
      <c r="FC178" s="237"/>
      <c r="FD178" s="237"/>
      <c r="FE178" s="232">
        <f>SUM(Table1[[#This Row],[TOQ1]:[TOQ3]])</f>
        <v>0</v>
      </c>
      <c r="FF178" s="237"/>
      <c r="FG178" s="237"/>
      <c r="FH178" s="237"/>
      <c r="FI178" s="232">
        <f>SUM(Table1[[#This Row],[OFundQ1]:[OFundQ3]])</f>
        <v>0</v>
      </c>
      <c r="FJ178" s="239">
        <f>(Table1[[#This Row],[SubTot]]-Table1[[#This Row],[SubFee]])+(Table1[[#This Row],[UnsubTot]]-Table1[[#This Row],[UnsubFee]])+(Table1[[#This Row],[PLUSTot]]-Table1[[#This Row],[PLUSFee]])+Table1[[#This Row],[PrivTot]]+Table1[[#This Row],[TOTot]]+Table1[[#This Row],[OFundTot]]</f>
        <v>1978.76</v>
      </c>
      <c r="FK178" s="125">
        <f>Table1[[#This Row],[CostTot]]-Table1[[#This Row],[GiftTot]]</f>
        <v>36270</v>
      </c>
      <c r="FL178" s="130">
        <f>Table1[[#This Row],[NetNeed]]/(1-0.04248)</f>
        <v>35812.557440053468</v>
      </c>
      <c r="FM178" s="131">
        <f>Table1[[#This Row],[NetCost]]-Table1[[#This Row],[CashTot]]-(Table1[[#This Row],[SubTot]]-Table1[[#This Row],[SubFee]])-(Table1[[#This Row],[UnsubTot]]-Table1[[#This Row],[UnsubFee]])-(Table1[[#This Row],[PLUSTot]]-Table1[[#This Row],[PLUSFee]])-Table1[[#This Row],[PrivTot]]-Table1[[#This Row],[TOTot]]-Table1[[#This Row],[OFundTot]]</f>
        <v>34291.24</v>
      </c>
      <c r="FN178" s="156"/>
      <c r="FO178" s="113"/>
      <c r="FP178" s="113"/>
    </row>
    <row r="179" spans="1:172" ht="15" x14ac:dyDescent="0.25">
      <c r="A179" s="296">
        <v>199075</v>
      </c>
      <c r="B179" s="113" t="str">
        <f>VLOOKUP(Table1[[#This Row],[SyStudentId]],SSR!$A$2:$CC$4982,4,FALSE)</f>
        <v>Tucker</v>
      </c>
      <c r="C179" s="113" t="str">
        <f>VLOOKUP(Table1[[#This Row],[SyStudentId]],SSR!$A$2:$CC$4982,5,FALSE)</f>
        <v>Brady</v>
      </c>
      <c r="D179" s="113" t="str">
        <f>VLOOKUP(Table1[[#This Row],[SyStudentId]],SSR!$A$2:$CC$4982,6,FALSE)</f>
        <v>Tucker, Brady</v>
      </c>
      <c r="E179" s="113" t="str">
        <f>CONCATENATE(Table1[[#This Row],[FirstName]]," ",Table1[[#This Row],[LastName]])</f>
        <v>Brady Tucker</v>
      </c>
      <c r="F179" s="112"/>
      <c r="G179" s="114"/>
      <c r="H179" s="114"/>
      <c r="I179" s="114"/>
      <c r="J179" s="115" t="s">
        <v>6041</v>
      </c>
      <c r="K179" s="116"/>
      <c r="L179" s="112" t="str">
        <f>IFERROR(VLOOKUP(Table1[[#This Row],[SyStudentId]],ISIR!$A$2:$X$999,11,FALSE),"")</f>
        <v/>
      </c>
      <c r="M179" s="113" t="str">
        <f>VLOOKUP(Table1[[#This Row],[SyStudentId]],SSR!$A$2:$CC$4982,7,FALSE)</f>
        <v>brady.tucker07@gmail.com</v>
      </c>
      <c r="N179" s="113" t="str">
        <f>VLOOKUP(Table1[[#This Row],[SyStudentId]],SSR!$A$2:$CC$4982,8,FALSE)</f>
        <v>2131 Haston Rd</v>
      </c>
      <c r="O179" s="113" t="str">
        <f>VLOOKUP(Table1[[#This Row],[SyStudentId]],SSR!$A$2:$CC$4982,9,FALSE)</f>
        <v>Carlsbad</v>
      </c>
      <c r="P179" s="113" t="str">
        <f>VLOOKUP(Table1[[#This Row],[SyStudentId]],SSR!$A$2:$CC$4982,10,FALSE)</f>
        <v>NM</v>
      </c>
      <c r="Q179" s="117" t="str">
        <f>VLOOKUP(Table1[[#This Row],[SyStudentId]],SSR!$A$2:$CC$4982,11,FALSE)</f>
        <v xml:space="preserve">88220     </v>
      </c>
      <c r="R179" s="118">
        <f>VLOOKUP(Table1[[#This Row],[SyStudentId]],SSR!$A$2:$CC$4982,15,FALSE)</f>
        <v>3.6640000000000001</v>
      </c>
      <c r="S179" s="119">
        <f>VLOOKUP(Table1[[#This Row],[SyStudentId]],SSR!$A$2:$CC$4982,22,FALSE)</f>
        <v>44109</v>
      </c>
      <c r="T179" s="113" t="str">
        <f>VLOOKUP(Table1[[#This Row],[SyStudentId]],SSR!$A$2:$CC$4982,24,FALSE)</f>
        <v>MN</v>
      </c>
      <c r="U179" s="113" t="str">
        <f>IF(VLOOKUP(Table1[[#This Row],[SyStudentId]],SSR!$A$2:$CC$4982,26,FALSE)=0,"Not Selected",VLOOKUP(Table1[[#This Row],[SyStudentId]],SSR!$A$2:$CC$4982,26,FALSE))</f>
        <v>Male</v>
      </c>
      <c r="V179" s="113" t="str">
        <f>VLOOKUP(Table1[[#This Row],[SyStudentId]],SSR!$A$2:$CC$4982,27,FALSE)</f>
        <v xml:space="preserve">HS2020  </v>
      </c>
      <c r="W179" s="113" t="str">
        <f>VLOOKUP(LEFT(Table1[[#This Row],[LastName]],1),Alpha!$A$1:$B$26,2,FALSE)</f>
        <v>Maureen Ranks</v>
      </c>
      <c r="X179" s="149" t="str">
        <f>VLOOKUP(Table1[[#This Row],[FAA]],Alpha!$B$1:$D$26,2,FALSE)</f>
        <v>mranks@neumont.edu</v>
      </c>
      <c r="Y179" s="113">
        <f>VLOOKUP(Table1[[#This Row],[FAA]],Alpha!$B$1:$D$26,3,FALSE)</f>
        <v>8883022894</v>
      </c>
      <c r="Z179" s="113" t="str">
        <f>VLOOKUP(Table1[[#This Row],[SyStudentId]],SSR!$A$2:$CC$4982,30,FALSE)</f>
        <v>16-Accepted</v>
      </c>
      <c r="AA179" s="113" t="str">
        <f>IF(VLOOKUP(Table1[[#This Row],[SyStudentId]],SSR!$A$2:$CC$4982,36,FALSE)="Bachelor of Science","BS Computer Science","Check Program")</f>
        <v>BS Computer Science</v>
      </c>
      <c r="AB179" s="113" t="str">
        <f>VLOOKUP(Table1[[#This Row],[SyStudentId]],SSR!$A$2:$CC$4982,37,FALSE)</f>
        <v xml:space="preserve">23      </v>
      </c>
      <c r="AC179" s="113">
        <f>VLOOKUP(Table1[[#This Row],[SyStudentId]],SSR!$A$2:$CC$4982,42,FALSE)</f>
        <v>0</v>
      </c>
      <c r="AD179" s="113" t="str">
        <f>VLOOKUP(Table1[[#This Row],[SyStudentId]],SSR!$A$2:$CC$4982,46,FALSE)</f>
        <v>113</v>
      </c>
      <c r="AE179" s="113" t="str">
        <f>VLOOKUP(Table1[[#This Row],[SyStudentId]],SSR!$A$2:$CC$4982,65,FALSE)</f>
        <v>III</v>
      </c>
      <c r="AF179"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179" s="113" t="str">
        <f>VLOOKUP(Table1[[#This Row],[SyStudentId]],SSR!$A$2:$CC$4982,66,FALSE)</f>
        <v>November</v>
      </c>
      <c r="AH179" s="113" t="str">
        <f>IFERROR(VLOOKUP(Table1[[#This Row],[SyStudentId]],ISIR!$A$2:$X$999,7,FALSE),"")</f>
        <v/>
      </c>
      <c r="AI179" s="121" t="str">
        <f>IF(Table1[[#This Row],[EFCRaw]]="","",IF(Table1[[#This Row],[EFCRaw]]="No EFC","No EFC",_xlfn.NUMBERVALUE(Table1[[#This Row],[EFCRaw]])))</f>
        <v/>
      </c>
      <c r="AJ179" s="119" t="str">
        <f>IFERROR(VLOOKUP(Table1[[#This Row],[SyStudentId]],ISIR!$A$2:$X$4999,19,FALSE),"")</f>
        <v/>
      </c>
      <c r="AK179" s="113" t="str">
        <f>IFERROR(VLOOKUP(Table1[[#This Row],[SyStudentId]],ISIR!$A$2:$X$4999,8,FALSE),"")</f>
        <v/>
      </c>
      <c r="AL179" s="132" t="str">
        <f>IF(Table1[[#This Row],[VerReq]]="N","n/a","")</f>
        <v/>
      </c>
      <c r="AM179" s="122"/>
      <c r="AN179" s="122"/>
      <c r="AO179" s="122"/>
      <c r="AP179" s="122"/>
      <c r="AQ179" s="122"/>
      <c r="AR179" s="122"/>
      <c r="AS179" s="122"/>
      <c r="AT179" s="122"/>
      <c r="AU179" s="122"/>
      <c r="AV179" s="122"/>
      <c r="AW179" s="122"/>
      <c r="AX179" s="122"/>
      <c r="AY179" s="122"/>
      <c r="AZ179" s="122"/>
      <c r="BA179" s="122"/>
      <c r="BB179" s="122"/>
      <c r="BC179" s="148"/>
      <c r="BD179" s="140" t="str">
        <f>IF(Table1[[#This Row],[VerReq]]="N","x","")</f>
        <v/>
      </c>
      <c r="BE179" s="140" t="str">
        <f>IF(Table1[[#This Row],[VerReq]]="N","x","")</f>
        <v/>
      </c>
      <c r="BF179" s="140" t="str">
        <f>IF(Table1[[#This Row],[VerReq]]="N","x","")</f>
        <v/>
      </c>
      <c r="BG179" s="140" t="str">
        <f>IF(Table1[[#This Row],[VerReq]]="N","x","")</f>
        <v/>
      </c>
      <c r="BH179" s="140" t="str">
        <f>IF(Table1[[#This Row],[VerReq]]="N","x","")</f>
        <v/>
      </c>
      <c r="BI179" s="140" t="str">
        <f>IF(Table1[[#This Row],[VerReq]]="N","x","")</f>
        <v/>
      </c>
      <c r="BJ179" s="123">
        <f>1-((COUNTBLANK(Table1[[#This Row],[ALESent]:[TaxTran]]))/(COUNT(Table1[[#This Row],[ALESent]:[TaxTran]])+COUNTBLANK(Table1[[#This Row],[ALESent]:[TaxTran]])))</f>
        <v>0</v>
      </c>
      <c r="BK179" s="150">
        <f>IF(VLOOKUP(Table1[[#This Row],[SyStudentId]],SSR!$A$2:$CC$4982,22,FALSE)=44109,44109,"Check Program")</f>
        <v>44109</v>
      </c>
      <c r="BL179" s="150">
        <f>IF(Table1[[#This Row],[AYStart]]=44109,44356,"Check Program")</f>
        <v>44356</v>
      </c>
      <c r="BM179" s="219"/>
      <c r="BN179" s="219"/>
      <c r="BO179" s="219"/>
      <c r="BP179" s="220">
        <f t="shared" si="6"/>
        <v>0</v>
      </c>
      <c r="BQ179" s="221"/>
      <c r="BR179" s="219"/>
      <c r="BS179" s="219"/>
      <c r="BT179" s="220">
        <f t="shared" si="7"/>
        <v>0</v>
      </c>
      <c r="BU179" s="219"/>
      <c r="BV179" s="219"/>
      <c r="BW179" s="219"/>
      <c r="BX179" s="220">
        <f t="shared" si="8"/>
        <v>0</v>
      </c>
      <c r="BY179" s="275"/>
      <c r="BZ179" s="275"/>
      <c r="CA179" s="275"/>
      <c r="CB179" s="220">
        <f>SUM(Table1[[#This Row],[LEQ1]:[LEQ3]])</f>
        <v>0</v>
      </c>
      <c r="CC179" s="269"/>
      <c r="CD179" s="269"/>
      <c r="CE179" s="269"/>
      <c r="CF179" s="220">
        <f>SUM(Table1[[#This Row],[OthCostQ1]:[OthCostQ3]])</f>
        <v>0</v>
      </c>
      <c r="CG179" s="220">
        <f>(Table1[[#This Row],[T&amp;FTot]]+Table1[[#This Row],[B&amp;STot]]+Table1[[#This Row],[HousTot]]+Table1[[#This Row],[LETot]]+Table1[[#This Row],[OthCostTot]])</f>
        <v>0</v>
      </c>
      <c r="CH179" s="250"/>
      <c r="CI179" s="250"/>
      <c r="CJ179" s="250"/>
      <c r="CK179" s="251">
        <f>SUM(Table1[[#This Row],[SEOGQ1]:[SEOGQ3]])</f>
        <v>0</v>
      </c>
      <c r="CL179" s="250">
        <f>IFERROR(ROUNDUP(Table1[[#This Row],[PellTot]]/3,0),0)</f>
        <v>0</v>
      </c>
      <c r="CM179" s="250">
        <f>IFERROR(ROUND(Table1[[#This Row],[PellTot]]/3,0),0)</f>
        <v>0</v>
      </c>
      <c r="CN179" s="250">
        <f>IFERROR(ROUNDDOWN(Table1[[#This Row],[PellTot]]/3,0),0)</f>
        <v>0</v>
      </c>
      <c r="CO179" s="251">
        <f>IFERROR(LOOKUP(Table1[EFC],Pell_Table[#Data],Pell_Table[Pell Amt]),0)</f>
        <v>0</v>
      </c>
      <c r="CP179" s="250">
        <f>Table1[[#This Row],[AccessTot]]/3</f>
        <v>0</v>
      </c>
      <c r="CQ179" s="250">
        <f>Table1[[#This Row],[AccessTot]]/3</f>
        <v>0</v>
      </c>
      <c r="CR179" s="250">
        <f>Table1[[#This Row],[AccessTot]]/3</f>
        <v>0</v>
      </c>
      <c r="CS179" s="251">
        <f>IF(Table1[[#This Row],[PellTot]]&gt;0,1500,0)</f>
        <v>0</v>
      </c>
      <c r="CT179" s="250">
        <f>Table1[[#This Row],[AchiTot]]/3</f>
        <v>1300</v>
      </c>
      <c r="CU179" s="250">
        <f>Table1[[#This Row],[AchiTot]]/3</f>
        <v>1300</v>
      </c>
      <c r="CV179" s="250">
        <f>Table1[[#This Row],[AchiTot]]/3</f>
        <v>1300</v>
      </c>
      <c r="CW179" s="252">
        <f>IF(Table1[[#This Row],[Rank]]="","",IF(Table1[[#This Row],[Rank]]=1,5100,IF(Table1[[#This Row],[Rank]]=2,4500,IF(Table1[[#This Row],[Rank]]=3,3900,IF(Table1[[#This Row],[Rank]]=4,3750,IF(Table1[[#This Row],[Rank]]=5,3000,IF(Table1[[#This Row],[Rank]]=6,2250,0)))))))</f>
        <v>3900</v>
      </c>
      <c r="CX179" s="250">
        <f>Table1[[#This Row],[UTTot]]/3</f>
        <v>0</v>
      </c>
      <c r="CY179" s="250">
        <f>Table1[[#This Row],[UTTot]]/3</f>
        <v>0</v>
      </c>
      <c r="CZ179" s="250">
        <f>Table1[[#This Row],[UTTot]]/3</f>
        <v>0</v>
      </c>
      <c r="DA179" s="251">
        <f>IF(Table1[[#This Row],[State]]="UT",9000,0)</f>
        <v>0</v>
      </c>
      <c r="DB179" s="250">
        <f>Table1[[#This Row],[WITTot]]/3</f>
        <v>0</v>
      </c>
      <c r="DC179" s="250">
        <f>Table1[[#This Row],[WITTot]]/3</f>
        <v>0</v>
      </c>
      <c r="DD179" s="250">
        <f>Table1[[#This Row],[WITTot]]/3</f>
        <v>0</v>
      </c>
      <c r="DE179" s="251">
        <f>IF(Table1[[#This Row],[Gender]]="Female",3000,0)</f>
        <v>0</v>
      </c>
      <c r="DF179" s="250">
        <f>Table1[[#This Row],[SerTot]]/3</f>
        <v>0</v>
      </c>
      <c r="DG179" s="250">
        <f>Table1[[#This Row],[SerTot]]/3</f>
        <v>0</v>
      </c>
      <c r="DH179" s="250">
        <f>Table1[[#This Row],[SerTot]]/3</f>
        <v>0</v>
      </c>
      <c r="DI179" s="252"/>
      <c r="DJ179" s="250"/>
      <c r="DK179" s="250"/>
      <c r="DL179" s="250"/>
      <c r="DM179" s="252"/>
      <c r="DN179" s="250">
        <f>Table1[[#This Row],[MatTot]]/3</f>
        <v>0</v>
      </c>
      <c r="DO179" s="250">
        <f>Table1[[#This Row],[MatTot]]/3</f>
        <v>0</v>
      </c>
      <c r="DP179" s="250">
        <f>Table1[[#This Row],[MatTot]]/3</f>
        <v>0</v>
      </c>
      <c r="DQ179" s="252"/>
      <c r="DR179" s="250">
        <f>Table1[[#This Row],[OutTot]]/3</f>
        <v>0</v>
      </c>
      <c r="DS179" s="250">
        <f>Table1[[#This Row],[OutTot]]/3</f>
        <v>0</v>
      </c>
      <c r="DT179" s="250">
        <f>Table1[[#This Row],[OutTot]]/3</f>
        <v>0</v>
      </c>
      <c r="DU179" s="252"/>
      <c r="DV179" s="250"/>
      <c r="DW179" s="250"/>
      <c r="DX179" s="250"/>
      <c r="DY179" s="252">
        <f>SUM(Table1[[#This Row],[VAQ1]:[VAQ3]])</f>
        <v>0</v>
      </c>
      <c r="DZ179" s="250"/>
      <c r="EA179" s="250"/>
      <c r="EB179" s="250"/>
      <c r="EC179" s="270">
        <f>SUM(Table1[[#This Row],[OthGrantQ1]:[OthGrantQ3]])</f>
        <v>0</v>
      </c>
      <c r="ED179" s="263">
        <f>Table1[[#This Row],[SEOGTot]]+Table1[[#This Row],[PellTot]]+Table1[[#This Row],[AccessTot]]+Table1[[#This Row],[AchiTot]]+Table1[[#This Row],[UTTot]]+Table1[[#This Row],[WITTot]]+Table1[[#This Row],[SerTot]]+Table1[[#This Row],[TranTot]]+Table1[[#This Row],[MatTot]]+Table1[[#This Row],[OutTot]]+Table1[[#This Row],[VATot]]+Table1[[#This Row],[OthGrantTot]]</f>
        <v>3900</v>
      </c>
      <c r="EE179" s="282"/>
      <c r="EF179" s="237"/>
      <c r="EG179" s="237"/>
      <c r="EH179" s="232">
        <f>SUM(Table1[[#This Row],[CashQ1]]:Table1[[#This Row],[CashQ3]])</f>
        <v>0</v>
      </c>
      <c r="EI179" s="271">
        <f>ROUND((Table1[[#This Row],[SubTot]]/3)/1.01059,0)</f>
        <v>0</v>
      </c>
      <c r="EJ179" s="234">
        <f>ROUND((Table1[[#This Row],[SubTot]]/3)/1.01059,0)</f>
        <v>0</v>
      </c>
      <c r="EK179" s="234">
        <f>ROUNDUP((Table1[[#This Row],[SubTot]]/3)/1.01059,0)</f>
        <v>0</v>
      </c>
      <c r="EL179" s="235"/>
      <c r="EM179" s="240">
        <f>Table1[[#This Row],[SubTot]]*0.01059</f>
        <v>0</v>
      </c>
      <c r="EN179" s="234">
        <f>ROUND((Table1[[#This Row],[UnsubTot]]/3)/1.01062,0)</f>
        <v>660</v>
      </c>
      <c r="EO179" s="234">
        <f>ROUND((Table1[[#This Row],[UnsubTot]]/3)/1.01062,0)</f>
        <v>660</v>
      </c>
      <c r="EP179" s="234">
        <f>ROUNDDOWN((Table1[[#This Row],[UnsubTot]]/3)/1.01062,0)</f>
        <v>659</v>
      </c>
      <c r="EQ179" s="235">
        <f>IF(Table1[D/I]="I",6000,2000)</f>
        <v>2000</v>
      </c>
      <c r="ER179" s="240">
        <f>Table1[[#This Row],[UnsubTot]]*0.01062</f>
        <v>21.24</v>
      </c>
      <c r="ES179" s="234">
        <f>ROUND((Table1[[#This Row],[PLUSTot]]/3)/1.04248,0)</f>
        <v>0</v>
      </c>
      <c r="ET179" s="234">
        <f>ROUND((Table1[[#This Row],[PLUSTot]]/3)/1.04248,0)</f>
        <v>0</v>
      </c>
      <c r="EU179" s="234">
        <f>ROUND((Table1[[#This Row],[PLUSTot]]/3)/1.04248,0)</f>
        <v>0</v>
      </c>
      <c r="EV179" s="235"/>
      <c r="EW179" s="239">
        <f>Table1[[#This Row],[PLUSTot]]*0.04248</f>
        <v>0</v>
      </c>
      <c r="EX179" s="237"/>
      <c r="EY179" s="237"/>
      <c r="EZ179" s="237"/>
      <c r="FA179" s="232">
        <f>SUM(Table1[[#This Row],[PrivQ1]:[PrivQ3]])</f>
        <v>0</v>
      </c>
      <c r="FB179" s="237"/>
      <c r="FC179" s="237"/>
      <c r="FD179" s="237"/>
      <c r="FE179" s="232">
        <f>SUM(Table1[[#This Row],[TOQ1]:[TOQ3]])</f>
        <v>0</v>
      </c>
      <c r="FF179" s="237"/>
      <c r="FG179" s="237"/>
      <c r="FH179" s="237"/>
      <c r="FI179" s="232">
        <f>SUM(Table1[[#This Row],[OFundQ1]:[OFundQ3]])</f>
        <v>0</v>
      </c>
      <c r="FJ179" s="239">
        <f>(Table1[[#This Row],[SubTot]]-Table1[[#This Row],[SubFee]])+(Table1[[#This Row],[UnsubTot]]-Table1[[#This Row],[UnsubFee]])+(Table1[[#This Row],[PLUSTot]]-Table1[[#This Row],[PLUSFee]])+Table1[[#This Row],[PrivTot]]+Table1[[#This Row],[TOTot]]+Table1[[#This Row],[OFundTot]]</f>
        <v>1978.76</v>
      </c>
      <c r="FK179" s="125">
        <f>Table1[[#This Row],[CostTot]]-Table1[[#This Row],[GiftTot]]</f>
        <v>-3900</v>
      </c>
      <c r="FL179" s="130">
        <f>Table1[[#This Row],[NetNeed]]/(1-0.04248)</f>
        <v>-6139.5688862895813</v>
      </c>
      <c r="FM179" s="131">
        <f>Table1[[#This Row],[NetCost]]-Table1[[#This Row],[CashTot]]-(Table1[[#This Row],[SubTot]]-Table1[[#This Row],[SubFee]])-(Table1[[#This Row],[UnsubTot]]-Table1[[#This Row],[UnsubFee]])-(Table1[[#This Row],[PLUSTot]]-Table1[[#This Row],[PLUSFee]])-Table1[[#This Row],[PrivTot]]-Table1[[#This Row],[TOTot]]-Table1[[#This Row],[OFundTot]]</f>
        <v>-5878.76</v>
      </c>
      <c r="FN179" s="156"/>
      <c r="FO179" s="113"/>
      <c r="FP179" s="113"/>
    </row>
    <row r="180" spans="1:172" ht="15" x14ac:dyDescent="0.25">
      <c r="A180" s="310">
        <v>195299</v>
      </c>
      <c r="B180" s="160" t="str">
        <f>VLOOKUP(Table1[[#This Row],[SyStudentId]],SSR!$A$2:$CC$4982,4,FALSE)</f>
        <v>Turpin</v>
      </c>
      <c r="C180" s="160" t="str">
        <f>VLOOKUP(Table1[[#This Row],[SyStudentId]],SSR!$A$2:$CC$4982,5,FALSE)</f>
        <v>Micah</v>
      </c>
      <c r="D180" s="160" t="str">
        <f>VLOOKUP(Table1[[#This Row],[SyStudentId]],SSR!$A$2:$CC$4982,6,FALSE)</f>
        <v>Turpin, Micah</v>
      </c>
      <c r="E180" s="113" t="str">
        <f>CONCATENATE(Table1[[#This Row],[FirstName]]," ",Table1[[#This Row],[LastName]])</f>
        <v>Micah Turpin</v>
      </c>
      <c r="F180" s="158">
        <v>2</v>
      </c>
      <c r="G180" s="114">
        <v>43795</v>
      </c>
      <c r="H180" s="114">
        <v>43795</v>
      </c>
      <c r="I180" s="114">
        <v>43795</v>
      </c>
      <c r="J180" s="163" t="s">
        <v>6124</v>
      </c>
      <c r="K180" s="164"/>
      <c r="L180" s="158" t="str">
        <f>IFERROR(VLOOKUP(Table1[[#This Row],[SyStudentId]],ISIR!$A$2:$X$4999,11,FALSE),"")</f>
        <v>D</v>
      </c>
      <c r="M180" s="160" t="str">
        <f>VLOOKUP(Table1[[#This Row],[SyStudentId]],SSR!$A$2:$CC$4982,7,FALSE)</f>
        <v>mjturp2@gmail.com</v>
      </c>
      <c r="N180" s="160" t="str">
        <f>VLOOKUP(Table1[[#This Row],[SyStudentId]],SSR!$A$2:$CC$4982,8,FALSE)</f>
        <v>1801 Manhattan Blvd, Ste. J-324</v>
      </c>
      <c r="O180" s="160" t="str">
        <f>VLOOKUP(Table1[[#This Row],[SyStudentId]],SSR!$A$2:$CC$4982,9,FALSE)</f>
        <v>Harvey</v>
      </c>
      <c r="P180" s="294" t="str">
        <f>VLOOKUP(Table1[[#This Row],[SyStudentId]],SSR!$A$2:$CC$4982,10,FALSE)</f>
        <v>LA</v>
      </c>
      <c r="Q180" s="165" t="str">
        <f>VLOOKUP(Table1[[#This Row],[SyStudentId]],SSR!$A$2:$CC$4982,11,FALSE)</f>
        <v xml:space="preserve">70058     </v>
      </c>
      <c r="R180" s="166">
        <f>VLOOKUP(Table1[[#This Row],[SyStudentId]],SSR!$A$2:$CC$4982,15,FALSE)</f>
        <v>4</v>
      </c>
      <c r="S180" s="167">
        <f>VLOOKUP(Table1[[#This Row],[SyStudentId]],SSR!$A$2:$CC$4982,22,FALSE)</f>
        <v>44109</v>
      </c>
      <c r="T180" s="160" t="str">
        <f>VLOOKUP(Table1[[#This Row],[SyStudentId]],SSR!$A$2:$CC$4982,24,FALSE)</f>
        <v>JT</v>
      </c>
      <c r="U180" s="160" t="str">
        <f>IF(VLOOKUP(Table1[[#This Row],[SyStudentId]],SSR!$A$2:$CC$4982,26,FALSE)=0,"Not Selected",VLOOKUP(Table1[[#This Row],[SyStudentId]],SSR!$A$2:$CC$4982,26,FALSE))</f>
        <v>Male</v>
      </c>
      <c r="V180" s="160" t="str">
        <f>VLOOKUP(Table1[[#This Row],[SyStudentId]],SSR!$A$2:$CC$4982,27,FALSE)</f>
        <v xml:space="preserve">HS2020  </v>
      </c>
      <c r="W180" s="160" t="str">
        <f>VLOOKUP(LEFT(Table1[[#This Row],[LastName]],1),Alpha!$A$1:$B$26,2,FALSE)</f>
        <v>Maureen Ranks</v>
      </c>
      <c r="X180" s="179" t="str">
        <f>VLOOKUP(Table1[[#This Row],[FAA]],Alpha!$B$1:$D$26,2,FALSE)</f>
        <v>mranks@neumont.edu</v>
      </c>
      <c r="Y180" s="160">
        <f>VLOOKUP(Table1[[#This Row],[FAA]],Alpha!$B$1:$D$26,3,FALSE)</f>
        <v>8883022894</v>
      </c>
      <c r="Z180" s="160" t="str">
        <f>VLOOKUP(Table1[[#This Row],[SyStudentId]],SSR!$A$2:$CC$4982,30,FALSE)</f>
        <v>16-Accepted</v>
      </c>
      <c r="AA180" s="160" t="str">
        <f>IF(VLOOKUP(Table1[[#This Row],[SyStudentId]],SSR!$A$2:$CC$4982,36,FALSE)="Bachelor of Science","BS Computer Science","Check Program")</f>
        <v>BS Computer Science</v>
      </c>
      <c r="AB180" s="160" t="str">
        <f>VLOOKUP(Table1[[#This Row],[SyStudentId]],SSR!$A$2:$CC$4982,37,FALSE)</f>
        <v xml:space="preserve">33      </v>
      </c>
      <c r="AC180" s="160">
        <f>VLOOKUP(Table1[[#This Row],[SyStudentId]],SSR!$A$2:$CC$4982,42,FALSE)</f>
        <v>0</v>
      </c>
      <c r="AD180" s="160" t="str">
        <f>VLOOKUP(Table1[[#This Row],[SyStudentId]],SSR!$A$2:$CC$4982,46,FALSE)</f>
        <v>138</v>
      </c>
      <c r="AE180" s="160" t="str">
        <f>VLOOKUP(Table1[[#This Row],[SyStudentId]],SSR!$A$2:$CC$4982,65,FALSE)</f>
        <v>I</v>
      </c>
      <c r="AF180"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80" s="160" t="str">
        <f>VLOOKUP(Table1[[#This Row],[SyStudentId]],SSR!$A$2:$CC$4982,66,FALSE)</f>
        <v>July-October</v>
      </c>
      <c r="AH180" s="160" t="str">
        <f>IFERROR(VLOOKUP(Table1[[#This Row],[SyStudentId]],ISIR!$A$2:$X$1999,7,FALSE),"")</f>
        <v>000000</v>
      </c>
      <c r="AI180" s="170">
        <f>IF(Table1[[#This Row],[EFCRaw]]="","",IF(Table1[[#This Row],[EFCRaw]]="No EFC","No EFC",_xlfn.NUMBERVALUE(Table1[[#This Row],[EFCRaw]])))</f>
        <v>0</v>
      </c>
      <c r="AJ180" s="167">
        <f>IFERROR(VLOOKUP(Table1[[#This Row],[SyStudentId]],ISIR!$A$2:$X$4999,19,FALSE),"")</f>
        <v>43790</v>
      </c>
      <c r="AK180" s="160" t="str">
        <f>IFERROR(VLOOKUP(Table1[[#This Row],[SyStudentId]],ISIR!$A$2:$X$4999,8,FALSE),"")</f>
        <v>N</v>
      </c>
      <c r="AL180" s="171" t="str">
        <f>IF(Table1[[#This Row],[VerReq]]="N","n/a","")</f>
        <v>n/a</v>
      </c>
      <c r="AM180" s="122">
        <v>43795</v>
      </c>
      <c r="AN180" s="122">
        <v>43795</v>
      </c>
      <c r="AO180" s="122">
        <v>43786</v>
      </c>
      <c r="AP180" s="122"/>
      <c r="AQ180" s="122"/>
      <c r="AR180" s="122"/>
      <c r="AS180" s="122"/>
      <c r="AT180" s="122"/>
      <c r="AU180" s="122"/>
      <c r="AV180" s="122"/>
      <c r="AW180" s="122"/>
      <c r="AX180" s="122"/>
      <c r="AY180" s="122"/>
      <c r="AZ180" s="122"/>
      <c r="BA180" s="122"/>
      <c r="BB180" s="122"/>
      <c r="BC180" s="148"/>
      <c r="BD180" s="140" t="str">
        <f>IF(Table1[[#This Row],[VerReq]]="N","x","")</f>
        <v>x</v>
      </c>
      <c r="BE180" s="140" t="str">
        <f>IF(Table1[[#This Row],[VerReq]]="N","x","")</f>
        <v>x</v>
      </c>
      <c r="BF180" s="140" t="str">
        <f>IF(Table1[[#This Row],[VerReq]]="N","x","")</f>
        <v>x</v>
      </c>
      <c r="BG180" s="140" t="str">
        <f>IF(Table1[[#This Row],[VerReq]]="N","x","")</f>
        <v>x</v>
      </c>
      <c r="BH180" s="140" t="str">
        <f>IF(Table1[[#This Row],[VerReq]]="N","x","")</f>
        <v>x</v>
      </c>
      <c r="BI180" s="140" t="str">
        <f>IF(Table1[[#This Row],[VerReq]]="N","x","")</f>
        <v>x</v>
      </c>
      <c r="BJ180" s="181">
        <f>1-((COUNTBLANK(Table1[[#This Row],[ALESent]:[TaxTran]]))/(COUNT(Table1[[#This Row],[ALESent]:[TaxTran]])+COUNTBLANK(Table1[[#This Row],[ALESent]:[TaxTran]])))</f>
        <v>0.17647058823529416</v>
      </c>
      <c r="BK180" s="216">
        <f>IF(VLOOKUP(Table1[[#This Row],[SyStudentId]],SSR!$A$2:$CC$4982,22,FALSE)=44109,44109,"Check Program")</f>
        <v>44109</v>
      </c>
      <c r="BL180" s="216">
        <f>IF(Table1[[#This Row],[AYStart]]=44109,44356,"Check Program")</f>
        <v>44356</v>
      </c>
      <c r="BM180" s="219">
        <v>8505</v>
      </c>
      <c r="BN180" s="219">
        <v>8505</v>
      </c>
      <c r="BO180" s="219">
        <v>8505</v>
      </c>
      <c r="BP180" s="220">
        <f t="shared" si="6"/>
        <v>25515</v>
      </c>
      <c r="BQ180" s="221">
        <v>3300</v>
      </c>
      <c r="BR180" s="219">
        <v>400</v>
      </c>
      <c r="BS180" s="219">
        <v>400</v>
      </c>
      <c r="BT180" s="222">
        <f t="shared" si="7"/>
        <v>4100</v>
      </c>
      <c r="BU180" s="219">
        <v>2100</v>
      </c>
      <c r="BV180" s="219">
        <v>2100</v>
      </c>
      <c r="BW180" s="219">
        <v>2100</v>
      </c>
      <c r="BX180" s="222">
        <f t="shared" si="8"/>
        <v>6300</v>
      </c>
      <c r="BY180" s="275">
        <v>1200</v>
      </c>
      <c r="BZ180" s="275">
        <v>1200</v>
      </c>
      <c r="CA180" s="275">
        <v>1200</v>
      </c>
      <c r="CB180" s="222">
        <f>SUM(Table1[[#This Row],[LEQ1]:[LEQ3]])</f>
        <v>3600</v>
      </c>
      <c r="CC180" s="276">
        <v>0</v>
      </c>
      <c r="CD180" s="276">
        <v>0</v>
      </c>
      <c r="CE180" s="276">
        <v>0</v>
      </c>
      <c r="CF180" s="222">
        <f>SUM(Table1[[#This Row],[OthCostQ1]:[OthCostQ3]])</f>
        <v>0</v>
      </c>
      <c r="CG180" s="222">
        <f>(Table1[[#This Row],[T&amp;FTot]]+Table1[[#This Row],[B&amp;STot]]+Table1[[#This Row],[HousTot]]+Table1[[#This Row],[LETot]]+Table1[[#This Row],[OthCostTot]])</f>
        <v>39515</v>
      </c>
      <c r="CH180" s="253">
        <v>0</v>
      </c>
      <c r="CI180" s="253">
        <v>0</v>
      </c>
      <c r="CJ180" s="253">
        <v>0</v>
      </c>
      <c r="CK180" s="254">
        <f>SUM(Table1[[#This Row],[SEOGQ1]:[SEOGQ3]])</f>
        <v>0</v>
      </c>
      <c r="CL180" s="253">
        <f>IFERROR(ROUNDUP(Table1[[#This Row],[PellTot]]/3,0),0)</f>
        <v>2065</v>
      </c>
      <c r="CM180" s="253">
        <f>IFERROR(ROUND(Table1[[#This Row],[PellTot]]/3,0),0)</f>
        <v>2065</v>
      </c>
      <c r="CN180" s="253">
        <f>IFERROR(ROUNDDOWN(Table1[[#This Row],[PellTot]]/3,0),0)</f>
        <v>2065</v>
      </c>
      <c r="CO180" s="254">
        <f>IFERROR(LOOKUP(Table1[EFC],Pell_Table[#Data],Pell_Table[Pell Amt]),0)</f>
        <v>6195</v>
      </c>
      <c r="CP180" s="253">
        <f>Table1[[#This Row],[AccessTot]]/3</f>
        <v>500</v>
      </c>
      <c r="CQ180" s="253">
        <f>Table1[[#This Row],[AccessTot]]/3</f>
        <v>500</v>
      </c>
      <c r="CR180" s="253">
        <f>Table1[[#This Row],[AccessTot]]/3</f>
        <v>500</v>
      </c>
      <c r="CS180" s="254">
        <f>IF(Table1[[#This Row],[PellTot]]&gt;0,1500,0)</f>
        <v>1500</v>
      </c>
      <c r="CT180" s="253">
        <f>Table1[[#This Row],[AchiTot]]/3</f>
        <v>1700</v>
      </c>
      <c r="CU180" s="253">
        <f>Table1[[#This Row],[AchiTot]]/3</f>
        <v>1700</v>
      </c>
      <c r="CV180" s="253">
        <f>Table1[[#This Row],[AchiTot]]/3</f>
        <v>1700</v>
      </c>
      <c r="CW180" s="255">
        <f>IF(Table1[[#This Row],[Rank]]="","",IF(Table1[[#This Row],[Rank]]=1,5100,IF(Table1[[#This Row],[Rank]]=2,4500,IF(Table1[[#This Row],[Rank]]=3,3900,IF(Table1[[#This Row],[Rank]]=4,3750,IF(Table1[[#This Row],[Rank]]=5,3000,IF(Table1[[#This Row],[Rank]]=6,2250,0)))))))</f>
        <v>5100</v>
      </c>
      <c r="CX180" s="253">
        <f>Table1[[#This Row],[UTTot]]/3</f>
        <v>0</v>
      </c>
      <c r="CY180" s="253">
        <f>Table1[[#This Row],[UTTot]]/3</f>
        <v>0</v>
      </c>
      <c r="CZ180" s="253">
        <f>Table1[[#This Row],[UTTot]]/3</f>
        <v>0</v>
      </c>
      <c r="DA180" s="254">
        <f>IF(Table1[[#This Row],[State]]="UT",9000,0)</f>
        <v>0</v>
      </c>
      <c r="DB180" s="253">
        <f>Table1[[#This Row],[WITTot]]/3</f>
        <v>0</v>
      </c>
      <c r="DC180" s="253">
        <f>Table1[[#This Row],[WITTot]]/3</f>
        <v>0</v>
      </c>
      <c r="DD180" s="253">
        <f>Table1[[#This Row],[WITTot]]/3</f>
        <v>0</v>
      </c>
      <c r="DE180" s="254">
        <f>IF(Table1[[#This Row],[Gender]]="Female",3000,0)</f>
        <v>0</v>
      </c>
      <c r="DF180" s="253">
        <f>Table1[[#This Row],[SerTot]]/3</f>
        <v>0</v>
      </c>
      <c r="DG180" s="253">
        <f>Table1[[#This Row],[SerTot]]/3</f>
        <v>0</v>
      </c>
      <c r="DH180" s="253">
        <f>Table1[[#This Row],[SerTot]]/3</f>
        <v>0</v>
      </c>
      <c r="DI180" s="255">
        <v>0</v>
      </c>
      <c r="DJ180" s="253">
        <f>IFERROR(ROUNDUP(Table1[[#This Row],[TranTot]]/3,0),0)</f>
        <v>0</v>
      </c>
      <c r="DK180" s="253">
        <f>IFERROR(ROUND(Table1[[#This Row],[TranTot]]/3,0),0)</f>
        <v>0</v>
      </c>
      <c r="DL180" s="253">
        <f>IFERROR(ROUNDDOWN(Table1[[#This Row],[TranTot]]/3,0),0)</f>
        <v>0</v>
      </c>
      <c r="DM180" s="255">
        <v>0</v>
      </c>
      <c r="DN180" s="253">
        <f>Table1[[#This Row],[MatTot]]/3</f>
        <v>0</v>
      </c>
      <c r="DO180" s="253">
        <f>Table1[[#This Row],[MatTot]]/3</f>
        <v>0</v>
      </c>
      <c r="DP180" s="253">
        <f>Table1[[#This Row],[MatTot]]/3</f>
        <v>0</v>
      </c>
      <c r="DQ180" s="255">
        <v>0</v>
      </c>
      <c r="DR180" s="253">
        <f>Table1[[#This Row],[OutTot]]/3</f>
        <v>0</v>
      </c>
      <c r="DS180" s="253">
        <f>Table1[[#This Row],[OutTot]]/3</f>
        <v>0</v>
      </c>
      <c r="DT180" s="253">
        <f>Table1[[#This Row],[OutTot]]/3</f>
        <v>0</v>
      </c>
      <c r="DU180" s="255">
        <v>0</v>
      </c>
      <c r="DV180" s="253">
        <v>0</v>
      </c>
      <c r="DW180" s="253">
        <v>0</v>
      </c>
      <c r="DX180" s="253">
        <v>0</v>
      </c>
      <c r="DY180" s="255">
        <f>SUM(Table1[[#This Row],[VAQ1]:[VAQ3]])</f>
        <v>0</v>
      </c>
      <c r="DZ180" s="253">
        <v>0</v>
      </c>
      <c r="EA180" s="253">
        <v>0</v>
      </c>
      <c r="EB180" s="253">
        <v>0</v>
      </c>
      <c r="EC180" s="278">
        <f>SUM(Table1[[#This Row],[OthGrantQ1]:[OthGrantQ3]])</f>
        <v>0</v>
      </c>
      <c r="ED180" s="264">
        <f>Table1[[#This Row],[SEOGTot]]+Table1[[#This Row],[PellTot]]+Table1[[#This Row],[AccessTot]]+Table1[[#This Row],[AchiTot]]+Table1[[#This Row],[UTTot]]+Table1[[#This Row],[WITTot]]+Table1[[#This Row],[SerTot]]+Table1[[#This Row],[TranTot]]+Table1[[#This Row],[MatTot]]+Table1[[#This Row],[OutTot]]+Table1[[#This Row],[VATot]]+Table1[[#This Row],[OthGrantTot]]</f>
        <v>12795</v>
      </c>
      <c r="EE180" s="298">
        <v>0</v>
      </c>
      <c r="EF180" s="227">
        <v>0</v>
      </c>
      <c r="EG180" s="227">
        <v>0</v>
      </c>
      <c r="EH180" s="228">
        <f>SUM(Table1[[#This Row],[CashQ1]]:Table1[[#This Row],[CashQ3]])</f>
        <v>0</v>
      </c>
      <c r="EI180" s="229">
        <f>ROUND((Table1[[#This Row],[SubTot]]/3)/1.01059,0)</f>
        <v>1154</v>
      </c>
      <c r="EJ180" s="230">
        <f>ROUND((Table1[[#This Row],[SubTot]]/3)/1.01059,0)</f>
        <v>1154</v>
      </c>
      <c r="EK180" s="230">
        <f>ROUNDUP((Table1[[#This Row],[SubTot]]/3)/1.01059,0)</f>
        <v>1155</v>
      </c>
      <c r="EL180" s="231">
        <v>3500</v>
      </c>
      <c r="EM180" s="233">
        <f>Table1[[#This Row],[SubTot]]*0.01059</f>
        <v>37.065000000000005</v>
      </c>
      <c r="EN180" s="230">
        <f>ROUND((Table1[[#This Row],[UnsubTot]]/3)/1.01062,0)</f>
        <v>660</v>
      </c>
      <c r="EO180" s="230">
        <f>ROUND((Table1[[#This Row],[UnsubTot]]/3)/1.01062,0)</f>
        <v>660</v>
      </c>
      <c r="EP180" s="230">
        <f>ROUNDDOWN((Table1[[#This Row],[UnsubTot]]/3)/1.01062,0)</f>
        <v>659</v>
      </c>
      <c r="EQ180" s="231">
        <f>IF(Table1[D/I]="I",6000,2000)</f>
        <v>2000</v>
      </c>
      <c r="ER180" s="233">
        <f>Table1[[#This Row],[UnsubTot]]*0.01059</f>
        <v>21.18</v>
      </c>
      <c r="ES180" s="230">
        <f>ROUND((Table1[[#This Row],[PLUSTot]]/3)/1.04236,0)</f>
        <v>0</v>
      </c>
      <c r="ET180" s="230">
        <f>ROUND((Table1[[#This Row],[PLUSTot]]/3)/1.04236,0)</f>
        <v>0</v>
      </c>
      <c r="EU180" s="230">
        <f>ROUND((Table1[[#This Row],[PLUSTot]]/3)/1.04236,0)</f>
        <v>0</v>
      </c>
      <c r="EV180" s="231">
        <v>0</v>
      </c>
      <c r="EW180" s="236">
        <f>Table1[[#This Row],[PLUSTot]]*0.04236</f>
        <v>0</v>
      </c>
      <c r="EX180" s="227">
        <v>7093</v>
      </c>
      <c r="EY180" s="227">
        <v>7093</v>
      </c>
      <c r="EZ180" s="227">
        <v>7092</v>
      </c>
      <c r="FA180" s="228">
        <f>SUM(Table1[[#This Row],[PrivQ1]:[PrivQ3]])</f>
        <v>21278</v>
      </c>
      <c r="FB180" s="227"/>
      <c r="FC180" s="227"/>
      <c r="FD180" s="227"/>
      <c r="FE180" s="228">
        <f>SUM(Table1[[#This Row],[TOQ1]:[TOQ3]])</f>
        <v>0</v>
      </c>
      <c r="FF180" s="227"/>
      <c r="FG180" s="227"/>
      <c r="FH180" s="227"/>
      <c r="FI180" s="228">
        <f>SUM(Table1[[#This Row],[OFundQ1]:[OFundQ3]])</f>
        <v>0</v>
      </c>
      <c r="FJ180" s="236">
        <f>(Table1[[#This Row],[SubTot]]-Table1[[#This Row],[SubFee]])+(Table1[[#This Row],[UnsubTot]]-Table1[[#This Row],[UnsubFee]])+(Table1[[#This Row],[PLUSTot]]-Table1[[#This Row],[PLUSFee]])+Table1[[#This Row],[PrivTot]]+Table1[[#This Row],[TOTot]]+Table1[[#This Row],[OFundTot]]</f>
        <v>26719.755000000001</v>
      </c>
      <c r="FK180" s="159">
        <f>Table1[[#This Row],[CostTot]]-Table1[[#This Row],[GiftTot]]</f>
        <v>26720</v>
      </c>
      <c r="FL180" s="174">
        <f>Table1[[#This Row],[NetNeed]]/(1-0.04236)</f>
        <v>0.25583726661269512</v>
      </c>
      <c r="FM180" s="176">
        <f>Table1[[#This Row],[NetCost]]-Table1[[#This Row],[CashTot]]-(Table1[[#This Row],[SubTot]]-Table1[[#This Row],[SubFee]])-(Table1[[#This Row],[UnsubTot]]-Table1[[#This Row],[UnsubFee]])-(Table1[[#This Row],[PLUSTot]]-Table1[[#This Row],[PLUSFee]])-Table1[[#This Row],[PrivTot]]-Table1[[#This Row],[TOTot]]-Table1[[#This Row],[OFundTot]]</f>
        <v>0.24499999999898137</v>
      </c>
      <c r="FN180" s="217"/>
      <c r="FO180" s="162"/>
      <c r="FP180" s="162"/>
    </row>
    <row r="181" spans="1:172" ht="15" x14ac:dyDescent="0.25">
      <c r="A181" s="310">
        <v>198855</v>
      </c>
      <c r="B181" s="113" t="str">
        <f>VLOOKUP(Table1[[#This Row],[SyStudentId]],SSR!$A$2:$CC$4982,4,FALSE)</f>
        <v>Turro</v>
      </c>
      <c r="C181" s="113" t="str">
        <f>VLOOKUP(Table1[[#This Row],[SyStudentId]],SSR!$A$2:$CC$4982,5,FALSE)</f>
        <v>Alex</v>
      </c>
      <c r="D181" s="113" t="str">
        <f>VLOOKUP(Table1[[#This Row],[SyStudentId]],SSR!$A$2:$CC$4982,6,FALSE)</f>
        <v>Turro, Alex</v>
      </c>
      <c r="E181" s="113" t="str">
        <f>CONCATENATE(Table1[[#This Row],[FirstName]]," ",Table1[[#This Row],[LastName]])</f>
        <v>Alex Turro</v>
      </c>
      <c r="F181" s="112">
        <v>1</v>
      </c>
      <c r="G181" s="114">
        <v>43794</v>
      </c>
      <c r="H181" s="114">
        <v>43794</v>
      </c>
      <c r="I181" s="114">
        <v>43794</v>
      </c>
      <c r="J181" s="115" t="s">
        <v>6119</v>
      </c>
      <c r="K181" s="116" t="s">
        <v>708</v>
      </c>
      <c r="L181" s="112" t="str">
        <f>IFERROR(VLOOKUP(Table1[[#This Row],[SyStudentId]],ISIR!$A$2:$X$999,11,FALSE),"")</f>
        <v>D</v>
      </c>
      <c r="M181" s="113" t="str">
        <f>VLOOKUP(Table1[[#This Row],[SyStudentId]],SSR!$A$2:$CC$4982,7,FALSE)</f>
        <v>Alexhazim11@gmail.com</v>
      </c>
      <c r="N181" s="113" t="str">
        <f>VLOOKUP(Table1[[#This Row],[SyStudentId]],SSR!$A$2:$CC$4982,8,FALSE)</f>
        <v>3335 Hauck St. Apt. 2046</v>
      </c>
      <c r="O181" s="113" t="str">
        <f>VLOOKUP(Table1[[#This Row],[SyStudentId]],SSR!$A$2:$CC$4982,9,FALSE)</f>
        <v>Las Vegas</v>
      </c>
      <c r="P181" s="290" t="str">
        <f>VLOOKUP(Table1[[#This Row],[SyStudentId]],SSR!$A$2:$CC$4982,10,FALSE)</f>
        <v>NV</v>
      </c>
      <c r="Q181" s="117" t="str">
        <f>VLOOKUP(Table1[[#This Row],[SyStudentId]],SSR!$A$2:$CC$4982,11,FALSE)</f>
        <v xml:space="preserve">89146     </v>
      </c>
      <c r="R181" s="118">
        <f>VLOOKUP(Table1[[#This Row],[SyStudentId]],SSR!$A$2:$CC$4982,15,FALSE)</f>
        <v>3.25</v>
      </c>
      <c r="S181" s="119">
        <f>VLOOKUP(Table1[[#This Row],[SyStudentId]],SSR!$A$2:$CC$4982,22,FALSE)</f>
        <v>44109</v>
      </c>
      <c r="T181" s="312" t="str">
        <f>VLOOKUP(Table1[[#This Row],[SyStudentId]],SSR!$A$2:$CC$4982,24,FALSE)</f>
        <v>JT</v>
      </c>
      <c r="U181" s="113" t="str">
        <f>IF(VLOOKUP(Table1[[#This Row],[SyStudentId]],SSR!$A$2:$CC$4982,26,FALSE)=0,"Not Selected",VLOOKUP(Table1[[#This Row],[SyStudentId]],SSR!$A$2:$CC$4982,26,FALSE))</f>
        <v>Male</v>
      </c>
      <c r="V181" s="113" t="str">
        <f>VLOOKUP(Table1[[#This Row],[SyStudentId]],SSR!$A$2:$CC$4982,27,FALSE)</f>
        <v xml:space="preserve">HS2020  </v>
      </c>
      <c r="W181" s="113" t="str">
        <f>VLOOKUP(LEFT(Table1[[#This Row],[LastName]],1),Alpha!$A$1:$B$26,2,FALSE)</f>
        <v>Maureen Ranks</v>
      </c>
      <c r="X181" s="149" t="str">
        <f>VLOOKUP(Table1[[#This Row],[FAA]],Alpha!$B$1:$D$26,2,FALSE)</f>
        <v>mranks@neumont.edu</v>
      </c>
      <c r="Y181" s="113">
        <f>VLOOKUP(Table1[[#This Row],[FAA]],Alpha!$B$1:$D$26,3,FALSE)</f>
        <v>8883022894</v>
      </c>
      <c r="Z181" s="113" t="str">
        <f>VLOOKUP(Table1[[#This Row],[SyStudentId]],SSR!$A$2:$CC$4982,30,FALSE)</f>
        <v>16-Accepted</v>
      </c>
      <c r="AA181" s="113" t="str">
        <f>IF(VLOOKUP(Table1[[#This Row],[SyStudentId]],SSR!$A$2:$CC$4982,36,FALSE)="Bachelor of Science","BS Computer Science","Check Program")</f>
        <v>BS Computer Science</v>
      </c>
      <c r="AB181" s="113">
        <f>VLOOKUP(Table1[[#This Row],[SyStudentId]],SSR!$A$2:$CC$4982,37,FALSE)</f>
        <v>0</v>
      </c>
      <c r="AC181" s="113">
        <f>VLOOKUP(Table1[[#This Row],[SyStudentId]],SSR!$A$2:$CC$4982,42,FALSE)</f>
        <v>0</v>
      </c>
      <c r="AD181" s="113" t="str">
        <f>VLOOKUP(Table1[[#This Row],[SyStudentId]],SSR!$A$2:$CC$4982,46,FALSE)</f>
        <v>0</v>
      </c>
      <c r="AE181" s="113" t="str">
        <f>VLOOKUP(Table1[[#This Row],[SyStudentId]],SSR!$A$2:$CC$4982,65,FALSE)</f>
        <v>VI</v>
      </c>
      <c r="AF181"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6</v>
      </c>
      <c r="AG181" s="113" t="str">
        <f>VLOOKUP(Table1[[#This Row],[SyStudentId]],SSR!$A$2:$CC$4982,66,FALSE)</f>
        <v>October</v>
      </c>
      <c r="AH181" s="113" t="str">
        <f>IFERROR(VLOOKUP(Table1[[#This Row],[SyStudentId]],ISIR!$A$2:$X$999,7,FALSE),"")</f>
        <v>001459</v>
      </c>
      <c r="AI181" s="121">
        <f>IF(Table1[[#This Row],[EFCRaw]]="","",IF(Table1[[#This Row],[EFCRaw]]="No EFC","No EFC",_xlfn.NUMBERVALUE(Table1[[#This Row],[EFCRaw]])))</f>
        <v>1459</v>
      </c>
      <c r="AJ181" s="119">
        <f>IFERROR(VLOOKUP(Table1[[#This Row],[SyStudentId]],ISIR!$A$2:$X$4999,19,FALSE),"")</f>
        <v>43801</v>
      </c>
      <c r="AK181" s="113" t="str">
        <f>IFERROR(VLOOKUP(Table1[[#This Row],[SyStudentId]],ISIR!$A$2:$X$4999,8,FALSE),"")</f>
        <v>Y</v>
      </c>
      <c r="AL181" s="132" t="str">
        <f>IF(Table1[[#This Row],[VerReq]]="N","n/a","")</f>
        <v/>
      </c>
      <c r="AM181" s="122"/>
      <c r="AN181" s="122"/>
      <c r="AO181" s="122">
        <v>43794</v>
      </c>
      <c r="AP181" s="122"/>
      <c r="AQ181" s="122"/>
      <c r="AR181" s="122"/>
      <c r="AS181" s="122"/>
      <c r="AT181" s="122"/>
      <c r="AU181" s="122"/>
      <c r="AV181" s="122"/>
      <c r="AW181" s="122"/>
      <c r="AX181" s="122"/>
      <c r="AY181" s="122"/>
      <c r="AZ181" s="122"/>
      <c r="BA181" s="122"/>
      <c r="BB181" s="122"/>
      <c r="BC181" s="148"/>
      <c r="BD181" s="140" t="str">
        <f>IF(Table1[[#This Row],[VerReq]]="N","x","")</f>
        <v/>
      </c>
      <c r="BE181" s="140" t="str">
        <f>IF(Table1[[#This Row],[VerReq]]="N","x","")</f>
        <v/>
      </c>
      <c r="BF181" s="140" t="str">
        <f>IF(Table1[[#This Row],[VerReq]]="N","x","")</f>
        <v/>
      </c>
      <c r="BG181" s="140" t="str">
        <f>IF(Table1[[#This Row],[VerReq]]="N","x","")</f>
        <v/>
      </c>
      <c r="BH181" s="140" t="str">
        <f>IF(Table1[[#This Row],[VerReq]]="N","x","")</f>
        <v/>
      </c>
      <c r="BI181" s="140" t="str">
        <f>IF(Table1[[#This Row],[VerReq]]="N","x","")</f>
        <v/>
      </c>
      <c r="BJ181" s="123">
        <f>1-((COUNTBLANK(Table1[[#This Row],[ALESent]:[TaxTran]]))/(COUNT(Table1[[#This Row],[ALESent]:[TaxTran]])+COUNTBLANK(Table1[[#This Row],[ALESent]:[TaxTran]])))</f>
        <v>4.3478260869565188E-2</v>
      </c>
      <c r="BK181" s="150">
        <f>IF(VLOOKUP(Table1[[#This Row],[SyStudentId]],SSR!$A$2:$CC$4982,22,FALSE)=44109,44109,"Check Program")</f>
        <v>44109</v>
      </c>
      <c r="BL181" s="150">
        <f>IF(Table1[[#This Row],[AYStart]]=44109,44356,"Check Program")</f>
        <v>44356</v>
      </c>
      <c r="BM181" s="219">
        <v>8505</v>
      </c>
      <c r="BN181" s="219">
        <v>8505</v>
      </c>
      <c r="BO181" s="219">
        <v>8505</v>
      </c>
      <c r="BP181" s="220">
        <f t="shared" si="6"/>
        <v>25515</v>
      </c>
      <c r="BQ181" s="221">
        <v>3300</v>
      </c>
      <c r="BR181" s="219">
        <v>400</v>
      </c>
      <c r="BS181" s="219">
        <v>400</v>
      </c>
      <c r="BT181" s="220">
        <f t="shared" si="7"/>
        <v>4100</v>
      </c>
      <c r="BU181" s="219">
        <v>2100</v>
      </c>
      <c r="BV181" s="219">
        <v>2100</v>
      </c>
      <c r="BW181" s="219">
        <v>2100</v>
      </c>
      <c r="BX181" s="220">
        <f t="shared" si="8"/>
        <v>6300</v>
      </c>
      <c r="BY181" s="275">
        <v>1200</v>
      </c>
      <c r="BZ181" s="275">
        <v>1200</v>
      </c>
      <c r="CA181" s="275">
        <v>1200</v>
      </c>
      <c r="CB181" s="220">
        <f>SUM(Table1[[#This Row],[LEQ1]:[LEQ3]])</f>
        <v>3600</v>
      </c>
      <c r="CC181" s="269"/>
      <c r="CD181" s="269"/>
      <c r="CE181" s="269"/>
      <c r="CF181" s="220">
        <f>SUM(Table1[[#This Row],[OthCostQ1]:[OthCostQ3]])</f>
        <v>0</v>
      </c>
      <c r="CG181" s="220">
        <f>(Table1[[#This Row],[T&amp;FTot]]+Table1[[#This Row],[B&amp;STot]]+Table1[[#This Row],[HousTot]]+Table1[[#This Row],[LETot]]+Table1[[#This Row],[OthCostTot]])</f>
        <v>39515</v>
      </c>
      <c r="CH181" s="250"/>
      <c r="CI181" s="250"/>
      <c r="CJ181" s="250"/>
      <c r="CK181" s="251">
        <f>SUM(Table1[[#This Row],[SEOGQ1]:[SEOGQ3]])</f>
        <v>0</v>
      </c>
      <c r="CL181" s="250">
        <f>IFERROR(ROUNDUP(Table1[[#This Row],[PellTot]]/3,0),0)</f>
        <v>1582</v>
      </c>
      <c r="CM181" s="250">
        <f>IFERROR(ROUND(Table1[[#This Row],[PellTot]]/3,0),0)</f>
        <v>1582</v>
      </c>
      <c r="CN181" s="250">
        <f>IFERROR(ROUNDDOWN(Table1[[#This Row],[PellTot]]/3,0),0)</f>
        <v>1581</v>
      </c>
      <c r="CO181" s="251">
        <f>IFERROR(LOOKUP(Table1[EFC],Pell_Table[#Data],Pell_Table[Pell Amt]),0)</f>
        <v>4745</v>
      </c>
      <c r="CP181" s="250">
        <f>Table1[[#This Row],[AccessTot]]/3</f>
        <v>500</v>
      </c>
      <c r="CQ181" s="250">
        <f>Table1[[#This Row],[AccessTot]]/3</f>
        <v>500</v>
      </c>
      <c r="CR181" s="250">
        <f>Table1[[#This Row],[AccessTot]]/3</f>
        <v>500</v>
      </c>
      <c r="CS181" s="251">
        <f>IF(Table1[[#This Row],[PellTot]]&gt;0,1500,0)</f>
        <v>1500</v>
      </c>
      <c r="CT181" s="250">
        <f>Table1[[#This Row],[AchiTot]]/3</f>
        <v>750</v>
      </c>
      <c r="CU181" s="250">
        <f>Table1[[#This Row],[AchiTot]]/3</f>
        <v>750</v>
      </c>
      <c r="CV181" s="250">
        <f>Table1[[#This Row],[AchiTot]]/3</f>
        <v>750</v>
      </c>
      <c r="CW181" s="252">
        <f>IF(Table1[[#This Row],[Rank]]="","",IF(Table1[[#This Row],[Rank]]=1,5100,IF(Table1[[#This Row],[Rank]]=2,4500,IF(Table1[[#This Row],[Rank]]=3,3900,IF(Table1[[#This Row],[Rank]]=4,3750,IF(Table1[[#This Row],[Rank]]=5,3000,IF(Table1[[#This Row],[Rank]]=6,2250,0)))))))</f>
        <v>2250</v>
      </c>
      <c r="CX181" s="250">
        <f>Table1[[#This Row],[UTTot]]/3</f>
        <v>0</v>
      </c>
      <c r="CY181" s="250">
        <f>Table1[[#This Row],[UTTot]]/3</f>
        <v>0</v>
      </c>
      <c r="CZ181" s="250">
        <f>Table1[[#This Row],[UTTot]]/3</f>
        <v>0</v>
      </c>
      <c r="DA181" s="251">
        <f>IF(Table1[[#This Row],[State]]="UT",9000,0)</f>
        <v>0</v>
      </c>
      <c r="DB181" s="250">
        <f>Table1[[#This Row],[WITTot]]/3</f>
        <v>0</v>
      </c>
      <c r="DC181" s="250">
        <f>Table1[[#This Row],[WITTot]]/3</f>
        <v>0</v>
      </c>
      <c r="DD181" s="250">
        <f>Table1[[#This Row],[WITTot]]/3</f>
        <v>0</v>
      </c>
      <c r="DE181" s="251">
        <f>IF(Table1[[#This Row],[Gender]]="Female",3000,0)</f>
        <v>0</v>
      </c>
      <c r="DF181" s="250">
        <f>Table1[[#This Row],[SerTot]]/3</f>
        <v>0</v>
      </c>
      <c r="DG181" s="250">
        <f>Table1[[#This Row],[SerTot]]/3</f>
        <v>0</v>
      </c>
      <c r="DH181" s="250">
        <f>Table1[[#This Row],[SerTot]]/3</f>
        <v>0</v>
      </c>
      <c r="DI181" s="252"/>
      <c r="DJ181" s="250"/>
      <c r="DK181" s="250"/>
      <c r="DL181" s="250"/>
      <c r="DM181" s="252"/>
      <c r="DN181" s="250">
        <f>Table1[[#This Row],[MatTot]]/3</f>
        <v>0</v>
      </c>
      <c r="DO181" s="250">
        <f>Table1[[#This Row],[MatTot]]/3</f>
        <v>0</v>
      </c>
      <c r="DP181" s="250">
        <f>Table1[[#This Row],[MatTot]]/3</f>
        <v>0</v>
      </c>
      <c r="DQ181" s="252"/>
      <c r="DR181" s="250">
        <f>Table1[[#This Row],[OutTot]]/3</f>
        <v>0</v>
      </c>
      <c r="DS181" s="250">
        <f>Table1[[#This Row],[OutTot]]/3</f>
        <v>0</v>
      </c>
      <c r="DT181" s="250">
        <f>Table1[[#This Row],[OutTot]]/3</f>
        <v>0</v>
      </c>
      <c r="DU181" s="252"/>
      <c r="DV181" s="250"/>
      <c r="DW181" s="250"/>
      <c r="DX181" s="250"/>
      <c r="DY181" s="252">
        <f>SUM(Table1[[#This Row],[VAQ1]:[VAQ3]])</f>
        <v>0</v>
      </c>
      <c r="DZ181" s="250"/>
      <c r="EA181" s="250"/>
      <c r="EB181" s="250"/>
      <c r="EC181" s="270">
        <f>SUM(Table1[[#This Row],[OthGrantQ1]:[OthGrantQ3]])</f>
        <v>0</v>
      </c>
      <c r="ED181" s="263">
        <f>Table1[[#This Row],[SEOGTot]]+Table1[[#This Row],[PellTot]]+Table1[[#This Row],[AccessTot]]+Table1[[#This Row],[AchiTot]]+Table1[[#This Row],[UTTot]]+Table1[[#This Row],[WITTot]]+Table1[[#This Row],[SerTot]]+Table1[[#This Row],[TranTot]]+Table1[[#This Row],[MatTot]]+Table1[[#This Row],[OutTot]]+Table1[[#This Row],[VATot]]+Table1[[#This Row],[OthGrantTot]]</f>
        <v>8495</v>
      </c>
      <c r="EE181" s="282"/>
      <c r="EF181" s="237"/>
      <c r="EG181" s="237"/>
      <c r="EH181" s="232">
        <f>SUM(Table1[[#This Row],[CashQ1]]:Table1[[#This Row],[CashQ3]])</f>
        <v>0</v>
      </c>
      <c r="EI181" s="271">
        <f>ROUND((Table1[[#This Row],[SubTot]]/3)/1.01059,0)</f>
        <v>0</v>
      </c>
      <c r="EJ181" s="234">
        <f>ROUND((Table1[[#This Row],[SubTot]]/3)/1.01059,0)</f>
        <v>0</v>
      </c>
      <c r="EK181" s="234">
        <f>ROUNDUP((Table1[[#This Row],[SubTot]]/3)/1.01059,0)</f>
        <v>0</v>
      </c>
      <c r="EL181" s="235"/>
      <c r="EM181" s="240">
        <f>Table1[[#This Row],[SubTot]]*0.01059</f>
        <v>0</v>
      </c>
      <c r="EN181" s="234">
        <f>ROUND((Table1[[#This Row],[UnsubTot]]/3)/1.01062,0)</f>
        <v>660</v>
      </c>
      <c r="EO181" s="234">
        <f>ROUND((Table1[[#This Row],[UnsubTot]]/3)/1.01062,0)</f>
        <v>660</v>
      </c>
      <c r="EP181" s="234">
        <f>ROUNDDOWN((Table1[[#This Row],[UnsubTot]]/3)/1.01062,0)</f>
        <v>659</v>
      </c>
      <c r="EQ181" s="235">
        <f>IF(Table1[D/I]="I",6000,2000)</f>
        <v>2000</v>
      </c>
      <c r="ER181" s="240">
        <f>Table1[[#This Row],[UnsubTot]]*0.01062</f>
        <v>21.24</v>
      </c>
      <c r="ES181" s="234">
        <f>ROUND((Table1[[#This Row],[PLUSTot]]/3)/1.04248,0)</f>
        <v>0</v>
      </c>
      <c r="ET181" s="234">
        <f>ROUND((Table1[[#This Row],[PLUSTot]]/3)/1.04248,0)</f>
        <v>0</v>
      </c>
      <c r="EU181" s="234">
        <f>ROUND((Table1[[#This Row],[PLUSTot]]/3)/1.04248,0)</f>
        <v>0</v>
      </c>
      <c r="EV181" s="235"/>
      <c r="EW181" s="239">
        <f>Table1[[#This Row],[PLUSTot]]*0.04248</f>
        <v>0</v>
      </c>
      <c r="EX181" s="237"/>
      <c r="EY181" s="237"/>
      <c r="EZ181" s="237"/>
      <c r="FA181" s="232">
        <f>SUM(Table1[[#This Row],[PrivQ1]:[PrivQ3]])</f>
        <v>0</v>
      </c>
      <c r="FB181" s="237"/>
      <c r="FC181" s="237"/>
      <c r="FD181" s="237"/>
      <c r="FE181" s="232">
        <f>SUM(Table1[[#This Row],[TOQ1]:[TOQ3]])</f>
        <v>0</v>
      </c>
      <c r="FF181" s="237"/>
      <c r="FG181" s="237"/>
      <c r="FH181" s="237"/>
      <c r="FI181" s="232">
        <f>SUM(Table1[[#This Row],[OFundQ1]:[OFundQ3]])</f>
        <v>0</v>
      </c>
      <c r="FJ181" s="239">
        <f>(Table1[[#This Row],[SubTot]]-Table1[[#This Row],[SubFee]])+(Table1[[#This Row],[UnsubTot]]-Table1[[#This Row],[UnsubFee]])+(Table1[[#This Row],[PLUSTot]]-Table1[[#This Row],[PLUSFee]])+Table1[[#This Row],[PrivTot]]+Table1[[#This Row],[TOTot]]+Table1[[#This Row],[OFundTot]]</f>
        <v>1978.76</v>
      </c>
      <c r="FK181" s="125">
        <f>Table1[[#This Row],[CostTot]]-Table1[[#This Row],[GiftTot]]</f>
        <v>31020</v>
      </c>
      <c r="FL181" s="130">
        <f>Table1[[#This Row],[NetNeed]]/(1-0.04248)</f>
        <v>30329.643245049712</v>
      </c>
      <c r="FM181" s="131">
        <f>Table1[[#This Row],[NetCost]]-Table1[[#This Row],[CashTot]]-(Table1[[#This Row],[SubTot]]-Table1[[#This Row],[SubFee]])-(Table1[[#This Row],[UnsubTot]]-Table1[[#This Row],[UnsubFee]])-(Table1[[#This Row],[PLUSTot]]-Table1[[#This Row],[PLUSFee]])-Table1[[#This Row],[PrivTot]]-Table1[[#This Row],[TOTot]]-Table1[[#This Row],[OFundTot]]</f>
        <v>29041.24</v>
      </c>
      <c r="FN181" s="156"/>
      <c r="FO181" s="113"/>
      <c r="FP181" s="113"/>
    </row>
    <row r="182" spans="1:172" ht="15" x14ac:dyDescent="0.25">
      <c r="A182" s="296">
        <v>198263</v>
      </c>
      <c r="B182" s="160" t="str">
        <f>VLOOKUP(Table1[[#This Row],[SyStudentId]],SSR!$A$2:$CC$4982,4,FALSE)</f>
        <v>Vance</v>
      </c>
      <c r="C182" s="160" t="str">
        <f>VLOOKUP(Table1[[#This Row],[SyStudentId]],SSR!$A$2:$CC$4982,5,FALSE)</f>
        <v>Joseph</v>
      </c>
      <c r="D182" s="160" t="str">
        <f>VLOOKUP(Table1[[#This Row],[SyStudentId]],SSR!$A$2:$CC$4982,6,FALSE)</f>
        <v>Vance, Joseph</v>
      </c>
      <c r="E182" s="113" t="str">
        <f>CONCATENATE(Table1[[#This Row],[FirstName]]," ",Table1[[#This Row],[LastName]])</f>
        <v>Joseph Vance</v>
      </c>
      <c r="F182" s="158"/>
      <c r="G182" s="114"/>
      <c r="H182" s="114"/>
      <c r="I182" s="114"/>
      <c r="J182" s="163"/>
      <c r="K182" s="164"/>
      <c r="L182" s="158" t="str">
        <f>IFERROR(VLOOKUP(Table1[[#This Row],[SyStudentId]],ISIR!$A$2:$X$4999,11,FALSE),"")</f>
        <v>D</v>
      </c>
      <c r="M182" s="160" t="str">
        <f>VLOOKUP(Table1[[#This Row],[SyStudentId]],SSR!$A$2:$CC$4982,7,FALSE)</f>
        <v>Jlewis0621@gmail.com</v>
      </c>
      <c r="N182" s="160" t="str">
        <f>VLOOKUP(Table1[[#This Row],[SyStudentId]],SSR!$A$2:$CC$4982,8,FALSE)</f>
        <v>130 Mabry Rd</v>
      </c>
      <c r="O182" s="160" t="str">
        <f>VLOOKUP(Table1[[#This Row],[SyStudentId]],SSR!$A$2:$CC$4982,9,FALSE)</f>
        <v>Spartanburg</v>
      </c>
      <c r="P182" s="304" t="str">
        <f>VLOOKUP(Table1[[#This Row],[SyStudentId]],SSR!$A$2:$CC$4982,10,FALSE)</f>
        <v>SC</v>
      </c>
      <c r="Q182" s="165" t="str">
        <f>VLOOKUP(Table1[[#This Row],[SyStudentId]],SSR!$A$2:$CC$4982,11,FALSE)</f>
        <v xml:space="preserve">29307     </v>
      </c>
      <c r="R182" s="166">
        <f>VLOOKUP(Table1[[#This Row],[SyStudentId]],SSR!$A$2:$CC$4982,15,FALSE)</f>
        <v>2.82</v>
      </c>
      <c r="S182" s="167">
        <f>VLOOKUP(Table1[[#This Row],[SyStudentId]],SSR!$A$2:$CC$4982,22,FALSE)</f>
        <v>44109</v>
      </c>
      <c r="T182" s="160" t="str">
        <f>VLOOKUP(Table1[[#This Row],[SyStudentId]],SSR!$A$2:$CC$4982,24,FALSE)</f>
        <v>JT</v>
      </c>
      <c r="U182" s="160" t="str">
        <f>IF(VLOOKUP(Table1[[#This Row],[SyStudentId]],SSR!$A$2:$CC$4982,26,FALSE)=0,"Not Selected",VLOOKUP(Table1[[#This Row],[SyStudentId]],SSR!$A$2:$CC$4982,26,FALSE))</f>
        <v>Male</v>
      </c>
      <c r="V182" s="160" t="str">
        <f>VLOOKUP(Table1[[#This Row],[SyStudentId]],SSR!$A$2:$CC$4982,27,FALSE)</f>
        <v xml:space="preserve">HS2020  </v>
      </c>
      <c r="W182" s="160" t="str">
        <f>VLOOKUP(LEFT(Table1[[#This Row],[LastName]],1),Alpha!$A$1:$B$26,2,FALSE)</f>
        <v>Maureen Ranks</v>
      </c>
      <c r="X182" s="179" t="str">
        <f>VLOOKUP(Table1[[#This Row],[FAA]],Alpha!$B$1:$D$26,2,FALSE)</f>
        <v>mranks@neumont.edu</v>
      </c>
      <c r="Y182" s="160">
        <f>VLOOKUP(Table1[[#This Row],[FAA]],Alpha!$B$1:$D$26,3,FALSE)</f>
        <v>8883022894</v>
      </c>
      <c r="Z182" s="160" t="str">
        <f>VLOOKUP(Table1[[#This Row],[SyStudentId]],SSR!$A$2:$CC$4982,30,FALSE)</f>
        <v>16-Accepted</v>
      </c>
      <c r="AA182" s="160" t="str">
        <f>IF(VLOOKUP(Table1[[#This Row],[SyStudentId]],SSR!$A$2:$CC$4982,36,FALSE)="Bachelor of Science","BS Computer Science","Check Program")</f>
        <v>BS Computer Science</v>
      </c>
      <c r="AB182" s="160">
        <f>VLOOKUP(Table1[[#This Row],[SyStudentId]],SSR!$A$2:$CC$4982,37,FALSE)</f>
        <v>0</v>
      </c>
      <c r="AC182" s="160" t="str">
        <f>VLOOKUP(Table1[[#This Row],[SyStudentId]],SSR!$A$2:$CC$4982,42,FALSE)</f>
        <v xml:space="preserve">1010    </v>
      </c>
      <c r="AD182" s="160" t="str">
        <f>VLOOKUP(Table1[[#This Row],[SyStudentId]],SSR!$A$2:$CC$4982,46,FALSE)</f>
        <v>94</v>
      </c>
      <c r="AE182" s="160" t="str">
        <f>VLOOKUP(Table1[[#This Row],[SyStudentId]],SSR!$A$2:$CC$4982,65,FALSE)</f>
        <v>VI</v>
      </c>
      <c r="AF182"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6</v>
      </c>
      <c r="AG182" s="160" t="str">
        <f>VLOOKUP(Table1[[#This Row],[SyStudentId]],SSR!$A$2:$CC$4982,66,FALSE)</f>
        <v>July-October</v>
      </c>
      <c r="AH182" s="160" t="str">
        <f>IFERROR(VLOOKUP(Table1[[#This Row],[SyStudentId]],ISIR!$A$2:$X$1999,7,FALSE),"")</f>
        <v>003829</v>
      </c>
      <c r="AI182" s="170">
        <f>IF(Table1[[#This Row],[EFCRaw]]="","",IF(Table1[[#This Row],[EFCRaw]]="No EFC","No EFC",_xlfn.NUMBERVALUE(Table1[[#This Row],[EFCRaw]])))</f>
        <v>3829</v>
      </c>
      <c r="AJ182" s="167">
        <f>IFERROR(VLOOKUP(Table1[[#This Row],[SyStudentId]],ISIR!$A$2:$X$4999,19,FALSE),"")</f>
        <v>43801</v>
      </c>
      <c r="AK182" s="160" t="str">
        <f>IFERROR(VLOOKUP(Table1[[#This Row],[SyStudentId]],ISIR!$A$2:$X$4999,8,FALSE),"")</f>
        <v>Y</v>
      </c>
      <c r="AL182" s="171" t="str">
        <f>IF(Table1[[#This Row],[VerReq]]="N","n/a","")</f>
        <v/>
      </c>
      <c r="AM182" s="122"/>
      <c r="AN182" s="122"/>
      <c r="AO182" s="122"/>
      <c r="AP182" s="122"/>
      <c r="AQ182" s="122"/>
      <c r="AR182" s="122"/>
      <c r="AS182" s="122"/>
      <c r="AT182" s="122"/>
      <c r="AU182" s="122"/>
      <c r="AV182" s="122"/>
      <c r="AW182" s="122"/>
      <c r="AX182" s="122"/>
      <c r="AY182" s="122"/>
      <c r="AZ182" s="122"/>
      <c r="BA182" s="122"/>
      <c r="BB182" s="122"/>
      <c r="BC182" s="148"/>
      <c r="BD182" s="140" t="str">
        <f>IF(Table1[[#This Row],[VerReq]]="N","x","")</f>
        <v/>
      </c>
      <c r="BE182" s="140" t="str">
        <f>IF(Table1[[#This Row],[VerReq]]="N","x","")</f>
        <v/>
      </c>
      <c r="BF182" s="140" t="str">
        <f>IF(Table1[[#This Row],[VerReq]]="N","x","")</f>
        <v/>
      </c>
      <c r="BG182" s="140" t="str">
        <f>IF(Table1[[#This Row],[VerReq]]="N","x","")</f>
        <v/>
      </c>
      <c r="BH182" s="140" t="str">
        <f>IF(Table1[[#This Row],[VerReq]]="N","x","")</f>
        <v/>
      </c>
      <c r="BI182" s="140" t="str">
        <f>IF(Table1[[#This Row],[VerReq]]="N","x","")</f>
        <v/>
      </c>
      <c r="BJ182" s="181">
        <f>1-((COUNTBLANK(Table1[[#This Row],[ALESent]:[TaxTran]]))/(COUNT(Table1[[#This Row],[ALESent]:[TaxTran]])+COUNTBLANK(Table1[[#This Row],[ALESent]:[TaxTran]])))</f>
        <v>0</v>
      </c>
      <c r="BK182" s="216">
        <f>IF(VLOOKUP(Table1[[#This Row],[SyStudentId]],SSR!$A$2:$CC$4982,22,FALSE)=44109,44109,"Check Program")</f>
        <v>44109</v>
      </c>
      <c r="BL182" s="216">
        <f>IF(Table1[[#This Row],[AYStart]]=44109,44356,"Check Program")</f>
        <v>44356</v>
      </c>
      <c r="BM182" s="219">
        <v>8505</v>
      </c>
      <c r="BN182" s="219">
        <v>8505</v>
      </c>
      <c r="BO182" s="219">
        <v>8505</v>
      </c>
      <c r="BP182" s="220">
        <f t="shared" si="6"/>
        <v>25515</v>
      </c>
      <c r="BQ182" s="221">
        <v>3300</v>
      </c>
      <c r="BR182" s="219">
        <v>400</v>
      </c>
      <c r="BS182" s="219">
        <v>400</v>
      </c>
      <c r="BT182" s="222">
        <f t="shared" si="7"/>
        <v>4100</v>
      </c>
      <c r="BU182" s="219">
        <v>2100</v>
      </c>
      <c r="BV182" s="219">
        <v>2100</v>
      </c>
      <c r="BW182" s="219">
        <v>2100</v>
      </c>
      <c r="BX182" s="222">
        <f t="shared" si="8"/>
        <v>6300</v>
      </c>
      <c r="BY182" s="275">
        <v>1200</v>
      </c>
      <c r="BZ182" s="275">
        <v>1200</v>
      </c>
      <c r="CA182" s="275">
        <v>1200</v>
      </c>
      <c r="CB182" s="222">
        <f>SUM(Table1[[#This Row],[LEQ1]:[LEQ3]])</f>
        <v>3600</v>
      </c>
      <c r="CC182" s="276">
        <v>0</v>
      </c>
      <c r="CD182" s="276">
        <v>0</v>
      </c>
      <c r="CE182" s="276">
        <v>0</v>
      </c>
      <c r="CF182" s="222">
        <f>SUM(Table1[[#This Row],[OthCostQ1]:[OthCostQ3]])</f>
        <v>0</v>
      </c>
      <c r="CG182" s="222">
        <f>(Table1[[#This Row],[T&amp;FTot]]+Table1[[#This Row],[B&amp;STot]]+Table1[[#This Row],[HousTot]]+Table1[[#This Row],[LETot]]+Table1[[#This Row],[OthCostTot]])</f>
        <v>39515</v>
      </c>
      <c r="CH182" s="253">
        <v>0</v>
      </c>
      <c r="CI182" s="253">
        <v>0</v>
      </c>
      <c r="CJ182" s="253">
        <v>0</v>
      </c>
      <c r="CK182" s="254">
        <f>SUM(Table1[[#This Row],[SEOGQ1]:[SEOGQ3]])</f>
        <v>0</v>
      </c>
      <c r="CL182" s="253">
        <f>IFERROR(ROUNDUP(Table1[[#This Row],[PellTot]]/3,0),0)</f>
        <v>782</v>
      </c>
      <c r="CM182" s="253">
        <f>IFERROR(ROUND(Table1[[#This Row],[PellTot]]/3,0),0)</f>
        <v>782</v>
      </c>
      <c r="CN182" s="253">
        <f>IFERROR(ROUNDDOWN(Table1[[#This Row],[PellTot]]/3,0),0)</f>
        <v>781</v>
      </c>
      <c r="CO182" s="254">
        <f>IFERROR(LOOKUP(Table1[EFC],Pell_Table[#Data],Pell_Table[Pell Amt]),0)</f>
        <v>2345</v>
      </c>
      <c r="CP182" s="253">
        <f>Table1[[#This Row],[AccessTot]]/3</f>
        <v>500</v>
      </c>
      <c r="CQ182" s="253">
        <f>Table1[[#This Row],[AccessTot]]/3</f>
        <v>500</v>
      </c>
      <c r="CR182" s="253">
        <f>Table1[[#This Row],[AccessTot]]/3</f>
        <v>500</v>
      </c>
      <c r="CS182" s="254">
        <f>IF(Table1[[#This Row],[PellTot]]&gt;0,1500,0)</f>
        <v>1500</v>
      </c>
      <c r="CT182" s="253">
        <f>Table1[[#This Row],[AchiTot]]/3</f>
        <v>750</v>
      </c>
      <c r="CU182" s="253">
        <f>Table1[[#This Row],[AchiTot]]/3</f>
        <v>750</v>
      </c>
      <c r="CV182" s="253">
        <f>Table1[[#This Row],[AchiTot]]/3</f>
        <v>750</v>
      </c>
      <c r="CW182" s="255">
        <f>IF(Table1[[#This Row],[Rank]]="","",IF(Table1[[#This Row],[Rank]]=1,5100,IF(Table1[[#This Row],[Rank]]=2,4500,IF(Table1[[#This Row],[Rank]]=3,3900,IF(Table1[[#This Row],[Rank]]=4,3750,IF(Table1[[#This Row],[Rank]]=5,3000,IF(Table1[[#This Row],[Rank]]=6,2250,0)))))))</f>
        <v>2250</v>
      </c>
      <c r="CX182" s="253">
        <f>Table1[[#This Row],[UTTot]]/3</f>
        <v>0</v>
      </c>
      <c r="CY182" s="253">
        <f>Table1[[#This Row],[UTTot]]/3</f>
        <v>0</v>
      </c>
      <c r="CZ182" s="253">
        <f>Table1[[#This Row],[UTTot]]/3</f>
        <v>0</v>
      </c>
      <c r="DA182" s="254">
        <f>IF(Table1[[#This Row],[State]]="UT",9000,0)</f>
        <v>0</v>
      </c>
      <c r="DB182" s="253">
        <f>Table1[[#This Row],[WITTot]]/3</f>
        <v>0</v>
      </c>
      <c r="DC182" s="253">
        <f>Table1[[#This Row],[WITTot]]/3</f>
        <v>0</v>
      </c>
      <c r="DD182" s="253">
        <f>Table1[[#This Row],[WITTot]]/3</f>
        <v>0</v>
      </c>
      <c r="DE182" s="254">
        <f>IF(Table1[[#This Row],[Gender]]="Female",3000,0)</f>
        <v>0</v>
      </c>
      <c r="DF182" s="253">
        <f>Table1[[#This Row],[SerTot]]/3</f>
        <v>0</v>
      </c>
      <c r="DG182" s="253">
        <f>Table1[[#This Row],[SerTot]]/3</f>
        <v>0</v>
      </c>
      <c r="DH182" s="253">
        <f>Table1[[#This Row],[SerTot]]/3</f>
        <v>0</v>
      </c>
      <c r="DI182" s="255">
        <v>0</v>
      </c>
      <c r="DJ182" s="253">
        <f>IFERROR(ROUNDUP(Table1[[#This Row],[TranTot]]/3,0),0)</f>
        <v>0</v>
      </c>
      <c r="DK182" s="253">
        <f>IFERROR(ROUND(Table1[[#This Row],[TranTot]]/3,0),0)</f>
        <v>0</v>
      </c>
      <c r="DL182" s="253">
        <f>IFERROR(ROUNDDOWN(Table1[[#This Row],[TranTot]]/3,0),0)</f>
        <v>0</v>
      </c>
      <c r="DM182" s="255">
        <v>0</v>
      </c>
      <c r="DN182" s="253">
        <f>Table1[[#This Row],[MatTot]]/3</f>
        <v>0</v>
      </c>
      <c r="DO182" s="253">
        <f>Table1[[#This Row],[MatTot]]/3</f>
        <v>0</v>
      </c>
      <c r="DP182" s="253">
        <f>Table1[[#This Row],[MatTot]]/3</f>
        <v>0</v>
      </c>
      <c r="DQ182" s="255">
        <v>0</v>
      </c>
      <c r="DR182" s="253">
        <f>Table1[[#This Row],[OutTot]]/3</f>
        <v>0</v>
      </c>
      <c r="DS182" s="253">
        <f>Table1[[#This Row],[OutTot]]/3</f>
        <v>0</v>
      </c>
      <c r="DT182" s="253">
        <f>Table1[[#This Row],[OutTot]]/3</f>
        <v>0</v>
      </c>
      <c r="DU182" s="255">
        <v>0</v>
      </c>
      <c r="DV182" s="253">
        <v>0</v>
      </c>
      <c r="DW182" s="253">
        <v>0</v>
      </c>
      <c r="DX182" s="253">
        <v>0</v>
      </c>
      <c r="DY182" s="255">
        <f>SUM(Table1[[#This Row],[VAQ1]:[VAQ3]])</f>
        <v>0</v>
      </c>
      <c r="DZ182" s="253">
        <v>0</v>
      </c>
      <c r="EA182" s="253">
        <v>0</v>
      </c>
      <c r="EB182" s="253">
        <v>0</v>
      </c>
      <c r="EC182" s="278">
        <f>SUM(Table1[[#This Row],[OthGrantQ1]:[OthGrantQ3]])</f>
        <v>0</v>
      </c>
      <c r="ED182" s="264">
        <f>Table1[[#This Row],[SEOGTot]]+Table1[[#This Row],[PellTot]]+Table1[[#This Row],[AccessTot]]+Table1[[#This Row],[AchiTot]]+Table1[[#This Row],[UTTot]]+Table1[[#This Row],[WITTot]]+Table1[[#This Row],[SerTot]]+Table1[[#This Row],[TranTot]]+Table1[[#This Row],[MatTot]]+Table1[[#This Row],[OutTot]]+Table1[[#This Row],[VATot]]+Table1[[#This Row],[OthGrantTot]]</f>
        <v>6095</v>
      </c>
      <c r="EE182" s="298">
        <v>0</v>
      </c>
      <c r="EF182" s="227">
        <v>0</v>
      </c>
      <c r="EG182" s="227">
        <v>0</v>
      </c>
      <c r="EH182" s="228">
        <f>SUM(Table1[[#This Row],[CashQ1]]:Table1[[#This Row],[CashQ3]])</f>
        <v>0</v>
      </c>
      <c r="EI182" s="229">
        <f>ROUND((Table1[[#This Row],[SubTot]]/3)/1.01059,0)</f>
        <v>1154</v>
      </c>
      <c r="EJ182" s="230">
        <f>ROUND((Table1[[#This Row],[SubTot]]/3)/1.01059,0)</f>
        <v>1154</v>
      </c>
      <c r="EK182" s="230">
        <f>ROUNDUP((Table1[[#This Row],[SubTot]]/3)/1.01059,0)</f>
        <v>1155</v>
      </c>
      <c r="EL182" s="231">
        <v>3500</v>
      </c>
      <c r="EM182" s="233">
        <f>Table1[[#This Row],[SubTot]]*0.01059</f>
        <v>37.065000000000005</v>
      </c>
      <c r="EN182" s="230">
        <f>ROUND((Table1[[#This Row],[UnsubTot]]/3)/1.01062,0)</f>
        <v>660</v>
      </c>
      <c r="EO182" s="230">
        <f>ROUND((Table1[[#This Row],[UnsubTot]]/3)/1.01062,0)</f>
        <v>660</v>
      </c>
      <c r="EP182" s="230">
        <f>ROUNDDOWN((Table1[[#This Row],[UnsubTot]]/3)/1.01062,0)</f>
        <v>659</v>
      </c>
      <c r="EQ182" s="231">
        <f>IF(Table1[D/I]="I",6000,2000)</f>
        <v>2000</v>
      </c>
      <c r="ER182" s="233">
        <f>Table1[[#This Row],[UnsubTot]]*0.01059</f>
        <v>21.18</v>
      </c>
      <c r="ES182" s="230">
        <f>ROUND((Table1[[#This Row],[PLUSTot]]/3)/1.04236,0)</f>
        <v>0</v>
      </c>
      <c r="ET182" s="230">
        <f>ROUND((Table1[[#This Row],[PLUSTot]]/3)/1.04236,0)</f>
        <v>0</v>
      </c>
      <c r="EU182" s="230">
        <f>ROUND((Table1[[#This Row],[PLUSTot]]/3)/1.04236,0)</f>
        <v>0</v>
      </c>
      <c r="EV182" s="231">
        <v>0</v>
      </c>
      <c r="EW182" s="236">
        <f>Table1[[#This Row],[PLUSTot]]*0.04236</f>
        <v>0</v>
      </c>
      <c r="EX182" s="227"/>
      <c r="EY182" s="227"/>
      <c r="EZ182" s="227"/>
      <c r="FA182" s="228">
        <f>SUM(Table1[[#This Row],[PrivQ1]:[PrivQ3]])</f>
        <v>0</v>
      </c>
      <c r="FB182" s="227"/>
      <c r="FC182" s="227"/>
      <c r="FD182" s="227"/>
      <c r="FE182" s="228">
        <f>SUM(Table1[[#This Row],[TOQ1]:[TOQ3]])</f>
        <v>0</v>
      </c>
      <c r="FF182" s="227"/>
      <c r="FG182" s="227"/>
      <c r="FH182" s="227"/>
      <c r="FI182" s="228">
        <f>SUM(Table1[[#This Row],[OFundQ1]:[OFundQ3]])</f>
        <v>0</v>
      </c>
      <c r="FJ182" s="236">
        <f>(Table1[[#This Row],[SubTot]]-Table1[[#This Row],[SubFee]])+(Table1[[#This Row],[UnsubTot]]-Table1[[#This Row],[UnsubFee]])+(Table1[[#This Row],[PLUSTot]]-Table1[[#This Row],[PLUSFee]])+Table1[[#This Row],[PrivTot]]+Table1[[#This Row],[TOTot]]+Table1[[#This Row],[OFundTot]]</f>
        <v>5441.7550000000001</v>
      </c>
      <c r="FK182" s="159">
        <f>Table1[[#This Row],[CostTot]]-Table1[[#This Row],[GiftTot]]</f>
        <v>33420</v>
      </c>
      <c r="FL182" s="174">
        <f>Table1[[#This Row],[NetNeed]]/(1-0.04236)</f>
        <v>29215.827450816589</v>
      </c>
      <c r="FM182" s="176">
        <f>Table1[[#This Row],[NetCost]]-Table1[[#This Row],[CashTot]]-(Table1[[#This Row],[SubTot]]-Table1[[#This Row],[SubFee]])-(Table1[[#This Row],[UnsubTot]]-Table1[[#This Row],[UnsubFee]])-(Table1[[#This Row],[PLUSTot]]-Table1[[#This Row],[PLUSFee]])-Table1[[#This Row],[PrivTot]]-Table1[[#This Row],[TOTot]]-Table1[[#This Row],[OFundTot]]</f>
        <v>27978.244999999999</v>
      </c>
      <c r="FN182" s="217"/>
      <c r="FO182" s="162"/>
      <c r="FP182" s="162"/>
    </row>
    <row r="183" spans="1:172" ht="15" x14ac:dyDescent="0.25">
      <c r="A183" s="310">
        <v>196108</v>
      </c>
      <c r="B183" s="113" t="str">
        <f>VLOOKUP(Table1[[#This Row],[SyStudentId]],SSR!$A$2:$CC$4982,4,FALSE)</f>
        <v>Vanderberg</v>
      </c>
      <c r="C183" s="113" t="str">
        <f>VLOOKUP(Table1[[#This Row],[SyStudentId]],SSR!$A$2:$CC$4982,5,FALSE)</f>
        <v>Cameron</v>
      </c>
      <c r="D183" s="113" t="str">
        <f>VLOOKUP(Table1[[#This Row],[SyStudentId]],SSR!$A$2:$CC$4982,6,FALSE)</f>
        <v>Vanderberg, Cameron</v>
      </c>
      <c r="E183" s="113" t="str">
        <f>CONCATENATE(Table1[[#This Row],[FirstName]]," ",Table1[[#This Row],[LastName]])</f>
        <v>Cameron Vanderberg</v>
      </c>
      <c r="F183" s="112">
        <v>1</v>
      </c>
      <c r="G183" s="114">
        <v>43795</v>
      </c>
      <c r="H183" s="114">
        <v>43795</v>
      </c>
      <c r="I183" s="114">
        <v>43795</v>
      </c>
      <c r="J183" s="115"/>
      <c r="K183" s="116" t="s">
        <v>605</v>
      </c>
      <c r="L183" s="112" t="str">
        <f>IFERROR(VLOOKUP(Table1[[#This Row],[SyStudentId]],ISIR!$A$2:$X$999,11,FALSE),"")</f>
        <v>D</v>
      </c>
      <c r="M183" s="113" t="str">
        <f>VLOOKUP(Table1[[#This Row],[SyStudentId]],SSR!$A$2:$CC$4982,7,FALSE)</f>
        <v>cameronvanderberg46@gmail.com</v>
      </c>
      <c r="N183" s="113" t="str">
        <f>VLOOKUP(Table1[[#This Row],[SyStudentId]],SSR!$A$2:$CC$4982,8,FALSE)</f>
        <v>254 Ryan court</v>
      </c>
      <c r="O183" s="113" t="str">
        <f>VLOOKUP(Table1[[#This Row],[SyStudentId]],SSR!$A$2:$CC$4982,9,FALSE)</f>
        <v>Hobart</v>
      </c>
      <c r="P183" s="292" t="str">
        <f>VLOOKUP(Table1[[#This Row],[SyStudentId]],SSR!$A$2:$CC$4982,10,FALSE)</f>
        <v>IN</v>
      </c>
      <c r="Q183" s="117" t="str">
        <f>VLOOKUP(Table1[[#This Row],[SyStudentId]],SSR!$A$2:$CC$4982,11,FALSE)</f>
        <v xml:space="preserve">46342     </v>
      </c>
      <c r="R183" s="118">
        <f>VLOOKUP(Table1[[#This Row],[SyStudentId]],SSR!$A$2:$CC$4982,15,FALSE)</f>
        <v>3.09</v>
      </c>
      <c r="S183" s="119">
        <f>VLOOKUP(Table1[[#This Row],[SyStudentId]],SSR!$A$2:$CC$4982,22,FALSE)</f>
        <v>44109</v>
      </c>
      <c r="T183" s="113" t="str">
        <f>VLOOKUP(Table1[[#This Row],[SyStudentId]],SSR!$A$2:$CC$4982,24,FALSE)</f>
        <v>GM</v>
      </c>
      <c r="U183" s="113" t="str">
        <f>IF(VLOOKUP(Table1[[#This Row],[SyStudentId]],SSR!$A$2:$CC$4982,26,FALSE)=0,"Not Selected",VLOOKUP(Table1[[#This Row],[SyStudentId]],SSR!$A$2:$CC$4982,26,FALSE))</f>
        <v>Male</v>
      </c>
      <c r="V183" s="113" t="str">
        <f>VLOOKUP(Table1[[#This Row],[SyStudentId]],SSR!$A$2:$CC$4982,27,FALSE)</f>
        <v xml:space="preserve">HS2020  </v>
      </c>
      <c r="W183" s="113" t="str">
        <f>VLOOKUP(LEFT(Table1[[#This Row],[LastName]],1),Alpha!$A$1:$B$26,2,FALSE)</f>
        <v>Maureen Ranks</v>
      </c>
      <c r="X183" s="149" t="str">
        <f>VLOOKUP(Table1[[#This Row],[FAA]],Alpha!$B$1:$D$26,2,FALSE)</f>
        <v>mranks@neumont.edu</v>
      </c>
      <c r="Y183" s="113">
        <f>VLOOKUP(Table1[[#This Row],[FAA]],Alpha!$B$1:$D$26,3,FALSE)</f>
        <v>8883022894</v>
      </c>
      <c r="Z183" s="113" t="str">
        <f>VLOOKUP(Table1[[#This Row],[SyStudentId]],SSR!$A$2:$CC$4982,30,FALSE)</f>
        <v>16-Accepted</v>
      </c>
      <c r="AA183" s="113" t="str">
        <f>IF(VLOOKUP(Table1[[#This Row],[SyStudentId]],SSR!$A$2:$CC$4982,36,FALSE)="Bachelor of Science","BS Computer Science","Check Program")</f>
        <v>BS Computer Science</v>
      </c>
      <c r="AB183" s="113">
        <f>VLOOKUP(Table1[[#This Row],[SyStudentId]],SSR!$A$2:$CC$4982,37,FALSE)</f>
        <v>0</v>
      </c>
      <c r="AC183" s="113" t="str">
        <f>VLOOKUP(Table1[[#This Row],[SyStudentId]],SSR!$A$2:$CC$4982,42,FALSE)</f>
        <v xml:space="preserve">940     </v>
      </c>
      <c r="AD183" s="113" t="str">
        <f>VLOOKUP(Table1[[#This Row],[SyStudentId]],SSR!$A$2:$CC$4982,46,FALSE)</f>
        <v>97</v>
      </c>
      <c r="AE183" s="113" t="str">
        <f>VLOOKUP(Table1[[#This Row],[SyStudentId]],SSR!$A$2:$CC$4982,65,FALSE)</f>
        <v>VII</v>
      </c>
      <c r="AF18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7</v>
      </c>
      <c r="AG183" s="113" t="str">
        <f>VLOOKUP(Table1[[#This Row],[SyStudentId]],SSR!$A$2:$CC$4982,66,FALSE)</f>
        <v>July-October</v>
      </c>
      <c r="AH183" s="113" t="str">
        <f>IFERROR(VLOOKUP(Table1[[#This Row],[SyStudentId]],ISIR!$A$2:$X$999,7,FALSE),"")</f>
        <v>000000</v>
      </c>
      <c r="AI183" s="121">
        <f>IF(Table1[[#This Row],[EFCRaw]]="","",IF(Table1[[#This Row],[EFCRaw]]="No EFC","No EFC",_xlfn.NUMBERVALUE(Table1[[#This Row],[EFCRaw]])))</f>
        <v>0</v>
      </c>
      <c r="AJ183" s="119">
        <f>IFERROR(VLOOKUP(Table1[[#This Row],[SyStudentId]],ISIR!$A$2:$X$4999,19,FALSE),"")</f>
        <v>43801</v>
      </c>
      <c r="AK183" s="113" t="str">
        <f>IFERROR(VLOOKUP(Table1[[#This Row],[SyStudentId]],ISIR!$A$2:$X$4999,8,FALSE),"")</f>
        <v>N</v>
      </c>
      <c r="AL183" s="178" t="str">
        <f>IF(Table1[[#This Row],[VerReq]]="N","n/a","")</f>
        <v>n/a</v>
      </c>
      <c r="AM183" s="122"/>
      <c r="AN183" s="122"/>
      <c r="AO183" s="122"/>
      <c r="AP183" s="122"/>
      <c r="AQ183" s="122"/>
      <c r="AR183" s="122"/>
      <c r="AS183" s="122"/>
      <c r="AT183" s="122"/>
      <c r="AU183" s="122"/>
      <c r="AV183" s="122"/>
      <c r="AW183" s="122"/>
      <c r="AX183" s="122"/>
      <c r="AY183" s="122"/>
      <c r="AZ183" s="122"/>
      <c r="BA183" s="122"/>
      <c r="BB183" s="122"/>
      <c r="BC183" s="148"/>
      <c r="BD183" s="140" t="str">
        <f>IF(Table1[[#This Row],[VerReq]]="N","x","")</f>
        <v>x</v>
      </c>
      <c r="BE183" s="140" t="str">
        <f>IF(Table1[[#This Row],[VerReq]]="N","x","")</f>
        <v>x</v>
      </c>
      <c r="BF183" s="140" t="str">
        <f>IF(Table1[[#This Row],[VerReq]]="N","x","")</f>
        <v>x</v>
      </c>
      <c r="BG183" s="140" t="str">
        <f>IF(Table1[[#This Row],[VerReq]]="N","x","")</f>
        <v>x</v>
      </c>
      <c r="BH183" s="140" t="str">
        <f>IF(Table1[[#This Row],[VerReq]]="N","x","")</f>
        <v>x</v>
      </c>
      <c r="BI183" s="140" t="str">
        <f>IF(Table1[[#This Row],[VerReq]]="N","x","")</f>
        <v>x</v>
      </c>
      <c r="BJ183" s="123">
        <f>1-((COUNTBLANK(Table1[[#This Row],[ALESent]:[TaxTran]]))/(COUNT(Table1[[#This Row],[ALESent]:[TaxTran]])+COUNTBLANK(Table1[[#This Row],[ALESent]:[TaxTran]])))</f>
        <v>0</v>
      </c>
      <c r="BK183" s="150">
        <f>IF(VLOOKUP(Table1[[#This Row],[SyStudentId]],SSR!$A$2:$CC$4982,22,FALSE)=44109,44109,"Check Program")</f>
        <v>44109</v>
      </c>
      <c r="BL183" s="150">
        <f>IF(Table1[[#This Row],[AYStart]]=44109,44356,"Check Program")</f>
        <v>44356</v>
      </c>
      <c r="BM183" s="219">
        <v>8505</v>
      </c>
      <c r="BN183" s="219">
        <v>8505</v>
      </c>
      <c r="BO183" s="219">
        <v>8505</v>
      </c>
      <c r="BP183" s="220">
        <f t="shared" si="6"/>
        <v>25515</v>
      </c>
      <c r="BQ183" s="221">
        <v>3300</v>
      </c>
      <c r="BR183" s="219">
        <v>400</v>
      </c>
      <c r="BS183" s="219">
        <v>400</v>
      </c>
      <c r="BT183" s="220">
        <f t="shared" si="7"/>
        <v>4100</v>
      </c>
      <c r="BU183" s="219">
        <v>2100</v>
      </c>
      <c r="BV183" s="219">
        <v>2100</v>
      </c>
      <c r="BW183" s="219">
        <v>2100</v>
      </c>
      <c r="BX183" s="222">
        <f t="shared" si="8"/>
        <v>6300</v>
      </c>
      <c r="BY183" s="275">
        <v>1200</v>
      </c>
      <c r="BZ183" s="275">
        <v>1200</v>
      </c>
      <c r="CA183" s="275">
        <v>1200</v>
      </c>
      <c r="CB183" s="222">
        <f>SUM(Table1[[#This Row],[LEQ1]:[LEQ3]])</f>
        <v>3600</v>
      </c>
      <c r="CC183" s="276">
        <v>0</v>
      </c>
      <c r="CD183" s="276">
        <v>0</v>
      </c>
      <c r="CE183" s="276">
        <v>0</v>
      </c>
      <c r="CF183" s="222">
        <f>SUM(Table1[[#This Row],[OthCostQ1]:[OthCostQ3]])</f>
        <v>0</v>
      </c>
      <c r="CG183" s="220">
        <f>(Table1[[#This Row],[T&amp;FTot]]+Table1[[#This Row],[B&amp;STot]]+Table1[[#This Row],[HousTot]]+Table1[[#This Row],[LETot]]+Table1[[#This Row],[OthCostTot]])</f>
        <v>39515</v>
      </c>
      <c r="CH183" s="250"/>
      <c r="CI183" s="250"/>
      <c r="CJ183" s="250"/>
      <c r="CK183" s="251">
        <f>SUM(Table1[[#This Row],[SEOGQ1]:[SEOGQ3]])</f>
        <v>0</v>
      </c>
      <c r="CL183" s="250">
        <f>IFERROR(ROUNDUP(Table1[[#This Row],[PellTot]]/3,0),0)</f>
        <v>2065</v>
      </c>
      <c r="CM183" s="250">
        <f>IFERROR(ROUND(Table1[[#This Row],[PellTot]]/3,0),0)</f>
        <v>2065</v>
      </c>
      <c r="CN183" s="250">
        <f>IFERROR(ROUNDDOWN(Table1[[#This Row],[PellTot]]/3,0),0)</f>
        <v>2065</v>
      </c>
      <c r="CO183" s="251">
        <f>IFERROR(LOOKUP(Table1[EFC],Pell_Table[#Data],Pell_Table[Pell Amt]),0)</f>
        <v>6195</v>
      </c>
      <c r="CP183" s="250">
        <f>Table1[[#This Row],[AccessTot]]/3</f>
        <v>500</v>
      </c>
      <c r="CQ183" s="250">
        <f>Table1[[#This Row],[AccessTot]]/3</f>
        <v>500</v>
      </c>
      <c r="CR183" s="250">
        <f>Table1[[#This Row],[AccessTot]]/3</f>
        <v>500</v>
      </c>
      <c r="CS183" s="251">
        <f>IF(Table1[[#This Row],[PellTot]]&gt;0,1500,0)</f>
        <v>1500</v>
      </c>
      <c r="CT183" s="250">
        <f>Table1[[#This Row],[AchiTot]]/3</f>
        <v>0</v>
      </c>
      <c r="CU183" s="250">
        <f>Table1[[#This Row],[AchiTot]]/3</f>
        <v>0</v>
      </c>
      <c r="CV183" s="250">
        <f>Table1[[#This Row],[AchiTot]]/3</f>
        <v>0</v>
      </c>
      <c r="CW183" s="252">
        <f>IF(Table1[[#This Row],[Rank]]="","",IF(Table1[[#This Row],[Rank]]=1,5100,IF(Table1[[#This Row],[Rank]]=2,4500,IF(Table1[[#This Row],[Rank]]=3,3900,IF(Table1[[#This Row],[Rank]]=4,3750,IF(Table1[[#This Row],[Rank]]=5,3000,IF(Table1[[#This Row],[Rank]]=6,2250,0)))))))</f>
        <v>0</v>
      </c>
      <c r="CX183" s="250">
        <f>Table1[[#This Row],[UTTot]]/3</f>
        <v>0</v>
      </c>
      <c r="CY183" s="250">
        <f>Table1[[#This Row],[UTTot]]/3</f>
        <v>0</v>
      </c>
      <c r="CZ183" s="250">
        <f>Table1[[#This Row],[UTTot]]/3</f>
        <v>0</v>
      </c>
      <c r="DA183" s="251">
        <f>IF(Table1[[#This Row],[State]]="UT",9000,0)</f>
        <v>0</v>
      </c>
      <c r="DB183" s="250">
        <f>Table1[[#This Row],[WITTot]]/3</f>
        <v>0</v>
      </c>
      <c r="DC183" s="250">
        <f>Table1[[#This Row],[WITTot]]/3</f>
        <v>0</v>
      </c>
      <c r="DD183" s="250">
        <f>Table1[[#This Row],[WITTot]]/3</f>
        <v>0</v>
      </c>
      <c r="DE183" s="251">
        <f>IF(Table1[[#This Row],[Gender]]="Female",3000,0)</f>
        <v>0</v>
      </c>
      <c r="DF183" s="250">
        <f>Table1[[#This Row],[SerTot]]/3</f>
        <v>0</v>
      </c>
      <c r="DG183" s="250">
        <f>Table1[[#This Row],[SerTot]]/3</f>
        <v>0</v>
      </c>
      <c r="DH183" s="250">
        <f>Table1[[#This Row],[SerTot]]/3</f>
        <v>0</v>
      </c>
      <c r="DI183" s="252"/>
      <c r="DJ183" s="250"/>
      <c r="DK183" s="250"/>
      <c r="DL183" s="250"/>
      <c r="DM183" s="252"/>
      <c r="DN183" s="250">
        <f>Table1[[#This Row],[MatTot]]/3</f>
        <v>0</v>
      </c>
      <c r="DO183" s="250">
        <f>Table1[[#This Row],[MatTot]]/3</f>
        <v>0</v>
      </c>
      <c r="DP183" s="250">
        <f>Table1[[#This Row],[MatTot]]/3</f>
        <v>0</v>
      </c>
      <c r="DQ183" s="252"/>
      <c r="DR183" s="253">
        <f>Table1[[#This Row],[OutTot]]/3</f>
        <v>0</v>
      </c>
      <c r="DS183" s="253">
        <f>Table1[[#This Row],[OutTot]]/3</f>
        <v>0</v>
      </c>
      <c r="DT183" s="253">
        <f>Table1[[#This Row],[OutTot]]/3</f>
        <v>0</v>
      </c>
      <c r="DU183" s="255">
        <v>0</v>
      </c>
      <c r="DV183" s="253">
        <v>0</v>
      </c>
      <c r="DW183" s="253">
        <v>0</v>
      </c>
      <c r="DX183" s="253">
        <v>0</v>
      </c>
      <c r="DY183" s="255">
        <f>SUM(Table1[[#This Row],[VAQ1]:[VAQ3]])</f>
        <v>0</v>
      </c>
      <c r="DZ183" s="253">
        <v>0</v>
      </c>
      <c r="EA183" s="253">
        <v>0</v>
      </c>
      <c r="EB183" s="253">
        <v>0</v>
      </c>
      <c r="EC183" s="278">
        <f>SUM(Table1[[#This Row],[OthGrantQ1]:[OthGrantQ3]])</f>
        <v>0</v>
      </c>
      <c r="ED183" s="263">
        <f>Table1[[#This Row],[SEOGTot]]+Table1[[#This Row],[PellTot]]+Table1[[#This Row],[AccessTot]]+Table1[[#This Row],[AchiTot]]+Table1[[#This Row],[UTTot]]+Table1[[#This Row],[WITTot]]+Table1[[#This Row],[SerTot]]+Table1[[#This Row],[TranTot]]+Table1[[#This Row],[MatTot]]+Table1[[#This Row],[OutTot]]+Table1[[#This Row],[VATot]]+Table1[[#This Row],[OthGrantTot]]</f>
        <v>7695</v>
      </c>
      <c r="EE183" s="298">
        <v>0</v>
      </c>
      <c r="EF183" s="227">
        <v>0</v>
      </c>
      <c r="EG183" s="227">
        <v>0</v>
      </c>
      <c r="EH183" s="228">
        <f>SUM(Table1[[#This Row],[CashQ1]]:Table1[[#This Row],[CashQ3]])</f>
        <v>0</v>
      </c>
      <c r="EI183" s="229">
        <f>ROUND((Table1[[#This Row],[SubTot]]/3)/1.01059,0)</f>
        <v>1154</v>
      </c>
      <c r="EJ183" s="230">
        <f>ROUND((Table1[[#This Row],[SubTot]]/3)/1.01059,0)</f>
        <v>1154</v>
      </c>
      <c r="EK183" s="230">
        <f>ROUNDUP((Table1[[#This Row],[SubTot]]/3)/1.01059,0)</f>
        <v>1155</v>
      </c>
      <c r="EL183" s="231">
        <v>3500</v>
      </c>
      <c r="EM183" s="240">
        <f>Table1[[#This Row],[SubTot]]*0.01059</f>
        <v>37.065000000000005</v>
      </c>
      <c r="EN183" s="230">
        <f>ROUND((Table1[[#This Row],[UnsubTot]]/3)/1.01062,0)</f>
        <v>660</v>
      </c>
      <c r="EO183" s="230">
        <f>ROUND((Table1[[#This Row],[UnsubTot]]/3)/1.01062,0)</f>
        <v>660</v>
      </c>
      <c r="EP183" s="230">
        <f>ROUNDDOWN((Table1[[#This Row],[UnsubTot]]/3)/1.01062,0)</f>
        <v>659</v>
      </c>
      <c r="EQ183" s="231">
        <f>IF(Table1[D/I]="I",6000,2000)</f>
        <v>2000</v>
      </c>
      <c r="ER183" s="233">
        <f>Table1[[#This Row],[UnsubTot]]*0.01059</f>
        <v>21.18</v>
      </c>
      <c r="ES183" s="230">
        <f>ROUND((Table1[[#This Row],[PLUSTot]]/3)/1.04236,0)</f>
        <v>0</v>
      </c>
      <c r="ET183" s="230">
        <f>ROUND((Table1[[#This Row],[PLUSTot]]/3)/1.04236,0)</f>
        <v>0</v>
      </c>
      <c r="EU183" s="230">
        <f>ROUND((Table1[[#This Row],[PLUSTot]]/3)/1.04236,0)</f>
        <v>0</v>
      </c>
      <c r="EV183" s="231">
        <v>0</v>
      </c>
      <c r="EW183" s="239">
        <f>Table1[[#This Row],[PLUSTot]]*0.04248</f>
        <v>0</v>
      </c>
      <c r="EX183" s="237"/>
      <c r="EY183" s="237"/>
      <c r="EZ183" s="237"/>
      <c r="FA183" s="232">
        <f>SUM(Table1[[#This Row],[PrivQ1]:[PrivQ3]])</f>
        <v>0</v>
      </c>
      <c r="FB183" s="237"/>
      <c r="FC183" s="237"/>
      <c r="FD183" s="237"/>
      <c r="FE183" s="232">
        <f>SUM(Table1[[#This Row],[TOQ1]:[TOQ3]])</f>
        <v>0</v>
      </c>
      <c r="FF183" s="237"/>
      <c r="FG183" s="237"/>
      <c r="FH183" s="237"/>
      <c r="FI183" s="232">
        <f>SUM(Table1[[#This Row],[OFundQ1]:[OFundQ3]])</f>
        <v>0</v>
      </c>
      <c r="FJ183" s="239">
        <f>(Table1[[#This Row],[SubTot]]-Table1[[#This Row],[SubFee]])+(Table1[[#This Row],[UnsubTot]]-Table1[[#This Row],[UnsubFee]])+(Table1[[#This Row],[PLUSTot]]-Table1[[#This Row],[PLUSFee]])+Table1[[#This Row],[PrivTot]]+Table1[[#This Row],[TOTot]]+Table1[[#This Row],[OFundTot]]</f>
        <v>5441.7550000000001</v>
      </c>
      <c r="FK183" s="125">
        <f>Table1[[#This Row],[CostTot]]-Table1[[#This Row],[GiftTot]]</f>
        <v>31820</v>
      </c>
      <c r="FL183" s="130">
        <f>Table1[[#This Row],[NetNeed]]/(1-0.04248)</f>
        <v>27548.505514245131</v>
      </c>
      <c r="FM183" s="131">
        <f>Table1[[#This Row],[NetCost]]-Table1[[#This Row],[CashTot]]-(Table1[[#This Row],[SubTot]]-Table1[[#This Row],[SubFee]])-(Table1[[#This Row],[UnsubTot]]-Table1[[#This Row],[UnsubFee]])-(Table1[[#This Row],[PLUSTot]]-Table1[[#This Row],[PLUSFee]])-Table1[[#This Row],[PrivTot]]-Table1[[#This Row],[TOTot]]-Table1[[#This Row],[OFundTot]]</f>
        <v>26378.244999999999</v>
      </c>
      <c r="FN183" s="217"/>
      <c r="FO183" s="162"/>
      <c r="FP183" s="162"/>
    </row>
    <row r="184" spans="1:172" ht="15" x14ac:dyDescent="0.25">
      <c r="A184" s="310">
        <v>198212</v>
      </c>
      <c r="B184" s="160" t="str">
        <f>VLOOKUP(Table1[[#This Row],[SyStudentId]],SSR!$A$2:$CC$4982,4,FALSE)</f>
        <v>Vanderniet</v>
      </c>
      <c r="C184" s="160" t="str">
        <f>VLOOKUP(Table1[[#This Row],[SyStudentId]],SSR!$A$2:$CC$4982,5,FALSE)</f>
        <v>Jakob</v>
      </c>
      <c r="D184" s="160" t="str">
        <f>VLOOKUP(Table1[[#This Row],[SyStudentId]],SSR!$A$2:$CC$4982,6,FALSE)</f>
        <v>Vanderniet, Jakob</v>
      </c>
      <c r="E184" s="113" t="str">
        <f>CONCATENATE(Table1[[#This Row],[FirstName]]," ",Table1[[#This Row],[LastName]])</f>
        <v>Jakob Vanderniet</v>
      </c>
      <c r="F184" s="158"/>
      <c r="G184" s="114"/>
      <c r="H184" s="114"/>
      <c r="I184" s="114"/>
      <c r="J184" s="163"/>
      <c r="K184" s="164"/>
      <c r="L184" s="158" t="str">
        <f>IFERROR(VLOOKUP(Table1[[#This Row],[SyStudentId]],ISIR!$A$2:$X$4999,11,FALSE),"")</f>
        <v/>
      </c>
      <c r="M184" s="160" t="str">
        <f>VLOOKUP(Table1[[#This Row],[SyStudentId]],SSR!$A$2:$CC$4982,7,FALSE)</f>
        <v>vajakobus@gmail.com</v>
      </c>
      <c r="N184" s="160" t="str">
        <f>VLOOKUP(Table1[[#This Row],[SyStudentId]],SSR!$A$2:$CC$4982,8,FALSE)</f>
        <v>5162 Alvera Dr.</v>
      </c>
      <c r="O184" s="160" t="str">
        <f>VLOOKUP(Table1[[#This Row],[SyStudentId]],SSR!$A$2:$CC$4982,9,FALSE)</f>
        <v>Salt Lake City</v>
      </c>
      <c r="P184" s="160" t="str">
        <f>VLOOKUP(Table1[[#This Row],[SyStudentId]],SSR!$A$2:$CC$4982,10,FALSE)</f>
        <v>UT</v>
      </c>
      <c r="Q184" s="165" t="str">
        <f>VLOOKUP(Table1[[#This Row],[SyStudentId]],SSR!$A$2:$CC$4982,11,FALSE)</f>
        <v xml:space="preserve">84117     </v>
      </c>
      <c r="R184" s="166">
        <f>VLOOKUP(Table1[[#This Row],[SyStudentId]],SSR!$A$2:$CC$4982,15,FALSE)</f>
        <v>3.4</v>
      </c>
      <c r="S184" s="167">
        <f>VLOOKUP(Table1[[#This Row],[SyStudentId]],SSR!$A$2:$CC$4982,22,FALSE)</f>
        <v>44109</v>
      </c>
      <c r="T184" s="160" t="str">
        <f>VLOOKUP(Table1[[#This Row],[SyStudentId]],SSR!$A$2:$CC$4982,24,FALSE)</f>
        <v>MR</v>
      </c>
      <c r="U184" s="160" t="str">
        <f>IF(VLOOKUP(Table1[[#This Row],[SyStudentId]],SSR!$A$2:$CC$4982,26,FALSE)=0,"Not Selected",VLOOKUP(Table1[[#This Row],[SyStudentId]],SSR!$A$2:$CC$4982,26,FALSE))</f>
        <v>Male</v>
      </c>
      <c r="V184" s="160" t="str">
        <f>VLOOKUP(Table1[[#This Row],[SyStudentId]],SSR!$A$2:$CC$4982,27,FALSE)</f>
        <v xml:space="preserve">HS2020  </v>
      </c>
      <c r="W184" s="160" t="str">
        <f>VLOOKUP(LEFT(Table1[[#This Row],[LastName]],1),Alpha!$A$1:$B$26,2,FALSE)</f>
        <v>Maureen Ranks</v>
      </c>
      <c r="X184" s="179" t="str">
        <f>VLOOKUP(Table1[[#This Row],[FAA]],Alpha!$B$1:$D$26,2,FALSE)</f>
        <v>mranks@neumont.edu</v>
      </c>
      <c r="Y184" s="160">
        <f>VLOOKUP(Table1[[#This Row],[FAA]],Alpha!$B$1:$D$26,3,FALSE)</f>
        <v>8883022894</v>
      </c>
      <c r="Z184" s="160" t="str">
        <f>VLOOKUP(Table1[[#This Row],[SyStudentId]],SSR!$A$2:$CC$4982,30,FALSE)</f>
        <v>16-Accepted</v>
      </c>
      <c r="AA184" s="160" t="str">
        <f>IF(VLOOKUP(Table1[[#This Row],[SyStudentId]],SSR!$A$2:$CC$4982,36,FALSE)="Bachelor of Science","BS Computer Science","Check Program")</f>
        <v>BS Computer Science</v>
      </c>
      <c r="AB184" s="160">
        <f>VLOOKUP(Table1[[#This Row],[SyStudentId]],SSR!$A$2:$CC$4982,37,FALSE)</f>
        <v>0</v>
      </c>
      <c r="AC184" s="160">
        <f>VLOOKUP(Table1[[#This Row],[SyStudentId]],SSR!$A$2:$CC$4982,42,FALSE)</f>
        <v>0</v>
      </c>
      <c r="AD184" s="160" t="str">
        <f>VLOOKUP(Table1[[#This Row],[SyStudentId]],SSR!$A$2:$CC$4982,46,FALSE)</f>
        <v>0</v>
      </c>
      <c r="AE184" s="160" t="str">
        <f>VLOOKUP(Table1[[#This Row],[SyStudentId]],SSR!$A$2:$CC$4982,65,FALSE)</f>
        <v>X</v>
      </c>
      <c r="AF184"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10</v>
      </c>
      <c r="AG184" s="160" t="str">
        <f>VLOOKUP(Table1[[#This Row],[SyStudentId]],SSR!$A$2:$CC$4982,66,FALSE)</f>
        <v>July-October</v>
      </c>
      <c r="AH184" s="160" t="str">
        <f>IFERROR(VLOOKUP(Table1[[#This Row],[SyStudentId]],ISIR!$A$2:$X$1999,7,FALSE),"")</f>
        <v/>
      </c>
      <c r="AI184" s="170" t="str">
        <f>IF(Table1[[#This Row],[EFCRaw]]="","",IF(Table1[[#This Row],[EFCRaw]]="No EFC","No EFC",_xlfn.NUMBERVALUE(Table1[[#This Row],[EFCRaw]])))</f>
        <v/>
      </c>
      <c r="AJ184" s="167" t="str">
        <f>IFERROR(VLOOKUP(Table1[[#This Row],[SyStudentId]],ISIR!$A$2:$X$4999,19,FALSE),"")</f>
        <v/>
      </c>
      <c r="AK184" s="160" t="str">
        <f>IFERROR(VLOOKUP(Table1[[#This Row],[SyStudentId]],ISIR!$A$2:$X$4999,8,FALSE),"")</f>
        <v/>
      </c>
      <c r="AL184" s="171" t="str">
        <f>IF(Table1[[#This Row],[VerReq]]="N","n/a","")</f>
        <v/>
      </c>
      <c r="AM184" s="122"/>
      <c r="AN184" s="122"/>
      <c r="AO184" s="122"/>
      <c r="AP184" s="122"/>
      <c r="AQ184" s="122"/>
      <c r="AR184" s="122"/>
      <c r="AS184" s="122"/>
      <c r="AT184" s="122"/>
      <c r="AU184" s="122"/>
      <c r="AV184" s="122"/>
      <c r="AW184" s="122"/>
      <c r="AX184" s="122"/>
      <c r="AY184" s="122"/>
      <c r="AZ184" s="122"/>
      <c r="BA184" s="122"/>
      <c r="BB184" s="122"/>
      <c r="BC184" s="148"/>
      <c r="BD184" s="140" t="str">
        <f>IF(Table1[[#This Row],[VerReq]]="N","x","")</f>
        <v/>
      </c>
      <c r="BE184" s="140" t="str">
        <f>IF(Table1[[#This Row],[VerReq]]="N","x","")</f>
        <v/>
      </c>
      <c r="BF184" s="140" t="str">
        <f>IF(Table1[[#This Row],[VerReq]]="N","x","")</f>
        <v/>
      </c>
      <c r="BG184" s="140" t="str">
        <f>IF(Table1[[#This Row],[VerReq]]="N","x","")</f>
        <v/>
      </c>
      <c r="BH184" s="140" t="str">
        <f>IF(Table1[[#This Row],[VerReq]]="N","x","")</f>
        <v/>
      </c>
      <c r="BI184" s="140" t="str">
        <f>IF(Table1[[#This Row],[VerReq]]="N","x","")</f>
        <v/>
      </c>
      <c r="BJ184" s="181">
        <f>1-((COUNTBLANK(Table1[[#This Row],[ALESent]:[TaxTran]]))/(COUNT(Table1[[#This Row],[ALESent]:[TaxTran]])+COUNTBLANK(Table1[[#This Row],[ALESent]:[TaxTran]])))</f>
        <v>0</v>
      </c>
      <c r="BK184" s="216">
        <f>IF(VLOOKUP(Table1[[#This Row],[SyStudentId]],SSR!$A$2:$CC$4982,22,FALSE)=44109,44109,"Check Program")</f>
        <v>44109</v>
      </c>
      <c r="BL184" s="216">
        <f>IF(Table1[[#This Row],[AYStart]]=44109,44356,"Check Program")</f>
        <v>44356</v>
      </c>
      <c r="BM184" s="219">
        <v>8505</v>
      </c>
      <c r="BN184" s="219">
        <v>8505</v>
      </c>
      <c r="BO184" s="219">
        <v>8505</v>
      </c>
      <c r="BP184" s="220">
        <f t="shared" si="6"/>
        <v>25515</v>
      </c>
      <c r="BQ184" s="221">
        <v>3300</v>
      </c>
      <c r="BR184" s="219">
        <v>400</v>
      </c>
      <c r="BS184" s="219">
        <v>400</v>
      </c>
      <c r="BT184" s="222">
        <f t="shared" si="7"/>
        <v>4100</v>
      </c>
      <c r="BU184" s="219">
        <v>2100</v>
      </c>
      <c r="BV184" s="219">
        <v>2100</v>
      </c>
      <c r="BW184" s="219">
        <v>2100</v>
      </c>
      <c r="BX184" s="222">
        <f t="shared" si="8"/>
        <v>6300</v>
      </c>
      <c r="BY184" s="275">
        <v>1200</v>
      </c>
      <c r="BZ184" s="275">
        <v>1200</v>
      </c>
      <c r="CA184" s="275">
        <v>1200</v>
      </c>
      <c r="CB184" s="222">
        <f>SUM(Table1[[#This Row],[LEQ1]:[LEQ3]])</f>
        <v>3600</v>
      </c>
      <c r="CC184" s="276">
        <v>0</v>
      </c>
      <c r="CD184" s="276">
        <v>0</v>
      </c>
      <c r="CE184" s="276">
        <v>0</v>
      </c>
      <c r="CF184" s="222">
        <f>SUM(Table1[[#This Row],[OthCostQ1]:[OthCostQ3]])</f>
        <v>0</v>
      </c>
      <c r="CG184" s="222">
        <f>(Table1[[#This Row],[T&amp;FTot]]+Table1[[#This Row],[B&amp;STot]]+Table1[[#This Row],[HousTot]]+Table1[[#This Row],[LETot]]+Table1[[#This Row],[OthCostTot]])</f>
        <v>39515</v>
      </c>
      <c r="CH184" s="253">
        <v>0</v>
      </c>
      <c r="CI184" s="253">
        <v>0</v>
      </c>
      <c r="CJ184" s="253">
        <v>0</v>
      </c>
      <c r="CK184" s="254">
        <f>SUM(Table1[[#This Row],[SEOGQ1]:[SEOGQ3]])</f>
        <v>0</v>
      </c>
      <c r="CL184" s="253">
        <f>IFERROR(ROUNDUP(Table1[[#This Row],[PellTot]]/3,0),0)</f>
        <v>0</v>
      </c>
      <c r="CM184" s="253">
        <f>IFERROR(ROUND(Table1[[#This Row],[PellTot]]/3,0),0)</f>
        <v>0</v>
      </c>
      <c r="CN184" s="253">
        <f>IFERROR(ROUNDDOWN(Table1[[#This Row],[PellTot]]/3,0),0)</f>
        <v>0</v>
      </c>
      <c r="CO184" s="254">
        <f>IFERROR(LOOKUP(Table1[EFC],Pell_Table[#Data],Pell_Table[Pell Amt]),0)</f>
        <v>0</v>
      </c>
      <c r="CP184" s="253">
        <f>Table1[[#This Row],[AccessTot]]/3</f>
        <v>0</v>
      </c>
      <c r="CQ184" s="253">
        <f>Table1[[#This Row],[AccessTot]]/3</f>
        <v>0</v>
      </c>
      <c r="CR184" s="253">
        <f>Table1[[#This Row],[AccessTot]]/3</f>
        <v>0</v>
      </c>
      <c r="CS184" s="254">
        <f>IF(Table1[[#This Row],[PellTot]]&gt;0,1500,0)</f>
        <v>0</v>
      </c>
      <c r="CT184" s="253">
        <f>Table1[[#This Row],[AchiTot]]/3</f>
        <v>0</v>
      </c>
      <c r="CU184" s="253">
        <f>Table1[[#This Row],[AchiTot]]/3</f>
        <v>0</v>
      </c>
      <c r="CV184" s="253">
        <f>Table1[[#This Row],[AchiTot]]/3</f>
        <v>0</v>
      </c>
      <c r="CW184" s="255">
        <f>IF(Table1[[#This Row],[Rank]]="","",IF(Table1[[#This Row],[Rank]]=1,5100,IF(Table1[[#This Row],[Rank]]=2,4500,IF(Table1[[#This Row],[Rank]]=3,3900,IF(Table1[[#This Row],[Rank]]=4,3750,IF(Table1[[#This Row],[Rank]]=5,3000,IF(Table1[[#This Row],[Rank]]=6,2250,0)))))))</f>
        <v>0</v>
      </c>
      <c r="CX184" s="253">
        <f>Table1[[#This Row],[UTTot]]/3</f>
        <v>3000</v>
      </c>
      <c r="CY184" s="253">
        <f>Table1[[#This Row],[UTTot]]/3</f>
        <v>3000</v>
      </c>
      <c r="CZ184" s="253">
        <f>Table1[[#This Row],[UTTot]]/3</f>
        <v>3000</v>
      </c>
      <c r="DA184" s="254">
        <v>9000</v>
      </c>
      <c r="DB184" s="253">
        <f>Table1[[#This Row],[WITTot]]/3</f>
        <v>0</v>
      </c>
      <c r="DC184" s="253">
        <f>Table1[[#This Row],[WITTot]]/3</f>
        <v>0</v>
      </c>
      <c r="DD184" s="253">
        <f>Table1[[#This Row],[WITTot]]/3</f>
        <v>0</v>
      </c>
      <c r="DE184" s="254">
        <f>IF(Table1[[#This Row],[Gender]]="Female",3000,0)</f>
        <v>0</v>
      </c>
      <c r="DF184" s="253">
        <v>1000</v>
      </c>
      <c r="DG184" s="253">
        <v>1000</v>
      </c>
      <c r="DH184" s="253">
        <v>1000</v>
      </c>
      <c r="DI184" s="255">
        <v>3000</v>
      </c>
      <c r="DJ184" s="253">
        <v>1000</v>
      </c>
      <c r="DK184" s="253">
        <v>1000</v>
      </c>
      <c r="DL184" s="253">
        <v>1000</v>
      </c>
      <c r="DM184" s="255">
        <v>3000</v>
      </c>
      <c r="DN184" s="253">
        <f>Table1[[#This Row],[MatTot]]/3</f>
        <v>0</v>
      </c>
      <c r="DO184" s="253">
        <f>Table1[[#This Row],[MatTot]]/3</f>
        <v>0</v>
      </c>
      <c r="DP184" s="253">
        <f>Table1[[#This Row],[MatTot]]/3</f>
        <v>0</v>
      </c>
      <c r="DQ184" s="255">
        <v>0</v>
      </c>
      <c r="DR184" s="253">
        <f>Table1[[#This Row],[OutTot]]/3</f>
        <v>0</v>
      </c>
      <c r="DS184" s="253">
        <f>Table1[[#This Row],[OutTot]]/3</f>
        <v>0</v>
      </c>
      <c r="DT184" s="253">
        <f>Table1[[#This Row],[OutTot]]/3</f>
        <v>0</v>
      </c>
      <c r="DU184" s="255">
        <v>0</v>
      </c>
      <c r="DV184" s="253">
        <v>0</v>
      </c>
      <c r="DW184" s="253">
        <v>0</v>
      </c>
      <c r="DX184" s="253">
        <v>0</v>
      </c>
      <c r="DY184" s="255">
        <f>SUM(Table1[[#This Row],[VAQ1]:[VAQ3]])</f>
        <v>0</v>
      </c>
      <c r="DZ184" s="253">
        <v>0</v>
      </c>
      <c r="EA184" s="253">
        <v>0</v>
      </c>
      <c r="EB184" s="253">
        <v>0</v>
      </c>
      <c r="EC184" s="278">
        <f>SUM(Table1[[#This Row],[OthGrantQ1]:[OthGrantQ3]])</f>
        <v>0</v>
      </c>
      <c r="ED184" s="264">
        <f>Table1[[#This Row],[SEOGTot]]+Table1[[#This Row],[PellTot]]+Table1[[#This Row],[AccessTot]]+Table1[[#This Row],[AchiTot]]+Table1[[#This Row],[UTTot]]+Table1[[#This Row],[WITTot]]+Table1[[#This Row],[SerTot]]+Table1[[#This Row],[TranTot]]+Table1[[#This Row],[MatTot]]+Table1[[#This Row],[OutTot]]+Table1[[#This Row],[VATot]]+Table1[[#This Row],[OthGrantTot]]</f>
        <v>15000</v>
      </c>
      <c r="EE184" s="298">
        <v>0</v>
      </c>
      <c r="EF184" s="227">
        <v>0</v>
      </c>
      <c r="EG184" s="227">
        <v>0</v>
      </c>
      <c r="EH184" s="228">
        <f>SUM(Table1[[#This Row],[CashQ1]]:Table1[[#This Row],[CashQ3]])</f>
        <v>0</v>
      </c>
      <c r="EI184" s="229">
        <f>ROUND((Table1[[#This Row],[SubTot]]/3)/1.01059,0)</f>
        <v>1154</v>
      </c>
      <c r="EJ184" s="230">
        <f>ROUND((Table1[[#This Row],[SubTot]]/3)/1.01059,0)</f>
        <v>1154</v>
      </c>
      <c r="EK184" s="230">
        <f>ROUNDUP((Table1[[#This Row],[SubTot]]/3)/1.01059,0)</f>
        <v>1155</v>
      </c>
      <c r="EL184" s="231">
        <v>3500</v>
      </c>
      <c r="EM184" s="233">
        <f>Table1[[#This Row],[SubTot]]*0.01059</f>
        <v>37.065000000000005</v>
      </c>
      <c r="EN184" s="230">
        <f>ROUND((Table1[[#This Row],[UnsubTot]]/3)/1.01062,0)</f>
        <v>660</v>
      </c>
      <c r="EO184" s="230">
        <f>ROUND((Table1[[#This Row],[UnsubTot]]/3)/1.01062,0)</f>
        <v>660</v>
      </c>
      <c r="EP184" s="230">
        <f>ROUNDDOWN((Table1[[#This Row],[UnsubTot]]/3)/1.01062,0)</f>
        <v>659</v>
      </c>
      <c r="EQ184" s="231">
        <f>IF(Table1[D/I]="I",6000,2000)</f>
        <v>2000</v>
      </c>
      <c r="ER184" s="233">
        <f>Table1[[#This Row],[UnsubTot]]*0.01059</f>
        <v>21.18</v>
      </c>
      <c r="ES184" s="230">
        <f>ROUND((Table1[[#This Row],[PLUSTot]]/3)/1.04236,0)</f>
        <v>0</v>
      </c>
      <c r="ET184" s="230">
        <f>ROUND((Table1[[#This Row],[PLUSTot]]/3)/1.04236,0)</f>
        <v>0</v>
      </c>
      <c r="EU184" s="230">
        <f>ROUND((Table1[[#This Row],[PLUSTot]]/3)/1.04236,0)</f>
        <v>0</v>
      </c>
      <c r="EV184" s="231">
        <v>0</v>
      </c>
      <c r="EW184" s="236">
        <f>Table1[[#This Row],[PLUSTot]]*0.04236</f>
        <v>0</v>
      </c>
      <c r="EX184" s="227"/>
      <c r="EY184" s="227"/>
      <c r="EZ184" s="227"/>
      <c r="FA184" s="228">
        <f>SUM(Table1[[#This Row],[PrivQ1]:[PrivQ3]])</f>
        <v>0</v>
      </c>
      <c r="FB184" s="227"/>
      <c r="FC184" s="227"/>
      <c r="FD184" s="227"/>
      <c r="FE184" s="228">
        <f>SUM(Table1[[#This Row],[TOQ1]:[TOQ3]])</f>
        <v>0</v>
      </c>
      <c r="FF184" s="227"/>
      <c r="FG184" s="227"/>
      <c r="FH184" s="227"/>
      <c r="FI184" s="228">
        <f>SUM(Table1[[#This Row],[OFundQ1]:[OFundQ3]])</f>
        <v>0</v>
      </c>
      <c r="FJ184" s="236">
        <f>(Table1[[#This Row],[SubTot]]-Table1[[#This Row],[SubFee]])+(Table1[[#This Row],[UnsubTot]]-Table1[[#This Row],[UnsubFee]])+(Table1[[#This Row],[PLUSTot]]-Table1[[#This Row],[PLUSFee]])+Table1[[#This Row],[PrivTot]]+Table1[[#This Row],[TOTot]]+Table1[[#This Row],[OFundTot]]</f>
        <v>5441.7550000000001</v>
      </c>
      <c r="FK184" s="159">
        <f>Table1[[#This Row],[CostTot]]-Table1[[#This Row],[GiftTot]]</f>
        <v>24515</v>
      </c>
      <c r="FL184" s="174">
        <f>Table1[[#This Row],[NetNeed]]/(1-0.04236)</f>
        <v>19916.925984712416</v>
      </c>
      <c r="FM184" s="176">
        <f>Table1[[#This Row],[NetCost]]-Table1[[#This Row],[CashTot]]-(Table1[[#This Row],[SubTot]]-Table1[[#This Row],[SubFee]])-(Table1[[#This Row],[UnsubTot]]-Table1[[#This Row],[UnsubFee]])-(Table1[[#This Row],[PLUSTot]]-Table1[[#This Row],[PLUSFee]])-Table1[[#This Row],[PrivTot]]-Table1[[#This Row],[TOTot]]-Table1[[#This Row],[OFundTot]]</f>
        <v>19073.244999999999</v>
      </c>
      <c r="FN184" s="217"/>
      <c r="FO184" s="162"/>
      <c r="FP184" s="162"/>
    </row>
    <row r="185" spans="1:172" ht="15" x14ac:dyDescent="0.25">
      <c r="A185" s="310">
        <v>195156</v>
      </c>
      <c r="B185" s="160" t="str">
        <f>VLOOKUP(Table1[[#This Row],[SyStudentId]],SSR!$A$2:$CC$4982,4,FALSE)</f>
        <v>Vandiver</v>
      </c>
      <c r="C185" s="160" t="str">
        <f>VLOOKUP(Table1[[#This Row],[SyStudentId]],SSR!$A$2:$CC$4982,5,FALSE)</f>
        <v>Austin</v>
      </c>
      <c r="D185" s="160" t="str">
        <f>VLOOKUP(Table1[[#This Row],[SyStudentId]],SSR!$A$2:$CC$4982,6,FALSE)</f>
        <v>Vandiver, Austin</v>
      </c>
      <c r="E185" s="113" t="str">
        <f>CONCATENATE(Table1[[#This Row],[FirstName]]," ",Table1[[#This Row],[LastName]])</f>
        <v>Austin Vandiver</v>
      </c>
      <c r="F185" s="158">
        <v>1</v>
      </c>
      <c r="G185" s="114"/>
      <c r="H185" s="114"/>
      <c r="I185" s="114">
        <v>43795</v>
      </c>
      <c r="J185" s="163"/>
      <c r="K185" s="164"/>
      <c r="L185" s="158" t="str">
        <f>IFERROR(VLOOKUP(Table1[[#This Row],[SyStudentId]],ISIR!$A$2:$X$4999,11,FALSE),"")</f>
        <v>I</v>
      </c>
      <c r="M185" s="160" t="str">
        <f>VLOOKUP(Table1[[#This Row],[SyStudentId]],SSR!$A$2:$CC$4982,7,FALSE)</f>
        <v>austin.garcia2030@gmail.com</v>
      </c>
      <c r="N185" s="160" t="str">
        <f>VLOOKUP(Table1[[#This Row],[SyStudentId]],SSR!$A$2:$CC$4982,8,FALSE)</f>
        <v>2712  Martin Dr, Apt 1102</v>
      </c>
      <c r="O185" s="160" t="str">
        <f>VLOOKUP(Table1[[#This Row],[SyStudentId]],SSR!$A$2:$CC$4982,9,FALSE)</f>
        <v>Bedford</v>
      </c>
      <c r="P185" s="294" t="str">
        <f>VLOOKUP(Table1[[#This Row],[SyStudentId]],SSR!$A$2:$CC$4982,10,FALSE)</f>
        <v>TX</v>
      </c>
      <c r="Q185" s="165" t="str">
        <f>VLOOKUP(Table1[[#This Row],[SyStudentId]],SSR!$A$2:$CC$4982,11,FALSE)</f>
        <v xml:space="preserve">76021     </v>
      </c>
      <c r="R185" s="166">
        <f>VLOOKUP(Table1[[#This Row],[SyStudentId]],SSR!$A$2:$CC$4982,15,FALSE)</f>
        <v>3.5049999999999999</v>
      </c>
      <c r="S185" s="167">
        <f>VLOOKUP(Table1[[#This Row],[SyStudentId]],SSR!$A$2:$CC$4982,22,FALSE)</f>
        <v>44109</v>
      </c>
      <c r="T185" s="313" t="str">
        <f>VLOOKUP(Table1[[#This Row],[SyStudentId]],SSR!$A$2:$CC$4982,24,FALSE)</f>
        <v>JT</v>
      </c>
      <c r="U185" s="160" t="str">
        <f>IF(VLOOKUP(Table1[[#This Row],[SyStudentId]],SSR!$A$2:$CC$4982,26,FALSE)=0,"Not Selected",VLOOKUP(Table1[[#This Row],[SyStudentId]],SSR!$A$2:$CC$4982,26,FALSE))</f>
        <v>Male</v>
      </c>
      <c r="V185" s="160" t="str">
        <f>VLOOKUP(Table1[[#This Row],[SyStudentId]],SSR!$A$2:$CC$4982,27,FALSE)</f>
        <v xml:space="preserve">HS2020  </v>
      </c>
      <c r="W185" s="160" t="str">
        <f>VLOOKUP(LEFT(Table1[[#This Row],[LastName]],1),Alpha!$A$1:$B$26,2,FALSE)</f>
        <v>Maureen Ranks</v>
      </c>
      <c r="X185" s="179" t="str">
        <f>VLOOKUP(Table1[[#This Row],[FAA]],Alpha!$B$1:$D$26,2,FALSE)</f>
        <v>mranks@neumont.edu</v>
      </c>
      <c r="Y185" s="160">
        <f>VLOOKUP(Table1[[#This Row],[FAA]],Alpha!$B$1:$D$26,3,FALSE)</f>
        <v>8883022894</v>
      </c>
      <c r="Z185" s="160" t="str">
        <f>VLOOKUP(Table1[[#This Row],[SyStudentId]],SSR!$A$2:$CC$4982,30,FALSE)</f>
        <v>16-Accepted</v>
      </c>
      <c r="AA185" s="160" t="str">
        <f>IF(VLOOKUP(Table1[[#This Row],[SyStudentId]],SSR!$A$2:$CC$4982,36,FALSE)="Bachelor of Science","BS Computer Science","Check Program")</f>
        <v>BS Computer Science</v>
      </c>
      <c r="AB185" s="160">
        <f>VLOOKUP(Table1[[#This Row],[SyStudentId]],SSR!$A$2:$CC$4982,37,FALSE)</f>
        <v>0</v>
      </c>
      <c r="AC185" s="160" t="str">
        <f>VLOOKUP(Table1[[#This Row],[SyStudentId]],SSR!$A$2:$CC$4982,42,FALSE)</f>
        <v xml:space="preserve">1320    </v>
      </c>
      <c r="AD185" s="160" t="str">
        <f>VLOOKUP(Table1[[#This Row],[SyStudentId]],SSR!$A$2:$CC$4982,46,FALSE)</f>
        <v>120</v>
      </c>
      <c r="AE185" s="160" t="str">
        <f>VLOOKUP(Table1[[#This Row],[SyStudentId]],SSR!$A$2:$CC$4982,65,FALSE)</f>
        <v>I</v>
      </c>
      <c r="AF185"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85" s="160" t="str">
        <f>VLOOKUP(Table1[[#This Row],[SyStudentId]],SSR!$A$2:$CC$4982,66,FALSE)</f>
        <v>July-October</v>
      </c>
      <c r="AH185" s="160" t="str">
        <f>IFERROR(VLOOKUP(Table1[[#This Row],[SyStudentId]],ISIR!$A$2:$X$1999,7,FALSE),"")</f>
        <v>000162</v>
      </c>
      <c r="AI185" s="170">
        <f>IF(Table1[[#This Row],[EFCRaw]]="","",IF(Table1[[#This Row],[EFCRaw]]="No EFC","No EFC",_xlfn.NUMBERVALUE(Table1[[#This Row],[EFCRaw]])))</f>
        <v>162</v>
      </c>
      <c r="AJ185" s="167">
        <f>IFERROR(VLOOKUP(Table1[[#This Row],[SyStudentId]],ISIR!$A$2:$X$4999,19,FALSE),"")</f>
        <v>43774</v>
      </c>
      <c r="AK185" s="160" t="str">
        <f>IFERROR(VLOOKUP(Table1[[#This Row],[SyStudentId]],ISIR!$A$2:$X$4999,8,FALSE),"")</f>
        <v>N</v>
      </c>
      <c r="AL185" s="171" t="str">
        <f>IF(Table1[[#This Row],[VerReq]]="N","n/a","")</f>
        <v>n/a</v>
      </c>
      <c r="AM185" s="122"/>
      <c r="AN185" s="122"/>
      <c r="AO185" s="122"/>
      <c r="AP185" s="122"/>
      <c r="AQ185" s="122"/>
      <c r="AR185" s="122"/>
      <c r="AS185" s="122"/>
      <c r="AT185" s="122"/>
      <c r="AU185" s="122"/>
      <c r="AV185" s="122"/>
      <c r="AW185" s="122"/>
      <c r="AX185" s="122"/>
      <c r="AY185" s="122"/>
      <c r="AZ185" s="122"/>
      <c r="BA185" s="122"/>
      <c r="BB185" s="122"/>
      <c r="BC185" s="148"/>
      <c r="BD185" s="140" t="str">
        <f>IF(Table1[[#This Row],[VerReq]]="N","x","")</f>
        <v>x</v>
      </c>
      <c r="BE185" s="140" t="str">
        <f>IF(Table1[[#This Row],[VerReq]]="N","x","")</f>
        <v>x</v>
      </c>
      <c r="BF185" s="140" t="str">
        <f>IF(Table1[[#This Row],[VerReq]]="N","x","")</f>
        <v>x</v>
      </c>
      <c r="BG185" s="140" t="str">
        <f>IF(Table1[[#This Row],[VerReq]]="N","x","")</f>
        <v>x</v>
      </c>
      <c r="BH185" s="140" t="str">
        <f>IF(Table1[[#This Row],[VerReq]]="N","x","")</f>
        <v>x</v>
      </c>
      <c r="BI185" s="140" t="str">
        <f>IF(Table1[[#This Row],[VerReq]]="N","x","")</f>
        <v>x</v>
      </c>
      <c r="BJ185" s="181">
        <f>1-((COUNTBLANK(Table1[[#This Row],[ALESent]:[TaxTran]]))/(COUNT(Table1[[#This Row],[ALESent]:[TaxTran]])+COUNTBLANK(Table1[[#This Row],[ALESent]:[TaxTran]])))</f>
        <v>0</v>
      </c>
      <c r="BK185" s="216">
        <f>IF(VLOOKUP(Table1[[#This Row],[SyStudentId]],SSR!$A$2:$CC$4982,22,FALSE)=44109,44109,"Check Program")</f>
        <v>44109</v>
      </c>
      <c r="BL185" s="216">
        <f>IF(Table1[[#This Row],[AYStart]]=44109,44356,"Check Program")</f>
        <v>44356</v>
      </c>
      <c r="BM185" s="219">
        <v>8505</v>
      </c>
      <c r="BN185" s="219">
        <v>8505</v>
      </c>
      <c r="BO185" s="219">
        <v>8505</v>
      </c>
      <c r="BP185" s="220">
        <f t="shared" si="6"/>
        <v>25515</v>
      </c>
      <c r="BQ185" s="221">
        <v>3300</v>
      </c>
      <c r="BR185" s="219">
        <v>400</v>
      </c>
      <c r="BS185" s="219">
        <v>400</v>
      </c>
      <c r="BT185" s="222">
        <f t="shared" si="7"/>
        <v>4100</v>
      </c>
      <c r="BU185" s="219">
        <v>2100</v>
      </c>
      <c r="BV185" s="219">
        <v>2100</v>
      </c>
      <c r="BW185" s="219">
        <v>2100</v>
      </c>
      <c r="BX185" s="222">
        <f t="shared" si="8"/>
        <v>6300</v>
      </c>
      <c r="BY185" s="275">
        <v>1200</v>
      </c>
      <c r="BZ185" s="275">
        <v>1200</v>
      </c>
      <c r="CA185" s="275">
        <v>1200</v>
      </c>
      <c r="CB185" s="222">
        <f>SUM(Table1[[#This Row],[LEQ1]:[LEQ3]])</f>
        <v>3600</v>
      </c>
      <c r="CC185" s="276">
        <v>0</v>
      </c>
      <c r="CD185" s="276">
        <v>0</v>
      </c>
      <c r="CE185" s="276">
        <v>0</v>
      </c>
      <c r="CF185" s="222">
        <f>SUM(Table1[[#This Row],[OthCostQ1]:[OthCostQ3]])</f>
        <v>0</v>
      </c>
      <c r="CG185" s="222">
        <f>(Table1[[#This Row],[T&amp;FTot]]+Table1[[#This Row],[B&amp;STot]]+Table1[[#This Row],[HousTot]]+Table1[[#This Row],[LETot]]+Table1[[#This Row],[OthCostTot]])</f>
        <v>39515</v>
      </c>
      <c r="CH185" s="253">
        <v>0</v>
      </c>
      <c r="CI185" s="253">
        <v>0</v>
      </c>
      <c r="CJ185" s="253">
        <v>0</v>
      </c>
      <c r="CK185" s="254">
        <f>SUM(Table1[[#This Row],[SEOGQ1]:[SEOGQ3]])</f>
        <v>0</v>
      </c>
      <c r="CL185" s="253">
        <f>IFERROR(ROUNDUP(Table1[[#This Row],[PellTot]]/3,0),0)</f>
        <v>2015</v>
      </c>
      <c r="CM185" s="253">
        <f>IFERROR(ROUND(Table1[[#This Row],[PellTot]]/3,0),0)</f>
        <v>2015</v>
      </c>
      <c r="CN185" s="253">
        <f>IFERROR(ROUNDDOWN(Table1[[#This Row],[PellTot]]/3,0),0)</f>
        <v>2015</v>
      </c>
      <c r="CO185" s="254">
        <f>IFERROR(LOOKUP(Table1[EFC],Pell_Table[#Data],Pell_Table[Pell Amt]),0)</f>
        <v>6045</v>
      </c>
      <c r="CP185" s="253">
        <f>Table1[[#This Row],[AccessTot]]/3</f>
        <v>500</v>
      </c>
      <c r="CQ185" s="253">
        <f>Table1[[#This Row],[AccessTot]]/3</f>
        <v>500</v>
      </c>
      <c r="CR185" s="253">
        <f>Table1[[#This Row],[AccessTot]]/3</f>
        <v>500</v>
      </c>
      <c r="CS185" s="254">
        <f>IF(Table1[[#This Row],[PellTot]]&gt;0,1500,0)</f>
        <v>1500</v>
      </c>
      <c r="CT185" s="253">
        <f>Table1[[#This Row],[AchiTot]]/3</f>
        <v>1700</v>
      </c>
      <c r="CU185" s="253">
        <f>Table1[[#This Row],[AchiTot]]/3</f>
        <v>1700</v>
      </c>
      <c r="CV185" s="253">
        <f>Table1[[#This Row],[AchiTot]]/3</f>
        <v>1700</v>
      </c>
      <c r="CW185" s="255">
        <f>IF(Table1[[#This Row],[Rank]]="","",IF(Table1[[#This Row],[Rank]]=1,5100,IF(Table1[[#This Row],[Rank]]=2,4500,IF(Table1[[#This Row],[Rank]]=3,3900,IF(Table1[[#This Row],[Rank]]=4,3750,IF(Table1[[#This Row],[Rank]]=5,3000,IF(Table1[[#This Row],[Rank]]=6,2250,0)))))))</f>
        <v>5100</v>
      </c>
      <c r="CX185" s="253">
        <f>Table1[[#This Row],[UTTot]]/3</f>
        <v>0</v>
      </c>
      <c r="CY185" s="253">
        <f>Table1[[#This Row],[UTTot]]/3</f>
        <v>0</v>
      </c>
      <c r="CZ185" s="253">
        <f>Table1[[#This Row],[UTTot]]/3</f>
        <v>0</v>
      </c>
      <c r="DA185" s="254">
        <f>IF(Table1[[#This Row],[State]]="UT",9000,0)</f>
        <v>0</v>
      </c>
      <c r="DB185" s="253">
        <f>Table1[[#This Row],[WITTot]]/3</f>
        <v>0</v>
      </c>
      <c r="DC185" s="253">
        <f>Table1[[#This Row],[WITTot]]/3</f>
        <v>0</v>
      </c>
      <c r="DD185" s="253">
        <f>Table1[[#This Row],[WITTot]]/3</f>
        <v>0</v>
      </c>
      <c r="DE185" s="254">
        <f>IF(Table1[[#This Row],[Gender]]="Female",3000,0)</f>
        <v>0</v>
      </c>
      <c r="DF185" s="253">
        <f>Table1[[#This Row],[SerTot]]/3</f>
        <v>0</v>
      </c>
      <c r="DG185" s="253">
        <f>Table1[[#This Row],[SerTot]]/3</f>
        <v>0</v>
      </c>
      <c r="DH185" s="253">
        <f>Table1[[#This Row],[SerTot]]/3</f>
        <v>0</v>
      </c>
      <c r="DI185" s="255">
        <v>0</v>
      </c>
      <c r="DJ185" s="253">
        <f>IFERROR(ROUNDUP(Table1[[#This Row],[TranTot]]/3,0),0)</f>
        <v>0</v>
      </c>
      <c r="DK185" s="253">
        <f>IFERROR(ROUND(Table1[[#This Row],[TranTot]]/3,0),0)</f>
        <v>0</v>
      </c>
      <c r="DL185" s="253">
        <f>IFERROR(ROUNDDOWN(Table1[[#This Row],[TranTot]]/3,0),0)</f>
        <v>0</v>
      </c>
      <c r="DM185" s="255">
        <v>0</v>
      </c>
      <c r="DN185" s="253">
        <f>Table1[[#This Row],[MatTot]]/3</f>
        <v>0</v>
      </c>
      <c r="DO185" s="253">
        <f>Table1[[#This Row],[MatTot]]/3</f>
        <v>0</v>
      </c>
      <c r="DP185" s="253">
        <f>Table1[[#This Row],[MatTot]]/3</f>
        <v>0</v>
      </c>
      <c r="DQ185" s="255">
        <v>0</v>
      </c>
      <c r="DR185" s="253">
        <f>Table1[[#This Row],[OutTot]]/3</f>
        <v>0</v>
      </c>
      <c r="DS185" s="253">
        <f>Table1[[#This Row],[OutTot]]/3</f>
        <v>0</v>
      </c>
      <c r="DT185" s="253">
        <f>Table1[[#This Row],[OutTot]]/3</f>
        <v>0</v>
      </c>
      <c r="DU185" s="255">
        <v>0</v>
      </c>
      <c r="DV185" s="253">
        <v>0</v>
      </c>
      <c r="DW185" s="253">
        <v>0</v>
      </c>
      <c r="DX185" s="253">
        <v>0</v>
      </c>
      <c r="DY185" s="255">
        <f>SUM(Table1[[#This Row],[VAQ1]:[VAQ3]])</f>
        <v>0</v>
      </c>
      <c r="DZ185" s="253">
        <v>0</v>
      </c>
      <c r="EA185" s="253">
        <v>0</v>
      </c>
      <c r="EB185" s="253">
        <v>0</v>
      </c>
      <c r="EC185" s="278">
        <f>SUM(Table1[[#This Row],[OthGrantQ1]:[OthGrantQ3]])</f>
        <v>0</v>
      </c>
      <c r="ED185" s="264">
        <f>Table1[[#This Row],[SEOGTot]]+Table1[[#This Row],[PellTot]]+Table1[[#This Row],[AccessTot]]+Table1[[#This Row],[AchiTot]]+Table1[[#This Row],[UTTot]]+Table1[[#This Row],[WITTot]]+Table1[[#This Row],[SerTot]]+Table1[[#This Row],[TranTot]]+Table1[[#This Row],[MatTot]]+Table1[[#This Row],[OutTot]]+Table1[[#This Row],[VATot]]+Table1[[#This Row],[OthGrantTot]]</f>
        <v>12645</v>
      </c>
      <c r="EE185" s="298">
        <v>0</v>
      </c>
      <c r="EF185" s="227">
        <v>0</v>
      </c>
      <c r="EG185" s="227">
        <v>0</v>
      </c>
      <c r="EH185" s="228">
        <f>SUM(Table1[[#This Row],[CashQ1]]:Table1[[#This Row],[CashQ3]])</f>
        <v>0</v>
      </c>
      <c r="EI185" s="229">
        <f>ROUND((Table1[[#This Row],[SubTot]]/3)/1.01059,0)</f>
        <v>1154</v>
      </c>
      <c r="EJ185" s="230">
        <f>ROUND((Table1[[#This Row],[SubTot]]/3)/1.01059,0)</f>
        <v>1154</v>
      </c>
      <c r="EK185" s="230">
        <f>ROUNDUP((Table1[[#This Row],[SubTot]]/3)/1.01059,0)</f>
        <v>1155</v>
      </c>
      <c r="EL185" s="231">
        <v>3500</v>
      </c>
      <c r="EM185" s="233">
        <f>Table1[[#This Row],[SubTot]]*0.01059</f>
        <v>37.065000000000005</v>
      </c>
      <c r="EN185" s="230">
        <f>ROUND((Table1[[#This Row],[UnsubTot]]/3)/1.01062,0)</f>
        <v>1979</v>
      </c>
      <c r="EO185" s="230">
        <f>ROUND((Table1[[#This Row],[UnsubTot]]/3)/1.01062,0)</f>
        <v>1979</v>
      </c>
      <c r="EP185" s="230">
        <f>ROUNDDOWN((Table1[[#This Row],[UnsubTot]]/3)/1.01062,0)</f>
        <v>1978</v>
      </c>
      <c r="EQ185" s="231">
        <f>IF(Table1[D/I]="I",6000,2000)</f>
        <v>6000</v>
      </c>
      <c r="ER185" s="233">
        <f>Table1[[#This Row],[UnsubTot]]*0.01059</f>
        <v>63.540000000000006</v>
      </c>
      <c r="ES185" s="230">
        <f>ROUND((Table1[[#This Row],[PLUSTot]]/3)/1.04236,0)</f>
        <v>0</v>
      </c>
      <c r="ET185" s="230">
        <f>ROUND((Table1[[#This Row],[PLUSTot]]/3)/1.04236,0)</f>
        <v>0</v>
      </c>
      <c r="EU185" s="230">
        <f>ROUND((Table1[[#This Row],[PLUSTot]]/3)/1.04236,0)</f>
        <v>0</v>
      </c>
      <c r="EV185" s="231">
        <v>0</v>
      </c>
      <c r="EW185" s="236">
        <f>Table1[[#This Row],[PLUSTot]]*0.04236</f>
        <v>0</v>
      </c>
      <c r="EX185" s="227"/>
      <c r="EY185" s="227"/>
      <c r="EZ185" s="227"/>
      <c r="FA185" s="228">
        <f>SUM(Table1[[#This Row],[PrivQ1]:[PrivQ3]])</f>
        <v>0</v>
      </c>
      <c r="FB185" s="227"/>
      <c r="FC185" s="227"/>
      <c r="FD185" s="227"/>
      <c r="FE185" s="228">
        <f>SUM(Table1[[#This Row],[TOQ1]:[TOQ3]])</f>
        <v>0</v>
      </c>
      <c r="FF185" s="227"/>
      <c r="FG185" s="227"/>
      <c r="FH185" s="227"/>
      <c r="FI185" s="228">
        <f>SUM(Table1[[#This Row],[OFundQ1]:[OFundQ3]])</f>
        <v>0</v>
      </c>
      <c r="FJ185" s="236">
        <f>(Table1[[#This Row],[SubTot]]-Table1[[#This Row],[SubFee]])+(Table1[[#This Row],[UnsubTot]]-Table1[[#This Row],[UnsubFee]])+(Table1[[#This Row],[PLUSTot]]-Table1[[#This Row],[PLUSFee]])+Table1[[#This Row],[PrivTot]]+Table1[[#This Row],[TOTot]]+Table1[[#This Row],[OFundTot]]</f>
        <v>9399.3950000000004</v>
      </c>
      <c r="FK185" s="159">
        <f>Table1[[#This Row],[CostTot]]-Table1[[#This Row],[GiftTot]]</f>
        <v>26870</v>
      </c>
      <c r="FL185" s="174">
        <f>Table1[[#This Row],[NetNeed]]/(1-0.04236)</f>
        <v>18243.395221586397</v>
      </c>
      <c r="FM185" s="176">
        <f>Table1[[#This Row],[NetCost]]-Table1[[#This Row],[CashTot]]-(Table1[[#This Row],[SubTot]]-Table1[[#This Row],[SubFee]])-(Table1[[#This Row],[UnsubTot]]-Table1[[#This Row],[UnsubFee]])-(Table1[[#This Row],[PLUSTot]]-Table1[[#This Row],[PLUSFee]])-Table1[[#This Row],[PrivTot]]-Table1[[#This Row],[TOTot]]-Table1[[#This Row],[OFundTot]]</f>
        <v>17470.605</v>
      </c>
      <c r="FN185" s="217"/>
      <c r="FO185" s="162"/>
      <c r="FP185" s="162"/>
    </row>
    <row r="186" spans="1:172" ht="15" x14ac:dyDescent="0.25">
      <c r="A186" s="309">
        <v>196303</v>
      </c>
      <c r="B186" s="113" t="str">
        <f>VLOOKUP(Table1[[#This Row],[SyStudentId]],SSR!$A$2:$CC$4982,4,FALSE)</f>
        <v>Vega</v>
      </c>
      <c r="C186" s="113" t="str">
        <f>VLOOKUP(Table1[[#This Row],[SyStudentId]],SSR!$A$2:$CC$4982,5,FALSE)</f>
        <v>Dez</v>
      </c>
      <c r="D186" s="113" t="str">
        <f>VLOOKUP(Table1[[#This Row],[SyStudentId]],SSR!$A$2:$CC$4982,6,FALSE)</f>
        <v>Vega, Dez</v>
      </c>
      <c r="E186" s="113" t="str">
        <f>CONCATENATE(Table1[[#This Row],[FirstName]]," ",Table1[[#This Row],[LastName]])</f>
        <v>Dez Vega</v>
      </c>
      <c r="F186" s="112">
        <v>1</v>
      </c>
      <c r="G186" s="114"/>
      <c r="H186" s="114"/>
      <c r="I186" s="114">
        <v>43801</v>
      </c>
      <c r="J186" s="115"/>
      <c r="K186" s="116"/>
      <c r="L186" s="112" t="str">
        <f>IFERROR(VLOOKUP(Table1[[#This Row],[SyStudentId]],ISIR!$A$2:$X$999,11,FALSE),"")</f>
        <v>D</v>
      </c>
      <c r="M186" s="113" t="str">
        <f>VLOOKUP(Table1[[#This Row],[SyStudentId]],SSR!$A$2:$CC$4982,7,FALSE)</f>
        <v>solluxcaptor5013@gmail.com</v>
      </c>
      <c r="N186" s="113" t="str">
        <f>VLOOKUP(Table1[[#This Row],[SyStudentId]],SSR!$A$2:$CC$4982,8,FALSE)</f>
        <v>65227 State Highway 74</v>
      </c>
      <c r="O186" s="113" t="str">
        <f>VLOOKUP(Table1[[#This Row],[SyStudentId]],SSR!$A$2:$CC$4982,9,FALSE)</f>
        <v>Mountain Center</v>
      </c>
      <c r="P186" s="290" t="str">
        <f>VLOOKUP(Table1[[#This Row],[SyStudentId]],SSR!$A$2:$CC$4982,10,FALSE)</f>
        <v>CA</v>
      </c>
      <c r="Q186" s="117" t="str">
        <f>VLOOKUP(Table1[[#This Row],[SyStudentId]],SSR!$A$2:$CC$4982,11,FALSE)</f>
        <v xml:space="preserve">92561     </v>
      </c>
      <c r="R186" s="118">
        <f>VLOOKUP(Table1[[#This Row],[SyStudentId]],SSR!$A$2:$CC$4982,15,FALSE)</f>
        <v>2.37</v>
      </c>
      <c r="S186" s="119">
        <f>VLOOKUP(Table1[[#This Row],[SyStudentId]],SSR!$A$2:$CC$4982,22,FALSE)</f>
        <v>44109</v>
      </c>
      <c r="T186" s="113" t="str">
        <f>VLOOKUP(Table1[[#This Row],[SyStudentId]],SSR!$A$2:$CC$4982,24,FALSE)</f>
        <v>JT</v>
      </c>
      <c r="U186" s="113" t="str">
        <f>IF(VLOOKUP(Table1[[#This Row],[SyStudentId]],SSR!$A$2:$CC$4982,26,FALSE)=0,"Not Selected",VLOOKUP(Table1[[#This Row],[SyStudentId]],SSR!$A$2:$CC$4982,26,FALSE))</f>
        <v>Male</v>
      </c>
      <c r="V186" s="113" t="str">
        <f>VLOOKUP(Table1[[#This Row],[SyStudentId]],SSR!$A$2:$CC$4982,27,FALSE)</f>
        <v xml:space="preserve">HS2020  </v>
      </c>
      <c r="W186" s="113" t="str">
        <f>VLOOKUP(LEFT(Table1[[#This Row],[LastName]],1),Alpha!$A$1:$B$26,2,FALSE)</f>
        <v>Maureen Ranks</v>
      </c>
      <c r="X186" s="149" t="str">
        <f>VLOOKUP(Table1[[#This Row],[FAA]],Alpha!$B$1:$D$26,2,FALSE)</f>
        <v>mranks@neumont.edu</v>
      </c>
      <c r="Y186" s="113">
        <f>VLOOKUP(Table1[[#This Row],[FAA]],Alpha!$B$1:$D$26,3,FALSE)</f>
        <v>8883022894</v>
      </c>
      <c r="Z186" s="113" t="str">
        <f>VLOOKUP(Table1[[#This Row],[SyStudentId]],SSR!$A$2:$CC$4982,30,FALSE)</f>
        <v>16-Accepted</v>
      </c>
      <c r="AA186" s="113" t="str">
        <f>IF(VLOOKUP(Table1[[#This Row],[SyStudentId]],SSR!$A$2:$CC$4982,36,FALSE)="Bachelor of Science","BS Computer Science","Check Program")</f>
        <v>BS Computer Science</v>
      </c>
      <c r="AB186" s="113">
        <f>VLOOKUP(Table1[[#This Row],[SyStudentId]],SSR!$A$2:$CC$4982,37,FALSE)</f>
        <v>0</v>
      </c>
      <c r="AC186" s="113" t="str">
        <f>VLOOKUP(Table1[[#This Row],[SyStudentId]],SSR!$A$2:$CC$4982,42,FALSE)</f>
        <v xml:space="preserve">1100    </v>
      </c>
      <c r="AD186" s="113" t="str">
        <f>VLOOKUP(Table1[[#This Row],[SyStudentId]],SSR!$A$2:$CC$4982,46,FALSE)</f>
        <v>92</v>
      </c>
      <c r="AE186" s="113" t="str">
        <f>VLOOKUP(Table1[[#This Row],[SyStudentId]],SSR!$A$2:$CC$4982,65,FALSE)</f>
        <v>X</v>
      </c>
      <c r="AF186"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10</v>
      </c>
      <c r="AG186" s="113" t="str">
        <f>VLOOKUP(Table1[[#This Row],[SyStudentId]],SSR!$A$2:$CC$4982,66,FALSE)</f>
        <v>November</v>
      </c>
      <c r="AH186" s="113" t="str">
        <f>IFERROR(VLOOKUP(Table1[[#This Row],[SyStudentId]],ISIR!$A$2:$X$999,7,FALSE),"")</f>
        <v>000000</v>
      </c>
      <c r="AI186" s="121">
        <f>IF(Table1[[#This Row],[EFCRaw]]="","",IF(Table1[[#This Row],[EFCRaw]]="No EFC","No EFC",_xlfn.NUMBERVALUE(Table1[[#This Row],[EFCRaw]])))</f>
        <v>0</v>
      </c>
      <c r="AJ186" s="119">
        <f>IFERROR(VLOOKUP(Table1[[#This Row],[SyStudentId]],ISIR!$A$2:$X$4999,19,FALSE),"")</f>
        <v>43776</v>
      </c>
      <c r="AK186" s="113" t="str">
        <f>IFERROR(VLOOKUP(Table1[[#This Row],[SyStudentId]],ISIR!$A$2:$X$4999,8,FALSE),"")</f>
        <v>N</v>
      </c>
      <c r="AL186" s="132" t="str">
        <f>IF(Table1[[#This Row],[VerReq]]="N","n/a","")</f>
        <v>n/a</v>
      </c>
      <c r="AM186" s="122"/>
      <c r="AN186" s="122"/>
      <c r="AO186" s="122"/>
      <c r="AP186" s="122"/>
      <c r="AQ186" s="122"/>
      <c r="AR186" s="122"/>
      <c r="AS186" s="122"/>
      <c r="AT186" s="122"/>
      <c r="AU186" s="122"/>
      <c r="AV186" s="122"/>
      <c r="AW186" s="122"/>
      <c r="AX186" s="122"/>
      <c r="AY186" s="122"/>
      <c r="AZ186" s="122"/>
      <c r="BA186" s="122"/>
      <c r="BB186" s="122"/>
      <c r="BC186" s="148"/>
      <c r="BD186" s="140" t="str">
        <f>IF(Table1[[#This Row],[VerReq]]="N","x","")</f>
        <v>x</v>
      </c>
      <c r="BE186" s="140" t="str">
        <f>IF(Table1[[#This Row],[VerReq]]="N","x","")</f>
        <v>x</v>
      </c>
      <c r="BF186" s="140" t="str">
        <f>IF(Table1[[#This Row],[VerReq]]="N","x","")</f>
        <v>x</v>
      </c>
      <c r="BG186" s="140" t="str">
        <f>IF(Table1[[#This Row],[VerReq]]="N","x","")</f>
        <v>x</v>
      </c>
      <c r="BH186" s="140" t="str">
        <f>IF(Table1[[#This Row],[VerReq]]="N","x","")</f>
        <v>x</v>
      </c>
      <c r="BI186" s="140" t="str">
        <f>IF(Table1[[#This Row],[VerReq]]="N","x","")</f>
        <v>x</v>
      </c>
      <c r="BJ186" s="123">
        <f>1-((COUNTBLANK(Table1[[#This Row],[ALESent]:[TaxTran]]))/(COUNT(Table1[[#This Row],[ALESent]:[TaxTran]])+COUNTBLANK(Table1[[#This Row],[ALESent]:[TaxTran]])))</f>
        <v>0</v>
      </c>
      <c r="BK186" s="150">
        <f>IF(VLOOKUP(Table1[[#This Row],[SyStudentId]],SSR!$A$2:$CC$4982,22,FALSE)=44109,44109,"Check Program")</f>
        <v>44109</v>
      </c>
      <c r="BL186" s="150">
        <f>IF(Table1[[#This Row],[AYStart]]=44109,44356,"Check Program")</f>
        <v>44356</v>
      </c>
      <c r="BM186" s="219">
        <v>8505</v>
      </c>
      <c r="BN186" s="219">
        <v>8505</v>
      </c>
      <c r="BO186" s="219">
        <v>8505</v>
      </c>
      <c r="BP186" s="220">
        <f t="shared" si="6"/>
        <v>25515</v>
      </c>
      <c r="BQ186" s="221">
        <v>3300</v>
      </c>
      <c r="BR186" s="219">
        <v>400</v>
      </c>
      <c r="BS186" s="219">
        <v>400</v>
      </c>
      <c r="BT186" s="220">
        <f t="shared" si="7"/>
        <v>4100</v>
      </c>
      <c r="BU186" s="219">
        <v>2100</v>
      </c>
      <c r="BV186" s="219">
        <v>2100</v>
      </c>
      <c r="BW186" s="219">
        <v>2100</v>
      </c>
      <c r="BX186" s="220">
        <f t="shared" si="8"/>
        <v>6300</v>
      </c>
      <c r="BY186" s="275">
        <v>1200</v>
      </c>
      <c r="BZ186" s="275">
        <v>1200</v>
      </c>
      <c r="CA186" s="275">
        <v>1200</v>
      </c>
      <c r="CB186" s="220">
        <f>SUM(Table1[[#This Row],[LEQ1]:[LEQ3]])</f>
        <v>3600</v>
      </c>
      <c r="CC186" s="269"/>
      <c r="CD186" s="269"/>
      <c r="CE186" s="269"/>
      <c r="CF186" s="220">
        <f>SUM(Table1[[#This Row],[OthCostQ1]:[OthCostQ3]])</f>
        <v>0</v>
      </c>
      <c r="CG186" s="220">
        <f>(Table1[[#This Row],[T&amp;FTot]]+Table1[[#This Row],[B&amp;STot]]+Table1[[#This Row],[HousTot]]+Table1[[#This Row],[LETot]]+Table1[[#This Row],[OthCostTot]])</f>
        <v>39515</v>
      </c>
      <c r="CH186" s="250"/>
      <c r="CI186" s="250"/>
      <c r="CJ186" s="250"/>
      <c r="CK186" s="251">
        <f>SUM(Table1[[#This Row],[SEOGQ1]:[SEOGQ3]])</f>
        <v>0</v>
      </c>
      <c r="CL186" s="250">
        <f>IFERROR(ROUNDUP(Table1[[#This Row],[PellTot]]/3,0),0)</f>
        <v>2065</v>
      </c>
      <c r="CM186" s="250">
        <f>IFERROR(ROUND(Table1[[#This Row],[PellTot]]/3,0),0)</f>
        <v>2065</v>
      </c>
      <c r="CN186" s="250">
        <f>IFERROR(ROUNDDOWN(Table1[[#This Row],[PellTot]]/3,0),0)</f>
        <v>2065</v>
      </c>
      <c r="CO186" s="251">
        <f>IFERROR(LOOKUP(Table1[EFC],Pell_Table[#Data],Pell_Table[Pell Amt]),0)</f>
        <v>6195</v>
      </c>
      <c r="CP186" s="250">
        <f>Table1[[#This Row],[AccessTot]]/3</f>
        <v>500</v>
      </c>
      <c r="CQ186" s="250">
        <f>Table1[[#This Row],[AccessTot]]/3</f>
        <v>500</v>
      </c>
      <c r="CR186" s="250">
        <f>Table1[[#This Row],[AccessTot]]/3</f>
        <v>500</v>
      </c>
      <c r="CS186" s="251">
        <f>IF(Table1[[#This Row],[PellTot]]&gt;0,1500,0)</f>
        <v>1500</v>
      </c>
      <c r="CT186" s="250">
        <f>Table1[[#This Row],[AchiTot]]/3</f>
        <v>0</v>
      </c>
      <c r="CU186" s="250">
        <f>Table1[[#This Row],[AchiTot]]/3</f>
        <v>0</v>
      </c>
      <c r="CV186" s="250">
        <f>Table1[[#This Row],[AchiTot]]/3</f>
        <v>0</v>
      </c>
      <c r="CW186" s="252">
        <f>IF(Table1[[#This Row],[Rank]]="","",IF(Table1[[#This Row],[Rank]]=1,5100,IF(Table1[[#This Row],[Rank]]=2,4500,IF(Table1[[#This Row],[Rank]]=3,3900,IF(Table1[[#This Row],[Rank]]=4,3750,IF(Table1[[#This Row],[Rank]]=5,3000,IF(Table1[[#This Row],[Rank]]=6,2250,0)))))))</f>
        <v>0</v>
      </c>
      <c r="CX186" s="250">
        <f>Table1[[#This Row],[UTTot]]/3</f>
        <v>0</v>
      </c>
      <c r="CY186" s="250">
        <f>Table1[[#This Row],[UTTot]]/3</f>
        <v>0</v>
      </c>
      <c r="CZ186" s="250">
        <f>Table1[[#This Row],[UTTot]]/3</f>
        <v>0</v>
      </c>
      <c r="DA186" s="251">
        <f>IF(Table1[[#This Row],[State]]="UT",9000,0)</f>
        <v>0</v>
      </c>
      <c r="DB186" s="250">
        <f>Table1[[#This Row],[WITTot]]/3</f>
        <v>0</v>
      </c>
      <c r="DC186" s="250">
        <f>Table1[[#This Row],[WITTot]]/3</f>
        <v>0</v>
      </c>
      <c r="DD186" s="250">
        <f>Table1[[#This Row],[WITTot]]/3</f>
        <v>0</v>
      </c>
      <c r="DE186" s="251">
        <f>IF(Table1[[#This Row],[Gender]]="Female",3000,0)</f>
        <v>0</v>
      </c>
      <c r="DF186" s="250">
        <f>Table1[[#This Row],[SerTot]]/3</f>
        <v>0</v>
      </c>
      <c r="DG186" s="250">
        <f>Table1[[#This Row],[SerTot]]/3</f>
        <v>0</v>
      </c>
      <c r="DH186" s="250">
        <f>Table1[[#This Row],[SerTot]]/3</f>
        <v>0</v>
      </c>
      <c r="DI186" s="252"/>
      <c r="DJ186" s="250"/>
      <c r="DK186" s="250"/>
      <c r="DL186" s="250"/>
      <c r="DM186" s="252"/>
      <c r="DN186" s="250">
        <f>Table1[[#This Row],[MatTot]]/3</f>
        <v>0</v>
      </c>
      <c r="DO186" s="250">
        <f>Table1[[#This Row],[MatTot]]/3</f>
        <v>0</v>
      </c>
      <c r="DP186" s="250">
        <f>Table1[[#This Row],[MatTot]]/3</f>
        <v>0</v>
      </c>
      <c r="DQ186" s="252"/>
      <c r="DR186" s="250">
        <f>Table1[[#This Row],[OutTot]]/3</f>
        <v>0</v>
      </c>
      <c r="DS186" s="250">
        <f>Table1[[#This Row],[OutTot]]/3</f>
        <v>0</v>
      </c>
      <c r="DT186" s="250">
        <f>Table1[[#This Row],[OutTot]]/3</f>
        <v>0</v>
      </c>
      <c r="DU186" s="252"/>
      <c r="DV186" s="250"/>
      <c r="DW186" s="250"/>
      <c r="DX186" s="250"/>
      <c r="DY186" s="252">
        <f>SUM(Table1[[#This Row],[VAQ1]:[VAQ3]])</f>
        <v>0</v>
      </c>
      <c r="DZ186" s="250"/>
      <c r="EA186" s="250"/>
      <c r="EB186" s="250"/>
      <c r="EC186" s="270">
        <f>SUM(Table1[[#This Row],[OthGrantQ1]:[OthGrantQ3]])</f>
        <v>0</v>
      </c>
      <c r="ED186" s="263">
        <f>Table1[[#This Row],[SEOGTot]]+Table1[[#This Row],[PellTot]]+Table1[[#This Row],[AccessTot]]+Table1[[#This Row],[AchiTot]]+Table1[[#This Row],[UTTot]]+Table1[[#This Row],[WITTot]]+Table1[[#This Row],[SerTot]]+Table1[[#This Row],[TranTot]]+Table1[[#This Row],[MatTot]]+Table1[[#This Row],[OutTot]]+Table1[[#This Row],[VATot]]+Table1[[#This Row],[OthGrantTot]]</f>
        <v>7695</v>
      </c>
      <c r="EE186" s="282"/>
      <c r="EF186" s="237"/>
      <c r="EG186" s="237"/>
      <c r="EH186" s="232">
        <f>SUM(Table1[[#This Row],[CashQ1]]:Table1[[#This Row],[CashQ3]])</f>
        <v>0</v>
      </c>
      <c r="EI186" s="271">
        <f>ROUND((Table1[[#This Row],[SubTot]]/3)/1.01059,0)</f>
        <v>0</v>
      </c>
      <c r="EJ186" s="234">
        <f>ROUND((Table1[[#This Row],[SubTot]]/3)/1.01059,0)</f>
        <v>0</v>
      </c>
      <c r="EK186" s="234">
        <f>ROUNDUP((Table1[[#This Row],[SubTot]]/3)/1.01059,0)</f>
        <v>0</v>
      </c>
      <c r="EL186" s="235"/>
      <c r="EM186" s="240">
        <f>Table1[[#This Row],[SubTot]]*0.01059</f>
        <v>0</v>
      </c>
      <c r="EN186" s="234">
        <f>ROUND((Table1[[#This Row],[UnsubTot]]/3)/1.01062,0)</f>
        <v>660</v>
      </c>
      <c r="EO186" s="234">
        <f>ROUND((Table1[[#This Row],[UnsubTot]]/3)/1.01062,0)</f>
        <v>660</v>
      </c>
      <c r="EP186" s="234">
        <f>ROUNDDOWN((Table1[[#This Row],[UnsubTot]]/3)/1.01062,0)</f>
        <v>659</v>
      </c>
      <c r="EQ186" s="235">
        <f>IF(Table1[D/I]="I",6000,2000)</f>
        <v>2000</v>
      </c>
      <c r="ER186" s="240">
        <f>Table1[[#This Row],[UnsubTot]]*0.01062</f>
        <v>21.24</v>
      </c>
      <c r="ES186" s="234">
        <f>ROUND((Table1[[#This Row],[PLUSTot]]/3)/1.04248,0)</f>
        <v>0</v>
      </c>
      <c r="ET186" s="234">
        <f>ROUND((Table1[[#This Row],[PLUSTot]]/3)/1.04248,0)</f>
        <v>0</v>
      </c>
      <c r="EU186" s="234">
        <f>ROUND((Table1[[#This Row],[PLUSTot]]/3)/1.04248,0)</f>
        <v>0</v>
      </c>
      <c r="EV186" s="235"/>
      <c r="EW186" s="239">
        <f>Table1[[#This Row],[PLUSTot]]*0.04248</f>
        <v>0</v>
      </c>
      <c r="EX186" s="237"/>
      <c r="EY186" s="237"/>
      <c r="EZ186" s="237"/>
      <c r="FA186" s="232">
        <f>SUM(Table1[[#This Row],[PrivQ1]:[PrivQ3]])</f>
        <v>0</v>
      </c>
      <c r="FB186" s="237"/>
      <c r="FC186" s="237"/>
      <c r="FD186" s="237"/>
      <c r="FE186" s="232">
        <f>SUM(Table1[[#This Row],[TOQ1]:[TOQ3]])</f>
        <v>0</v>
      </c>
      <c r="FF186" s="237"/>
      <c r="FG186" s="237"/>
      <c r="FH186" s="237"/>
      <c r="FI186" s="232">
        <f>SUM(Table1[[#This Row],[OFundQ1]:[OFundQ3]])</f>
        <v>0</v>
      </c>
      <c r="FJ186" s="239">
        <f>(Table1[[#This Row],[SubTot]]-Table1[[#This Row],[SubFee]])+(Table1[[#This Row],[UnsubTot]]-Table1[[#This Row],[UnsubFee]])+(Table1[[#This Row],[PLUSTot]]-Table1[[#This Row],[PLUSFee]])+Table1[[#This Row],[PrivTot]]+Table1[[#This Row],[TOTot]]+Table1[[#This Row],[OFundTot]]</f>
        <v>1978.76</v>
      </c>
      <c r="FK186" s="125">
        <f>Table1[[#This Row],[CostTot]]-Table1[[#This Row],[GiftTot]]</f>
        <v>31820</v>
      </c>
      <c r="FL186" s="130">
        <f>Table1[[#This Row],[NetNeed]]/(1-0.04248)</f>
        <v>31165.134931907429</v>
      </c>
      <c r="FM186" s="131">
        <f>Table1[[#This Row],[NetCost]]-Table1[[#This Row],[CashTot]]-(Table1[[#This Row],[SubTot]]-Table1[[#This Row],[SubFee]])-(Table1[[#This Row],[UnsubTot]]-Table1[[#This Row],[UnsubFee]])-(Table1[[#This Row],[PLUSTot]]-Table1[[#This Row],[PLUSFee]])-Table1[[#This Row],[PrivTot]]-Table1[[#This Row],[TOTot]]-Table1[[#This Row],[OFundTot]]</f>
        <v>29841.24</v>
      </c>
      <c r="FN186" s="156"/>
      <c r="FO186" s="113"/>
      <c r="FP186" s="113"/>
    </row>
    <row r="187" spans="1:172" ht="15" x14ac:dyDescent="0.25">
      <c r="A187" s="309">
        <v>196222</v>
      </c>
      <c r="B187" s="160" t="str">
        <f>VLOOKUP(Table1[[#This Row],[SyStudentId]],SSR!$A$2:$CC$4982,4,FALSE)</f>
        <v>Vega</v>
      </c>
      <c r="C187" s="160" t="str">
        <f>VLOOKUP(Table1[[#This Row],[SyStudentId]],SSR!$A$2:$CC$4982,5,FALSE)</f>
        <v>Hasam</v>
      </c>
      <c r="D187" s="160" t="str">
        <f>VLOOKUP(Table1[[#This Row],[SyStudentId]],SSR!$A$2:$CC$4982,6,FALSE)</f>
        <v>Vega, Hasam</v>
      </c>
      <c r="E187" s="113" t="str">
        <f>CONCATENATE(Table1[[#This Row],[FirstName]]," ",Table1[[#This Row],[LastName]])</f>
        <v>Hasam Vega</v>
      </c>
      <c r="F187" s="158">
        <v>1</v>
      </c>
      <c r="G187" s="114"/>
      <c r="H187" s="114"/>
      <c r="I187" s="114">
        <v>43782</v>
      </c>
      <c r="J187" s="163"/>
      <c r="K187" s="164"/>
      <c r="L187" s="158" t="str">
        <f>IFERROR(VLOOKUP(Table1[[#This Row],[SyStudentId]],ISIR!$A$2:$X$4999,11,FALSE),"")</f>
        <v>D</v>
      </c>
      <c r="M187" s="160" t="str">
        <f>VLOOKUP(Table1[[#This Row],[SyStudentId]],SSR!$A$2:$CC$4982,7,FALSE)</f>
        <v>hasam.vega0523@icloud.com</v>
      </c>
      <c r="N187" s="160" t="str">
        <f>VLOOKUP(Table1[[#This Row],[SyStudentId]],SSR!$A$2:$CC$4982,8,FALSE)</f>
        <v>1630 James St</v>
      </c>
      <c r="O187" s="160" t="str">
        <f>VLOOKUP(Table1[[#This Row],[SyStudentId]],SSR!$A$2:$CC$4982,9,FALSE)</f>
        <v>N Las Vegas</v>
      </c>
      <c r="P187" s="300" t="str">
        <f>VLOOKUP(Table1[[#This Row],[SyStudentId]],SSR!$A$2:$CC$4982,10,FALSE)</f>
        <v>NV</v>
      </c>
      <c r="Q187" s="165" t="str">
        <f>VLOOKUP(Table1[[#This Row],[SyStudentId]],SSR!$A$2:$CC$4982,11,FALSE)</f>
        <v xml:space="preserve">89030     </v>
      </c>
      <c r="R187" s="166">
        <f>VLOOKUP(Table1[[#This Row],[SyStudentId]],SSR!$A$2:$CC$4982,15,FALSE)</f>
        <v>2.746</v>
      </c>
      <c r="S187" s="167">
        <f>VLOOKUP(Table1[[#This Row],[SyStudentId]],SSR!$A$2:$CC$4982,22,FALSE)</f>
        <v>44109</v>
      </c>
      <c r="T187" s="160" t="str">
        <f>VLOOKUP(Table1[[#This Row],[SyStudentId]],SSR!$A$2:$CC$4982,24,FALSE)</f>
        <v>MN</v>
      </c>
      <c r="U187" s="160" t="str">
        <f>IF(VLOOKUP(Table1[[#This Row],[SyStudentId]],SSR!$A$2:$CC$4982,26,FALSE)=0,"Not Selected",VLOOKUP(Table1[[#This Row],[SyStudentId]],SSR!$A$2:$CC$4982,26,FALSE))</f>
        <v>Male</v>
      </c>
      <c r="V187" s="160" t="str">
        <f>VLOOKUP(Table1[[#This Row],[SyStudentId]],SSR!$A$2:$CC$4982,27,FALSE)</f>
        <v xml:space="preserve">HS2020  </v>
      </c>
      <c r="W187" s="160" t="str">
        <f>VLOOKUP(LEFT(Table1[[#This Row],[LastName]],1),Alpha!$A$1:$B$26,2,FALSE)</f>
        <v>Maureen Ranks</v>
      </c>
      <c r="X187" s="168" t="str">
        <f>VLOOKUP(Table1[[#This Row],[FAA]],Alpha!$B$1:$D$26,2,FALSE)</f>
        <v>mranks@neumont.edu</v>
      </c>
      <c r="Y187" s="160">
        <f>VLOOKUP(Table1[[#This Row],[FAA]],Alpha!$B$1:$D$26,3,FALSE)</f>
        <v>8883022894</v>
      </c>
      <c r="Z187" s="160" t="str">
        <f>VLOOKUP(Table1[[#This Row],[SyStudentId]],SSR!$A$2:$CC$4982,30,FALSE)</f>
        <v>16-Accepted</v>
      </c>
      <c r="AA187" s="160" t="str">
        <f>IF(VLOOKUP(Table1[[#This Row],[SyStudentId]],SSR!$A$2:$CC$4982,36,FALSE)="Bachelor of Science","BS Computer Science","Check Program")</f>
        <v>BS Computer Science</v>
      </c>
      <c r="AB187" s="160">
        <f>VLOOKUP(Table1[[#This Row],[SyStudentId]],SSR!$A$2:$CC$4982,37,FALSE)</f>
        <v>0</v>
      </c>
      <c r="AC187" s="160">
        <f>VLOOKUP(Table1[[#This Row],[SyStudentId]],SSR!$A$2:$CC$4982,42,FALSE)</f>
        <v>0</v>
      </c>
      <c r="AD187" s="160" t="str">
        <f>VLOOKUP(Table1[[#This Row],[SyStudentId]],SSR!$A$2:$CC$4982,46,FALSE)</f>
        <v>0</v>
      </c>
      <c r="AE187" s="160" t="str">
        <f>VLOOKUP(Table1[[#This Row],[SyStudentId]],SSR!$A$2:$CC$4982,65,FALSE)</f>
        <v>IX</v>
      </c>
      <c r="AF187"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187" s="160" t="str">
        <f>VLOOKUP(Table1[[#This Row],[SyStudentId]],SSR!$A$2:$CC$4982,66,FALSE)</f>
        <v>July-October</v>
      </c>
      <c r="AH187" s="160" t="str">
        <f>IFERROR(VLOOKUP(Table1[[#This Row],[SyStudentId]],ISIR!$A$2:$X$1999,7,FALSE),"")</f>
        <v>000000</v>
      </c>
      <c r="AI187" s="170">
        <f>IF(Table1[[#This Row],[EFCRaw]]="","",IF(Table1[[#This Row],[EFCRaw]]="No EFC","No EFC",_xlfn.NUMBERVALUE(Table1[[#This Row],[EFCRaw]])))</f>
        <v>0</v>
      </c>
      <c r="AJ187" s="167">
        <f>IFERROR(VLOOKUP(Table1[[#This Row],[SyStudentId]],ISIR!$A$2:$X$4999,19,FALSE),"")</f>
        <v>43774</v>
      </c>
      <c r="AK187" s="160" t="str">
        <f>IFERROR(VLOOKUP(Table1[[#This Row],[SyStudentId]],ISIR!$A$2:$X$4999,8,FALSE),"")</f>
        <v>Y</v>
      </c>
      <c r="AL187" s="171" t="str">
        <f>IF(Table1[[#This Row],[VerReq]]="N","n/a","")</f>
        <v/>
      </c>
      <c r="AM187" s="122"/>
      <c r="AN187" s="122"/>
      <c r="AO187" s="122"/>
      <c r="AP187" s="122"/>
      <c r="AQ187" s="122"/>
      <c r="AR187" s="122"/>
      <c r="AS187" s="122"/>
      <c r="AT187" s="122"/>
      <c r="AU187" s="122"/>
      <c r="AV187" s="122"/>
      <c r="AW187" s="122"/>
      <c r="AX187" s="122"/>
      <c r="AY187" s="122"/>
      <c r="AZ187" s="122"/>
      <c r="BA187" s="122"/>
      <c r="BB187" s="122"/>
      <c r="BC187" s="148"/>
      <c r="BD187" s="140" t="str">
        <f>IF(Table1[[#This Row],[VerReq]]="N","x","")</f>
        <v/>
      </c>
      <c r="BE187" s="140" t="str">
        <f>IF(Table1[[#This Row],[VerReq]]="N","x","")</f>
        <v/>
      </c>
      <c r="BF187" s="140" t="str">
        <f>IF(Table1[[#This Row],[VerReq]]="N","x","")</f>
        <v/>
      </c>
      <c r="BG187" s="140" t="str">
        <f>IF(Table1[[#This Row],[VerReq]]="N","x","")</f>
        <v/>
      </c>
      <c r="BH187" s="140" t="str">
        <f>IF(Table1[[#This Row],[VerReq]]="N","x","")</f>
        <v/>
      </c>
      <c r="BI187" s="140" t="str">
        <f>IF(Table1[[#This Row],[VerReq]]="N","x","")</f>
        <v/>
      </c>
      <c r="BJ187" s="181">
        <f>1-((COUNTBLANK(Table1[[#This Row],[ALESent]:[TaxTran]]))/(COUNT(Table1[[#This Row],[ALESent]:[TaxTran]])+COUNTBLANK(Table1[[#This Row],[ALESent]:[TaxTran]])))</f>
        <v>0</v>
      </c>
      <c r="BK187" s="216">
        <f>IF(VLOOKUP(Table1[[#This Row],[SyStudentId]],SSR!$A$2:$CC$4982,22,FALSE)=44109,44109,"Check Program")</f>
        <v>44109</v>
      </c>
      <c r="BL187" s="216">
        <f>IF(Table1[[#This Row],[AYStart]]=44109,44356,"Check Program")</f>
        <v>44356</v>
      </c>
      <c r="BM187" s="219">
        <v>8505</v>
      </c>
      <c r="BN187" s="219">
        <v>8505</v>
      </c>
      <c r="BO187" s="219">
        <v>8505</v>
      </c>
      <c r="BP187" s="220">
        <f t="shared" si="6"/>
        <v>25515</v>
      </c>
      <c r="BQ187" s="221">
        <v>3300</v>
      </c>
      <c r="BR187" s="219">
        <v>400</v>
      </c>
      <c r="BS187" s="219">
        <v>400</v>
      </c>
      <c r="BT187" s="222">
        <f t="shared" si="7"/>
        <v>4100</v>
      </c>
      <c r="BU187" s="219">
        <v>2100</v>
      </c>
      <c r="BV187" s="219">
        <v>2100</v>
      </c>
      <c r="BW187" s="219">
        <v>2100</v>
      </c>
      <c r="BX187" s="222">
        <f t="shared" si="8"/>
        <v>6300</v>
      </c>
      <c r="BY187" s="275">
        <v>1200</v>
      </c>
      <c r="BZ187" s="275">
        <v>1200</v>
      </c>
      <c r="CA187" s="275">
        <v>1200</v>
      </c>
      <c r="CB187" s="222">
        <f>SUM(Table1[[#This Row],[LEQ1]:[LEQ3]])</f>
        <v>3600</v>
      </c>
      <c r="CC187" s="276">
        <v>0</v>
      </c>
      <c r="CD187" s="276">
        <v>0</v>
      </c>
      <c r="CE187" s="276">
        <v>0</v>
      </c>
      <c r="CF187" s="222">
        <f>SUM(Table1[[#This Row],[OthCostQ1]:[OthCostQ3]])</f>
        <v>0</v>
      </c>
      <c r="CG187" s="222">
        <f>(Table1[[#This Row],[T&amp;FTot]]+Table1[[#This Row],[B&amp;STot]]+Table1[[#This Row],[HousTot]]+Table1[[#This Row],[LETot]]+Table1[[#This Row],[OthCostTot]])</f>
        <v>39515</v>
      </c>
      <c r="CH187" s="253">
        <v>0</v>
      </c>
      <c r="CI187" s="253">
        <v>0</v>
      </c>
      <c r="CJ187" s="253">
        <v>0</v>
      </c>
      <c r="CK187" s="254">
        <f>SUM(Table1[[#This Row],[SEOGQ1]:[SEOGQ3]])</f>
        <v>0</v>
      </c>
      <c r="CL187" s="253">
        <f>IFERROR(ROUNDUP(Table1[[#This Row],[PellTot]]/3,0),0)</f>
        <v>2065</v>
      </c>
      <c r="CM187" s="253">
        <f>IFERROR(ROUND(Table1[[#This Row],[PellTot]]/3,0),0)</f>
        <v>2065</v>
      </c>
      <c r="CN187" s="253">
        <f>IFERROR(ROUNDDOWN(Table1[[#This Row],[PellTot]]/3,0),0)</f>
        <v>2065</v>
      </c>
      <c r="CO187" s="254">
        <f>IFERROR(LOOKUP(Table1[EFC],Pell_Table[#Data],Pell_Table[Pell Amt]),0)</f>
        <v>6195</v>
      </c>
      <c r="CP187" s="253">
        <f>Table1[[#This Row],[AccessTot]]/3</f>
        <v>500</v>
      </c>
      <c r="CQ187" s="253">
        <f>Table1[[#This Row],[AccessTot]]/3</f>
        <v>500</v>
      </c>
      <c r="CR187" s="253">
        <f>Table1[[#This Row],[AccessTot]]/3</f>
        <v>500</v>
      </c>
      <c r="CS187" s="254">
        <f>IF(Table1[[#This Row],[PellTot]]&gt;0,1500,0)</f>
        <v>1500</v>
      </c>
      <c r="CT187" s="253">
        <f>Table1[[#This Row],[AchiTot]]/3</f>
        <v>0</v>
      </c>
      <c r="CU187" s="253">
        <f>Table1[[#This Row],[AchiTot]]/3</f>
        <v>0</v>
      </c>
      <c r="CV187" s="253">
        <f>Table1[[#This Row],[AchiTot]]/3</f>
        <v>0</v>
      </c>
      <c r="CW187" s="255">
        <f>IF(Table1[[#This Row],[Rank]]="","",IF(Table1[[#This Row],[Rank]]=1,5100,IF(Table1[[#This Row],[Rank]]=2,4500,IF(Table1[[#This Row],[Rank]]=3,3900,IF(Table1[[#This Row],[Rank]]=4,3750,IF(Table1[[#This Row],[Rank]]=5,3000,IF(Table1[[#This Row],[Rank]]=6,2250,0)))))))</f>
        <v>0</v>
      </c>
      <c r="CX187" s="253">
        <f>Table1[[#This Row],[UTTot]]/3</f>
        <v>0</v>
      </c>
      <c r="CY187" s="253">
        <f>Table1[[#This Row],[UTTot]]/3</f>
        <v>0</v>
      </c>
      <c r="CZ187" s="253">
        <f>Table1[[#This Row],[UTTot]]/3</f>
        <v>0</v>
      </c>
      <c r="DA187" s="254">
        <f>IF(Table1[[#This Row],[State]]="UT",9000,0)</f>
        <v>0</v>
      </c>
      <c r="DB187" s="253">
        <f>Table1[[#This Row],[WITTot]]/3</f>
        <v>0</v>
      </c>
      <c r="DC187" s="253">
        <f>Table1[[#This Row],[WITTot]]/3</f>
        <v>0</v>
      </c>
      <c r="DD187" s="253">
        <f>Table1[[#This Row],[WITTot]]/3</f>
        <v>0</v>
      </c>
      <c r="DE187" s="254">
        <f>IF(Table1[[#This Row],[Gender]]="Female",3000,0)</f>
        <v>0</v>
      </c>
      <c r="DF187" s="253">
        <f>Table1[[#This Row],[SerTot]]/3</f>
        <v>0</v>
      </c>
      <c r="DG187" s="253">
        <f>Table1[[#This Row],[SerTot]]/3</f>
        <v>0</v>
      </c>
      <c r="DH187" s="253">
        <f>Table1[[#This Row],[SerTot]]/3</f>
        <v>0</v>
      </c>
      <c r="DI187" s="255">
        <v>0</v>
      </c>
      <c r="DJ187" s="253">
        <f>IFERROR(ROUNDUP(Table1[[#This Row],[TranTot]]/3,0),0)</f>
        <v>0</v>
      </c>
      <c r="DK187" s="253">
        <f>IFERROR(ROUND(Table1[[#This Row],[TranTot]]/3,0),0)</f>
        <v>0</v>
      </c>
      <c r="DL187" s="253">
        <f>IFERROR(ROUNDDOWN(Table1[[#This Row],[TranTot]]/3,0),0)</f>
        <v>0</v>
      </c>
      <c r="DM187" s="255">
        <v>0</v>
      </c>
      <c r="DN187" s="253">
        <f>Table1[[#This Row],[MatTot]]/3</f>
        <v>0</v>
      </c>
      <c r="DO187" s="253">
        <f>Table1[[#This Row],[MatTot]]/3</f>
        <v>0</v>
      </c>
      <c r="DP187" s="253">
        <f>Table1[[#This Row],[MatTot]]/3</f>
        <v>0</v>
      </c>
      <c r="DQ187" s="255">
        <v>0</v>
      </c>
      <c r="DR187" s="253">
        <f>Table1[[#This Row],[OutTot]]/3</f>
        <v>0</v>
      </c>
      <c r="DS187" s="253">
        <f>Table1[[#This Row],[OutTot]]/3</f>
        <v>0</v>
      </c>
      <c r="DT187" s="253">
        <f>Table1[[#This Row],[OutTot]]/3</f>
        <v>0</v>
      </c>
      <c r="DU187" s="255">
        <v>0</v>
      </c>
      <c r="DV187" s="253">
        <v>0</v>
      </c>
      <c r="DW187" s="253">
        <v>0</v>
      </c>
      <c r="DX187" s="253">
        <v>0</v>
      </c>
      <c r="DY187" s="255">
        <f>SUM(Table1[[#This Row],[VAQ1]:[VAQ3]])</f>
        <v>0</v>
      </c>
      <c r="DZ187" s="253">
        <v>0</v>
      </c>
      <c r="EA187" s="253">
        <v>0</v>
      </c>
      <c r="EB187" s="253">
        <v>0</v>
      </c>
      <c r="EC187" s="278">
        <f>SUM(Table1[[#This Row],[OthGrantQ1]:[OthGrantQ3]])</f>
        <v>0</v>
      </c>
      <c r="ED187" s="264">
        <f>Table1[[#This Row],[SEOGTot]]+Table1[[#This Row],[PellTot]]+Table1[[#This Row],[AccessTot]]+Table1[[#This Row],[AchiTot]]+Table1[[#This Row],[UTTot]]+Table1[[#This Row],[WITTot]]+Table1[[#This Row],[SerTot]]+Table1[[#This Row],[TranTot]]+Table1[[#This Row],[MatTot]]+Table1[[#This Row],[OutTot]]+Table1[[#This Row],[VATot]]+Table1[[#This Row],[OthGrantTot]]</f>
        <v>7695</v>
      </c>
      <c r="EE187" s="298">
        <v>0</v>
      </c>
      <c r="EF187" s="227">
        <v>0</v>
      </c>
      <c r="EG187" s="227">
        <v>0</v>
      </c>
      <c r="EH187" s="228">
        <f>SUM(Table1[[#This Row],[CashQ1]]:Table1[[#This Row],[CashQ3]])</f>
        <v>0</v>
      </c>
      <c r="EI187" s="229">
        <f>ROUND((Table1[[#This Row],[SubTot]]/3)/1.01059,0)</f>
        <v>1154</v>
      </c>
      <c r="EJ187" s="230">
        <f>ROUND((Table1[[#This Row],[SubTot]]/3)/1.01059,0)</f>
        <v>1154</v>
      </c>
      <c r="EK187" s="230">
        <f>ROUNDUP((Table1[[#This Row],[SubTot]]/3)/1.01059,0)</f>
        <v>1155</v>
      </c>
      <c r="EL187" s="231">
        <v>3500</v>
      </c>
      <c r="EM187" s="233">
        <f>Table1[[#This Row],[SubTot]]*0.01059</f>
        <v>37.065000000000005</v>
      </c>
      <c r="EN187" s="230">
        <f>ROUND((Table1[[#This Row],[UnsubTot]]/3)/1.01062,0)</f>
        <v>660</v>
      </c>
      <c r="EO187" s="230">
        <f>ROUND((Table1[[#This Row],[UnsubTot]]/3)/1.01062,0)</f>
        <v>660</v>
      </c>
      <c r="EP187" s="230">
        <f>ROUNDDOWN((Table1[[#This Row],[UnsubTot]]/3)/1.01062,0)</f>
        <v>659</v>
      </c>
      <c r="EQ187" s="231">
        <f>IF(Table1[D/I]="I",6000,2000)</f>
        <v>2000</v>
      </c>
      <c r="ER187" s="233">
        <f>Table1[[#This Row],[UnsubTot]]*0.01059</f>
        <v>21.18</v>
      </c>
      <c r="ES187" s="230">
        <f>ROUND((Table1[[#This Row],[PLUSTot]]/3)/1.04236,0)</f>
        <v>0</v>
      </c>
      <c r="ET187" s="230">
        <f>ROUND((Table1[[#This Row],[PLUSTot]]/3)/1.04236,0)</f>
        <v>0</v>
      </c>
      <c r="EU187" s="230">
        <f>ROUND((Table1[[#This Row],[PLUSTot]]/3)/1.04236,0)</f>
        <v>0</v>
      </c>
      <c r="EV187" s="231">
        <v>0</v>
      </c>
      <c r="EW187" s="236">
        <f>Table1[[#This Row],[PLUSTot]]*0.04236</f>
        <v>0</v>
      </c>
      <c r="EX187" s="227"/>
      <c r="EY187" s="227"/>
      <c r="EZ187" s="227"/>
      <c r="FA187" s="228">
        <f>SUM(Table1[[#This Row],[PrivQ1]:[PrivQ3]])</f>
        <v>0</v>
      </c>
      <c r="FB187" s="227"/>
      <c r="FC187" s="227"/>
      <c r="FD187" s="227"/>
      <c r="FE187" s="228">
        <f>SUM(Table1[[#This Row],[TOQ1]:[TOQ3]])</f>
        <v>0</v>
      </c>
      <c r="FF187" s="227"/>
      <c r="FG187" s="227"/>
      <c r="FH187" s="227"/>
      <c r="FI187" s="228">
        <f>SUM(Table1[[#This Row],[OFundQ1]:[OFundQ3]])</f>
        <v>0</v>
      </c>
      <c r="FJ187" s="236">
        <f>(Table1[[#This Row],[SubTot]]-Table1[[#This Row],[SubFee]])+(Table1[[#This Row],[UnsubTot]]-Table1[[#This Row],[UnsubFee]])+(Table1[[#This Row],[PLUSTot]]-Table1[[#This Row],[PLUSFee]])+Table1[[#This Row],[PrivTot]]+Table1[[#This Row],[TOTot]]+Table1[[#This Row],[OFundTot]]</f>
        <v>5441.7550000000001</v>
      </c>
      <c r="FK187" s="159">
        <f>Table1[[#This Row],[CostTot]]-Table1[[#This Row],[GiftTot]]</f>
        <v>31820</v>
      </c>
      <c r="FL187" s="174">
        <f>Table1[[#This Row],[NetNeed]]/(1-0.04236)</f>
        <v>27545.053464767552</v>
      </c>
      <c r="FM187" s="176">
        <f>Table1[[#This Row],[NetCost]]-Table1[[#This Row],[CashTot]]-(Table1[[#This Row],[SubTot]]-Table1[[#This Row],[SubFee]])-(Table1[[#This Row],[UnsubTot]]-Table1[[#This Row],[UnsubFee]])-(Table1[[#This Row],[PLUSTot]]-Table1[[#This Row],[PLUSFee]])-Table1[[#This Row],[PrivTot]]-Table1[[#This Row],[TOTot]]-Table1[[#This Row],[OFundTot]]</f>
        <v>26378.244999999999</v>
      </c>
      <c r="FN187" s="217"/>
      <c r="FO187" s="162"/>
      <c r="FP187" s="162"/>
    </row>
    <row r="188" spans="1:172" ht="15" x14ac:dyDescent="0.25">
      <c r="A188" s="310">
        <v>198355</v>
      </c>
      <c r="B188" s="160" t="str">
        <f>VLOOKUP(Table1[[#This Row],[SyStudentId]],SSR!$A$2:$CC$4982,4,FALSE)</f>
        <v>Velasquez</v>
      </c>
      <c r="C188" s="160" t="str">
        <f>VLOOKUP(Table1[[#This Row],[SyStudentId]],SSR!$A$2:$CC$4982,5,FALSE)</f>
        <v>Daniel</v>
      </c>
      <c r="D188" s="160" t="str">
        <f>VLOOKUP(Table1[[#This Row],[SyStudentId]],SSR!$A$2:$CC$4982,6,FALSE)</f>
        <v>Velasquez, Daniel</v>
      </c>
      <c r="E188" s="113" t="str">
        <f>CONCATENATE(Table1[[#This Row],[FirstName]]," ",Table1[[#This Row],[LastName]])</f>
        <v>Daniel Velasquez</v>
      </c>
      <c r="F188" s="158">
        <v>1</v>
      </c>
      <c r="G188" s="114">
        <v>43783</v>
      </c>
      <c r="H188" s="114">
        <v>43783</v>
      </c>
      <c r="I188" s="114">
        <v>43783</v>
      </c>
      <c r="J188" s="163"/>
      <c r="K188" s="164"/>
      <c r="L188" s="158" t="str">
        <f>IFERROR(VLOOKUP(Table1[[#This Row],[SyStudentId]],ISIR!$A$2:$X$4999,11,FALSE),"")</f>
        <v>D</v>
      </c>
      <c r="M188" s="160" t="str">
        <f>VLOOKUP(Table1[[#This Row],[SyStudentId]],SSR!$A$2:$CC$4982,7,FALSE)</f>
        <v>djandres61@gmail.com</v>
      </c>
      <c r="N188" s="160" t="str">
        <f>VLOOKUP(Table1[[#This Row],[SyStudentId]],SSR!$A$2:$CC$4982,8,FALSE)</f>
        <v>220 Windsor Place Cir Apt H</v>
      </c>
      <c r="O188" s="160" t="str">
        <f>VLOOKUP(Table1[[#This Row],[SyStudentId]],SSR!$A$2:$CC$4982,9,FALSE)</f>
        <v>Randleman</v>
      </c>
      <c r="P188" s="304" t="str">
        <f>VLOOKUP(Table1[[#This Row],[SyStudentId]],SSR!$A$2:$CC$4982,10,FALSE)</f>
        <v>NC</v>
      </c>
      <c r="Q188" s="165" t="str">
        <f>VLOOKUP(Table1[[#This Row],[SyStudentId]],SSR!$A$2:$CC$4982,11,FALSE)</f>
        <v>27317-2115</v>
      </c>
      <c r="R188" s="166">
        <f>VLOOKUP(Table1[[#This Row],[SyStudentId]],SSR!$A$2:$CC$4982,15,FALSE)</f>
        <v>3.9523999999999999</v>
      </c>
      <c r="S188" s="167">
        <f>VLOOKUP(Table1[[#This Row],[SyStudentId]],SSR!$A$2:$CC$4982,22,FALSE)</f>
        <v>44109</v>
      </c>
      <c r="T188" s="160" t="str">
        <f>VLOOKUP(Table1[[#This Row],[SyStudentId]],SSR!$A$2:$CC$4982,24,FALSE)</f>
        <v>JT</v>
      </c>
      <c r="U188" s="160" t="str">
        <f>IF(VLOOKUP(Table1[[#This Row],[SyStudentId]],SSR!$A$2:$CC$4982,26,FALSE)=0,"Not Selected",VLOOKUP(Table1[[#This Row],[SyStudentId]],SSR!$A$2:$CC$4982,26,FALSE))</f>
        <v>Male</v>
      </c>
      <c r="V188" s="160" t="str">
        <f>VLOOKUP(Table1[[#This Row],[SyStudentId]],SSR!$A$2:$CC$4982,27,FALSE)</f>
        <v xml:space="preserve">HS2020  </v>
      </c>
      <c r="W188" s="160" t="str">
        <f>VLOOKUP(LEFT(Table1[[#This Row],[LastName]],1),Alpha!$A$1:$B$26,2,FALSE)</f>
        <v>Maureen Ranks</v>
      </c>
      <c r="X188" s="179" t="str">
        <f>VLOOKUP(Table1[[#This Row],[FAA]],Alpha!$B$1:$D$26,2,FALSE)</f>
        <v>mranks@neumont.edu</v>
      </c>
      <c r="Y188" s="160">
        <f>VLOOKUP(Table1[[#This Row],[FAA]],Alpha!$B$1:$D$26,3,FALSE)</f>
        <v>8883022894</v>
      </c>
      <c r="Z188" s="160" t="str">
        <f>VLOOKUP(Table1[[#This Row],[SyStudentId]],SSR!$A$2:$CC$4982,30,FALSE)</f>
        <v>16-Accepted</v>
      </c>
      <c r="AA188" s="160" t="str">
        <f>IF(VLOOKUP(Table1[[#This Row],[SyStudentId]],SSR!$A$2:$CC$4982,36,FALSE)="Bachelor of Science","BS Computer Science","Check Program")</f>
        <v>BS Computer Science</v>
      </c>
      <c r="AB188" s="160" t="str">
        <f>VLOOKUP(Table1[[#This Row],[SyStudentId]],SSR!$A$2:$CC$4982,37,FALSE)</f>
        <v xml:space="preserve">20      </v>
      </c>
      <c r="AC188" s="160">
        <f>VLOOKUP(Table1[[#This Row],[SyStudentId]],SSR!$A$2:$CC$4982,42,FALSE)</f>
        <v>0</v>
      </c>
      <c r="AD188" s="160" t="str">
        <f>VLOOKUP(Table1[[#This Row],[SyStudentId]],SSR!$A$2:$CC$4982,46,FALSE)</f>
        <v>113</v>
      </c>
      <c r="AE188" s="160" t="str">
        <f>VLOOKUP(Table1[[#This Row],[SyStudentId]],SSR!$A$2:$CC$4982,65,FALSE)</f>
        <v>I</v>
      </c>
      <c r="AF188"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88" s="160" t="str">
        <f>VLOOKUP(Table1[[#This Row],[SyStudentId]],SSR!$A$2:$CC$4982,66,FALSE)</f>
        <v>July-October</v>
      </c>
      <c r="AH188" s="160" t="str">
        <f>IFERROR(VLOOKUP(Table1[[#This Row],[SyStudentId]],ISIR!$A$2:$X$1999,7,FALSE),"")</f>
        <v>003543</v>
      </c>
      <c r="AI188" s="170">
        <f>IF(Table1[[#This Row],[EFCRaw]]="","",IF(Table1[[#This Row],[EFCRaw]]="No EFC","No EFC",_xlfn.NUMBERVALUE(Table1[[#This Row],[EFCRaw]])))</f>
        <v>3543</v>
      </c>
      <c r="AJ188" s="167">
        <f>IFERROR(VLOOKUP(Table1[[#This Row],[SyStudentId]],ISIR!$A$2:$X$4999,19,FALSE),"")</f>
        <v>43774</v>
      </c>
      <c r="AK188" s="160" t="str">
        <f>IFERROR(VLOOKUP(Table1[[#This Row],[SyStudentId]],ISIR!$A$2:$X$4999,8,FALSE),"")</f>
        <v>Y</v>
      </c>
      <c r="AL188" s="178" t="str">
        <f>IF(Table1[[#This Row],[VerReq]]="N","n/a","")</f>
        <v/>
      </c>
      <c r="AM188" s="122"/>
      <c r="AN188" s="122"/>
      <c r="AO188" s="122"/>
      <c r="AP188" s="122"/>
      <c r="AQ188" s="122"/>
      <c r="AR188" s="122"/>
      <c r="AS188" s="122"/>
      <c r="AT188" s="122"/>
      <c r="AU188" s="122"/>
      <c r="AV188" s="122"/>
      <c r="AW188" s="122"/>
      <c r="AX188" s="122"/>
      <c r="AY188" s="122"/>
      <c r="AZ188" s="122"/>
      <c r="BA188" s="122"/>
      <c r="BB188" s="122"/>
      <c r="BC188" s="148"/>
      <c r="BD188" s="140" t="str">
        <f>IF(Table1[[#This Row],[VerReq]]="N","x","")</f>
        <v/>
      </c>
      <c r="BE188" s="140" t="str">
        <f>IF(Table1[[#This Row],[VerReq]]="N","x","")</f>
        <v/>
      </c>
      <c r="BF188" s="140" t="str">
        <f>IF(Table1[[#This Row],[VerReq]]="N","x","")</f>
        <v/>
      </c>
      <c r="BG188" s="140" t="str">
        <f>IF(Table1[[#This Row],[VerReq]]="N","x","")</f>
        <v/>
      </c>
      <c r="BH188" s="140" t="str">
        <f>IF(Table1[[#This Row],[VerReq]]="N","x","")</f>
        <v/>
      </c>
      <c r="BI188" s="140" t="str">
        <f>IF(Table1[[#This Row],[VerReq]]="N","x","")</f>
        <v/>
      </c>
      <c r="BJ188" s="181">
        <f>1-((COUNTBLANK(Table1[[#This Row],[ALESent]:[TaxTran]]))/(COUNT(Table1[[#This Row],[ALESent]:[TaxTran]])+COUNTBLANK(Table1[[#This Row],[ALESent]:[TaxTran]])))</f>
        <v>0</v>
      </c>
      <c r="BK188" s="216">
        <f>IF(VLOOKUP(Table1[[#This Row],[SyStudentId]],SSR!$A$2:$CC$4982,22,FALSE)=44109,44109,"Check Program")</f>
        <v>44109</v>
      </c>
      <c r="BL188" s="216">
        <f>IF(Table1[[#This Row],[AYStart]]=44109,44356,"Check Program")</f>
        <v>44356</v>
      </c>
      <c r="BM188" s="219">
        <v>8505</v>
      </c>
      <c r="BN188" s="219">
        <v>8505</v>
      </c>
      <c r="BO188" s="219">
        <v>8505</v>
      </c>
      <c r="BP188" s="220">
        <f t="shared" si="6"/>
        <v>25515</v>
      </c>
      <c r="BQ188" s="221">
        <v>3300</v>
      </c>
      <c r="BR188" s="219">
        <v>400</v>
      </c>
      <c r="BS188" s="219">
        <v>400</v>
      </c>
      <c r="BT188" s="222">
        <f t="shared" si="7"/>
        <v>4100</v>
      </c>
      <c r="BU188" s="219">
        <v>2100</v>
      </c>
      <c r="BV188" s="219">
        <v>2100</v>
      </c>
      <c r="BW188" s="219">
        <v>2100</v>
      </c>
      <c r="BX188" s="222">
        <f t="shared" si="8"/>
        <v>6300</v>
      </c>
      <c r="BY188" s="275">
        <v>1200</v>
      </c>
      <c r="BZ188" s="275">
        <v>1200</v>
      </c>
      <c r="CA188" s="275">
        <v>1200</v>
      </c>
      <c r="CB188" s="222">
        <f>SUM(Table1[[#This Row],[LEQ1]:[LEQ3]])</f>
        <v>3600</v>
      </c>
      <c r="CC188" s="276">
        <v>0</v>
      </c>
      <c r="CD188" s="276">
        <v>0</v>
      </c>
      <c r="CE188" s="276">
        <v>0</v>
      </c>
      <c r="CF188" s="222">
        <f>SUM(Table1[[#This Row],[OthCostQ1]:[OthCostQ3]])</f>
        <v>0</v>
      </c>
      <c r="CG188" s="222">
        <f>(Table1[[#This Row],[T&amp;FTot]]+Table1[[#This Row],[B&amp;STot]]+Table1[[#This Row],[HousTot]]+Table1[[#This Row],[LETot]]+Table1[[#This Row],[OthCostTot]])</f>
        <v>39515</v>
      </c>
      <c r="CH188" s="253">
        <v>0</v>
      </c>
      <c r="CI188" s="253">
        <v>0</v>
      </c>
      <c r="CJ188" s="253">
        <v>0</v>
      </c>
      <c r="CK188" s="254">
        <f>SUM(Table1[[#This Row],[SEOGQ1]:[SEOGQ3]])</f>
        <v>0</v>
      </c>
      <c r="CL188" s="253">
        <f>IFERROR(ROUNDUP(Table1[[#This Row],[PellTot]]/3,0),0)</f>
        <v>882</v>
      </c>
      <c r="CM188" s="253">
        <f>IFERROR(ROUND(Table1[[#This Row],[PellTot]]/3,0),0)</f>
        <v>882</v>
      </c>
      <c r="CN188" s="253">
        <f>IFERROR(ROUNDDOWN(Table1[[#This Row],[PellTot]]/3,0),0)</f>
        <v>881</v>
      </c>
      <c r="CO188" s="254">
        <f>IFERROR(LOOKUP(Table1[EFC],Pell_Table[#Data],Pell_Table[Pell Amt]),0)</f>
        <v>2645</v>
      </c>
      <c r="CP188" s="253">
        <f>Table1[[#This Row],[AccessTot]]/3</f>
        <v>500</v>
      </c>
      <c r="CQ188" s="253">
        <f>Table1[[#This Row],[AccessTot]]/3</f>
        <v>500</v>
      </c>
      <c r="CR188" s="253">
        <f>Table1[[#This Row],[AccessTot]]/3</f>
        <v>500</v>
      </c>
      <c r="CS188" s="254">
        <f>IF(Table1[[#This Row],[PellTot]]&gt;0,1500,0)</f>
        <v>1500</v>
      </c>
      <c r="CT188" s="253">
        <f>Table1[[#This Row],[AchiTot]]/3</f>
        <v>1700</v>
      </c>
      <c r="CU188" s="253">
        <f>Table1[[#This Row],[AchiTot]]/3</f>
        <v>1700</v>
      </c>
      <c r="CV188" s="253">
        <f>Table1[[#This Row],[AchiTot]]/3</f>
        <v>1700</v>
      </c>
      <c r="CW188" s="255">
        <f>IF(Table1[[#This Row],[Rank]]="","",IF(Table1[[#This Row],[Rank]]=1,5100,IF(Table1[[#This Row],[Rank]]=2,4500,IF(Table1[[#This Row],[Rank]]=3,3900,IF(Table1[[#This Row],[Rank]]=4,3750,IF(Table1[[#This Row],[Rank]]=5,3000,IF(Table1[[#This Row],[Rank]]=6,2250,0)))))))</f>
        <v>5100</v>
      </c>
      <c r="CX188" s="253">
        <f>Table1[[#This Row],[UTTot]]/3</f>
        <v>0</v>
      </c>
      <c r="CY188" s="253">
        <f>Table1[[#This Row],[UTTot]]/3</f>
        <v>0</v>
      </c>
      <c r="CZ188" s="253">
        <f>Table1[[#This Row],[UTTot]]/3</f>
        <v>0</v>
      </c>
      <c r="DA188" s="254">
        <f>IF(Table1[[#This Row],[State]]="UT",9000,0)</f>
        <v>0</v>
      </c>
      <c r="DB188" s="253">
        <f>Table1[[#This Row],[WITTot]]/3</f>
        <v>0</v>
      </c>
      <c r="DC188" s="253">
        <f>Table1[[#This Row],[WITTot]]/3</f>
        <v>0</v>
      </c>
      <c r="DD188" s="253">
        <f>Table1[[#This Row],[WITTot]]/3</f>
        <v>0</v>
      </c>
      <c r="DE188" s="254">
        <f>IF(Table1[[#This Row],[Gender]]="Female",3000,0)</f>
        <v>0</v>
      </c>
      <c r="DF188" s="253">
        <f>Table1[[#This Row],[SerTot]]/3</f>
        <v>0</v>
      </c>
      <c r="DG188" s="253">
        <f>Table1[[#This Row],[SerTot]]/3</f>
        <v>0</v>
      </c>
      <c r="DH188" s="253">
        <f>Table1[[#This Row],[SerTot]]/3</f>
        <v>0</v>
      </c>
      <c r="DI188" s="255">
        <v>0</v>
      </c>
      <c r="DJ188" s="253">
        <f>IFERROR(ROUNDUP(Table1[[#This Row],[TranTot]]/3,0),0)</f>
        <v>0</v>
      </c>
      <c r="DK188" s="253">
        <f>IFERROR(ROUND(Table1[[#This Row],[TranTot]]/3,0),0)</f>
        <v>0</v>
      </c>
      <c r="DL188" s="253">
        <f>IFERROR(ROUNDDOWN(Table1[[#This Row],[TranTot]]/3,0),0)</f>
        <v>0</v>
      </c>
      <c r="DM188" s="255">
        <v>0</v>
      </c>
      <c r="DN188" s="253">
        <f>Table1[[#This Row],[MatTot]]/3</f>
        <v>0</v>
      </c>
      <c r="DO188" s="253">
        <f>Table1[[#This Row],[MatTot]]/3</f>
        <v>0</v>
      </c>
      <c r="DP188" s="253">
        <f>Table1[[#This Row],[MatTot]]/3</f>
        <v>0</v>
      </c>
      <c r="DQ188" s="255">
        <v>0</v>
      </c>
      <c r="DR188" s="253">
        <f>Table1[[#This Row],[OutTot]]/3</f>
        <v>0</v>
      </c>
      <c r="DS188" s="253">
        <f>Table1[[#This Row],[OutTot]]/3</f>
        <v>0</v>
      </c>
      <c r="DT188" s="253">
        <f>Table1[[#This Row],[OutTot]]/3</f>
        <v>0</v>
      </c>
      <c r="DU188" s="255">
        <v>0</v>
      </c>
      <c r="DV188" s="253">
        <v>0</v>
      </c>
      <c r="DW188" s="253">
        <v>0</v>
      </c>
      <c r="DX188" s="253">
        <v>0</v>
      </c>
      <c r="DY188" s="255">
        <f>SUM(Table1[[#This Row],[VAQ1]:[VAQ3]])</f>
        <v>0</v>
      </c>
      <c r="DZ188" s="253">
        <v>0</v>
      </c>
      <c r="EA188" s="253">
        <v>0</v>
      </c>
      <c r="EB188" s="253">
        <v>0</v>
      </c>
      <c r="EC188" s="278">
        <f>SUM(Table1[[#This Row],[OthGrantQ1]:[OthGrantQ3]])</f>
        <v>0</v>
      </c>
      <c r="ED188" s="264">
        <f>Table1[[#This Row],[SEOGTot]]+Table1[[#This Row],[PellTot]]+Table1[[#This Row],[AccessTot]]+Table1[[#This Row],[AchiTot]]+Table1[[#This Row],[UTTot]]+Table1[[#This Row],[WITTot]]+Table1[[#This Row],[SerTot]]+Table1[[#This Row],[TranTot]]+Table1[[#This Row],[MatTot]]+Table1[[#This Row],[OutTot]]+Table1[[#This Row],[VATot]]+Table1[[#This Row],[OthGrantTot]]</f>
        <v>9245</v>
      </c>
      <c r="EE188" s="298">
        <v>0</v>
      </c>
      <c r="EF188" s="227">
        <v>0</v>
      </c>
      <c r="EG188" s="227">
        <v>0</v>
      </c>
      <c r="EH188" s="228">
        <f>SUM(Table1[[#This Row],[CashQ1]]:Table1[[#This Row],[CashQ3]])</f>
        <v>0</v>
      </c>
      <c r="EI188" s="229">
        <f>ROUND((Table1[[#This Row],[SubTot]]/3)/1.01059,0)</f>
        <v>1154</v>
      </c>
      <c r="EJ188" s="230">
        <f>ROUND((Table1[[#This Row],[SubTot]]/3)/1.01059,0)</f>
        <v>1154</v>
      </c>
      <c r="EK188" s="230">
        <f>ROUNDUP((Table1[[#This Row],[SubTot]]/3)/1.01059,0)</f>
        <v>1155</v>
      </c>
      <c r="EL188" s="231">
        <v>3500</v>
      </c>
      <c r="EM188" s="233">
        <f>Table1[[#This Row],[SubTot]]*0.01059</f>
        <v>37.065000000000005</v>
      </c>
      <c r="EN188" s="230">
        <f>ROUND((Table1[[#This Row],[UnsubTot]]/3)/1.01062,0)</f>
        <v>660</v>
      </c>
      <c r="EO188" s="230">
        <f>ROUND((Table1[[#This Row],[UnsubTot]]/3)/1.01062,0)</f>
        <v>660</v>
      </c>
      <c r="EP188" s="230">
        <f>ROUNDDOWN((Table1[[#This Row],[UnsubTot]]/3)/1.01062,0)</f>
        <v>659</v>
      </c>
      <c r="EQ188" s="231">
        <f>IF(Table1[D/I]="I",6000,2000)</f>
        <v>2000</v>
      </c>
      <c r="ER188" s="233">
        <f>Table1[[#This Row],[UnsubTot]]*0.01059</f>
        <v>21.18</v>
      </c>
      <c r="ES188" s="230">
        <f>ROUND((Table1[[#This Row],[PLUSTot]]/3)/1.04236,0)</f>
        <v>0</v>
      </c>
      <c r="ET188" s="230">
        <f>ROUND((Table1[[#This Row],[PLUSTot]]/3)/1.04236,0)</f>
        <v>0</v>
      </c>
      <c r="EU188" s="230">
        <f>ROUND((Table1[[#This Row],[PLUSTot]]/3)/1.04236,0)</f>
        <v>0</v>
      </c>
      <c r="EV188" s="231">
        <v>0</v>
      </c>
      <c r="EW188" s="236">
        <f>Table1[[#This Row],[PLUSTot]]*0.04236</f>
        <v>0</v>
      </c>
      <c r="EX188" s="227"/>
      <c r="EY188" s="227"/>
      <c r="EZ188" s="227"/>
      <c r="FA188" s="228">
        <f>SUM(Table1[[#This Row],[PrivQ1]:[PrivQ3]])</f>
        <v>0</v>
      </c>
      <c r="FB188" s="227"/>
      <c r="FC188" s="227"/>
      <c r="FD188" s="227"/>
      <c r="FE188" s="228">
        <f>SUM(Table1[[#This Row],[TOQ1]:[TOQ3]])</f>
        <v>0</v>
      </c>
      <c r="FF188" s="227"/>
      <c r="FG188" s="227"/>
      <c r="FH188" s="227"/>
      <c r="FI188" s="228">
        <f>SUM(Table1[[#This Row],[OFundQ1]:[OFundQ3]])</f>
        <v>0</v>
      </c>
      <c r="FJ188" s="236">
        <f>(Table1[[#This Row],[SubTot]]-Table1[[#This Row],[SubFee]])+(Table1[[#This Row],[UnsubTot]]-Table1[[#This Row],[UnsubFee]])+(Table1[[#This Row],[PLUSTot]]-Table1[[#This Row],[PLUSFee]])+Table1[[#This Row],[PrivTot]]+Table1[[#This Row],[TOTot]]+Table1[[#This Row],[OFundTot]]</f>
        <v>5441.7550000000001</v>
      </c>
      <c r="FK188" s="159">
        <f>Table1[[#This Row],[CostTot]]-Table1[[#This Row],[GiftTot]]</f>
        <v>30270</v>
      </c>
      <c r="FL188" s="174">
        <f>Table1[[#This Row],[NetNeed]]/(1-0.04236)</f>
        <v>25926.491165782547</v>
      </c>
      <c r="FM188" s="176">
        <f>Table1[[#This Row],[NetCost]]-Table1[[#This Row],[CashTot]]-(Table1[[#This Row],[SubTot]]-Table1[[#This Row],[SubFee]])-(Table1[[#This Row],[UnsubTot]]-Table1[[#This Row],[UnsubFee]])-(Table1[[#This Row],[PLUSTot]]-Table1[[#This Row],[PLUSFee]])-Table1[[#This Row],[PrivTot]]-Table1[[#This Row],[TOTot]]-Table1[[#This Row],[OFundTot]]</f>
        <v>24828.244999999999</v>
      </c>
      <c r="FN188" s="217"/>
      <c r="FO188" s="162"/>
      <c r="FP188" s="162"/>
    </row>
    <row r="189" spans="1:172" ht="15" x14ac:dyDescent="0.25">
      <c r="A189" s="160">
        <v>196426</v>
      </c>
      <c r="B189" s="160" t="str">
        <f>VLOOKUP(Table1[[#This Row],[SyStudentId]],SSR!$A$2:$CC$4982,4,FALSE)</f>
        <v>Villegas</v>
      </c>
      <c r="C189" s="160" t="str">
        <f>VLOOKUP(Table1[[#This Row],[SyStudentId]],SSR!$A$2:$CC$4982,5,FALSE)</f>
        <v>Colton</v>
      </c>
      <c r="D189" s="180" t="str">
        <f>VLOOKUP(Table1[[#This Row],[SyStudentId]],SSR!$A$2:$CC$4982,6,FALSE)</f>
        <v>Villegas, Colton</v>
      </c>
      <c r="E189" s="113" t="str">
        <f>CONCATENATE(Table1[[#This Row],[FirstName]]," ",Table1[[#This Row],[LastName]])</f>
        <v>Colton Villegas</v>
      </c>
      <c r="F189" s="158"/>
      <c r="G189" s="114"/>
      <c r="H189" s="114"/>
      <c r="I189" s="114"/>
      <c r="J189" s="163"/>
      <c r="K189" s="164"/>
      <c r="L189" s="158" t="str">
        <f>IFERROR(VLOOKUP(Table1[[#This Row],[SyStudentId]],ISIR!$A$2:$X$4999,11,FALSE),"")</f>
        <v/>
      </c>
      <c r="M189" s="160" t="str">
        <f>VLOOKUP(Table1[[#This Row],[SyStudentId]],SSR!$A$2:$CC$4982,7,FALSE)</f>
        <v>Colton.villegas@s.demingps.org</v>
      </c>
      <c r="N189" s="160" t="str">
        <f>VLOOKUP(Table1[[#This Row],[SyStudentId]],SSR!$A$2:$CC$4982,8,FALSE)</f>
        <v>575 Pampas Rd Sw</v>
      </c>
      <c r="O189" s="160" t="str">
        <f>VLOOKUP(Table1[[#This Row],[SyStudentId]],SSR!$A$2:$CC$4982,9,FALSE)</f>
        <v>Deming</v>
      </c>
      <c r="P189" s="230" t="str">
        <f>VLOOKUP(Table1[[#This Row],[SyStudentId]],SSR!$A$2:$CC$4982,10,FALSE)</f>
        <v>NM</v>
      </c>
      <c r="Q189" s="165" t="str">
        <f>VLOOKUP(Table1[[#This Row],[SyStudentId]],SSR!$A$2:$CC$4982,11,FALSE)</f>
        <v>88030-8692</v>
      </c>
      <c r="R189" s="166">
        <f>VLOOKUP(Table1[[#This Row],[SyStudentId]],SSR!$A$2:$CC$4982,15,FALSE)</f>
        <v>3.57</v>
      </c>
      <c r="S189" s="167">
        <f>VLOOKUP(Table1[[#This Row],[SyStudentId]],SSR!$A$2:$CC$4982,22,FALSE)</f>
        <v>44109</v>
      </c>
      <c r="T189" s="160" t="str">
        <f>VLOOKUP(Table1[[#This Row],[SyStudentId]],SSR!$A$2:$CC$4982,24,FALSE)</f>
        <v>JT</v>
      </c>
      <c r="U189" s="160" t="str">
        <f>IF(VLOOKUP(Table1[[#This Row],[SyStudentId]],SSR!$A$2:$CC$4982,26,FALSE)=0,"Not Selected",VLOOKUP(Table1[[#This Row],[SyStudentId]],SSR!$A$2:$CC$4982,26,FALSE))</f>
        <v>Male</v>
      </c>
      <c r="V189" s="160" t="str">
        <f>VLOOKUP(Table1[[#This Row],[SyStudentId]],SSR!$A$2:$CC$4982,27,FALSE)</f>
        <v xml:space="preserve">HS2020  </v>
      </c>
      <c r="W189" s="160" t="str">
        <f>VLOOKUP(LEFT(Table1[[#This Row],[LastName]],1),Alpha!$A$1:$B$26,2,FALSE)</f>
        <v>Maureen Ranks</v>
      </c>
      <c r="X189" s="268" t="str">
        <f>VLOOKUP(Table1[[#This Row],[FAA]],Alpha!$B$1:$D$26,2,FALSE)</f>
        <v>mranks@neumont.edu</v>
      </c>
      <c r="Y189" s="160">
        <f>VLOOKUP(Table1[[#This Row],[FAA]],Alpha!$B$1:$D$26,3,FALSE)</f>
        <v>8883022894</v>
      </c>
      <c r="Z189" s="160" t="str">
        <f>VLOOKUP(Table1[[#This Row],[SyStudentId]],SSR!$A$2:$CC$4982,30,FALSE)</f>
        <v>16-Accepted</v>
      </c>
      <c r="AA189" s="160" t="str">
        <f>IF(VLOOKUP(Table1[[#This Row],[SyStudentId]],SSR!$A$2:$CC$4982,36,FALSE)="Bachelor of Science","BS Computer Science","Check Program")</f>
        <v>BS Computer Science</v>
      </c>
      <c r="AB189" s="160">
        <f>VLOOKUP(Table1[[#This Row],[SyStudentId]],SSR!$A$2:$CC$4982,37,FALSE)</f>
        <v>0</v>
      </c>
      <c r="AC189" s="160">
        <f>VLOOKUP(Table1[[#This Row],[SyStudentId]],SSR!$A$2:$CC$4982,42,FALSE)</f>
        <v>0</v>
      </c>
      <c r="AD189" s="160" t="str">
        <f>VLOOKUP(Table1[[#This Row],[SyStudentId]],SSR!$A$2:$CC$4982,46,FALSE)</f>
        <v>0</v>
      </c>
      <c r="AE189" s="160" t="str">
        <f>VLOOKUP(Table1[[#This Row],[SyStudentId]],SSR!$A$2:$CC$4982,65,FALSE)</f>
        <v>VII</v>
      </c>
      <c r="AF189"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7</v>
      </c>
      <c r="AG189" s="160" t="str">
        <f>VLOOKUP(Table1[[#This Row],[SyStudentId]],SSR!$A$2:$CC$4982,66,FALSE)</f>
        <v>July-October</v>
      </c>
      <c r="AH189" s="160" t="str">
        <f>IFERROR(VLOOKUP(Table1[[#This Row],[SyStudentId]],ISIR!$A$2:$X$1999,7,FALSE),"")</f>
        <v/>
      </c>
      <c r="AI189" s="170" t="str">
        <f>IF(Table1[[#This Row],[EFCRaw]]="","",IF(Table1[[#This Row],[EFCRaw]]="No EFC","No EFC",_xlfn.NUMBERVALUE(Table1[[#This Row],[EFCRaw]])))</f>
        <v/>
      </c>
      <c r="AJ189" s="167" t="str">
        <f>IFERROR(VLOOKUP(Table1[[#This Row],[SyStudentId]],ISIR!$A$2:$X$4999,19,FALSE),"")</f>
        <v/>
      </c>
      <c r="AK189" s="160" t="str">
        <f>IFERROR(VLOOKUP(Table1[[#This Row],[SyStudentId]],ISIR!$A$2:$X$4999,8,FALSE),"")</f>
        <v/>
      </c>
      <c r="AL189" s="171" t="str">
        <f>IF(Table1[[#This Row],[VerReq]]="N","n/a","")</f>
        <v/>
      </c>
      <c r="AM189" s="122"/>
      <c r="AN189" s="122"/>
      <c r="AO189" s="122"/>
      <c r="AP189" s="122"/>
      <c r="AQ189" s="122"/>
      <c r="AR189" s="122"/>
      <c r="AS189" s="122"/>
      <c r="AT189" s="122"/>
      <c r="AU189" s="122"/>
      <c r="AV189" s="122"/>
      <c r="AW189" s="122"/>
      <c r="AX189" s="122"/>
      <c r="AY189" s="122"/>
      <c r="AZ189" s="122"/>
      <c r="BA189" s="122"/>
      <c r="BB189" s="122"/>
      <c r="BC189" s="148"/>
      <c r="BD189" s="140" t="str">
        <f>IF(Table1[[#This Row],[VerReq]]="N","x","")</f>
        <v/>
      </c>
      <c r="BE189" s="140" t="str">
        <f>IF(Table1[[#This Row],[VerReq]]="N","x","")</f>
        <v/>
      </c>
      <c r="BF189" s="140" t="str">
        <f>IF(Table1[[#This Row],[VerReq]]="N","x","")</f>
        <v/>
      </c>
      <c r="BG189" s="140" t="str">
        <f>IF(Table1[[#This Row],[VerReq]]="N","x","")</f>
        <v/>
      </c>
      <c r="BH189" s="140" t="str">
        <f>IF(Table1[[#This Row],[VerReq]]="N","x","")</f>
        <v/>
      </c>
      <c r="BI189" s="140" t="str">
        <f>IF(Table1[[#This Row],[VerReq]]="N","x","")</f>
        <v/>
      </c>
      <c r="BJ189" s="181">
        <f>1-((COUNTBLANK(Table1[[#This Row],[ALESent]:[TaxTran]]))/(COUNT(Table1[[#This Row],[ALESent]:[TaxTran]])+COUNTBLANK(Table1[[#This Row],[ALESent]:[TaxTran]])))</f>
        <v>0</v>
      </c>
      <c r="BK189" s="216">
        <f>IF(VLOOKUP(Table1[[#This Row],[SyStudentId]],SSR!$A$2:$CC$4982,22,FALSE)=44109,44109,"Check Program")</f>
        <v>44109</v>
      </c>
      <c r="BL189" s="216">
        <f>IF(Table1[[#This Row],[AYStart]]=44109,44356,"Check Program")</f>
        <v>44356</v>
      </c>
      <c r="BM189" s="219">
        <v>8505</v>
      </c>
      <c r="BN189" s="219">
        <v>8505</v>
      </c>
      <c r="BO189" s="219">
        <v>8505</v>
      </c>
      <c r="BP189" s="220">
        <f t="shared" si="6"/>
        <v>25515</v>
      </c>
      <c r="BQ189" s="221">
        <v>3300</v>
      </c>
      <c r="BR189" s="219">
        <v>400</v>
      </c>
      <c r="BS189" s="219">
        <v>400</v>
      </c>
      <c r="BT189" s="222">
        <f t="shared" si="7"/>
        <v>4100</v>
      </c>
      <c r="BU189" s="219">
        <v>2100</v>
      </c>
      <c r="BV189" s="219">
        <v>2100</v>
      </c>
      <c r="BW189" s="219">
        <v>2100</v>
      </c>
      <c r="BX189" s="222">
        <f t="shared" si="8"/>
        <v>6300</v>
      </c>
      <c r="BY189" s="275">
        <v>1200</v>
      </c>
      <c r="BZ189" s="275">
        <v>1200</v>
      </c>
      <c r="CA189" s="275">
        <v>1200</v>
      </c>
      <c r="CB189" s="222">
        <f>SUM(Table1[[#This Row],[LEQ1]:[LEQ3]])</f>
        <v>3600</v>
      </c>
      <c r="CC189" s="276">
        <v>0</v>
      </c>
      <c r="CD189" s="276">
        <v>0</v>
      </c>
      <c r="CE189" s="276">
        <v>0</v>
      </c>
      <c r="CF189" s="222">
        <f>SUM(Table1[[#This Row],[OthCostQ1]:[OthCostQ3]])</f>
        <v>0</v>
      </c>
      <c r="CG189" s="222">
        <f>(Table1[[#This Row],[T&amp;FTot]]+Table1[[#This Row],[B&amp;STot]]+Table1[[#This Row],[HousTot]]+Table1[[#This Row],[LETot]]+Table1[[#This Row],[OthCostTot]])</f>
        <v>39515</v>
      </c>
      <c r="CH189" s="253">
        <v>0</v>
      </c>
      <c r="CI189" s="253">
        <v>0</v>
      </c>
      <c r="CJ189" s="253">
        <v>0</v>
      </c>
      <c r="CK189" s="254">
        <f>SUM(Table1[[#This Row],[SEOGQ1]:[SEOGQ3]])</f>
        <v>0</v>
      </c>
      <c r="CL189" s="253">
        <f>IFERROR(ROUNDUP(Table1[[#This Row],[PellTot]]/3,0),0)</f>
        <v>0</v>
      </c>
      <c r="CM189" s="253">
        <f>IFERROR(ROUND(Table1[[#This Row],[PellTot]]/3,0),0)</f>
        <v>0</v>
      </c>
      <c r="CN189" s="253">
        <f>IFERROR(ROUNDDOWN(Table1[[#This Row],[PellTot]]/3,0),0)</f>
        <v>0</v>
      </c>
      <c r="CO189" s="254">
        <f>IFERROR(LOOKUP(Table1[EFC],Pell_Table[#Data],Pell_Table[Pell Amt]),0)</f>
        <v>0</v>
      </c>
      <c r="CP189" s="253">
        <f>Table1[[#This Row],[AccessTot]]/3</f>
        <v>0</v>
      </c>
      <c r="CQ189" s="253">
        <f>Table1[[#This Row],[AccessTot]]/3</f>
        <v>0</v>
      </c>
      <c r="CR189" s="253">
        <f>Table1[[#This Row],[AccessTot]]/3</f>
        <v>0</v>
      </c>
      <c r="CS189" s="254">
        <f>IF(Table1[[#This Row],[PellTot]]&gt;0,1500,0)</f>
        <v>0</v>
      </c>
      <c r="CT189" s="253">
        <f>Table1[[#This Row],[AchiTot]]/3</f>
        <v>0</v>
      </c>
      <c r="CU189" s="253">
        <f>Table1[[#This Row],[AchiTot]]/3</f>
        <v>0</v>
      </c>
      <c r="CV189" s="253">
        <f>Table1[[#This Row],[AchiTot]]/3</f>
        <v>0</v>
      </c>
      <c r="CW189" s="255">
        <f>IF(Table1[[#This Row],[Rank]]="","",IF(Table1[[#This Row],[Rank]]=1,5100,IF(Table1[[#This Row],[Rank]]=2,4500,IF(Table1[[#This Row],[Rank]]=3,3900,IF(Table1[[#This Row],[Rank]]=4,3750,IF(Table1[[#This Row],[Rank]]=5,3000,IF(Table1[[#This Row],[Rank]]=6,2250,0)))))))</f>
        <v>0</v>
      </c>
      <c r="CX189" s="253">
        <f>Table1[[#This Row],[UTTot]]/3</f>
        <v>0</v>
      </c>
      <c r="CY189" s="253">
        <f>Table1[[#This Row],[UTTot]]/3</f>
        <v>0</v>
      </c>
      <c r="CZ189" s="253">
        <f>Table1[[#This Row],[UTTot]]/3</f>
        <v>0</v>
      </c>
      <c r="DA189" s="254">
        <f>IF(Table1[[#This Row],[State]]="UT",9000,0)</f>
        <v>0</v>
      </c>
      <c r="DB189" s="253">
        <f>Table1[[#This Row],[WITTot]]/3</f>
        <v>0</v>
      </c>
      <c r="DC189" s="253">
        <f>Table1[[#This Row],[WITTot]]/3</f>
        <v>0</v>
      </c>
      <c r="DD189" s="253">
        <f>Table1[[#This Row],[WITTot]]/3</f>
        <v>0</v>
      </c>
      <c r="DE189" s="254">
        <f>IF(Table1[[#This Row],[Gender]]="Female",3000,0)</f>
        <v>0</v>
      </c>
      <c r="DF189" s="253">
        <f>Table1[[#This Row],[SerTot]]/3</f>
        <v>0</v>
      </c>
      <c r="DG189" s="253">
        <f>Table1[[#This Row],[SerTot]]/3</f>
        <v>0</v>
      </c>
      <c r="DH189" s="253">
        <f>Table1[[#This Row],[SerTot]]/3</f>
        <v>0</v>
      </c>
      <c r="DI189" s="255">
        <v>0</v>
      </c>
      <c r="DJ189" s="253">
        <f>IFERROR(ROUNDUP(Table1[[#This Row],[TranTot]]/3,0),0)</f>
        <v>0</v>
      </c>
      <c r="DK189" s="253">
        <f>IFERROR(ROUND(Table1[[#This Row],[TranTot]]/3,0),0)</f>
        <v>0</v>
      </c>
      <c r="DL189" s="253">
        <f>IFERROR(ROUNDDOWN(Table1[[#This Row],[TranTot]]/3,0),0)</f>
        <v>0</v>
      </c>
      <c r="DM189" s="255">
        <v>0</v>
      </c>
      <c r="DN189" s="253">
        <f>Table1[[#This Row],[MatTot]]/3</f>
        <v>0</v>
      </c>
      <c r="DO189" s="253">
        <f>Table1[[#This Row],[MatTot]]/3</f>
        <v>0</v>
      </c>
      <c r="DP189" s="253">
        <f>Table1[[#This Row],[MatTot]]/3</f>
        <v>0</v>
      </c>
      <c r="DQ189" s="255">
        <v>0</v>
      </c>
      <c r="DR189" s="253">
        <f>Table1[[#This Row],[OutTot]]/3</f>
        <v>0</v>
      </c>
      <c r="DS189" s="253">
        <f>Table1[[#This Row],[OutTot]]/3</f>
        <v>0</v>
      </c>
      <c r="DT189" s="253">
        <f>Table1[[#This Row],[OutTot]]/3</f>
        <v>0</v>
      </c>
      <c r="DU189" s="255">
        <v>0</v>
      </c>
      <c r="DV189" s="253">
        <v>0</v>
      </c>
      <c r="DW189" s="253">
        <v>0</v>
      </c>
      <c r="DX189" s="253">
        <v>0</v>
      </c>
      <c r="DY189" s="255">
        <f>SUM(Table1[[#This Row],[VAQ1]:[VAQ3]])</f>
        <v>0</v>
      </c>
      <c r="DZ189" s="253">
        <v>0</v>
      </c>
      <c r="EA189" s="253">
        <v>0</v>
      </c>
      <c r="EB189" s="253">
        <v>0</v>
      </c>
      <c r="EC189" s="278">
        <f>SUM(Table1[[#This Row],[OthGrantQ1]:[OthGrantQ3]])</f>
        <v>0</v>
      </c>
      <c r="ED189" s="264">
        <f>Table1[[#This Row],[SEOGTot]]+Table1[[#This Row],[PellTot]]+Table1[[#This Row],[AccessTot]]+Table1[[#This Row],[AchiTot]]+Table1[[#This Row],[UTTot]]+Table1[[#This Row],[WITTot]]+Table1[[#This Row],[SerTot]]+Table1[[#This Row],[TranTot]]+Table1[[#This Row],[MatTot]]+Table1[[#This Row],[OutTot]]+Table1[[#This Row],[VATot]]+Table1[[#This Row],[OthGrantTot]]</f>
        <v>0</v>
      </c>
      <c r="EE189" s="298">
        <v>0</v>
      </c>
      <c r="EF189" s="227">
        <v>0</v>
      </c>
      <c r="EG189" s="227">
        <v>0</v>
      </c>
      <c r="EH189" s="228">
        <f>SUM(Table1[[#This Row],[CashQ1]]:Table1[[#This Row],[CashQ3]])</f>
        <v>0</v>
      </c>
      <c r="EI189" s="229">
        <f>ROUND((Table1[[#This Row],[SubTot]]/3)/1.01059,0)</f>
        <v>1154</v>
      </c>
      <c r="EJ189" s="230">
        <f>ROUND((Table1[[#This Row],[SubTot]]/3)/1.01059,0)</f>
        <v>1154</v>
      </c>
      <c r="EK189" s="230">
        <f>ROUNDUP((Table1[[#This Row],[SubTot]]/3)/1.01059,0)</f>
        <v>1155</v>
      </c>
      <c r="EL189" s="231">
        <v>3500</v>
      </c>
      <c r="EM189" s="233">
        <f>Table1[[#This Row],[SubTot]]*0.01059</f>
        <v>37.065000000000005</v>
      </c>
      <c r="EN189" s="230">
        <f>ROUND((Table1[[#This Row],[UnsubTot]]/3)/1.01062,0)</f>
        <v>660</v>
      </c>
      <c r="EO189" s="230">
        <f>ROUND((Table1[[#This Row],[UnsubTot]]/3)/1.01062,0)</f>
        <v>660</v>
      </c>
      <c r="EP189" s="230">
        <f>ROUNDDOWN((Table1[[#This Row],[UnsubTot]]/3)/1.01062,0)</f>
        <v>659</v>
      </c>
      <c r="EQ189" s="231">
        <f>IF(Table1[D/I]="I",6000,2000)</f>
        <v>2000</v>
      </c>
      <c r="ER189" s="233">
        <f>Table1[[#This Row],[UnsubTot]]*0.01059</f>
        <v>21.18</v>
      </c>
      <c r="ES189" s="230">
        <f>ROUND((Table1[[#This Row],[PLUSTot]]/3)/1.04236,0)</f>
        <v>0</v>
      </c>
      <c r="ET189" s="230">
        <f>ROUND((Table1[[#This Row],[PLUSTot]]/3)/1.04236,0)</f>
        <v>0</v>
      </c>
      <c r="EU189" s="230">
        <f>ROUND((Table1[[#This Row],[PLUSTot]]/3)/1.04236,0)</f>
        <v>0</v>
      </c>
      <c r="EV189" s="231">
        <v>0</v>
      </c>
      <c r="EW189" s="236">
        <f>Table1[[#This Row],[PLUSTot]]*0.04236</f>
        <v>0</v>
      </c>
      <c r="EX189" s="227"/>
      <c r="EY189" s="227"/>
      <c r="EZ189" s="227"/>
      <c r="FA189" s="228">
        <f>SUM(Table1[[#This Row],[PrivQ1]:[PrivQ3]])</f>
        <v>0</v>
      </c>
      <c r="FB189" s="227"/>
      <c r="FC189" s="227"/>
      <c r="FD189" s="227"/>
      <c r="FE189" s="228">
        <f>SUM(Table1[[#This Row],[TOQ1]:[TOQ3]])</f>
        <v>0</v>
      </c>
      <c r="FF189" s="227"/>
      <c r="FG189" s="227"/>
      <c r="FH189" s="227"/>
      <c r="FI189" s="228">
        <f>SUM(Table1[[#This Row],[OFundQ1]:[OFundQ3]])</f>
        <v>0</v>
      </c>
      <c r="FJ189" s="236">
        <f>(Table1[[#This Row],[SubTot]]-Table1[[#This Row],[SubFee]])+(Table1[[#This Row],[UnsubTot]]-Table1[[#This Row],[UnsubFee]])+(Table1[[#This Row],[PLUSTot]]-Table1[[#This Row],[PLUSFee]])+Table1[[#This Row],[PrivTot]]+Table1[[#This Row],[TOTot]]+Table1[[#This Row],[OFundTot]]</f>
        <v>5441.7550000000001</v>
      </c>
      <c r="FK189" s="159">
        <f>Table1[[#This Row],[CostTot]]-Table1[[#This Row],[GiftTot]]</f>
        <v>39515</v>
      </c>
      <c r="FL189" s="174">
        <f>Table1[[#This Row],[NetNeed]]/(1-0.04236)</f>
        <v>35580.43210392214</v>
      </c>
      <c r="FM189" s="176">
        <f>Table1[[#This Row],[NetCost]]-Table1[[#This Row],[CashTot]]-(Table1[[#This Row],[SubTot]]-Table1[[#This Row],[SubFee]])-(Table1[[#This Row],[UnsubTot]]-Table1[[#This Row],[UnsubFee]])-(Table1[[#This Row],[PLUSTot]]-Table1[[#This Row],[PLUSFee]])-Table1[[#This Row],[PrivTot]]-Table1[[#This Row],[TOTot]]-Table1[[#This Row],[OFundTot]]</f>
        <v>34073.245000000003</v>
      </c>
      <c r="FN189" s="217"/>
      <c r="FO189" s="162"/>
      <c r="FP189" s="162"/>
    </row>
    <row r="190" spans="1:172" ht="15" x14ac:dyDescent="0.25">
      <c r="A190" s="160">
        <v>195084</v>
      </c>
      <c r="B190" s="160" t="str">
        <f>VLOOKUP(Table1[[#This Row],[SyStudentId]],SSR!$A$2:$CC$4982,4,FALSE)</f>
        <v>Vogel</v>
      </c>
      <c r="C190" s="160" t="str">
        <f>VLOOKUP(Table1[[#This Row],[SyStudentId]],SSR!$A$2:$CC$4982,5,FALSE)</f>
        <v>Alex</v>
      </c>
      <c r="D190" s="160" t="str">
        <f>VLOOKUP(Table1[[#This Row],[SyStudentId]],SSR!$A$2:$CC$4982,6,FALSE)</f>
        <v>Vogel, Alex</v>
      </c>
      <c r="E190" s="113" t="str">
        <f>CONCATENATE(Table1[[#This Row],[FirstName]]," ",Table1[[#This Row],[LastName]])</f>
        <v>Alex Vogel</v>
      </c>
      <c r="F190" s="158">
        <v>1</v>
      </c>
      <c r="G190" s="114"/>
      <c r="H190" s="114"/>
      <c r="I190" s="114">
        <v>43795</v>
      </c>
      <c r="J190" s="163"/>
      <c r="K190" s="164"/>
      <c r="L190" s="158" t="str">
        <f>IFERROR(VLOOKUP(Table1[[#This Row],[SyStudentId]],ISIR!$A$2:$X$4999,11,FALSE),"")</f>
        <v>D</v>
      </c>
      <c r="M190" s="160" t="str">
        <f>VLOOKUP(Table1[[#This Row],[SyStudentId]],SSR!$A$2:$CC$4982,7,FALSE)</f>
        <v>afrogv@yahoo.com</v>
      </c>
      <c r="N190" s="160" t="str">
        <f>VLOOKUP(Table1[[#This Row],[SyStudentId]],SSR!$A$2:$CC$4982,8,FALSE)</f>
        <v>N4899 N Helenville Rd.</v>
      </c>
      <c r="O190" s="160" t="str">
        <f>VLOOKUP(Table1[[#This Row],[SyStudentId]],SSR!$A$2:$CC$4982,9,FALSE)</f>
        <v>Helenville</v>
      </c>
      <c r="P190" s="294" t="str">
        <f>VLOOKUP(Table1[[#This Row],[SyStudentId]],SSR!$A$2:$CC$4982,10,FALSE)</f>
        <v>WI</v>
      </c>
      <c r="Q190" s="165" t="str">
        <f>VLOOKUP(Table1[[#This Row],[SyStudentId]],SSR!$A$2:$CC$4982,11,FALSE)</f>
        <v xml:space="preserve">53137     </v>
      </c>
      <c r="R190" s="166">
        <f>VLOOKUP(Table1[[#This Row],[SyStudentId]],SSR!$A$2:$CC$4982,15,FALSE)</f>
        <v>2.8094999999999999</v>
      </c>
      <c r="S190" s="167">
        <f>VLOOKUP(Table1[[#This Row],[SyStudentId]],SSR!$A$2:$CC$4982,22,FALSE)</f>
        <v>44109</v>
      </c>
      <c r="T190" s="160" t="str">
        <f>VLOOKUP(Table1[[#This Row],[SyStudentId]],SSR!$A$2:$CC$4982,24,FALSE)</f>
        <v>MN</v>
      </c>
      <c r="U190" s="160" t="str">
        <f>IF(VLOOKUP(Table1[[#This Row],[SyStudentId]],SSR!$A$2:$CC$4982,26,FALSE)=0,"Not Selected",VLOOKUP(Table1[[#This Row],[SyStudentId]],SSR!$A$2:$CC$4982,26,FALSE))</f>
        <v>Male</v>
      </c>
      <c r="V190" s="160" t="str">
        <f>VLOOKUP(Table1[[#This Row],[SyStudentId]],SSR!$A$2:$CC$4982,27,FALSE)</f>
        <v xml:space="preserve">HS2020  </v>
      </c>
      <c r="W190" s="160" t="str">
        <f>VLOOKUP(LEFT(Table1[[#This Row],[LastName]],1),Alpha!$A$1:$B$26,2,FALSE)</f>
        <v>Maureen Ranks</v>
      </c>
      <c r="X190" s="268" t="str">
        <f>VLOOKUP(Table1[[#This Row],[FAA]],Alpha!$B$1:$D$26,2,FALSE)</f>
        <v>mranks@neumont.edu</v>
      </c>
      <c r="Y190" s="160">
        <f>VLOOKUP(Table1[[#This Row],[FAA]],Alpha!$B$1:$D$26,3,FALSE)</f>
        <v>8883022894</v>
      </c>
      <c r="Z190" s="160" t="str">
        <f>VLOOKUP(Table1[[#This Row],[SyStudentId]],SSR!$A$2:$CC$4982,30,FALSE)</f>
        <v>16-Accepted</v>
      </c>
      <c r="AA190" s="160" t="str">
        <f>IF(VLOOKUP(Table1[[#This Row],[SyStudentId]],SSR!$A$2:$CC$4982,36,FALSE)="Bachelor of Science","BS Computer Science","Check Program")</f>
        <v>BS Computer Science</v>
      </c>
      <c r="AB190" s="160" t="str">
        <f>VLOOKUP(Table1[[#This Row],[SyStudentId]],SSR!$A$2:$CC$4982,37,FALSE)</f>
        <v xml:space="preserve">20      </v>
      </c>
      <c r="AC190" s="160">
        <f>VLOOKUP(Table1[[#This Row],[SyStudentId]],SSR!$A$2:$CC$4982,42,FALSE)</f>
        <v>0</v>
      </c>
      <c r="AD190" s="160" t="str">
        <f>VLOOKUP(Table1[[#This Row],[SyStudentId]],SSR!$A$2:$CC$4982,46,FALSE)</f>
        <v>92</v>
      </c>
      <c r="AE190" s="160" t="str">
        <f>VLOOKUP(Table1[[#This Row],[SyStudentId]],SSR!$A$2:$CC$4982,65,FALSE)</f>
        <v>VI</v>
      </c>
      <c r="AF190"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6</v>
      </c>
      <c r="AG190" s="160" t="str">
        <f>VLOOKUP(Table1[[#This Row],[SyStudentId]],SSR!$A$2:$CC$4982,66,FALSE)</f>
        <v>July-October</v>
      </c>
      <c r="AH190" s="160" t="str">
        <f>IFERROR(VLOOKUP(Table1[[#This Row],[SyStudentId]],ISIR!$A$2:$X$1999,7,FALSE),"")</f>
        <v>017191</v>
      </c>
      <c r="AI190" s="170">
        <f>IF(Table1[[#This Row],[EFCRaw]]="","",IF(Table1[[#This Row],[EFCRaw]]="No EFC","No EFC",_xlfn.NUMBERVALUE(Table1[[#This Row],[EFCRaw]])))</f>
        <v>17191</v>
      </c>
      <c r="AJ190" s="167">
        <f>IFERROR(VLOOKUP(Table1[[#This Row],[SyStudentId]],ISIR!$A$2:$X$4999,19,FALSE),"")</f>
        <v>43774</v>
      </c>
      <c r="AK190" s="160" t="str">
        <f>IFERROR(VLOOKUP(Table1[[#This Row],[SyStudentId]],ISIR!$A$2:$X$4999,8,FALSE),"")</f>
        <v>N</v>
      </c>
      <c r="AL190" s="171" t="str">
        <f>IF(Table1[[#This Row],[VerReq]]="N","n/a","")</f>
        <v>n/a</v>
      </c>
      <c r="AM190" s="122"/>
      <c r="AN190" s="122"/>
      <c r="AO190" s="122"/>
      <c r="AP190" s="122"/>
      <c r="AQ190" s="122"/>
      <c r="AR190" s="122"/>
      <c r="AS190" s="122"/>
      <c r="AT190" s="122"/>
      <c r="AU190" s="122"/>
      <c r="AV190" s="122"/>
      <c r="AW190" s="122"/>
      <c r="AX190" s="122"/>
      <c r="AY190" s="122"/>
      <c r="AZ190" s="122"/>
      <c r="BA190" s="122"/>
      <c r="BB190" s="122"/>
      <c r="BC190" s="148"/>
      <c r="BD190" s="140" t="str">
        <f>IF(Table1[[#This Row],[VerReq]]="N","x","")</f>
        <v>x</v>
      </c>
      <c r="BE190" s="140" t="str">
        <f>IF(Table1[[#This Row],[VerReq]]="N","x","")</f>
        <v>x</v>
      </c>
      <c r="BF190" s="140" t="str">
        <f>IF(Table1[[#This Row],[VerReq]]="N","x","")</f>
        <v>x</v>
      </c>
      <c r="BG190" s="140" t="str">
        <f>IF(Table1[[#This Row],[VerReq]]="N","x","")</f>
        <v>x</v>
      </c>
      <c r="BH190" s="140" t="str">
        <f>IF(Table1[[#This Row],[VerReq]]="N","x","")</f>
        <v>x</v>
      </c>
      <c r="BI190" s="140" t="str">
        <f>IF(Table1[[#This Row],[VerReq]]="N","x","")</f>
        <v>x</v>
      </c>
      <c r="BJ190" s="181">
        <f>1-((COUNTBLANK(Table1[[#This Row],[ALESent]:[TaxTran]]))/(COUNT(Table1[[#This Row],[ALESent]:[TaxTran]])+COUNTBLANK(Table1[[#This Row],[ALESent]:[TaxTran]])))</f>
        <v>0</v>
      </c>
      <c r="BK190" s="216">
        <f>IF(VLOOKUP(Table1[[#This Row],[SyStudentId]],SSR!$A$2:$CC$4982,22,FALSE)=44109,44109,"Check Program")</f>
        <v>44109</v>
      </c>
      <c r="BL190" s="216">
        <f>IF(Table1[[#This Row],[AYStart]]=44109,44356,"Check Program")</f>
        <v>44356</v>
      </c>
      <c r="BM190" s="219">
        <v>8505</v>
      </c>
      <c r="BN190" s="219">
        <v>8505</v>
      </c>
      <c r="BO190" s="219">
        <v>8505</v>
      </c>
      <c r="BP190" s="220">
        <f t="shared" si="6"/>
        <v>25515</v>
      </c>
      <c r="BQ190" s="221">
        <v>3300</v>
      </c>
      <c r="BR190" s="219">
        <v>400</v>
      </c>
      <c r="BS190" s="219">
        <v>400</v>
      </c>
      <c r="BT190" s="222">
        <f t="shared" si="7"/>
        <v>4100</v>
      </c>
      <c r="BU190" s="219">
        <v>2100</v>
      </c>
      <c r="BV190" s="219">
        <v>2100</v>
      </c>
      <c r="BW190" s="219">
        <v>2100</v>
      </c>
      <c r="BX190" s="222">
        <f t="shared" si="8"/>
        <v>6300</v>
      </c>
      <c r="BY190" s="275">
        <v>1200</v>
      </c>
      <c r="BZ190" s="275">
        <v>1200</v>
      </c>
      <c r="CA190" s="275">
        <v>1200</v>
      </c>
      <c r="CB190" s="222">
        <f>SUM(Table1[[#This Row],[LEQ1]:[LEQ3]])</f>
        <v>3600</v>
      </c>
      <c r="CC190" s="276">
        <v>0</v>
      </c>
      <c r="CD190" s="276">
        <v>0</v>
      </c>
      <c r="CE190" s="276">
        <v>0</v>
      </c>
      <c r="CF190" s="222">
        <f>SUM(Table1[[#This Row],[OthCostQ1]:[OthCostQ3]])</f>
        <v>0</v>
      </c>
      <c r="CG190" s="222">
        <f>(Table1[[#This Row],[T&amp;FTot]]+Table1[[#This Row],[B&amp;STot]]+Table1[[#This Row],[HousTot]]+Table1[[#This Row],[LETot]]+Table1[[#This Row],[OthCostTot]])</f>
        <v>39515</v>
      </c>
      <c r="CH190" s="253">
        <v>0</v>
      </c>
      <c r="CI190" s="253">
        <v>0</v>
      </c>
      <c r="CJ190" s="253">
        <v>0</v>
      </c>
      <c r="CK190" s="254">
        <f>SUM(Table1[[#This Row],[SEOGQ1]:[SEOGQ3]])</f>
        <v>0</v>
      </c>
      <c r="CL190" s="253">
        <f>IFERROR(ROUNDUP(Table1[[#This Row],[PellTot]]/3,0),0)</f>
        <v>0</v>
      </c>
      <c r="CM190" s="253">
        <f>IFERROR(ROUND(Table1[[#This Row],[PellTot]]/3,0),0)</f>
        <v>0</v>
      </c>
      <c r="CN190" s="253">
        <f>IFERROR(ROUNDDOWN(Table1[[#This Row],[PellTot]]/3,0),0)</f>
        <v>0</v>
      </c>
      <c r="CO190" s="254">
        <f>IFERROR(LOOKUP(Table1[EFC],Pell_Table[#Data],Pell_Table[Pell Amt]),0)</f>
        <v>0</v>
      </c>
      <c r="CP190" s="253">
        <f>Table1[[#This Row],[AccessTot]]/3</f>
        <v>0</v>
      </c>
      <c r="CQ190" s="253">
        <f>Table1[[#This Row],[AccessTot]]/3</f>
        <v>0</v>
      </c>
      <c r="CR190" s="253">
        <f>Table1[[#This Row],[AccessTot]]/3</f>
        <v>0</v>
      </c>
      <c r="CS190" s="254">
        <f>IF(Table1[[#This Row],[PellTot]]&gt;0,1500,0)</f>
        <v>0</v>
      </c>
      <c r="CT190" s="253">
        <f>Table1[[#This Row],[AchiTot]]/3</f>
        <v>750</v>
      </c>
      <c r="CU190" s="253">
        <f>Table1[[#This Row],[AchiTot]]/3</f>
        <v>750</v>
      </c>
      <c r="CV190" s="253">
        <f>Table1[[#This Row],[AchiTot]]/3</f>
        <v>750</v>
      </c>
      <c r="CW190" s="255">
        <f>IF(Table1[[#This Row],[Rank]]="","",IF(Table1[[#This Row],[Rank]]=1,5100,IF(Table1[[#This Row],[Rank]]=2,4500,IF(Table1[[#This Row],[Rank]]=3,3900,IF(Table1[[#This Row],[Rank]]=4,3750,IF(Table1[[#This Row],[Rank]]=5,3000,IF(Table1[[#This Row],[Rank]]=6,2250,0)))))))</f>
        <v>2250</v>
      </c>
      <c r="CX190" s="253">
        <f>Table1[[#This Row],[UTTot]]/3</f>
        <v>0</v>
      </c>
      <c r="CY190" s="253">
        <f>Table1[[#This Row],[UTTot]]/3</f>
        <v>0</v>
      </c>
      <c r="CZ190" s="253">
        <f>Table1[[#This Row],[UTTot]]/3</f>
        <v>0</v>
      </c>
      <c r="DA190" s="254">
        <f>IF(Table1[[#This Row],[State]]="UT",9000,0)</f>
        <v>0</v>
      </c>
      <c r="DB190" s="253">
        <f>Table1[[#This Row],[WITTot]]/3</f>
        <v>0</v>
      </c>
      <c r="DC190" s="253">
        <f>Table1[[#This Row],[WITTot]]/3</f>
        <v>0</v>
      </c>
      <c r="DD190" s="253">
        <f>Table1[[#This Row],[WITTot]]/3</f>
        <v>0</v>
      </c>
      <c r="DE190" s="254">
        <f>IF(Table1[[#This Row],[Gender]]="Female",3000,0)</f>
        <v>0</v>
      </c>
      <c r="DF190" s="253">
        <f>Table1[[#This Row],[SerTot]]/3</f>
        <v>1000</v>
      </c>
      <c r="DG190" s="253">
        <f>Table1[[#This Row],[SerTot]]/3</f>
        <v>1000</v>
      </c>
      <c r="DH190" s="253">
        <f>Table1[[#This Row],[SerTot]]/3</f>
        <v>1000</v>
      </c>
      <c r="DI190" s="255">
        <v>3000</v>
      </c>
      <c r="DJ190" s="253">
        <f>IFERROR(ROUNDUP(Table1[[#This Row],[TranTot]]/3,0),0)</f>
        <v>0</v>
      </c>
      <c r="DK190" s="253">
        <f>IFERROR(ROUND(Table1[[#This Row],[TranTot]]/3,0),0)</f>
        <v>0</v>
      </c>
      <c r="DL190" s="253">
        <f>IFERROR(ROUNDDOWN(Table1[[#This Row],[TranTot]]/3,0),0)</f>
        <v>0</v>
      </c>
      <c r="DM190" s="255">
        <v>0</v>
      </c>
      <c r="DN190" s="253">
        <f>Table1[[#This Row],[MatTot]]/3</f>
        <v>0</v>
      </c>
      <c r="DO190" s="253">
        <f>Table1[[#This Row],[MatTot]]/3</f>
        <v>0</v>
      </c>
      <c r="DP190" s="253">
        <f>Table1[[#This Row],[MatTot]]/3</f>
        <v>0</v>
      </c>
      <c r="DQ190" s="255">
        <v>0</v>
      </c>
      <c r="DR190" s="253">
        <f>Table1[[#This Row],[OutTot]]/3</f>
        <v>0</v>
      </c>
      <c r="DS190" s="253">
        <f>Table1[[#This Row],[OutTot]]/3</f>
        <v>0</v>
      </c>
      <c r="DT190" s="253">
        <f>Table1[[#This Row],[OutTot]]/3</f>
        <v>0</v>
      </c>
      <c r="DU190" s="255">
        <v>0</v>
      </c>
      <c r="DV190" s="253">
        <v>0</v>
      </c>
      <c r="DW190" s="253">
        <v>0</v>
      </c>
      <c r="DX190" s="253">
        <v>0</v>
      </c>
      <c r="DY190" s="255">
        <f>SUM(Table1[[#This Row],[VAQ1]:[VAQ3]])</f>
        <v>0</v>
      </c>
      <c r="DZ190" s="253">
        <v>0</v>
      </c>
      <c r="EA190" s="253">
        <v>0</v>
      </c>
      <c r="EB190" s="253">
        <v>0</v>
      </c>
      <c r="EC190" s="278">
        <f>SUM(Table1[[#This Row],[OthGrantQ1]:[OthGrantQ3]])</f>
        <v>0</v>
      </c>
      <c r="ED190" s="264">
        <f>Table1[[#This Row],[SEOGTot]]+Table1[[#This Row],[PellTot]]+Table1[[#This Row],[AccessTot]]+Table1[[#This Row],[AchiTot]]+Table1[[#This Row],[UTTot]]+Table1[[#This Row],[WITTot]]+Table1[[#This Row],[SerTot]]+Table1[[#This Row],[TranTot]]+Table1[[#This Row],[MatTot]]+Table1[[#This Row],[OutTot]]+Table1[[#This Row],[VATot]]+Table1[[#This Row],[OthGrantTot]]</f>
        <v>5250</v>
      </c>
      <c r="EE190" s="298">
        <v>0</v>
      </c>
      <c r="EF190" s="227">
        <v>0</v>
      </c>
      <c r="EG190" s="227">
        <v>0</v>
      </c>
      <c r="EH190" s="228">
        <f>SUM(Table1[[#This Row],[CashQ1]]:Table1[[#This Row],[CashQ3]])</f>
        <v>0</v>
      </c>
      <c r="EI190" s="229">
        <f>ROUND((Table1[[#This Row],[SubTot]]/3)/1.01059,0)</f>
        <v>1154</v>
      </c>
      <c r="EJ190" s="230">
        <f>ROUND((Table1[[#This Row],[SubTot]]/3)/1.01059,0)</f>
        <v>1154</v>
      </c>
      <c r="EK190" s="230">
        <f>ROUNDUP((Table1[[#This Row],[SubTot]]/3)/1.01059,0)</f>
        <v>1155</v>
      </c>
      <c r="EL190" s="231">
        <v>3500</v>
      </c>
      <c r="EM190" s="233">
        <f>Table1[[#This Row],[SubTot]]*0.01059</f>
        <v>37.065000000000005</v>
      </c>
      <c r="EN190" s="230">
        <f>ROUND((Table1[[#This Row],[UnsubTot]]/3)/1.01062,0)</f>
        <v>660</v>
      </c>
      <c r="EO190" s="230">
        <f>ROUND((Table1[[#This Row],[UnsubTot]]/3)/1.01062,0)</f>
        <v>660</v>
      </c>
      <c r="EP190" s="230">
        <f>ROUNDDOWN((Table1[[#This Row],[UnsubTot]]/3)/1.01062,0)</f>
        <v>659</v>
      </c>
      <c r="EQ190" s="231">
        <f>IF(Table1[D/I]="I",6000,2000)</f>
        <v>2000</v>
      </c>
      <c r="ER190" s="233">
        <f>Table1[[#This Row],[UnsubTot]]*0.01059</f>
        <v>21.18</v>
      </c>
      <c r="ES190" s="230">
        <f>ROUND((Table1[[#This Row],[PLUSTot]]/3)/1.04236,0)</f>
        <v>0</v>
      </c>
      <c r="ET190" s="230">
        <f>ROUND((Table1[[#This Row],[PLUSTot]]/3)/1.04236,0)</f>
        <v>0</v>
      </c>
      <c r="EU190" s="230">
        <f>ROUND((Table1[[#This Row],[PLUSTot]]/3)/1.04236,0)</f>
        <v>0</v>
      </c>
      <c r="EV190" s="231">
        <v>0</v>
      </c>
      <c r="EW190" s="236">
        <f>Table1[[#This Row],[PLUSTot]]*0.04236</f>
        <v>0</v>
      </c>
      <c r="EX190" s="227"/>
      <c r="EY190" s="227"/>
      <c r="EZ190" s="227"/>
      <c r="FA190" s="228">
        <v>0</v>
      </c>
      <c r="FB190" s="227"/>
      <c r="FC190" s="227"/>
      <c r="FD190" s="227"/>
      <c r="FE190" s="228">
        <f>SUM(Table1[[#This Row],[TOQ1]:[TOQ3]])</f>
        <v>0</v>
      </c>
      <c r="FF190" s="227"/>
      <c r="FG190" s="227"/>
      <c r="FH190" s="227"/>
      <c r="FI190" s="228">
        <f>SUM(Table1[[#This Row],[OFundQ1]:[OFundQ3]])</f>
        <v>0</v>
      </c>
      <c r="FJ190" s="236">
        <f>(Table1[[#This Row],[SubTot]]-Table1[[#This Row],[SubFee]])+(Table1[[#This Row],[UnsubTot]]-Table1[[#This Row],[UnsubFee]])+(Table1[[#This Row],[PLUSTot]]-Table1[[#This Row],[PLUSFee]])+Table1[[#This Row],[PrivTot]]+Table1[[#This Row],[TOTot]]+Table1[[#This Row],[OFundTot]]</f>
        <v>5441.7550000000001</v>
      </c>
      <c r="FK190" s="159">
        <f>Table1[[#This Row],[CostTot]]-Table1[[#This Row],[GiftTot]]</f>
        <v>34265</v>
      </c>
      <c r="FL190" s="174">
        <f>Table1[[#This Row],[NetNeed]]/(1-0.04236)</f>
        <v>30098.204962198735</v>
      </c>
      <c r="FM190" s="176">
        <f>Table1[[#This Row],[NetCost]]-Table1[[#This Row],[CashTot]]-(Table1[[#This Row],[SubTot]]-Table1[[#This Row],[SubFee]])-(Table1[[#This Row],[UnsubTot]]-Table1[[#This Row],[UnsubFee]])-(Table1[[#This Row],[PLUSTot]]-Table1[[#This Row],[PLUSFee]])-Table1[[#This Row],[PrivTot]]-Table1[[#This Row],[TOTot]]-Table1[[#This Row],[OFundTot]]</f>
        <v>28823.244999999999</v>
      </c>
      <c r="FN190" s="217"/>
      <c r="FO190" s="162"/>
      <c r="FP190" s="162"/>
    </row>
    <row r="191" spans="1:172" ht="15" x14ac:dyDescent="0.25">
      <c r="A191" s="160">
        <v>196010</v>
      </c>
      <c r="B191" s="113" t="str">
        <f>VLOOKUP(Table1[[#This Row],[SyStudentId]],SSR!$A$2:$CC$4982,4,FALSE)</f>
        <v>Walker</v>
      </c>
      <c r="C191" s="113" t="str">
        <f>VLOOKUP(Table1[[#This Row],[SyStudentId]],SSR!$A$2:$CC$4982,5,FALSE)</f>
        <v>Henry</v>
      </c>
      <c r="D191" s="113" t="str">
        <f>VLOOKUP(Table1[[#This Row],[SyStudentId]],SSR!$A$2:$CC$4982,6,FALSE)</f>
        <v>Walker, Henry</v>
      </c>
      <c r="E191" s="113" t="str">
        <f>CONCATENATE(Table1[[#This Row],[FirstName]]," ",Table1[[#This Row],[LastName]])</f>
        <v>Henry Walker</v>
      </c>
      <c r="F191" s="112"/>
      <c r="G191" s="114"/>
      <c r="H191" s="114"/>
      <c r="I191" s="114"/>
      <c r="J191" s="115"/>
      <c r="K191" s="116"/>
      <c r="L191" s="112" t="str">
        <f>IFERROR(VLOOKUP(Table1[[#This Row],[SyStudentId]],ISIR!$A$2:$X$999,11,FALSE),"")</f>
        <v>D</v>
      </c>
      <c r="M191" s="113" t="str">
        <f>VLOOKUP(Table1[[#This Row],[SyStudentId]],SSR!$A$2:$CC$4982,7,FALSE)</f>
        <v>skyandstuffs02@gmail.com</v>
      </c>
      <c r="N191" s="113" t="str">
        <f>VLOOKUP(Table1[[#This Row],[SyStudentId]],SSR!$A$2:$CC$4982,8,FALSE)</f>
        <v>73 Stone Mountain Dr.</v>
      </c>
      <c r="O191" s="113" t="str">
        <f>VLOOKUP(Table1[[#This Row],[SyStudentId]],SSR!$A$2:$CC$4982,9,FALSE)</f>
        <v>Conway</v>
      </c>
      <c r="P191" s="292" t="str">
        <f>VLOOKUP(Table1[[#This Row],[SyStudentId]],SSR!$A$2:$CC$4982,10,FALSE)</f>
        <v>AR</v>
      </c>
      <c r="Q191" s="117" t="str">
        <f>VLOOKUP(Table1[[#This Row],[SyStudentId]],SSR!$A$2:$CC$4982,11,FALSE)</f>
        <v xml:space="preserve">72032     </v>
      </c>
      <c r="R191" s="118">
        <f>VLOOKUP(Table1[[#This Row],[SyStudentId]],SSR!$A$2:$CC$4982,15,FALSE)</f>
        <v>3.5</v>
      </c>
      <c r="S191" s="119">
        <f>VLOOKUP(Table1[[#This Row],[SyStudentId]],SSR!$A$2:$CC$4982,22,FALSE)</f>
        <v>44109</v>
      </c>
      <c r="T191" s="113" t="str">
        <f>VLOOKUP(Table1[[#This Row],[SyStudentId]],SSR!$A$2:$CC$4982,24,FALSE)</f>
        <v>MN</v>
      </c>
      <c r="U191" s="113" t="str">
        <f>IF(VLOOKUP(Table1[[#This Row],[SyStudentId]],SSR!$A$2:$CC$4982,26,FALSE)=0,"Not Selected",VLOOKUP(Table1[[#This Row],[SyStudentId]],SSR!$A$2:$CC$4982,26,FALSE))</f>
        <v>Male</v>
      </c>
      <c r="V191" s="113" t="str">
        <f>VLOOKUP(Table1[[#This Row],[SyStudentId]],SSR!$A$2:$CC$4982,27,FALSE)</f>
        <v xml:space="preserve">HS2020  </v>
      </c>
      <c r="W191" s="113" t="str">
        <f>VLOOKUP(LEFT(Table1[[#This Row],[LastName]],1),Alpha!$A$1:$B$26,2,FALSE)</f>
        <v>Maureen Ranks</v>
      </c>
      <c r="X191" s="268" t="str">
        <f>VLOOKUP(Table1[[#This Row],[FAA]],Alpha!$B$1:$D$26,2,FALSE)</f>
        <v>mranks@neumont.edu</v>
      </c>
      <c r="Y191" s="113">
        <f>VLOOKUP(Table1[[#This Row],[FAA]],Alpha!$B$1:$D$26,3,FALSE)</f>
        <v>8883022894</v>
      </c>
      <c r="Z191" s="113" t="str">
        <f>VLOOKUP(Table1[[#This Row],[SyStudentId]],SSR!$A$2:$CC$4982,30,FALSE)</f>
        <v>16-Accepted</v>
      </c>
      <c r="AA191" s="113" t="str">
        <f>IF(VLOOKUP(Table1[[#This Row],[SyStudentId]],SSR!$A$2:$CC$4982,36,FALSE)="Bachelor of Science","BS Computer Science","Check Program")</f>
        <v>BS Computer Science</v>
      </c>
      <c r="AB191" s="113" t="str">
        <f>VLOOKUP(Table1[[#This Row],[SyStudentId]],SSR!$A$2:$CC$4982,37,FALSE)</f>
        <v xml:space="preserve">30      </v>
      </c>
      <c r="AC191" s="113">
        <f>VLOOKUP(Table1[[#This Row],[SyStudentId]],SSR!$A$2:$CC$4982,42,FALSE)</f>
        <v>0</v>
      </c>
      <c r="AD191" s="113" t="str">
        <f>VLOOKUP(Table1[[#This Row],[SyStudentId]],SSR!$A$2:$CC$4982,46,FALSE)</f>
        <v>115</v>
      </c>
      <c r="AE191" s="113" t="str">
        <f>VLOOKUP(Table1[[#This Row],[SyStudentId]],SSR!$A$2:$CC$4982,65,FALSE)</f>
        <v>I</v>
      </c>
      <c r="AF191"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191" s="113" t="str">
        <f>VLOOKUP(Table1[[#This Row],[SyStudentId]],SSR!$A$2:$CC$4982,66,FALSE)</f>
        <v>July-October</v>
      </c>
      <c r="AH191" s="113" t="str">
        <f>IFERROR(VLOOKUP(Table1[[#This Row],[SyStudentId]],ISIR!$A$2:$X$999,7,FALSE),"")</f>
        <v>011150</v>
      </c>
      <c r="AI191" s="121">
        <f>IF(Table1[[#This Row],[EFCRaw]]="","",IF(Table1[[#This Row],[EFCRaw]]="No EFC","No EFC",_xlfn.NUMBERVALUE(Table1[[#This Row],[EFCRaw]])))</f>
        <v>11150</v>
      </c>
      <c r="AJ191" s="119">
        <f>IFERROR(VLOOKUP(Table1[[#This Row],[SyStudentId]],ISIR!$A$2:$X$4999,19,FALSE),"")</f>
        <v>43790</v>
      </c>
      <c r="AK191" s="113" t="str">
        <f>IFERROR(VLOOKUP(Table1[[#This Row],[SyStudentId]],ISIR!$A$2:$X$4999,8,FALSE),"")</f>
        <v>N</v>
      </c>
      <c r="AL191" s="132" t="str">
        <f>IF(Table1[[#This Row],[VerReq]]="N","n/a","")</f>
        <v>n/a</v>
      </c>
      <c r="AM191" s="122"/>
      <c r="AN191" s="122"/>
      <c r="AO191" s="122"/>
      <c r="AP191" s="122"/>
      <c r="AQ191" s="122"/>
      <c r="AR191" s="122"/>
      <c r="AS191" s="122"/>
      <c r="AT191" s="122"/>
      <c r="AU191" s="122"/>
      <c r="AV191" s="122"/>
      <c r="AW191" s="122"/>
      <c r="AX191" s="122"/>
      <c r="AY191" s="122"/>
      <c r="AZ191" s="122"/>
      <c r="BA191" s="122"/>
      <c r="BB191" s="122"/>
      <c r="BC191" s="148"/>
      <c r="BD191" s="140" t="str">
        <f>IF(Table1[[#This Row],[VerReq]]="N","x","")</f>
        <v>x</v>
      </c>
      <c r="BE191" s="140" t="str">
        <f>IF(Table1[[#This Row],[VerReq]]="N","x","")</f>
        <v>x</v>
      </c>
      <c r="BF191" s="140" t="str">
        <f>IF(Table1[[#This Row],[VerReq]]="N","x","")</f>
        <v>x</v>
      </c>
      <c r="BG191" s="140" t="str">
        <f>IF(Table1[[#This Row],[VerReq]]="N","x","")</f>
        <v>x</v>
      </c>
      <c r="BH191" s="140" t="str">
        <f>IF(Table1[[#This Row],[VerReq]]="N","x","")</f>
        <v>x</v>
      </c>
      <c r="BI191" s="140" t="str">
        <f>IF(Table1[[#This Row],[VerReq]]="N","x","")</f>
        <v>x</v>
      </c>
      <c r="BJ191" s="123">
        <f>1-((COUNTBLANK(Table1[[#This Row],[ALESent]:[TaxTran]]))/(COUNT(Table1[[#This Row],[ALESent]:[TaxTran]])+COUNTBLANK(Table1[[#This Row],[ALESent]:[TaxTran]])))</f>
        <v>0</v>
      </c>
      <c r="BK191" s="150">
        <f>IF(VLOOKUP(Table1[[#This Row],[SyStudentId]],SSR!$A$2:$CC$4982,22,FALSE)=44109,44109,"Check Program")</f>
        <v>44109</v>
      </c>
      <c r="BL191" s="150">
        <f>IF(Table1[[#This Row],[AYStart]]=44109,44356,"Check Program")</f>
        <v>44356</v>
      </c>
      <c r="BM191" s="219">
        <v>8505</v>
      </c>
      <c r="BN191" s="219">
        <v>8505</v>
      </c>
      <c r="BO191" s="219">
        <v>8505</v>
      </c>
      <c r="BP191" s="220">
        <f t="shared" si="6"/>
        <v>25515</v>
      </c>
      <c r="BQ191" s="221">
        <v>3300</v>
      </c>
      <c r="BR191" s="219">
        <v>400</v>
      </c>
      <c r="BS191" s="219">
        <v>400</v>
      </c>
      <c r="BT191" s="220">
        <f t="shared" si="7"/>
        <v>4100</v>
      </c>
      <c r="BU191" s="219">
        <v>2100</v>
      </c>
      <c r="BV191" s="219">
        <v>2100</v>
      </c>
      <c r="BW191" s="219">
        <v>2100</v>
      </c>
      <c r="BX191" s="222">
        <f t="shared" si="8"/>
        <v>6300</v>
      </c>
      <c r="BY191" s="275">
        <v>1200</v>
      </c>
      <c r="BZ191" s="275">
        <v>1200</v>
      </c>
      <c r="CA191" s="275">
        <v>1200</v>
      </c>
      <c r="CB191" s="222">
        <f>SUM(Table1[[#This Row],[LEQ1]:[LEQ3]])</f>
        <v>3600</v>
      </c>
      <c r="CC191" s="276">
        <v>0</v>
      </c>
      <c r="CD191" s="276">
        <v>0</v>
      </c>
      <c r="CE191" s="276">
        <v>0</v>
      </c>
      <c r="CF191" s="222">
        <f>SUM(Table1[[#This Row],[OthCostQ1]:[OthCostQ3]])</f>
        <v>0</v>
      </c>
      <c r="CG191" s="220">
        <f>(Table1[[#This Row],[T&amp;FTot]]+Table1[[#This Row],[B&amp;STot]]+Table1[[#This Row],[HousTot]]+Table1[[#This Row],[LETot]]+Table1[[#This Row],[OthCostTot]])</f>
        <v>39515</v>
      </c>
      <c r="CH191" s="250">
        <v>0</v>
      </c>
      <c r="CI191" s="250">
        <v>0</v>
      </c>
      <c r="CJ191" s="250">
        <v>0</v>
      </c>
      <c r="CK191" s="251">
        <f>SUM(Table1[[#This Row],[SEOGQ1]:[SEOGQ3]])</f>
        <v>0</v>
      </c>
      <c r="CL191" s="250">
        <v>0</v>
      </c>
      <c r="CM191" s="250">
        <v>0</v>
      </c>
      <c r="CN191" s="250">
        <v>0</v>
      </c>
      <c r="CO191" s="251">
        <v>0</v>
      </c>
      <c r="CP191" s="250">
        <f>Table1[[#This Row],[AccessTot]]/3</f>
        <v>0</v>
      </c>
      <c r="CQ191" s="250">
        <f>Table1[[#This Row],[AccessTot]]/3</f>
        <v>0</v>
      </c>
      <c r="CR191" s="250">
        <f>Table1[[#This Row],[AccessTot]]/3</f>
        <v>0</v>
      </c>
      <c r="CS191" s="251">
        <f>IF(Table1[[#This Row],[PellTot]]&gt;0,1500,0)</f>
        <v>0</v>
      </c>
      <c r="CT191" s="250">
        <f>Table1[[#This Row],[AchiTot]]/3</f>
        <v>1700</v>
      </c>
      <c r="CU191" s="250">
        <f>Table1[[#This Row],[AchiTot]]/3</f>
        <v>1700</v>
      </c>
      <c r="CV191" s="250">
        <f>Table1[[#This Row],[AchiTot]]/3</f>
        <v>1700</v>
      </c>
      <c r="CW191" s="252">
        <f>IF(Table1[[#This Row],[Rank]]="","",IF(Table1[[#This Row],[Rank]]=1,5100,IF(Table1[[#This Row],[Rank]]=2,4500,IF(Table1[[#This Row],[Rank]]=3,3900,IF(Table1[[#This Row],[Rank]]=4,3750,IF(Table1[[#This Row],[Rank]]=5,3000,IF(Table1[[#This Row],[Rank]]=6,2250,0)))))))</f>
        <v>5100</v>
      </c>
      <c r="CX191" s="250">
        <f>Table1[[#This Row],[UTTot]]/3</f>
        <v>0</v>
      </c>
      <c r="CY191" s="250">
        <f>Table1[[#This Row],[UTTot]]/3</f>
        <v>0</v>
      </c>
      <c r="CZ191" s="250">
        <f>Table1[[#This Row],[UTTot]]/3</f>
        <v>0</v>
      </c>
      <c r="DA191" s="251">
        <f>IF(Table1[[#This Row],[State]]="UT",9000,0)</f>
        <v>0</v>
      </c>
      <c r="DB191" s="250">
        <f>Table1[[#This Row],[WITTot]]/3</f>
        <v>0</v>
      </c>
      <c r="DC191" s="250">
        <f>Table1[[#This Row],[WITTot]]/3</f>
        <v>0</v>
      </c>
      <c r="DD191" s="250">
        <f>Table1[[#This Row],[WITTot]]/3</f>
        <v>0</v>
      </c>
      <c r="DE191" s="251">
        <f>IF(Table1[[#This Row],[Gender]]="Female",3000,0)</f>
        <v>0</v>
      </c>
      <c r="DF191" s="250">
        <f>Table1[[#This Row],[SerTot]]/3</f>
        <v>0</v>
      </c>
      <c r="DG191" s="250">
        <f>Table1[[#This Row],[SerTot]]/3</f>
        <v>0</v>
      </c>
      <c r="DH191" s="250">
        <f>Table1[[#This Row],[SerTot]]/3</f>
        <v>0</v>
      </c>
      <c r="DI191" s="252"/>
      <c r="DJ191" s="250"/>
      <c r="DK191" s="250"/>
      <c r="DL191" s="250"/>
      <c r="DM191" s="252"/>
      <c r="DN191" s="250">
        <f>Table1[[#This Row],[MatTot]]/3</f>
        <v>0</v>
      </c>
      <c r="DO191" s="250">
        <f>Table1[[#This Row],[MatTot]]/3</f>
        <v>0</v>
      </c>
      <c r="DP191" s="250">
        <f>Table1[[#This Row],[MatTot]]/3</f>
        <v>0</v>
      </c>
      <c r="DQ191" s="252"/>
      <c r="DR191" s="253">
        <f>Table1[[#This Row],[OutTot]]/3</f>
        <v>0</v>
      </c>
      <c r="DS191" s="253">
        <f>Table1[[#This Row],[OutTot]]/3</f>
        <v>0</v>
      </c>
      <c r="DT191" s="253">
        <f>Table1[[#This Row],[OutTot]]/3</f>
        <v>0</v>
      </c>
      <c r="DU191" s="255">
        <v>0</v>
      </c>
      <c r="DV191" s="253">
        <v>0</v>
      </c>
      <c r="DW191" s="253">
        <v>0</v>
      </c>
      <c r="DX191" s="253">
        <v>0</v>
      </c>
      <c r="DY191" s="255">
        <f>SUM(Table1[[#This Row],[VAQ1]:[VAQ3]])</f>
        <v>0</v>
      </c>
      <c r="DZ191" s="253">
        <v>0</v>
      </c>
      <c r="EA191" s="253">
        <v>0</v>
      </c>
      <c r="EB191" s="253">
        <v>0</v>
      </c>
      <c r="EC191" s="278">
        <f>SUM(Table1[[#This Row],[OthGrantQ1]:[OthGrantQ3]])</f>
        <v>0</v>
      </c>
      <c r="ED191" s="263">
        <f>Table1[[#This Row],[SEOGTot]]+Table1[[#This Row],[PellTot]]+Table1[[#This Row],[AccessTot]]+Table1[[#This Row],[AchiTot]]+Table1[[#This Row],[UTTot]]+Table1[[#This Row],[WITTot]]+Table1[[#This Row],[SerTot]]+Table1[[#This Row],[TranTot]]+Table1[[#This Row],[MatTot]]+Table1[[#This Row],[OutTot]]+Table1[[#This Row],[VATot]]+Table1[[#This Row],[OthGrantTot]]</f>
        <v>5100</v>
      </c>
      <c r="EE191" s="298">
        <v>0</v>
      </c>
      <c r="EF191" s="227">
        <v>0</v>
      </c>
      <c r="EG191" s="227">
        <v>0</v>
      </c>
      <c r="EH191" s="228">
        <f>SUM(Table1[[#This Row],[CashQ1]]:Table1[[#This Row],[CashQ3]])</f>
        <v>0</v>
      </c>
      <c r="EI191" s="229">
        <f>ROUND((Table1[[#This Row],[SubTot]]/3)/1.01059,0)</f>
        <v>1154</v>
      </c>
      <c r="EJ191" s="230">
        <f>ROUND((Table1[[#This Row],[SubTot]]/3)/1.01059,0)</f>
        <v>1154</v>
      </c>
      <c r="EK191" s="230">
        <f>ROUNDUP((Table1[[#This Row],[SubTot]]/3)/1.01059,0)</f>
        <v>1155</v>
      </c>
      <c r="EL191" s="231">
        <v>3500</v>
      </c>
      <c r="EM191" s="240">
        <f>Table1[[#This Row],[SubTot]]*0.01059</f>
        <v>37.065000000000005</v>
      </c>
      <c r="EN191" s="230">
        <f>ROUND((Table1[[#This Row],[UnsubTot]]/3)/1.01062,0)</f>
        <v>660</v>
      </c>
      <c r="EO191" s="230">
        <f>ROUND((Table1[[#This Row],[UnsubTot]]/3)/1.01062,0)</f>
        <v>660</v>
      </c>
      <c r="EP191" s="230">
        <f>ROUNDDOWN((Table1[[#This Row],[UnsubTot]]/3)/1.01062,0)</f>
        <v>659</v>
      </c>
      <c r="EQ191" s="231">
        <f>IF(Table1[D/I]="I",6000,2000)</f>
        <v>2000</v>
      </c>
      <c r="ER191" s="233">
        <f>Table1[[#This Row],[UnsubTot]]*0.01059</f>
        <v>21.18</v>
      </c>
      <c r="ES191" s="230">
        <f>ROUND((Table1[[#This Row],[PLUSTot]]/3)/1.04236,0)</f>
        <v>0</v>
      </c>
      <c r="ET191" s="230">
        <f>ROUND((Table1[[#This Row],[PLUSTot]]/3)/1.04236,0)</f>
        <v>0</v>
      </c>
      <c r="EU191" s="230">
        <f>ROUND((Table1[[#This Row],[PLUSTot]]/3)/1.04236,0)</f>
        <v>0</v>
      </c>
      <c r="EV191" s="231">
        <v>0</v>
      </c>
      <c r="EW191" s="239">
        <f>Table1[[#This Row],[PLUSTot]]*0.04248</f>
        <v>0</v>
      </c>
      <c r="EX191" s="237"/>
      <c r="EY191" s="237"/>
      <c r="EZ191" s="237"/>
      <c r="FA191" s="232">
        <f>SUM(Table1[[#This Row],[PrivQ1]:[PrivQ3]])</f>
        <v>0</v>
      </c>
      <c r="FB191" s="237"/>
      <c r="FC191" s="237"/>
      <c r="FD191" s="237"/>
      <c r="FE191" s="232">
        <f>SUM(Table1[[#This Row],[TOQ1]:[TOQ3]])</f>
        <v>0</v>
      </c>
      <c r="FF191" s="237"/>
      <c r="FG191" s="237"/>
      <c r="FH191" s="237"/>
      <c r="FI191" s="232">
        <f>SUM(Table1[[#This Row],[OFundQ1]:[OFundQ3]])</f>
        <v>0</v>
      </c>
      <c r="FJ191" s="239">
        <f>(Table1[[#This Row],[SubTot]]-Table1[[#This Row],[SubFee]])+(Table1[[#This Row],[UnsubTot]]-Table1[[#This Row],[UnsubFee]])+(Table1[[#This Row],[PLUSTot]]-Table1[[#This Row],[PLUSFee]])+Table1[[#This Row],[PrivTot]]+Table1[[#This Row],[TOTot]]+Table1[[#This Row],[OFundTot]]</f>
        <v>5441.7550000000001</v>
      </c>
      <c r="FK191" s="125">
        <f>Table1[[#This Row],[CostTot]]-Table1[[#This Row],[GiftTot]]</f>
        <v>34415</v>
      </c>
      <c r="FL191" s="130">
        <f>Table1[[#This Row],[NetNeed]]/(1-0.04248)</f>
        <v>30258.631673489846</v>
      </c>
      <c r="FM191" s="131">
        <f>Table1[[#This Row],[NetCost]]-Table1[[#This Row],[CashTot]]-(Table1[[#This Row],[SubTot]]-Table1[[#This Row],[SubFee]])-(Table1[[#This Row],[UnsubTot]]-Table1[[#This Row],[UnsubFee]])-(Table1[[#This Row],[PLUSTot]]-Table1[[#This Row],[PLUSFee]])-Table1[[#This Row],[PrivTot]]-Table1[[#This Row],[TOTot]]-Table1[[#This Row],[OFundTot]]</f>
        <v>28973.244999999999</v>
      </c>
      <c r="FN191" s="217"/>
      <c r="FO191" s="162"/>
      <c r="FP191" s="162"/>
    </row>
    <row r="192" spans="1:172" ht="15" x14ac:dyDescent="0.25">
      <c r="A192" s="309">
        <v>196057</v>
      </c>
      <c r="B192" s="113" t="str">
        <f>VLOOKUP(Table1[[#This Row],[SyStudentId]],SSR!$A$2:$CC$4982,4,FALSE)</f>
        <v>Walker</v>
      </c>
      <c r="C192" s="113" t="str">
        <f>VLOOKUP(Table1[[#This Row],[SyStudentId]],SSR!$A$2:$CC$4982,5,FALSE)</f>
        <v>Malachi</v>
      </c>
      <c r="D192" s="113" t="str">
        <f>VLOOKUP(Table1[[#This Row],[SyStudentId]],SSR!$A$2:$CC$4982,6,FALSE)</f>
        <v>Walker, Malachi</v>
      </c>
      <c r="E192" s="113" t="str">
        <f>CONCATENATE(Table1[[#This Row],[FirstName]]," ",Table1[[#This Row],[LastName]])</f>
        <v>Malachi Walker</v>
      </c>
      <c r="F192" s="112"/>
      <c r="G192" s="114"/>
      <c r="H192" s="114"/>
      <c r="I192" s="114"/>
      <c r="J192" s="115" t="s">
        <v>6041</v>
      </c>
      <c r="K192" s="116"/>
      <c r="L192" s="112" t="str">
        <f>IFERROR(VLOOKUP(Table1[[#This Row],[SyStudentId]],ISIR!$A$2:$X$999,11,FALSE),"")</f>
        <v/>
      </c>
      <c r="M192" s="113" t="str">
        <f>VLOOKUP(Table1[[#This Row],[SyStudentId]],SSR!$A$2:$CC$4982,7,FALSE)</f>
        <v>walkertrack.club@gmail.com</v>
      </c>
      <c r="N192" s="113" t="str">
        <f>VLOOKUP(Table1[[#This Row],[SyStudentId]],SSR!$A$2:$CC$4982,8,FALSE)</f>
        <v>PO BOX 1661</v>
      </c>
      <c r="O192" s="113" t="str">
        <f>VLOOKUP(Table1[[#This Row],[SyStudentId]],SSR!$A$2:$CC$4982,9,FALSE)</f>
        <v>SELMA</v>
      </c>
      <c r="P192" s="113" t="str">
        <f>VLOOKUP(Table1[[#This Row],[SyStudentId]],SSR!$A$2:$CC$4982,10,FALSE)</f>
        <v>AL</v>
      </c>
      <c r="Q192" s="117" t="str">
        <f>VLOOKUP(Table1[[#This Row],[SyStudentId]],SSR!$A$2:$CC$4982,11,FALSE)</f>
        <v xml:space="preserve">36702     </v>
      </c>
      <c r="R192" s="118">
        <f>VLOOKUP(Table1[[#This Row],[SyStudentId]],SSR!$A$2:$CC$4982,15,FALSE)</f>
        <v>3.2618999999999998</v>
      </c>
      <c r="S192" s="119">
        <f>VLOOKUP(Table1[[#This Row],[SyStudentId]],SSR!$A$2:$CC$4982,22,FALSE)</f>
        <v>44109</v>
      </c>
      <c r="T192" s="113" t="str">
        <f>VLOOKUP(Table1[[#This Row],[SyStudentId]],SSR!$A$2:$CC$4982,24,FALSE)</f>
        <v>MN</v>
      </c>
      <c r="U192" s="113" t="str">
        <f>IF(VLOOKUP(Table1[[#This Row],[SyStudentId]],SSR!$A$2:$CC$4982,26,FALSE)=0,"Not Selected",VLOOKUP(Table1[[#This Row],[SyStudentId]],SSR!$A$2:$CC$4982,26,FALSE))</f>
        <v>Not specified</v>
      </c>
      <c r="V192" s="113" t="str">
        <f>VLOOKUP(Table1[[#This Row],[SyStudentId]],SSR!$A$2:$CC$4982,27,FALSE)</f>
        <v xml:space="preserve">HS2020  </v>
      </c>
      <c r="W192" s="113" t="str">
        <f>VLOOKUP(LEFT(Table1[[#This Row],[LastName]],1),Alpha!$A$1:$B$26,2,FALSE)</f>
        <v>Maureen Ranks</v>
      </c>
      <c r="X192" s="149" t="str">
        <f>VLOOKUP(Table1[[#This Row],[FAA]],Alpha!$B$1:$D$26,2,FALSE)</f>
        <v>mranks@neumont.edu</v>
      </c>
      <c r="Y192" s="113">
        <f>VLOOKUP(Table1[[#This Row],[FAA]],Alpha!$B$1:$D$26,3,FALSE)</f>
        <v>8883022894</v>
      </c>
      <c r="Z192" s="113" t="str">
        <f>VLOOKUP(Table1[[#This Row],[SyStudentId]],SSR!$A$2:$CC$4982,30,FALSE)</f>
        <v>16-Accepted</v>
      </c>
      <c r="AA192" s="113" t="str">
        <f>IF(VLOOKUP(Table1[[#This Row],[SyStudentId]],SSR!$A$2:$CC$4982,36,FALSE)="Bachelor of Science","BS Computer Science","Check Program")</f>
        <v>BS Computer Science</v>
      </c>
      <c r="AB192" s="113" t="str">
        <f>VLOOKUP(Table1[[#This Row],[SyStudentId]],SSR!$A$2:$CC$4982,37,FALSE)</f>
        <v xml:space="preserve">16      </v>
      </c>
      <c r="AC192" s="113">
        <f>VLOOKUP(Table1[[#This Row],[SyStudentId]],SSR!$A$2:$CC$4982,42,FALSE)</f>
        <v>0</v>
      </c>
      <c r="AD192" s="113" t="str">
        <f>VLOOKUP(Table1[[#This Row],[SyStudentId]],SSR!$A$2:$CC$4982,46,FALSE)</f>
        <v>94</v>
      </c>
      <c r="AE192" s="113" t="str">
        <f>VLOOKUP(Table1[[#This Row],[SyStudentId]],SSR!$A$2:$CC$4982,65,FALSE)</f>
        <v>V</v>
      </c>
      <c r="AF192"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5</v>
      </c>
      <c r="AG192" s="113" t="str">
        <f>VLOOKUP(Table1[[#This Row],[SyStudentId]],SSR!$A$2:$CC$4982,66,FALSE)</f>
        <v>November</v>
      </c>
      <c r="AH192" s="113" t="str">
        <f>IFERROR(VLOOKUP(Table1[[#This Row],[SyStudentId]],ISIR!$A$2:$X$999,7,FALSE),"")</f>
        <v/>
      </c>
      <c r="AI192" s="121" t="str">
        <f>IF(Table1[[#This Row],[EFCRaw]]="","",IF(Table1[[#This Row],[EFCRaw]]="No EFC","No EFC",_xlfn.NUMBERVALUE(Table1[[#This Row],[EFCRaw]])))</f>
        <v/>
      </c>
      <c r="AJ192" s="119" t="str">
        <f>IFERROR(VLOOKUP(Table1[[#This Row],[SyStudentId]],ISIR!$A$2:$X$4999,19,FALSE),"")</f>
        <v/>
      </c>
      <c r="AK192" s="113" t="str">
        <f>IFERROR(VLOOKUP(Table1[[#This Row],[SyStudentId]],ISIR!$A$2:$X$4999,8,FALSE),"")</f>
        <v/>
      </c>
      <c r="AL192" s="132" t="str">
        <f>IF(Table1[[#This Row],[VerReq]]="N","n/a","")</f>
        <v/>
      </c>
      <c r="AM192" s="122"/>
      <c r="AN192" s="122"/>
      <c r="AO192" s="122"/>
      <c r="AP192" s="122"/>
      <c r="AQ192" s="122"/>
      <c r="AR192" s="122"/>
      <c r="AS192" s="122"/>
      <c r="AT192" s="122"/>
      <c r="AU192" s="122"/>
      <c r="AV192" s="122"/>
      <c r="AW192" s="122"/>
      <c r="AX192" s="122"/>
      <c r="AY192" s="122"/>
      <c r="AZ192" s="122"/>
      <c r="BA192" s="122"/>
      <c r="BB192" s="122"/>
      <c r="BC192" s="148"/>
      <c r="BD192" s="140" t="str">
        <f>IF(Table1[[#This Row],[VerReq]]="N","x","")</f>
        <v/>
      </c>
      <c r="BE192" s="140" t="str">
        <f>IF(Table1[[#This Row],[VerReq]]="N","x","")</f>
        <v/>
      </c>
      <c r="BF192" s="140" t="str">
        <f>IF(Table1[[#This Row],[VerReq]]="N","x","")</f>
        <v/>
      </c>
      <c r="BG192" s="140" t="str">
        <f>IF(Table1[[#This Row],[VerReq]]="N","x","")</f>
        <v/>
      </c>
      <c r="BH192" s="140" t="str">
        <f>IF(Table1[[#This Row],[VerReq]]="N","x","")</f>
        <v/>
      </c>
      <c r="BI192" s="140" t="str">
        <f>IF(Table1[[#This Row],[VerReq]]="N","x","")</f>
        <v/>
      </c>
      <c r="BJ192" s="123">
        <f>1-((COUNTBLANK(Table1[[#This Row],[ALESent]:[TaxTran]]))/(COUNT(Table1[[#This Row],[ALESent]:[TaxTran]])+COUNTBLANK(Table1[[#This Row],[ALESent]:[TaxTran]])))</f>
        <v>0</v>
      </c>
      <c r="BK192" s="150">
        <f>IF(VLOOKUP(Table1[[#This Row],[SyStudentId]],SSR!$A$2:$CC$4982,22,FALSE)=44109,44109,"Check Program")</f>
        <v>44109</v>
      </c>
      <c r="BL192" s="150">
        <f>IF(Table1[[#This Row],[AYStart]]=44109,44356,"Check Program")</f>
        <v>44356</v>
      </c>
      <c r="BM192" s="219"/>
      <c r="BN192" s="219"/>
      <c r="BO192" s="219"/>
      <c r="BP192" s="220">
        <f t="shared" si="6"/>
        <v>0</v>
      </c>
      <c r="BQ192" s="221"/>
      <c r="BR192" s="219"/>
      <c r="BS192" s="219"/>
      <c r="BT192" s="220">
        <f t="shared" si="7"/>
        <v>0</v>
      </c>
      <c r="BU192" s="219"/>
      <c r="BV192" s="219"/>
      <c r="BW192" s="219"/>
      <c r="BX192" s="220">
        <f t="shared" si="8"/>
        <v>0</v>
      </c>
      <c r="BY192" s="275"/>
      <c r="BZ192" s="275"/>
      <c r="CA192" s="275"/>
      <c r="CB192" s="220">
        <f>SUM(Table1[[#This Row],[LEQ1]:[LEQ3]])</f>
        <v>0</v>
      </c>
      <c r="CC192" s="269"/>
      <c r="CD192" s="269"/>
      <c r="CE192" s="269"/>
      <c r="CF192" s="220">
        <f>SUM(Table1[[#This Row],[OthCostQ1]:[OthCostQ3]])</f>
        <v>0</v>
      </c>
      <c r="CG192" s="220">
        <f>(Table1[[#This Row],[T&amp;FTot]]+Table1[[#This Row],[B&amp;STot]]+Table1[[#This Row],[HousTot]]+Table1[[#This Row],[LETot]]+Table1[[#This Row],[OthCostTot]])</f>
        <v>0</v>
      </c>
      <c r="CH192" s="250"/>
      <c r="CI192" s="250"/>
      <c r="CJ192" s="250"/>
      <c r="CK192" s="251">
        <f>SUM(Table1[[#This Row],[SEOGQ1]:[SEOGQ3]])</f>
        <v>0</v>
      </c>
      <c r="CL192" s="250">
        <f>IFERROR(ROUNDUP(Table1[[#This Row],[PellTot]]/3,0),0)</f>
        <v>0</v>
      </c>
      <c r="CM192" s="250">
        <f>IFERROR(ROUND(Table1[[#This Row],[PellTot]]/3,0),0)</f>
        <v>0</v>
      </c>
      <c r="CN192" s="250">
        <f>IFERROR(ROUNDDOWN(Table1[[#This Row],[PellTot]]/3,0),0)</f>
        <v>0</v>
      </c>
      <c r="CO192" s="251">
        <f>IFERROR(LOOKUP(Table1[EFC],Pell_Table[#Data],Pell_Table[Pell Amt]),0)</f>
        <v>0</v>
      </c>
      <c r="CP192" s="250">
        <f>Table1[[#This Row],[AccessTot]]/3</f>
        <v>0</v>
      </c>
      <c r="CQ192" s="250">
        <f>Table1[[#This Row],[AccessTot]]/3</f>
        <v>0</v>
      </c>
      <c r="CR192" s="250">
        <f>Table1[[#This Row],[AccessTot]]/3</f>
        <v>0</v>
      </c>
      <c r="CS192" s="251">
        <f>IF(Table1[[#This Row],[PellTot]]&gt;0,1500,0)</f>
        <v>0</v>
      </c>
      <c r="CT192" s="250">
        <f>Table1[[#This Row],[AchiTot]]/3</f>
        <v>1000</v>
      </c>
      <c r="CU192" s="250">
        <f>Table1[[#This Row],[AchiTot]]/3</f>
        <v>1000</v>
      </c>
      <c r="CV192" s="250">
        <f>Table1[[#This Row],[AchiTot]]/3</f>
        <v>1000</v>
      </c>
      <c r="CW192" s="252">
        <f>IF(Table1[[#This Row],[Rank]]="","",IF(Table1[[#This Row],[Rank]]=1,5100,IF(Table1[[#This Row],[Rank]]=2,4500,IF(Table1[[#This Row],[Rank]]=3,3900,IF(Table1[[#This Row],[Rank]]=4,3750,IF(Table1[[#This Row],[Rank]]=5,3000,IF(Table1[[#This Row],[Rank]]=6,2250,0)))))))</f>
        <v>3000</v>
      </c>
      <c r="CX192" s="250">
        <f>Table1[[#This Row],[UTTot]]/3</f>
        <v>0</v>
      </c>
      <c r="CY192" s="250">
        <f>Table1[[#This Row],[UTTot]]/3</f>
        <v>0</v>
      </c>
      <c r="CZ192" s="250">
        <f>Table1[[#This Row],[UTTot]]/3</f>
        <v>0</v>
      </c>
      <c r="DA192" s="251">
        <f>IF(Table1[[#This Row],[State]]="UT",9000,0)</f>
        <v>0</v>
      </c>
      <c r="DB192" s="250">
        <f>Table1[[#This Row],[WITTot]]/3</f>
        <v>0</v>
      </c>
      <c r="DC192" s="250">
        <f>Table1[[#This Row],[WITTot]]/3</f>
        <v>0</v>
      </c>
      <c r="DD192" s="250">
        <f>Table1[[#This Row],[WITTot]]/3</f>
        <v>0</v>
      </c>
      <c r="DE192" s="251">
        <f>IF(Table1[[#This Row],[Gender]]="Female",3000,0)</f>
        <v>0</v>
      </c>
      <c r="DF192" s="250">
        <f>Table1[[#This Row],[SerTot]]/3</f>
        <v>0</v>
      </c>
      <c r="DG192" s="250">
        <f>Table1[[#This Row],[SerTot]]/3</f>
        <v>0</v>
      </c>
      <c r="DH192" s="250">
        <f>Table1[[#This Row],[SerTot]]/3</f>
        <v>0</v>
      </c>
      <c r="DI192" s="252"/>
      <c r="DJ192" s="250"/>
      <c r="DK192" s="250"/>
      <c r="DL192" s="250"/>
      <c r="DM192" s="252"/>
      <c r="DN192" s="250">
        <f>Table1[[#This Row],[MatTot]]/3</f>
        <v>0</v>
      </c>
      <c r="DO192" s="250">
        <f>Table1[[#This Row],[MatTot]]/3</f>
        <v>0</v>
      </c>
      <c r="DP192" s="250">
        <f>Table1[[#This Row],[MatTot]]/3</f>
        <v>0</v>
      </c>
      <c r="DQ192" s="252"/>
      <c r="DR192" s="250">
        <f>Table1[[#This Row],[OutTot]]/3</f>
        <v>0</v>
      </c>
      <c r="DS192" s="250">
        <f>Table1[[#This Row],[OutTot]]/3</f>
        <v>0</v>
      </c>
      <c r="DT192" s="250">
        <f>Table1[[#This Row],[OutTot]]/3</f>
        <v>0</v>
      </c>
      <c r="DU192" s="252"/>
      <c r="DV192" s="250"/>
      <c r="DW192" s="250"/>
      <c r="DX192" s="250"/>
      <c r="DY192" s="252">
        <f>SUM(Table1[[#This Row],[VAQ1]:[VAQ3]])</f>
        <v>0</v>
      </c>
      <c r="DZ192" s="250"/>
      <c r="EA192" s="250"/>
      <c r="EB192" s="250"/>
      <c r="EC192" s="270">
        <f>SUM(Table1[[#This Row],[OthGrantQ1]:[OthGrantQ3]])</f>
        <v>0</v>
      </c>
      <c r="ED192" s="263">
        <f>Table1[[#This Row],[SEOGTot]]+Table1[[#This Row],[PellTot]]+Table1[[#This Row],[AccessTot]]+Table1[[#This Row],[AchiTot]]+Table1[[#This Row],[UTTot]]+Table1[[#This Row],[WITTot]]+Table1[[#This Row],[SerTot]]+Table1[[#This Row],[TranTot]]+Table1[[#This Row],[MatTot]]+Table1[[#This Row],[OutTot]]+Table1[[#This Row],[VATot]]+Table1[[#This Row],[OthGrantTot]]</f>
        <v>3000</v>
      </c>
      <c r="EE192" s="282"/>
      <c r="EF192" s="237"/>
      <c r="EG192" s="237"/>
      <c r="EH192" s="232">
        <f>SUM(Table1[[#This Row],[CashQ1]]:Table1[[#This Row],[CashQ3]])</f>
        <v>0</v>
      </c>
      <c r="EI192" s="271">
        <f>ROUND((Table1[[#This Row],[SubTot]]/3)/1.01059,0)</f>
        <v>0</v>
      </c>
      <c r="EJ192" s="234">
        <f>ROUND((Table1[[#This Row],[SubTot]]/3)/1.01059,0)</f>
        <v>0</v>
      </c>
      <c r="EK192" s="234">
        <f>ROUNDUP((Table1[[#This Row],[SubTot]]/3)/1.01059,0)</f>
        <v>0</v>
      </c>
      <c r="EL192" s="235"/>
      <c r="EM192" s="240">
        <f>Table1[[#This Row],[SubTot]]*0.01059</f>
        <v>0</v>
      </c>
      <c r="EN192" s="234">
        <f>ROUND((Table1[[#This Row],[UnsubTot]]/3)/1.01062,0)</f>
        <v>660</v>
      </c>
      <c r="EO192" s="234">
        <f>ROUND((Table1[[#This Row],[UnsubTot]]/3)/1.01062,0)</f>
        <v>660</v>
      </c>
      <c r="EP192" s="234">
        <f>ROUNDDOWN((Table1[[#This Row],[UnsubTot]]/3)/1.01062,0)</f>
        <v>659</v>
      </c>
      <c r="EQ192" s="235">
        <f>IF(Table1[D/I]="I",6000,2000)</f>
        <v>2000</v>
      </c>
      <c r="ER192" s="240">
        <f>Table1[[#This Row],[UnsubTot]]*0.01062</f>
        <v>21.24</v>
      </c>
      <c r="ES192" s="234">
        <f>ROUND((Table1[[#This Row],[PLUSTot]]/3)/1.04248,0)</f>
        <v>0</v>
      </c>
      <c r="ET192" s="234">
        <f>ROUND((Table1[[#This Row],[PLUSTot]]/3)/1.04248,0)</f>
        <v>0</v>
      </c>
      <c r="EU192" s="234">
        <f>ROUND((Table1[[#This Row],[PLUSTot]]/3)/1.04248,0)</f>
        <v>0</v>
      </c>
      <c r="EV192" s="235"/>
      <c r="EW192" s="239">
        <f>Table1[[#This Row],[PLUSTot]]*0.04248</f>
        <v>0</v>
      </c>
      <c r="EX192" s="237"/>
      <c r="EY192" s="237"/>
      <c r="EZ192" s="237"/>
      <c r="FA192" s="232">
        <f>SUM(Table1[[#This Row],[PrivQ1]:[PrivQ3]])</f>
        <v>0</v>
      </c>
      <c r="FB192" s="237"/>
      <c r="FC192" s="237"/>
      <c r="FD192" s="237"/>
      <c r="FE192" s="232">
        <f>SUM(Table1[[#This Row],[TOQ1]:[TOQ3]])</f>
        <v>0</v>
      </c>
      <c r="FF192" s="237"/>
      <c r="FG192" s="237"/>
      <c r="FH192" s="237"/>
      <c r="FI192" s="232">
        <f>SUM(Table1[[#This Row],[OFundQ1]:[OFundQ3]])</f>
        <v>0</v>
      </c>
      <c r="FJ192" s="239">
        <f>(Table1[[#This Row],[SubTot]]-Table1[[#This Row],[SubFee]])+(Table1[[#This Row],[UnsubTot]]-Table1[[#This Row],[UnsubFee]])+(Table1[[#This Row],[PLUSTot]]-Table1[[#This Row],[PLUSFee]])+Table1[[#This Row],[PrivTot]]+Table1[[#This Row],[TOTot]]+Table1[[#This Row],[OFundTot]]</f>
        <v>1978.76</v>
      </c>
      <c r="FK192" s="125">
        <f>Table1[[#This Row],[CostTot]]-Table1[[#This Row],[GiftTot]]</f>
        <v>-3000</v>
      </c>
      <c r="FL192" s="130">
        <f>Table1[[#This Row],[NetNeed]]/(1-0.04248)</f>
        <v>-5199.6407385746516</v>
      </c>
      <c r="FM192" s="131">
        <f>Table1[[#This Row],[NetCost]]-Table1[[#This Row],[CashTot]]-(Table1[[#This Row],[SubTot]]-Table1[[#This Row],[SubFee]])-(Table1[[#This Row],[UnsubTot]]-Table1[[#This Row],[UnsubFee]])-(Table1[[#This Row],[PLUSTot]]-Table1[[#This Row],[PLUSFee]])-Table1[[#This Row],[PrivTot]]-Table1[[#This Row],[TOTot]]-Table1[[#This Row],[OFundTot]]</f>
        <v>-4978.76</v>
      </c>
      <c r="FN192" s="156"/>
      <c r="FO192" s="113"/>
      <c r="FP192" s="113"/>
    </row>
    <row r="193" spans="1:172" ht="15" x14ac:dyDescent="0.25">
      <c r="A193" s="160">
        <v>197336</v>
      </c>
      <c r="B193" s="160" t="str">
        <f>VLOOKUP(Table1[[#This Row],[SyStudentId]],SSR!$A$2:$CC$4982,4,FALSE)</f>
        <v>Wallace</v>
      </c>
      <c r="C193" s="160" t="str">
        <f>VLOOKUP(Table1[[#This Row],[SyStudentId]],SSR!$A$2:$CC$4982,5,FALSE)</f>
        <v>Aidan</v>
      </c>
      <c r="D193" s="160" t="str">
        <f>VLOOKUP(Table1[[#This Row],[SyStudentId]],SSR!$A$2:$CC$4982,6,FALSE)</f>
        <v>Wallace, Aidan</v>
      </c>
      <c r="E193" s="113" t="str">
        <f>CONCATENATE(Table1[[#This Row],[FirstName]]," ",Table1[[#This Row],[LastName]])</f>
        <v>Aidan Wallace</v>
      </c>
      <c r="F193" s="158"/>
      <c r="G193" s="114"/>
      <c r="H193" s="114"/>
      <c r="I193" s="114"/>
      <c r="J193" s="163"/>
      <c r="K193" s="164"/>
      <c r="L193" s="158" t="str">
        <f>IFERROR(VLOOKUP(Table1[[#This Row],[SyStudentId]],ISIR!$A$2:$X$4999,11,FALSE),"")</f>
        <v>D</v>
      </c>
      <c r="M193" s="160" t="str">
        <f>VLOOKUP(Table1[[#This Row],[SyStudentId]],SSR!$A$2:$CC$4982,7,FALSE)</f>
        <v>aidan.kirk.wallace@gmail.com</v>
      </c>
      <c r="N193" s="160" t="str">
        <f>VLOOKUP(Table1[[#This Row],[SyStudentId]],SSR!$A$2:$CC$4982,8,FALSE)</f>
        <v>2296 McGuire Rd.</v>
      </c>
      <c r="O193" s="160" t="str">
        <f>VLOOKUP(Table1[[#This Row],[SyStudentId]],SSR!$A$2:$CC$4982,9,FALSE)</f>
        <v>Symsonia</v>
      </c>
      <c r="P193" s="294" t="str">
        <f>VLOOKUP(Table1[[#This Row],[SyStudentId]],SSR!$A$2:$CC$4982,10,FALSE)</f>
        <v>KY</v>
      </c>
      <c r="Q193" s="165" t="str">
        <f>VLOOKUP(Table1[[#This Row],[SyStudentId]],SSR!$A$2:$CC$4982,11,FALSE)</f>
        <v>42082-9453</v>
      </c>
      <c r="R193" s="166">
        <f>VLOOKUP(Table1[[#This Row],[SyStudentId]],SSR!$A$2:$CC$4982,15,FALSE)</f>
        <v>2.75</v>
      </c>
      <c r="S193" s="167">
        <f>VLOOKUP(Table1[[#This Row],[SyStudentId]],SSR!$A$2:$CC$4982,22,FALSE)</f>
        <v>44109</v>
      </c>
      <c r="T193" s="160" t="str">
        <f>VLOOKUP(Table1[[#This Row],[SyStudentId]],SSR!$A$2:$CC$4982,24,FALSE)</f>
        <v>JT</v>
      </c>
      <c r="U193" s="160" t="str">
        <f>IF(VLOOKUP(Table1[[#This Row],[SyStudentId]],SSR!$A$2:$CC$4982,26,FALSE)=0,"Not Selected",VLOOKUP(Table1[[#This Row],[SyStudentId]],SSR!$A$2:$CC$4982,26,FALSE))</f>
        <v>Male</v>
      </c>
      <c r="V193" s="160" t="str">
        <f>VLOOKUP(Table1[[#This Row],[SyStudentId]],SSR!$A$2:$CC$4982,27,FALSE)</f>
        <v xml:space="preserve">HS2020  </v>
      </c>
      <c r="W193" s="160" t="str">
        <f>VLOOKUP(LEFT(Table1[[#This Row],[LastName]],1),Alpha!$A$1:$B$26,2,FALSE)</f>
        <v>Maureen Ranks</v>
      </c>
      <c r="X193" s="268" t="str">
        <f>VLOOKUP(Table1[[#This Row],[FAA]],Alpha!$B$1:$D$26,2,FALSE)</f>
        <v>mranks@neumont.edu</v>
      </c>
      <c r="Y193" s="160">
        <f>VLOOKUP(Table1[[#This Row],[FAA]],Alpha!$B$1:$D$26,3,FALSE)</f>
        <v>8883022894</v>
      </c>
      <c r="Z193" s="160" t="str">
        <f>VLOOKUP(Table1[[#This Row],[SyStudentId]],SSR!$A$2:$CC$4982,30,FALSE)</f>
        <v>18-Pending Enrollment</v>
      </c>
      <c r="AA193" s="160" t="str">
        <f>IF(VLOOKUP(Table1[[#This Row],[SyStudentId]],SSR!$A$2:$CC$4982,36,FALSE)="Bachelor of Science","BS Computer Science","Check Program")</f>
        <v>BS Computer Science</v>
      </c>
      <c r="AB193" s="160" t="str">
        <f>VLOOKUP(Table1[[#This Row],[SyStudentId]],SSR!$A$2:$CC$4982,37,FALSE)</f>
        <v xml:space="preserve">24      </v>
      </c>
      <c r="AC193" s="160">
        <f>VLOOKUP(Table1[[#This Row],[SyStudentId]],SSR!$A$2:$CC$4982,42,FALSE)</f>
        <v>0</v>
      </c>
      <c r="AD193" s="160" t="str">
        <f>VLOOKUP(Table1[[#This Row],[SyStudentId]],SSR!$A$2:$CC$4982,46,FALSE)</f>
        <v>99</v>
      </c>
      <c r="AE193" s="160" t="str">
        <f>VLOOKUP(Table1[[#This Row],[SyStudentId]],SSR!$A$2:$CC$4982,65,FALSE)</f>
        <v>IV</v>
      </c>
      <c r="AF193"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4</v>
      </c>
      <c r="AG193" s="160" t="str">
        <f>VLOOKUP(Table1[[#This Row],[SyStudentId]],SSR!$A$2:$CC$4982,66,FALSE)</f>
        <v>July-October</v>
      </c>
      <c r="AH193" s="160" t="str">
        <f>IFERROR(VLOOKUP(Table1[[#This Row],[SyStudentId]],ISIR!$A$2:$X$1999,7,FALSE),"")</f>
        <v>003180</v>
      </c>
      <c r="AI193" s="170">
        <f>IF(Table1[[#This Row],[EFCRaw]]="","",IF(Table1[[#This Row],[EFCRaw]]="No EFC","No EFC",_xlfn.NUMBERVALUE(Table1[[#This Row],[EFCRaw]])))</f>
        <v>3180</v>
      </c>
      <c r="AJ193" s="167">
        <f>IFERROR(VLOOKUP(Table1[[#This Row],[SyStudentId]],ISIR!$A$2:$X$4999,19,FALSE),"")</f>
        <v>43776</v>
      </c>
      <c r="AK193" s="160" t="str">
        <f>IFERROR(VLOOKUP(Table1[[#This Row],[SyStudentId]],ISIR!$A$2:$X$4999,8,FALSE),"")</f>
        <v>Y</v>
      </c>
      <c r="AL193" s="319" t="str">
        <f>IF(Table1[[#This Row],[VerReq]]="N","n/a","")</f>
        <v/>
      </c>
      <c r="AM193" s="122"/>
      <c r="AN193" s="122"/>
      <c r="AO193" s="122"/>
      <c r="AP193" s="122">
        <v>43770</v>
      </c>
      <c r="AQ193" s="122">
        <v>43770</v>
      </c>
      <c r="AR193" s="122"/>
      <c r="AS193" s="122"/>
      <c r="AT193" s="122"/>
      <c r="AU193" s="122"/>
      <c r="AV193" s="122"/>
      <c r="AW193" s="122"/>
      <c r="AX193" s="122"/>
      <c r="AY193" s="122"/>
      <c r="AZ193" s="122"/>
      <c r="BA193" s="122"/>
      <c r="BB193" s="122"/>
      <c r="BC193" s="148"/>
      <c r="BD193" s="140" t="str">
        <f>IF(Table1[[#This Row],[VerReq]]="N","x","")</f>
        <v/>
      </c>
      <c r="BE193" s="140" t="str">
        <f>IF(Table1[[#This Row],[VerReq]]="N","x","")</f>
        <v/>
      </c>
      <c r="BF193" s="140" t="str">
        <f>IF(Table1[[#This Row],[VerReq]]="N","x","")</f>
        <v/>
      </c>
      <c r="BG193" s="140" t="str">
        <f>IF(Table1[[#This Row],[VerReq]]="N","x","")</f>
        <v/>
      </c>
      <c r="BH193" s="140" t="str">
        <f>IF(Table1[[#This Row],[VerReq]]="N","x","")</f>
        <v/>
      </c>
      <c r="BI193" s="140" t="str">
        <f>IF(Table1[[#This Row],[VerReq]]="N","x","")</f>
        <v/>
      </c>
      <c r="BJ193" s="181">
        <f>1-((COUNTBLANK(Table1[[#This Row],[ALESent]:[TaxTran]]))/(COUNT(Table1[[#This Row],[ALESent]:[TaxTran]])+COUNTBLANK(Table1[[#This Row],[ALESent]:[TaxTran]])))</f>
        <v>8.6956521739130488E-2</v>
      </c>
      <c r="BK193" s="216">
        <f>IF(VLOOKUP(Table1[[#This Row],[SyStudentId]],SSR!$A$2:$CC$4982,22,FALSE)=44109,44109,"Check Program")</f>
        <v>44109</v>
      </c>
      <c r="BL193" s="216">
        <f>IF(Table1[[#This Row],[AYStart]]=44109,44356,"Check Program")</f>
        <v>44356</v>
      </c>
      <c r="BM193" s="219">
        <v>8505</v>
      </c>
      <c r="BN193" s="219">
        <v>8505</v>
      </c>
      <c r="BO193" s="219">
        <v>8505</v>
      </c>
      <c r="BP193" s="220">
        <f t="shared" si="6"/>
        <v>25515</v>
      </c>
      <c r="BQ193" s="221">
        <v>3300</v>
      </c>
      <c r="BR193" s="219">
        <v>400</v>
      </c>
      <c r="BS193" s="219">
        <v>400</v>
      </c>
      <c r="BT193" s="222">
        <f t="shared" si="7"/>
        <v>4100</v>
      </c>
      <c r="BU193" s="219">
        <v>2100</v>
      </c>
      <c r="BV193" s="219">
        <v>2100</v>
      </c>
      <c r="BW193" s="219">
        <v>2100</v>
      </c>
      <c r="BX193" s="222">
        <f t="shared" si="8"/>
        <v>6300</v>
      </c>
      <c r="BY193" s="275">
        <v>1200</v>
      </c>
      <c r="BZ193" s="275">
        <v>1200</v>
      </c>
      <c r="CA193" s="275">
        <v>1200</v>
      </c>
      <c r="CB193" s="222">
        <f>SUM(Table1[[#This Row],[LEQ1]:[LEQ3]])</f>
        <v>3600</v>
      </c>
      <c r="CC193" s="276">
        <v>0</v>
      </c>
      <c r="CD193" s="276">
        <v>0</v>
      </c>
      <c r="CE193" s="276">
        <v>0</v>
      </c>
      <c r="CF193" s="222">
        <f>SUM(Table1[[#This Row],[OthCostQ1]:[OthCostQ3]])</f>
        <v>0</v>
      </c>
      <c r="CG193" s="222">
        <f>(Table1[[#This Row],[T&amp;FTot]]+Table1[[#This Row],[B&amp;STot]]+Table1[[#This Row],[HousTot]]+Table1[[#This Row],[LETot]]+Table1[[#This Row],[OthCostTot]])</f>
        <v>39515</v>
      </c>
      <c r="CH193" s="253">
        <v>0</v>
      </c>
      <c r="CI193" s="253">
        <v>0</v>
      </c>
      <c r="CJ193" s="253">
        <v>0</v>
      </c>
      <c r="CK193" s="254">
        <f>SUM(Table1[[#This Row],[SEOGQ1]:[SEOGQ3]])</f>
        <v>0</v>
      </c>
      <c r="CL193" s="253">
        <f>IFERROR(ROUNDUP(Table1[[#This Row],[PellTot]]/3,0),0)</f>
        <v>1015</v>
      </c>
      <c r="CM193" s="253">
        <f>IFERROR(ROUND(Table1[[#This Row],[PellTot]]/3,0),0)</f>
        <v>1015</v>
      </c>
      <c r="CN193" s="253">
        <f>IFERROR(ROUNDDOWN(Table1[[#This Row],[PellTot]]/3,0),0)</f>
        <v>1015</v>
      </c>
      <c r="CO193" s="254">
        <f>IFERROR(LOOKUP(Table1[EFC],Pell_Table[#Data],Pell_Table[Pell Amt]),0)</f>
        <v>3045</v>
      </c>
      <c r="CP193" s="253">
        <f>Table1[[#This Row],[AccessTot]]/3</f>
        <v>500</v>
      </c>
      <c r="CQ193" s="253">
        <f>Table1[[#This Row],[AccessTot]]/3</f>
        <v>500</v>
      </c>
      <c r="CR193" s="253">
        <f>Table1[[#This Row],[AccessTot]]/3</f>
        <v>500</v>
      </c>
      <c r="CS193" s="254">
        <f>IF(Table1[[#This Row],[PellTot]]&gt;0,1500,0)</f>
        <v>1500</v>
      </c>
      <c r="CT193" s="253">
        <f>Table1[[#This Row],[AchiTot]]/3</f>
        <v>1250</v>
      </c>
      <c r="CU193" s="253">
        <f>Table1[[#This Row],[AchiTot]]/3</f>
        <v>1250</v>
      </c>
      <c r="CV193" s="253">
        <f>Table1[[#This Row],[AchiTot]]/3</f>
        <v>1250</v>
      </c>
      <c r="CW193" s="255">
        <f>IF(Table1[[#This Row],[Rank]]="","",IF(Table1[[#This Row],[Rank]]=1,5100,IF(Table1[[#This Row],[Rank]]=2,4500,IF(Table1[[#This Row],[Rank]]=3,3900,IF(Table1[[#This Row],[Rank]]=4,3750,IF(Table1[[#This Row],[Rank]]=5,3000,IF(Table1[[#This Row],[Rank]]=6,2250,0)))))))</f>
        <v>3750</v>
      </c>
      <c r="CX193" s="253">
        <f>Table1[[#This Row],[UTTot]]/3</f>
        <v>0</v>
      </c>
      <c r="CY193" s="253">
        <f>Table1[[#This Row],[UTTot]]/3</f>
        <v>0</v>
      </c>
      <c r="CZ193" s="253">
        <f>Table1[[#This Row],[UTTot]]/3</f>
        <v>0</v>
      </c>
      <c r="DA193" s="254">
        <f>IF(Table1[[#This Row],[State]]="UT",9000,0)</f>
        <v>0</v>
      </c>
      <c r="DB193" s="253">
        <f>Table1[[#This Row],[WITTot]]/3</f>
        <v>0</v>
      </c>
      <c r="DC193" s="253">
        <f>Table1[[#This Row],[WITTot]]/3</f>
        <v>0</v>
      </c>
      <c r="DD193" s="253">
        <f>Table1[[#This Row],[WITTot]]/3</f>
        <v>0</v>
      </c>
      <c r="DE193" s="254">
        <f>IF(Table1[[#This Row],[Gender]]="Female",3000,0)</f>
        <v>0</v>
      </c>
      <c r="DF193" s="253">
        <f>Table1[[#This Row],[SerTot]]/3</f>
        <v>0</v>
      </c>
      <c r="DG193" s="253">
        <f>Table1[[#This Row],[SerTot]]/3</f>
        <v>0</v>
      </c>
      <c r="DH193" s="253">
        <f>Table1[[#This Row],[SerTot]]/3</f>
        <v>0</v>
      </c>
      <c r="DI193" s="255">
        <v>0</v>
      </c>
      <c r="DJ193" s="253">
        <f>IFERROR(ROUNDUP(Table1[[#This Row],[TranTot]]/3,0),0)</f>
        <v>0</v>
      </c>
      <c r="DK193" s="253">
        <f>IFERROR(ROUND(Table1[[#This Row],[TranTot]]/3,0),0)</f>
        <v>0</v>
      </c>
      <c r="DL193" s="253">
        <f>IFERROR(ROUNDDOWN(Table1[[#This Row],[TranTot]]/3,0),0)</f>
        <v>0</v>
      </c>
      <c r="DM193" s="255">
        <v>0</v>
      </c>
      <c r="DN193" s="253">
        <f>Table1[[#This Row],[MatTot]]/3</f>
        <v>0</v>
      </c>
      <c r="DO193" s="253">
        <f>Table1[[#This Row],[MatTot]]/3</f>
        <v>0</v>
      </c>
      <c r="DP193" s="253">
        <f>Table1[[#This Row],[MatTot]]/3</f>
        <v>0</v>
      </c>
      <c r="DQ193" s="255">
        <v>0</v>
      </c>
      <c r="DR193" s="253">
        <f>Table1[[#This Row],[OutTot]]/3</f>
        <v>0</v>
      </c>
      <c r="DS193" s="253">
        <f>Table1[[#This Row],[OutTot]]/3</f>
        <v>0</v>
      </c>
      <c r="DT193" s="253">
        <f>Table1[[#This Row],[OutTot]]/3</f>
        <v>0</v>
      </c>
      <c r="DU193" s="255">
        <v>0</v>
      </c>
      <c r="DV193" s="253">
        <v>0</v>
      </c>
      <c r="DW193" s="253">
        <v>0</v>
      </c>
      <c r="DX193" s="253">
        <v>0</v>
      </c>
      <c r="DY193" s="255">
        <f>SUM(Table1[[#This Row],[VAQ1]:[VAQ3]])</f>
        <v>0</v>
      </c>
      <c r="DZ193" s="253">
        <v>0</v>
      </c>
      <c r="EA193" s="253">
        <v>0</v>
      </c>
      <c r="EB193" s="253">
        <v>0</v>
      </c>
      <c r="EC193" s="278">
        <f>SUM(Table1[[#This Row],[OthGrantQ1]:[OthGrantQ3]])</f>
        <v>0</v>
      </c>
      <c r="ED193" s="264">
        <f>Table1[[#This Row],[SEOGTot]]+Table1[[#This Row],[PellTot]]+Table1[[#This Row],[AccessTot]]+Table1[[#This Row],[AchiTot]]+Table1[[#This Row],[UTTot]]+Table1[[#This Row],[WITTot]]+Table1[[#This Row],[SerTot]]+Table1[[#This Row],[TranTot]]+Table1[[#This Row],[MatTot]]+Table1[[#This Row],[OutTot]]+Table1[[#This Row],[VATot]]+Table1[[#This Row],[OthGrantTot]]</f>
        <v>8295</v>
      </c>
      <c r="EE193" s="298">
        <v>0</v>
      </c>
      <c r="EF193" s="227">
        <v>0</v>
      </c>
      <c r="EG193" s="227">
        <v>0</v>
      </c>
      <c r="EH193" s="228">
        <f>SUM(Table1[[#This Row],[CashQ1]]:Table1[[#This Row],[CashQ3]])</f>
        <v>0</v>
      </c>
      <c r="EI193" s="229">
        <f>ROUND((Table1[[#This Row],[SubTot]]/3)/1.01059,0)</f>
        <v>1154</v>
      </c>
      <c r="EJ193" s="230">
        <f>ROUND((Table1[[#This Row],[SubTot]]/3)/1.01059,0)</f>
        <v>1154</v>
      </c>
      <c r="EK193" s="230">
        <f>ROUNDUP((Table1[[#This Row],[SubTot]]/3)/1.01059,0)</f>
        <v>1155</v>
      </c>
      <c r="EL193" s="231">
        <v>3500</v>
      </c>
      <c r="EM193" s="233">
        <f>Table1[[#This Row],[SubTot]]*0.01059</f>
        <v>37.065000000000005</v>
      </c>
      <c r="EN193" s="230">
        <f>ROUND((Table1[[#This Row],[UnsubTot]]/3)/1.01062,0)</f>
        <v>660</v>
      </c>
      <c r="EO193" s="230">
        <f>ROUND((Table1[[#This Row],[UnsubTot]]/3)/1.01062,0)</f>
        <v>660</v>
      </c>
      <c r="EP193" s="230">
        <f>ROUNDDOWN((Table1[[#This Row],[UnsubTot]]/3)/1.01062,0)</f>
        <v>659</v>
      </c>
      <c r="EQ193" s="231">
        <f>IF(Table1[D/I]="I",6000,2000)</f>
        <v>2000</v>
      </c>
      <c r="ER193" s="233">
        <f>Table1[[#This Row],[UnsubTot]]*0.01059</f>
        <v>21.18</v>
      </c>
      <c r="ES193" s="230">
        <f>ROUND((Table1[[#This Row],[PLUSTot]]/3)/1.04236,0)</f>
        <v>0</v>
      </c>
      <c r="ET193" s="230">
        <f>ROUND((Table1[[#This Row],[PLUSTot]]/3)/1.04236,0)</f>
        <v>0</v>
      </c>
      <c r="EU193" s="230">
        <f>ROUND((Table1[[#This Row],[PLUSTot]]/3)/1.04236,0)</f>
        <v>0</v>
      </c>
      <c r="EV193" s="231">
        <v>0</v>
      </c>
      <c r="EW193" s="236">
        <f>Table1[[#This Row],[PLUSTot]]*0.04236</f>
        <v>0</v>
      </c>
      <c r="EX193" s="227"/>
      <c r="EY193" s="227"/>
      <c r="EZ193" s="227"/>
      <c r="FA193" s="228">
        <v>0</v>
      </c>
      <c r="FB193" s="227"/>
      <c r="FC193" s="227"/>
      <c r="FD193" s="227"/>
      <c r="FE193" s="228">
        <f>SUM(Table1[[#This Row],[TOQ1]:[TOQ3]])</f>
        <v>0</v>
      </c>
      <c r="FF193" s="227"/>
      <c r="FG193" s="227"/>
      <c r="FH193" s="227"/>
      <c r="FI193" s="228">
        <f>SUM(Table1[[#This Row],[OFundQ1]:[OFundQ3]])</f>
        <v>0</v>
      </c>
      <c r="FJ193" s="236">
        <f>(Table1[[#This Row],[SubTot]]-Table1[[#This Row],[SubFee]])+(Table1[[#This Row],[UnsubTot]]-Table1[[#This Row],[UnsubFee]])+(Table1[[#This Row],[PLUSTot]]-Table1[[#This Row],[PLUSFee]])+Table1[[#This Row],[PrivTot]]+Table1[[#This Row],[TOTot]]+Table1[[#This Row],[OFundTot]]</f>
        <v>5441.7550000000001</v>
      </c>
      <c r="FK193" s="159">
        <f>Table1[[#This Row],[CostTot]]-Table1[[#This Row],[GiftTot]]</f>
        <v>31220</v>
      </c>
      <c r="FL193" s="174">
        <f>Table1[[#This Row],[NetNeed]]/(1-0.04236)</f>
        <v>26918.513219999164</v>
      </c>
      <c r="FM193" s="176">
        <f>Table1[[#This Row],[NetCost]]-Table1[[#This Row],[CashTot]]-(Table1[[#This Row],[SubTot]]-Table1[[#This Row],[SubFee]])-(Table1[[#This Row],[UnsubTot]]-Table1[[#This Row],[UnsubFee]])-(Table1[[#This Row],[PLUSTot]]-Table1[[#This Row],[PLUSFee]])-Table1[[#This Row],[PrivTot]]-Table1[[#This Row],[TOTot]]-Table1[[#This Row],[OFundTot]]</f>
        <v>25778.244999999999</v>
      </c>
      <c r="FN193" s="217"/>
      <c r="FO193" s="162"/>
      <c r="FP193" s="162"/>
    </row>
    <row r="194" spans="1:172" ht="15" x14ac:dyDescent="0.25">
      <c r="A194" s="310">
        <v>198759</v>
      </c>
      <c r="B194" s="113" t="str">
        <f>VLOOKUP(Table1[[#This Row],[SyStudentId]],SSR!$A$2:$CC$4982,4,FALSE)</f>
        <v>Wallraff</v>
      </c>
      <c r="C194" s="113" t="str">
        <f>VLOOKUP(Table1[[#This Row],[SyStudentId]],SSR!$A$2:$CC$4982,5,FALSE)</f>
        <v>Zachary</v>
      </c>
      <c r="D194" s="113" t="str">
        <f>VLOOKUP(Table1[[#This Row],[SyStudentId]],SSR!$A$2:$CC$4982,6,FALSE)</f>
        <v>Wallraff, Zachary</v>
      </c>
      <c r="E194" s="113" t="str">
        <f>CONCATENATE(Table1[[#This Row],[FirstName]]," ",Table1[[#This Row],[LastName]])</f>
        <v>Zachary Wallraff</v>
      </c>
      <c r="F194" s="112"/>
      <c r="G194" s="114"/>
      <c r="H194" s="114"/>
      <c r="I194" s="114"/>
      <c r="J194" s="115" t="s">
        <v>5593</v>
      </c>
      <c r="K194" s="116"/>
      <c r="L194" s="112" t="str">
        <f>IFERROR(VLOOKUP(Table1[[#This Row],[SyStudentId]],ISIR!$A$2:$X$999,11,FALSE),"")</f>
        <v/>
      </c>
      <c r="M194" s="113" t="str">
        <f>VLOOKUP(Table1[[#This Row],[SyStudentId]],SSR!$A$2:$CC$4982,7,FALSE)</f>
        <v>zwallraff@gmail.com</v>
      </c>
      <c r="N194" s="113" t="str">
        <f>VLOOKUP(Table1[[#This Row],[SyStudentId]],SSR!$A$2:$CC$4982,8,FALSE)</f>
        <v>814 BLACKOAKS LN</v>
      </c>
      <c r="O194" s="113" t="str">
        <f>VLOOKUP(Table1[[#This Row],[SyStudentId]],SSR!$A$2:$CC$4982,9,FALSE)</f>
        <v>ANOKA</v>
      </c>
      <c r="P194" s="113" t="str">
        <f>VLOOKUP(Table1[[#This Row],[SyStudentId]],SSR!$A$2:$CC$4982,10,FALSE)</f>
        <v>MN</v>
      </c>
      <c r="Q194" s="117" t="str">
        <f>VLOOKUP(Table1[[#This Row],[SyStudentId]],SSR!$A$2:$CC$4982,11,FALSE)</f>
        <v xml:space="preserve">55303     </v>
      </c>
      <c r="R194" s="118">
        <f>VLOOKUP(Table1[[#This Row],[SyStudentId]],SSR!$A$2:$CC$4982,15,FALSE)</f>
        <v>3.78</v>
      </c>
      <c r="S194" s="119">
        <f>VLOOKUP(Table1[[#This Row],[SyStudentId]],SSR!$A$2:$CC$4982,22,FALSE)</f>
        <v>44109</v>
      </c>
      <c r="T194" s="113" t="str">
        <f>VLOOKUP(Table1[[#This Row],[SyStudentId]],SSR!$A$2:$CC$4982,24,FALSE)</f>
        <v>MN</v>
      </c>
      <c r="U194" s="113" t="str">
        <f>IF(VLOOKUP(Table1[[#This Row],[SyStudentId]],SSR!$A$2:$CC$4982,26,FALSE)=0,"Not Selected",VLOOKUP(Table1[[#This Row],[SyStudentId]],SSR!$A$2:$CC$4982,26,FALSE))</f>
        <v>Male</v>
      </c>
      <c r="V194" s="113" t="str">
        <f>VLOOKUP(Table1[[#This Row],[SyStudentId]],SSR!$A$2:$CC$4982,27,FALSE)</f>
        <v xml:space="preserve">HS2020  </v>
      </c>
      <c r="W194" s="113" t="str">
        <f>VLOOKUP(LEFT(Table1[[#This Row],[LastName]],1),Alpha!$A$1:$B$26,2,FALSE)</f>
        <v>Maureen Ranks</v>
      </c>
      <c r="X194" s="149" t="str">
        <f>VLOOKUP(Table1[[#This Row],[FAA]],Alpha!$B$1:$D$26,2,FALSE)</f>
        <v>mranks@neumont.edu</v>
      </c>
      <c r="Y194" s="113">
        <f>VLOOKUP(Table1[[#This Row],[FAA]],Alpha!$B$1:$D$26,3,FALSE)</f>
        <v>8883022894</v>
      </c>
      <c r="Z194" s="113" t="str">
        <f>VLOOKUP(Table1[[#This Row],[SyStudentId]],SSR!$A$2:$CC$4982,30,FALSE)</f>
        <v>16-Accepted</v>
      </c>
      <c r="AA194" s="113" t="str">
        <f>IF(VLOOKUP(Table1[[#This Row],[SyStudentId]],SSR!$A$2:$CC$4982,36,FALSE)="Bachelor of Science","BS Computer Science","Check Program")</f>
        <v>BS Computer Science</v>
      </c>
      <c r="AB194" s="113">
        <f>VLOOKUP(Table1[[#This Row],[SyStudentId]],SSR!$A$2:$CC$4982,37,FALSE)</f>
        <v>0</v>
      </c>
      <c r="AC194" s="113">
        <f>VLOOKUP(Table1[[#This Row],[SyStudentId]],SSR!$A$2:$CC$4982,42,FALSE)</f>
        <v>0</v>
      </c>
      <c r="AD194" s="113" t="str">
        <f>VLOOKUP(Table1[[#This Row],[SyStudentId]],SSR!$A$2:$CC$4982,46,FALSE)</f>
        <v>0</v>
      </c>
      <c r="AE194" s="113" t="str">
        <f>VLOOKUP(Table1[[#This Row],[SyStudentId]],SSR!$A$2:$CC$4982,65,FALSE)</f>
        <v>IV</v>
      </c>
      <c r="AF194"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4</v>
      </c>
      <c r="AG194" s="113" t="str">
        <f>VLOOKUP(Table1[[#This Row],[SyStudentId]],SSR!$A$2:$CC$4982,66,FALSE)</f>
        <v>November</v>
      </c>
      <c r="AH194" s="113" t="str">
        <f>IFERROR(VLOOKUP(Table1[[#This Row],[SyStudentId]],ISIR!$A$2:$X$999,7,FALSE),"")</f>
        <v/>
      </c>
      <c r="AI194" s="121" t="str">
        <f>IF(Table1[[#This Row],[EFCRaw]]="","",IF(Table1[[#This Row],[EFCRaw]]="No EFC","No EFC",_xlfn.NUMBERVALUE(Table1[[#This Row],[EFCRaw]])))</f>
        <v/>
      </c>
      <c r="AJ194" s="119" t="str">
        <f>IFERROR(VLOOKUP(Table1[[#This Row],[SyStudentId]],ISIR!$A$2:$X$4999,19,FALSE),"")</f>
        <v/>
      </c>
      <c r="AK194" s="113" t="str">
        <f>IFERROR(VLOOKUP(Table1[[#This Row],[SyStudentId]],ISIR!$A$2:$X$4999,8,FALSE),"")</f>
        <v/>
      </c>
      <c r="AL194" s="132" t="str">
        <f>IF(Table1[[#This Row],[VerReq]]="N","n/a","")</f>
        <v/>
      </c>
      <c r="AM194" s="122"/>
      <c r="AN194" s="122"/>
      <c r="AO194" s="122"/>
      <c r="AP194" s="122"/>
      <c r="AQ194" s="122"/>
      <c r="AR194" s="122"/>
      <c r="AS194" s="122"/>
      <c r="AT194" s="122"/>
      <c r="AU194" s="122"/>
      <c r="AV194" s="122"/>
      <c r="AW194" s="122"/>
      <c r="AX194" s="122"/>
      <c r="AY194" s="122"/>
      <c r="AZ194" s="122"/>
      <c r="BA194" s="122"/>
      <c r="BB194" s="122"/>
      <c r="BC194" s="148"/>
      <c r="BD194" s="140" t="str">
        <f>IF(Table1[[#This Row],[VerReq]]="N","x","")</f>
        <v/>
      </c>
      <c r="BE194" s="140" t="str">
        <f>IF(Table1[[#This Row],[VerReq]]="N","x","")</f>
        <v/>
      </c>
      <c r="BF194" s="140" t="str">
        <f>IF(Table1[[#This Row],[VerReq]]="N","x","")</f>
        <v/>
      </c>
      <c r="BG194" s="140" t="str">
        <f>IF(Table1[[#This Row],[VerReq]]="N","x","")</f>
        <v/>
      </c>
      <c r="BH194" s="140" t="str">
        <f>IF(Table1[[#This Row],[VerReq]]="N","x","")</f>
        <v/>
      </c>
      <c r="BI194" s="140" t="str">
        <f>IF(Table1[[#This Row],[VerReq]]="N","x","")</f>
        <v/>
      </c>
      <c r="BJ194" s="123">
        <f>1-((COUNTBLANK(Table1[[#This Row],[ALESent]:[TaxTran]]))/(COUNT(Table1[[#This Row],[ALESent]:[TaxTran]])+COUNTBLANK(Table1[[#This Row],[ALESent]:[TaxTran]])))</f>
        <v>0</v>
      </c>
      <c r="BK194" s="150">
        <f>IF(VLOOKUP(Table1[[#This Row],[SyStudentId]],SSR!$A$2:$CC$4982,22,FALSE)=44109,44109,"Check Program")</f>
        <v>44109</v>
      </c>
      <c r="BL194" s="150">
        <f>IF(Table1[[#This Row],[AYStart]]=44109,44356,"Check Program")</f>
        <v>44356</v>
      </c>
      <c r="BM194" s="219">
        <v>8505</v>
      </c>
      <c r="BN194" s="219">
        <v>8505</v>
      </c>
      <c r="BO194" s="219">
        <v>8505</v>
      </c>
      <c r="BP194" s="220">
        <f t="shared" ref="BP194:BP257" si="9">SUM(BM194:BO194)</f>
        <v>25515</v>
      </c>
      <c r="BQ194" s="221">
        <v>3300</v>
      </c>
      <c r="BR194" s="219">
        <v>400</v>
      </c>
      <c r="BS194" s="219">
        <v>400</v>
      </c>
      <c r="BT194" s="220">
        <f t="shared" ref="BT194:BT257" si="10">SUM(BQ194:BS194)</f>
        <v>4100</v>
      </c>
      <c r="BU194" s="219">
        <v>2100</v>
      </c>
      <c r="BV194" s="219">
        <v>2100</v>
      </c>
      <c r="BW194" s="219">
        <v>2100</v>
      </c>
      <c r="BX194" s="220">
        <f t="shared" ref="BX194:BX257" si="11">SUM(BU194:BW194)</f>
        <v>6300</v>
      </c>
      <c r="BY194" s="275">
        <v>1200</v>
      </c>
      <c r="BZ194" s="275">
        <v>1200</v>
      </c>
      <c r="CA194" s="275">
        <v>1200</v>
      </c>
      <c r="CB194" s="220">
        <f>SUM(Table1[[#This Row],[LEQ1]:[LEQ3]])</f>
        <v>3600</v>
      </c>
      <c r="CC194" s="269"/>
      <c r="CD194" s="269"/>
      <c r="CE194" s="269"/>
      <c r="CF194" s="220">
        <f>SUM(Table1[[#This Row],[OthCostQ1]:[OthCostQ3]])</f>
        <v>0</v>
      </c>
      <c r="CG194" s="220">
        <f>(Table1[[#This Row],[T&amp;FTot]]+Table1[[#This Row],[B&amp;STot]]+Table1[[#This Row],[HousTot]]+Table1[[#This Row],[LETot]]+Table1[[#This Row],[OthCostTot]])</f>
        <v>39515</v>
      </c>
      <c r="CH194" s="250"/>
      <c r="CI194" s="250"/>
      <c r="CJ194" s="250"/>
      <c r="CK194" s="251">
        <f>SUM(Table1[[#This Row],[SEOGQ1]:[SEOGQ3]])</f>
        <v>0</v>
      </c>
      <c r="CL194" s="250">
        <f>IFERROR(ROUNDUP(Table1[[#This Row],[PellTot]]/3,0),0)</f>
        <v>0</v>
      </c>
      <c r="CM194" s="250">
        <f>IFERROR(ROUND(Table1[[#This Row],[PellTot]]/3,0),0)</f>
        <v>0</v>
      </c>
      <c r="CN194" s="250">
        <f>IFERROR(ROUNDDOWN(Table1[[#This Row],[PellTot]]/3,0),0)</f>
        <v>0</v>
      </c>
      <c r="CO194" s="251">
        <f>IFERROR(LOOKUP(Table1[EFC],Pell_Table[#Data],Pell_Table[Pell Amt]),0)</f>
        <v>0</v>
      </c>
      <c r="CP194" s="250">
        <f>Table1[[#This Row],[AccessTot]]/3</f>
        <v>0</v>
      </c>
      <c r="CQ194" s="250">
        <f>Table1[[#This Row],[AccessTot]]/3</f>
        <v>0</v>
      </c>
      <c r="CR194" s="250">
        <f>Table1[[#This Row],[AccessTot]]/3</f>
        <v>0</v>
      </c>
      <c r="CS194" s="251">
        <f>IF(Table1[[#This Row],[PellTot]]&gt;0,1500,0)</f>
        <v>0</v>
      </c>
      <c r="CT194" s="250">
        <f>Table1[[#This Row],[AchiTot]]/3</f>
        <v>1250</v>
      </c>
      <c r="CU194" s="250">
        <f>Table1[[#This Row],[AchiTot]]/3</f>
        <v>1250</v>
      </c>
      <c r="CV194" s="250">
        <f>Table1[[#This Row],[AchiTot]]/3</f>
        <v>1250</v>
      </c>
      <c r="CW194" s="252">
        <f>IF(Table1[[#This Row],[Rank]]="","",IF(Table1[[#This Row],[Rank]]=1,5100,IF(Table1[[#This Row],[Rank]]=2,4500,IF(Table1[[#This Row],[Rank]]=3,3900,IF(Table1[[#This Row],[Rank]]=4,3750,IF(Table1[[#This Row],[Rank]]=5,3000,IF(Table1[[#This Row],[Rank]]=6,2250,0)))))))</f>
        <v>3750</v>
      </c>
      <c r="CX194" s="250">
        <f>Table1[[#This Row],[UTTot]]/3</f>
        <v>0</v>
      </c>
      <c r="CY194" s="250">
        <f>Table1[[#This Row],[UTTot]]/3</f>
        <v>0</v>
      </c>
      <c r="CZ194" s="250">
        <f>Table1[[#This Row],[UTTot]]/3</f>
        <v>0</v>
      </c>
      <c r="DA194" s="251">
        <f>IF(Table1[[#This Row],[State]]="UT",9000,0)</f>
        <v>0</v>
      </c>
      <c r="DB194" s="250">
        <f>Table1[[#This Row],[WITTot]]/3</f>
        <v>0</v>
      </c>
      <c r="DC194" s="250">
        <f>Table1[[#This Row],[WITTot]]/3</f>
        <v>0</v>
      </c>
      <c r="DD194" s="250">
        <f>Table1[[#This Row],[WITTot]]/3</f>
        <v>0</v>
      </c>
      <c r="DE194" s="251">
        <f>IF(Table1[[#This Row],[Gender]]="Female",3000,0)</f>
        <v>0</v>
      </c>
      <c r="DF194" s="250">
        <f>Table1[[#This Row],[SerTot]]/3</f>
        <v>0</v>
      </c>
      <c r="DG194" s="250">
        <f>Table1[[#This Row],[SerTot]]/3</f>
        <v>0</v>
      </c>
      <c r="DH194" s="250">
        <f>Table1[[#This Row],[SerTot]]/3</f>
        <v>0</v>
      </c>
      <c r="DI194" s="252"/>
      <c r="DJ194" s="250"/>
      <c r="DK194" s="250"/>
      <c r="DL194" s="250"/>
      <c r="DM194" s="252"/>
      <c r="DN194" s="250">
        <f>Table1[[#This Row],[MatTot]]/3</f>
        <v>0</v>
      </c>
      <c r="DO194" s="250">
        <f>Table1[[#This Row],[MatTot]]/3</f>
        <v>0</v>
      </c>
      <c r="DP194" s="250">
        <f>Table1[[#This Row],[MatTot]]/3</f>
        <v>0</v>
      </c>
      <c r="DQ194" s="252"/>
      <c r="DR194" s="250">
        <f>Table1[[#This Row],[OutTot]]/3</f>
        <v>0</v>
      </c>
      <c r="DS194" s="250">
        <f>Table1[[#This Row],[OutTot]]/3</f>
        <v>0</v>
      </c>
      <c r="DT194" s="250">
        <f>Table1[[#This Row],[OutTot]]/3</f>
        <v>0</v>
      </c>
      <c r="DU194" s="252"/>
      <c r="DV194" s="250"/>
      <c r="DW194" s="250"/>
      <c r="DX194" s="250"/>
      <c r="DY194" s="252">
        <f>SUM(Table1[[#This Row],[VAQ1]:[VAQ3]])</f>
        <v>0</v>
      </c>
      <c r="DZ194" s="250"/>
      <c r="EA194" s="250"/>
      <c r="EB194" s="250"/>
      <c r="EC194" s="270">
        <f>SUM(Table1[[#This Row],[OthGrantQ1]:[OthGrantQ3]])</f>
        <v>0</v>
      </c>
      <c r="ED194" s="263">
        <f>Table1[[#This Row],[SEOGTot]]+Table1[[#This Row],[PellTot]]+Table1[[#This Row],[AccessTot]]+Table1[[#This Row],[AchiTot]]+Table1[[#This Row],[UTTot]]+Table1[[#This Row],[WITTot]]+Table1[[#This Row],[SerTot]]+Table1[[#This Row],[TranTot]]+Table1[[#This Row],[MatTot]]+Table1[[#This Row],[OutTot]]+Table1[[#This Row],[VATot]]+Table1[[#This Row],[OthGrantTot]]</f>
        <v>3750</v>
      </c>
      <c r="EE194" s="282"/>
      <c r="EF194" s="237"/>
      <c r="EG194" s="237"/>
      <c r="EH194" s="232">
        <f>SUM(Table1[[#This Row],[CashQ1]]:Table1[[#This Row],[CashQ3]])</f>
        <v>0</v>
      </c>
      <c r="EI194" s="271">
        <f>ROUND((Table1[[#This Row],[SubTot]]/3)/1.01059,0)</f>
        <v>0</v>
      </c>
      <c r="EJ194" s="234">
        <f>ROUND((Table1[[#This Row],[SubTot]]/3)/1.01059,0)</f>
        <v>0</v>
      </c>
      <c r="EK194" s="234">
        <f>ROUNDUP((Table1[[#This Row],[SubTot]]/3)/1.01059,0)</f>
        <v>0</v>
      </c>
      <c r="EL194" s="235"/>
      <c r="EM194" s="240">
        <f>Table1[[#This Row],[SubTot]]*0.01059</f>
        <v>0</v>
      </c>
      <c r="EN194" s="234">
        <f>ROUND((Table1[[#This Row],[UnsubTot]]/3)/1.01062,0)</f>
        <v>660</v>
      </c>
      <c r="EO194" s="234">
        <f>ROUND((Table1[[#This Row],[UnsubTot]]/3)/1.01062,0)</f>
        <v>660</v>
      </c>
      <c r="EP194" s="234">
        <f>ROUNDDOWN((Table1[[#This Row],[UnsubTot]]/3)/1.01062,0)</f>
        <v>659</v>
      </c>
      <c r="EQ194" s="235">
        <f>IF(Table1[D/I]="I",6000,2000)</f>
        <v>2000</v>
      </c>
      <c r="ER194" s="240">
        <f>Table1[[#This Row],[UnsubTot]]*0.01062</f>
        <v>21.24</v>
      </c>
      <c r="ES194" s="234">
        <f>ROUND((Table1[[#This Row],[PLUSTot]]/3)/1.04248,0)</f>
        <v>0</v>
      </c>
      <c r="ET194" s="234">
        <f>ROUND((Table1[[#This Row],[PLUSTot]]/3)/1.04248,0)</f>
        <v>0</v>
      </c>
      <c r="EU194" s="234">
        <f>ROUND((Table1[[#This Row],[PLUSTot]]/3)/1.04248,0)</f>
        <v>0</v>
      </c>
      <c r="EV194" s="235"/>
      <c r="EW194" s="239">
        <f>Table1[[#This Row],[PLUSTot]]*0.04248</f>
        <v>0</v>
      </c>
      <c r="EX194" s="237"/>
      <c r="EY194" s="237"/>
      <c r="EZ194" s="237"/>
      <c r="FA194" s="232">
        <f>SUM(Table1[[#This Row],[PrivQ1]:[PrivQ3]])</f>
        <v>0</v>
      </c>
      <c r="FB194" s="237"/>
      <c r="FC194" s="237"/>
      <c r="FD194" s="237"/>
      <c r="FE194" s="232">
        <f>SUM(Table1[[#This Row],[TOQ1]:[TOQ3]])</f>
        <v>0</v>
      </c>
      <c r="FF194" s="237"/>
      <c r="FG194" s="237"/>
      <c r="FH194" s="237"/>
      <c r="FI194" s="232">
        <f>SUM(Table1[[#This Row],[OFundQ1]:[OFundQ3]])</f>
        <v>0</v>
      </c>
      <c r="FJ194" s="239">
        <f>(Table1[[#This Row],[SubTot]]-Table1[[#This Row],[SubFee]])+(Table1[[#This Row],[UnsubTot]]-Table1[[#This Row],[UnsubFee]])+(Table1[[#This Row],[PLUSTot]]-Table1[[#This Row],[PLUSFee]])+Table1[[#This Row],[PrivTot]]+Table1[[#This Row],[TOTot]]+Table1[[#This Row],[OFundTot]]</f>
        <v>1978.76</v>
      </c>
      <c r="FK194" s="125">
        <f>Table1[[#This Row],[CostTot]]-Table1[[#This Row],[GiftTot]]</f>
        <v>35765</v>
      </c>
      <c r="FL194" s="130">
        <f>Table1[[#This Row],[NetNeed]]/(1-0.04248)</f>
        <v>35285.153312724535</v>
      </c>
      <c r="FM194" s="131">
        <f>Table1[[#This Row],[NetCost]]-Table1[[#This Row],[CashTot]]-(Table1[[#This Row],[SubTot]]-Table1[[#This Row],[SubFee]])-(Table1[[#This Row],[UnsubTot]]-Table1[[#This Row],[UnsubFee]])-(Table1[[#This Row],[PLUSTot]]-Table1[[#This Row],[PLUSFee]])-Table1[[#This Row],[PrivTot]]-Table1[[#This Row],[TOTot]]-Table1[[#This Row],[OFundTot]]</f>
        <v>33786.239999999998</v>
      </c>
      <c r="FN194" s="156"/>
      <c r="FO194" s="113"/>
      <c r="FP194" s="113"/>
    </row>
    <row r="195" spans="1:172" ht="15" x14ac:dyDescent="0.25">
      <c r="A195" s="158">
        <v>197997</v>
      </c>
      <c r="B195" s="160" t="str">
        <f>VLOOKUP(Table1[[#This Row],[SyStudentId]],SSR!$A$2:$CC$4982,4,FALSE)</f>
        <v>Walton</v>
      </c>
      <c r="C195" s="160" t="str">
        <f>VLOOKUP(Table1[[#This Row],[SyStudentId]],SSR!$A$2:$CC$4982,5,FALSE)</f>
        <v>Aaron</v>
      </c>
      <c r="D195" s="160" t="str">
        <f>VLOOKUP(Table1[[#This Row],[SyStudentId]],SSR!$A$2:$CC$4982,6,FALSE)</f>
        <v>Walton, Aaron</v>
      </c>
      <c r="E195" s="113" t="str">
        <f>CONCATENATE(Table1[[#This Row],[FirstName]]," ",Table1[[#This Row],[LastName]])</f>
        <v>Aaron Walton</v>
      </c>
      <c r="F195" s="158">
        <v>1</v>
      </c>
      <c r="G195" s="114">
        <v>43776</v>
      </c>
      <c r="H195" s="114">
        <v>43776</v>
      </c>
      <c r="I195" s="114">
        <v>43776</v>
      </c>
      <c r="J195" s="163"/>
      <c r="K195" s="164" t="s">
        <v>605</v>
      </c>
      <c r="L195" s="158" t="str">
        <f>IFERROR(VLOOKUP(Table1[[#This Row],[SyStudentId]],ISIR!$A$2:$X$4999,11,FALSE),"")</f>
        <v/>
      </c>
      <c r="M195" s="160" t="str">
        <f>VLOOKUP(Table1[[#This Row],[SyStudentId]],SSR!$A$2:$CC$4982,7,FALSE)</f>
        <v>aaron.walton2139@gmail.com</v>
      </c>
      <c r="N195" s="160" t="str">
        <f>VLOOKUP(Table1[[#This Row],[SyStudentId]],SSR!$A$2:$CC$4982,8,FALSE)</f>
        <v>3950 County Road 4018</v>
      </c>
      <c r="O195" s="160" t="str">
        <f>VLOOKUP(Table1[[#This Row],[SyStudentId]],SSR!$A$2:$CC$4982,9,FALSE)</f>
        <v>Newton</v>
      </c>
      <c r="P195" s="294" t="str">
        <f>VLOOKUP(Table1[[#This Row],[SyStudentId]],SSR!$A$2:$CC$4982,10,FALSE)</f>
        <v>TX</v>
      </c>
      <c r="Q195" s="165" t="str">
        <f>VLOOKUP(Table1[[#This Row],[SyStudentId]],SSR!$A$2:$CC$4982,11,FALSE)</f>
        <v xml:space="preserve">75966     </v>
      </c>
      <c r="R195" s="166">
        <f>VLOOKUP(Table1[[#This Row],[SyStudentId]],SSR!$A$2:$CC$4982,15,FALSE)</f>
        <v>3.6789999999999998</v>
      </c>
      <c r="S195" s="167">
        <f>VLOOKUP(Table1[[#This Row],[SyStudentId]],SSR!$A$2:$CC$4982,22,FALSE)</f>
        <v>44109</v>
      </c>
      <c r="T195" s="160" t="str">
        <f>VLOOKUP(Table1[[#This Row],[SyStudentId]],SSR!$A$2:$CC$4982,24,FALSE)</f>
        <v>MN</v>
      </c>
      <c r="U195" s="160" t="str">
        <f>IF(VLOOKUP(Table1[[#This Row],[SyStudentId]],SSR!$A$2:$CC$4982,26,FALSE)=0,"Not Selected",VLOOKUP(Table1[[#This Row],[SyStudentId]],SSR!$A$2:$CC$4982,26,FALSE))</f>
        <v>Male</v>
      </c>
      <c r="V195" s="160" t="str">
        <f>VLOOKUP(Table1[[#This Row],[SyStudentId]],SSR!$A$2:$CC$4982,27,FALSE)</f>
        <v xml:space="preserve">HS2020  </v>
      </c>
      <c r="W195" s="160" t="str">
        <f>VLOOKUP(LEFT(Table1[[#This Row],[LastName]],1),Alpha!$A$1:$B$26,2,FALSE)</f>
        <v>Maureen Ranks</v>
      </c>
      <c r="X195" s="268" t="str">
        <f>VLOOKUP(Table1[[#This Row],[FAA]],Alpha!$B$1:$D$26,2,FALSE)</f>
        <v>mranks@neumont.edu</v>
      </c>
      <c r="Y195" s="160">
        <f>VLOOKUP(Table1[[#This Row],[FAA]],Alpha!$B$1:$D$26,3,FALSE)</f>
        <v>8883022894</v>
      </c>
      <c r="Z195" s="160" t="str">
        <f>VLOOKUP(Table1[[#This Row],[SyStudentId]],SSR!$A$2:$CC$4982,30,FALSE)</f>
        <v>16-Accepted</v>
      </c>
      <c r="AA195" s="160" t="str">
        <f>IF(VLOOKUP(Table1[[#This Row],[SyStudentId]],SSR!$A$2:$CC$4982,36,FALSE)="Bachelor of Science","BS Computer Science","Check Program")</f>
        <v>BS Computer Science</v>
      </c>
      <c r="AB195" s="160">
        <f>VLOOKUP(Table1[[#This Row],[SyStudentId]],SSR!$A$2:$CC$4982,37,FALSE)</f>
        <v>0</v>
      </c>
      <c r="AC195" s="160" t="str">
        <f>VLOOKUP(Table1[[#This Row],[SyStudentId]],SSR!$A$2:$CC$4982,42,FALSE)</f>
        <v xml:space="preserve">1180    </v>
      </c>
      <c r="AD195" s="160" t="str">
        <f>VLOOKUP(Table1[[#This Row],[SyStudentId]],SSR!$A$2:$CC$4982,46,FALSE)</f>
        <v>119</v>
      </c>
      <c r="AE195" s="160" t="str">
        <f>VLOOKUP(Table1[[#This Row],[SyStudentId]],SSR!$A$2:$CC$4982,65,FALSE)</f>
        <v>II</v>
      </c>
      <c r="AF195"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2</v>
      </c>
      <c r="AG195" s="160" t="str">
        <f>VLOOKUP(Table1[[#This Row],[SyStudentId]],SSR!$A$2:$CC$4982,66,FALSE)</f>
        <v>July-October</v>
      </c>
      <c r="AH195" s="160" t="str">
        <f>IFERROR(VLOOKUP(Table1[[#This Row],[SyStudentId]],ISIR!$A$2:$X$1999,7,FALSE),"")</f>
        <v/>
      </c>
      <c r="AI195" s="170" t="str">
        <f>IF(Table1[[#This Row],[EFCRaw]]="","",IF(Table1[[#This Row],[EFCRaw]]="No EFC","No EFC",_xlfn.NUMBERVALUE(Table1[[#This Row],[EFCRaw]])))</f>
        <v/>
      </c>
      <c r="AJ195" s="167" t="str">
        <f>IFERROR(VLOOKUP(Table1[[#This Row],[SyStudentId]],ISIR!$A$2:$X$4999,19,FALSE),"")</f>
        <v/>
      </c>
      <c r="AK195" s="160" t="str">
        <f>IFERROR(VLOOKUP(Table1[[#This Row],[SyStudentId]],ISIR!$A$2:$X$4999,8,FALSE),"")</f>
        <v/>
      </c>
      <c r="AL195" s="178" t="str">
        <f>IF(Table1[[#This Row],[VerReq]]="N","n/a","")</f>
        <v/>
      </c>
      <c r="AM195" s="122"/>
      <c r="AN195" s="122"/>
      <c r="AO195" s="122">
        <v>43768</v>
      </c>
      <c r="AP195" s="122">
        <v>43770</v>
      </c>
      <c r="AQ195" s="122">
        <v>43770</v>
      </c>
      <c r="AR195" s="122"/>
      <c r="AS195" s="122"/>
      <c r="AT195" s="122"/>
      <c r="AU195" s="122"/>
      <c r="AV195" s="122"/>
      <c r="AW195" s="122"/>
      <c r="AX195" s="122"/>
      <c r="AY195" s="122"/>
      <c r="AZ195" s="122"/>
      <c r="BA195" s="122"/>
      <c r="BB195" s="122"/>
      <c r="BC195" s="148"/>
      <c r="BD195" s="140" t="str">
        <f>IF(Table1[[#This Row],[VerReq]]="N","x","")</f>
        <v/>
      </c>
      <c r="BE195" s="140" t="str">
        <f>IF(Table1[[#This Row],[VerReq]]="N","x","")</f>
        <v/>
      </c>
      <c r="BF195" s="140" t="str">
        <f>IF(Table1[[#This Row],[VerReq]]="N","x","")</f>
        <v/>
      </c>
      <c r="BG195" s="140" t="str">
        <f>IF(Table1[[#This Row],[VerReq]]="N","x","")</f>
        <v/>
      </c>
      <c r="BH195" s="140" t="str">
        <f>IF(Table1[[#This Row],[VerReq]]="N","x","")</f>
        <v/>
      </c>
      <c r="BI195" s="140" t="str">
        <f>IF(Table1[[#This Row],[VerReq]]="N","x","")</f>
        <v/>
      </c>
      <c r="BJ195" s="181">
        <f>1-((COUNTBLANK(Table1[[#This Row],[ALESent]:[TaxTran]]))/(COUNT(Table1[[#This Row],[ALESent]:[TaxTran]])+COUNTBLANK(Table1[[#This Row],[ALESent]:[TaxTran]])))</f>
        <v>0.13043478260869568</v>
      </c>
      <c r="BK195" s="216">
        <f>IF(VLOOKUP(Table1[[#This Row],[SyStudentId]],SSR!$A$2:$CC$4982,22,FALSE)=44109,44109,"Check Program")</f>
        <v>44109</v>
      </c>
      <c r="BL195" s="216">
        <f>IF(Table1[[#This Row],[AYStart]]=44109,44356,"Check Program")</f>
        <v>44356</v>
      </c>
      <c r="BM195" s="219">
        <v>8505</v>
      </c>
      <c r="BN195" s="219">
        <v>8505</v>
      </c>
      <c r="BO195" s="219">
        <v>8505</v>
      </c>
      <c r="BP195" s="220">
        <f t="shared" si="9"/>
        <v>25515</v>
      </c>
      <c r="BQ195" s="221">
        <v>3300</v>
      </c>
      <c r="BR195" s="219">
        <v>400</v>
      </c>
      <c r="BS195" s="219">
        <v>400</v>
      </c>
      <c r="BT195" s="222">
        <f t="shared" si="10"/>
        <v>4100</v>
      </c>
      <c r="BU195" s="219">
        <v>2100</v>
      </c>
      <c r="BV195" s="219">
        <v>2100</v>
      </c>
      <c r="BW195" s="219">
        <v>2100</v>
      </c>
      <c r="BX195" s="222">
        <f t="shared" si="11"/>
        <v>6300</v>
      </c>
      <c r="BY195" s="275">
        <v>1200</v>
      </c>
      <c r="BZ195" s="275">
        <v>1200</v>
      </c>
      <c r="CA195" s="275">
        <v>1200</v>
      </c>
      <c r="CB195" s="222">
        <f>SUM(Table1[[#This Row],[LEQ1]:[LEQ3]])</f>
        <v>3600</v>
      </c>
      <c r="CC195" s="276">
        <v>0</v>
      </c>
      <c r="CD195" s="276">
        <v>0</v>
      </c>
      <c r="CE195" s="276">
        <v>0</v>
      </c>
      <c r="CF195" s="222">
        <f>SUM(Table1[[#This Row],[OthCostQ1]:[OthCostQ3]])</f>
        <v>0</v>
      </c>
      <c r="CG195" s="222">
        <f>(Table1[[#This Row],[T&amp;FTot]]+Table1[[#This Row],[B&amp;STot]]+Table1[[#This Row],[HousTot]]+Table1[[#This Row],[LETot]]+Table1[[#This Row],[OthCostTot]])</f>
        <v>39515</v>
      </c>
      <c r="CH195" s="253">
        <v>0</v>
      </c>
      <c r="CI195" s="253">
        <v>0</v>
      </c>
      <c r="CJ195" s="253">
        <v>0</v>
      </c>
      <c r="CK195" s="254">
        <f>SUM(Table1[[#This Row],[SEOGQ1]:[SEOGQ3]])</f>
        <v>0</v>
      </c>
      <c r="CL195" s="253">
        <f>IFERROR(ROUNDUP(Table1[[#This Row],[PellTot]]/3,0),0)</f>
        <v>0</v>
      </c>
      <c r="CM195" s="253">
        <f>IFERROR(ROUND(Table1[[#This Row],[PellTot]]/3,0),0)</f>
        <v>0</v>
      </c>
      <c r="CN195" s="253">
        <f>IFERROR(ROUNDDOWN(Table1[[#This Row],[PellTot]]/3,0),0)</f>
        <v>0</v>
      </c>
      <c r="CO195" s="254">
        <f>IFERROR(LOOKUP(Table1[EFC],Pell_Table[#Data],Pell_Table[Pell Amt]),0)</f>
        <v>0</v>
      </c>
      <c r="CP195" s="253">
        <f>Table1[[#This Row],[AccessTot]]/3</f>
        <v>0</v>
      </c>
      <c r="CQ195" s="253">
        <f>Table1[[#This Row],[AccessTot]]/3</f>
        <v>0</v>
      </c>
      <c r="CR195" s="253">
        <f>Table1[[#This Row],[AccessTot]]/3</f>
        <v>0</v>
      </c>
      <c r="CS195" s="254">
        <f>IF(Table1[[#This Row],[PellTot]]&gt;0,1500,0)</f>
        <v>0</v>
      </c>
      <c r="CT195" s="253">
        <f>Table1[[#This Row],[AchiTot]]/3</f>
        <v>1500</v>
      </c>
      <c r="CU195" s="253">
        <f>Table1[[#This Row],[AchiTot]]/3</f>
        <v>1500</v>
      </c>
      <c r="CV195" s="253">
        <f>Table1[[#This Row],[AchiTot]]/3</f>
        <v>1500</v>
      </c>
      <c r="CW195" s="255">
        <f>IF(Table1[[#This Row],[Rank]]="","",IF(Table1[[#This Row],[Rank]]=1,5100,IF(Table1[[#This Row],[Rank]]=2,4500,IF(Table1[[#This Row],[Rank]]=3,3900,IF(Table1[[#This Row],[Rank]]=4,3750,IF(Table1[[#This Row],[Rank]]=5,3000,IF(Table1[[#This Row],[Rank]]=6,2250,0)))))))</f>
        <v>4500</v>
      </c>
      <c r="CX195" s="253">
        <f>Table1[[#This Row],[UTTot]]/3</f>
        <v>0</v>
      </c>
      <c r="CY195" s="253">
        <f>Table1[[#This Row],[UTTot]]/3</f>
        <v>0</v>
      </c>
      <c r="CZ195" s="253">
        <f>Table1[[#This Row],[UTTot]]/3</f>
        <v>0</v>
      </c>
      <c r="DA195" s="254">
        <f>IF(Table1[[#This Row],[State]]="UT",9000,0)</f>
        <v>0</v>
      </c>
      <c r="DB195" s="253">
        <f>Table1[[#This Row],[WITTot]]/3</f>
        <v>0</v>
      </c>
      <c r="DC195" s="253">
        <f>Table1[[#This Row],[WITTot]]/3</f>
        <v>0</v>
      </c>
      <c r="DD195" s="253">
        <f>Table1[[#This Row],[WITTot]]/3</f>
        <v>0</v>
      </c>
      <c r="DE195" s="254">
        <f>IF(Table1[[#This Row],[Gender]]="Female",3000,0)</f>
        <v>0</v>
      </c>
      <c r="DF195" s="253">
        <f>Table1[[#This Row],[SerTot]]/3</f>
        <v>0</v>
      </c>
      <c r="DG195" s="253">
        <f>Table1[[#This Row],[SerTot]]/3</f>
        <v>0</v>
      </c>
      <c r="DH195" s="253">
        <f>Table1[[#This Row],[SerTot]]/3</f>
        <v>0</v>
      </c>
      <c r="DI195" s="255">
        <v>0</v>
      </c>
      <c r="DJ195" s="253">
        <f>IFERROR(ROUNDUP(Table1[[#This Row],[TranTot]]/3,0),0)</f>
        <v>0</v>
      </c>
      <c r="DK195" s="253">
        <f>IFERROR(ROUND(Table1[[#This Row],[TranTot]]/3,0),0)</f>
        <v>0</v>
      </c>
      <c r="DL195" s="253">
        <f>IFERROR(ROUNDDOWN(Table1[[#This Row],[TranTot]]/3,0),0)</f>
        <v>0</v>
      </c>
      <c r="DM195" s="255">
        <v>0</v>
      </c>
      <c r="DN195" s="253">
        <f>Table1[[#This Row],[MatTot]]/3</f>
        <v>0</v>
      </c>
      <c r="DO195" s="253">
        <f>Table1[[#This Row],[MatTot]]/3</f>
        <v>0</v>
      </c>
      <c r="DP195" s="253">
        <f>Table1[[#This Row],[MatTot]]/3</f>
        <v>0</v>
      </c>
      <c r="DQ195" s="255">
        <v>0</v>
      </c>
      <c r="DR195" s="253">
        <f>Table1[[#This Row],[OutTot]]/3</f>
        <v>0</v>
      </c>
      <c r="DS195" s="253">
        <f>Table1[[#This Row],[OutTot]]/3</f>
        <v>0</v>
      </c>
      <c r="DT195" s="253">
        <f>Table1[[#This Row],[OutTot]]/3</f>
        <v>0</v>
      </c>
      <c r="DU195" s="255">
        <v>0</v>
      </c>
      <c r="DV195" s="253">
        <v>0</v>
      </c>
      <c r="DW195" s="253">
        <v>0</v>
      </c>
      <c r="DX195" s="253">
        <v>0</v>
      </c>
      <c r="DY195" s="255">
        <f>SUM(Table1[[#This Row],[VAQ1]:[VAQ3]])</f>
        <v>0</v>
      </c>
      <c r="DZ195" s="253">
        <v>0</v>
      </c>
      <c r="EA195" s="253">
        <v>0</v>
      </c>
      <c r="EB195" s="253">
        <v>0</v>
      </c>
      <c r="EC195" s="278">
        <f>SUM(Table1[[#This Row],[OthGrantQ1]:[OthGrantQ3]])</f>
        <v>0</v>
      </c>
      <c r="ED195" s="264">
        <f>Table1[[#This Row],[SEOGTot]]+Table1[[#This Row],[PellTot]]+Table1[[#This Row],[AccessTot]]+Table1[[#This Row],[AchiTot]]+Table1[[#This Row],[UTTot]]+Table1[[#This Row],[WITTot]]+Table1[[#This Row],[SerTot]]+Table1[[#This Row],[TranTot]]+Table1[[#This Row],[MatTot]]+Table1[[#This Row],[OutTot]]+Table1[[#This Row],[VATot]]+Table1[[#This Row],[OthGrantTot]]</f>
        <v>4500</v>
      </c>
      <c r="EE195" s="298">
        <v>0</v>
      </c>
      <c r="EF195" s="227">
        <v>0</v>
      </c>
      <c r="EG195" s="227">
        <v>0</v>
      </c>
      <c r="EH195" s="228">
        <f>SUM(Table1[[#This Row],[CashQ1]]:Table1[[#This Row],[CashQ3]])</f>
        <v>0</v>
      </c>
      <c r="EI195" s="229">
        <f>ROUND((Table1[[#This Row],[SubTot]]/3)/1.01059,0)</f>
        <v>1154</v>
      </c>
      <c r="EJ195" s="230">
        <f>ROUND((Table1[[#This Row],[SubTot]]/3)/1.01059,0)</f>
        <v>1154</v>
      </c>
      <c r="EK195" s="230">
        <f>ROUNDUP((Table1[[#This Row],[SubTot]]/3)/1.01059,0)</f>
        <v>1155</v>
      </c>
      <c r="EL195" s="231">
        <v>3500</v>
      </c>
      <c r="EM195" s="233">
        <f>Table1[[#This Row],[SubTot]]*0.01059</f>
        <v>37.065000000000005</v>
      </c>
      <c r="EN195" s="230">
        <f>ROUND((Table1[[#This Row],[UnsubTot]]/3)/1.01062,0)</f>
        <v>660</v>
      </c>
      <c r="EO195" s="230">
        <f>ROUND((Table1[[#This Row],[UnsubTot]]/3)/1.01062,0)</f>
        <v>660</v>
      </c>
      <c r="EP195" s="230">
        <f>ROUNDDOWN((Table1[[#This Row],[UnsubTot]]/3)/1.01062,0)</f>
        <v>659</v>
      </c>
      <c r="EQ195" s="231">
        <f>IF(Table1[D/I]="I",6000,2000)</f>
        <v>2000</v>
      </c>
      <c r="ER195" s="233">
        <f>Table1[[#This Row],[UnsubTot]]*0.01059</f>
        <v>21.18</v>
      </c>
      <c r="ES195" s="230">
        <f>ROUND((Table1[[#This Row],[PLUSTot]]/3)/1.04236,0)</f>
        <v>0</v>
      </c>
      <c r="ET195" s="230">
        <f>ROUND((Table1[[#This Row],[PLUSTot]]/3)/1.04236,0)</f>
        <v>0</v>
      </c>
      <c r="EU195" s="230">
        <f>ROUND((Table1[[#This Row],[PLUSTot]]/3)/1.04236,0)</f>
        <v>0</v>
      </c>
      <c r="EV195" s="231">
        <v>0</v>
      </c>
      <c r="EW195" s="236">
        <f>Table1[[#This Row],[PLUSTot]]*0.04236</f>
        <v>0</v>
      </c>
      <c r="EX195" s="227"/>
      <c r="EY195" s="227"/>
      <c r="EZ195" s="227"/>
      <c r="FA195" s="228">
        <f>SUM(Table1[[#This Row],[PrivQ1]:[PrivQ3]])</f>
        <v>0</v>
      </c>
      <c r="FB195" s="227"/>
      <c r="FC195" s="227"/>
      <c r="FD195" s="227"/>
      <c r="FE195" s="228">
        <f>SUM(Table1[[#This Row],[TOQ1]:[TOQ3]])</f>
        <v>0</v>
      </c>
      <c r="FF195" s="227"/>
      <c r="FG195" s="227"/>
      <c r="FH195" s="227"/>
      <c r="FI195" s="228">
        <f>SUM(Table1[[#This Row],[OFundQ1]:[OFundQ3]])</f>
        <v>0</v>
      </c>
      <c r="FJ195" s="236">
        <f>(Table1[[#This Row],[SubTot]]-Table1[[#This Row],[SubFee]])+(Table1[[#This Row],[UnsubTot]]-Table1[[#This Row],[UnsubFee]])+(Table1[[#This Row],[PLUSTot]]-Table1[[#This Row],[PLUSFee]])+Table1[[#This Row],[PrivTot]]+Table1[[#This Row],[TOTot]]+Table1[[#This Row],[OFundTot]]</f>
        <v>5441.7550000000001</v>
      </c>
      <c r="FK195" s="159">
        <f>Table1[[#This Row],[CostTot]]-Table1[[#This Row],[GiftTot]]</f>
        <v>35015</v>
      </c>
      <c r="FL195" s="174">
        <f>Table1[[#This Row],[NetNeed]]/(1-0.04236)</f>
        <v>30881.380268159221</v>
      </c>
      <c r="FM195" s="176">
        <f>Table1[[#This Row],[NetCost]]-Table1[[#This Row],[CashTot]]-(Table1[[#This Row],[SubTot]]-Table1[[#This Row],[SubFee]])-(Table1[[#This Row],[UnsubTot]]-Table1[[#This Row],[UnsubFee]])-(Table1[[#This Row],[PLUSTot]]-Table1[[#This Row],[PLUSFee]])-Table1[[#This Row],[PrivTot]]-Table1[[#This Row],[TOTot]]-Table1[[#This Row],[OFundTot]]</f>
        <v>29573.244999999999</v>
      </c>
      <c r="FN195" s="217"/>
      <c r="FO195" s="162"/>
      <c r="FP195" s="162"/>
    </row>
    <row r="196" spans="1:172" ht="15" x14ac:dyDescent="0.25">
      <c r="A196" s="311">
        <v>198691</v>
      </c>
      <c r="B196" s="113" t="str">
        <f>VLOOKUP(Table1[[#This Row],[SyStudentId]],SSR!$A$2:$CC$4982,4,FALSE)</f>
        <v>Washington</v>
      </c>
      <c r="C196" s="113" t="str">
        <f>VLOOKUP(Table1[[#This Row],[SyStudentId]],SSR!$A$2:$CC$4982,5,FALSE)</f>
        <v>Kaleb</v>
      </c>
      <c r="D196" s="113" t="str">
        <f>VLOOKUP(Table1[[#This Row],[SyStudentId]],SSR!$A$2:$CC$4982,6,FALSE)</f>
        <v>Washington, Kaleb</v>
      </c>
      <c r="E196" s="113" t="str">
        <f>CONCATENATE(Table1[[#This Row],[FirstName]]," ",Table1[[#This Row],[LastName]])</f>
        <v>Kaleb Washington</v>
      </c>
      <c r="F196" s="112"/>
      <c r="G196" s="114"/>
      <c r="H196" s="114"/>
      <c r="I196" s="114"/>
      <c r="J196" s="115" t="s">
        <v>5311</v>
      </c>
      <c r="K196" s="116"/>
      <c r="L196" s="112" t="str">
        <f>IFERROR(VLOOKUP(Table1[[#This Row],[SyStudentId]],ISIR!$A$2:$X$999,11,FALSE),"")</f>
        <v>D</v>
      </c>
      <c r="M196" s="113" t="str">
        <f>VLOOKUP(Table1[[#This Row],[SyStudentId]],SSR!$A$2:$CC$4982,7,FALSE)</f>
        <v>kdwashington302@gmail.com</v>
      </c>
      <c r="N196" s="113" t="str">
        <f>VLOOKUP(Table1[[#This Row],[SyStudentId]],SSR!$A$2:$CC$4982,8,FALSE)</f>
        <v>12651 GRIGGS ST</v>
      </c>
      <c r="O196" s="113" t="str">
        <f>VLOOKUP(Table1[[#This Row],[SyStudentId]],SSR!$A$2:$CC$4982,9,FALSE)</f>
        <v>DETROIT</v>
      </c>
      <c r="P196" s="303" t="str">
        <f>VLOOKUP(Table1[[#This Row],[SyStudentId]],SSR!$A$2:$CC$4982,10,FALSE)</f>
        <v>MI</v>
      </c>
      <c r="Q196" s="117" t="str">
        <f>VLOOKUP(Table1[[#This Row],[SyStudentId]],SSR!$A$2:$CC$4982,11,FALSE)</f>
        <v>48238-3049</v>
      </c>
      <c r="R196" s="118">
        <f>VLOOKUP(Table1[[#This Row],[SyStudentId]],SSR!$A$2:$CC$4982,15,FALSE)</f>
        <v>2.7869999999999999</v>
      </c>
      <c r="S196" s="119">
        <f>VLOOKUP(Table1[[#This Row],[SyStudentId]],SSR!$A$2:$CC$4982,22,FALSE)</f>
        <v>44109</v>
      </c>
      <c r="T196" s="113" t="str">
        <f>VLOOKUP(Table1[[#This Row],[SyStudentId]],SSR!$A$2:$CC$4982,24,FALSE)</f>
        <v>JT</v>
      </c>
      <c r="U196" s="113" t="str">
        <f>IF(VLOOKUP(Table1[[#This Row],[SyStudentId]],SSR!$A$2:$CC$4982,26,FALSE)=0,"Not Selected",VLOOKUP(Table1[[#This Row],[SyStudentId]],SSR!$A$2:$CC$4982,26,FALSE))</f>
        <v>Male</v>
      </c>
      <c r="V196" s="113" t="str">
        <f>VLOOKUP(Table1[[#This Row],[SyStudentId]],SSR!$A$2:$CC$4982,27,FALSE)</f>
        <v xml:space="preserve">HS2020  </v>
      </c>
      <c r="W196" s="113" t="str">
        <f>VLOOKUP(LEFT(Table1[[#This Row],[LastName]],1),Alpha!$A$1:$B$26,2,FALSE)</f>
        <v>Maureen Ranks</v>
      </c>
      <c r="X196" s="149" t="str">
        <f>VLOOKUP(Table1[[#This Row],[FAA]],Alpha!$B$1:$D$26,2,FALSE)</f>
        <v>mranks@neumont.edu</v>
      </c>
      <c r="Y196" s="113">
        <f>VLOOKUP(Table1[[#This Row],[FAA]],Alpha!$B$1:$D$26,3,FALSE)</f>
        <v>8883022894</v>
      </c>
      <c r="Z196" s="113" t="str">
        <f>VLOOKUP(Table1[[#This Row],[SyStudentId]],SSR!$A$2:$CC$4982,30,FALSE)</f>
        <v>16-Accepted</v>
      </c>
      <c r="AA196" s="113" t="str">
        <f>IF(VLOOKUP(Table1[[#This Row],[SyStudentId]],SSR!$A$2:$CC$4982,36,FALSE)="Bachelor of Science","BS Computer Science","Check Program")</f>
        <v>BS Computer Science</v>
      </c>
      <c r="AB196" s="113">
        <f>VLOOKUP(Table1[[#This Row],[SyStudentId]],SSR!$A$2:$CC$4982,37,FALSE)</f>
        <v>0</v>
      </c>
      <c r="AC196" s="113" t="str">
        <f>VLOOKUP(Table1[[#This Row],[SyStudentId]],SSR!$A$2:$CC$4982,42,FALSE)</f>
        <v xml:space="preserve">970     </v>
      </c>
      <c r="AD196" s="113" t="str">
        <f>VLOOKUP(Table1[[#This Row],[SyStudentId]],SSR!$A$2:$CC$4982,46,FALSE)</f>
        <v>92</v>
      </c>
      <c r="AE196" s="113" t="str">
        <f>VLOOKUP(Table1[[#This Row],[SyStudentId]],SSR!$A$2:$CC$4982,65,FALSE)</f>
        <v>VII</v>
      </c>
      <c r="AF196"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7</v>
      </c>
      <c r="AG196" s="113" t="str">
        <f>VLOOKUP(Table1[[#This Row],[SyStudentId]],SSR!$A$2:$CC$4982,66,FALSE)</f>
        <v>November</v>
      </c>
      <c r="AH196" s="113" t="str">
        <f>IFERROR(VLOOKUP(Table1[[#This Row],[SyStudentId]],ISIR!$A$2:$X$999,7,FALSE),"")</f>
        <v>000000</v>
      </c>
      <c r="AI196" s="121">
        <f>IF(Table1[[#This Row],[EFCRaw]]="","",IF(Table1[[#This Row],[EFCRaw]]="No EFC","No EFC",_xlfn.NUMBERVALUE(Table1[[#This Row],[EFCRaw]])))</f>
        <v>0</v>
      </c>
      <c r="AJ196" s="119">
        <f>IFERROR(VLOOKUP(Table1[[#This Row],[SyStudentId]],ISIR!$A$2:$X$4999,19,FALSE),"")</f>
        <v>43783</v>
      </c>
      <c r="AK196" s="113" t="str">
        <f>IFERROR(VLOOKUP(Table1[[#This Row],[SyStudentId]],ISIR!$A$2:$X$4999,8,FALSE),"")</f>
        <v>Y</v>
      </c>
      <c r="AL196" s="132" t="str">
        <f>IF(Table1[[#This Row],[VerReq]]="N","n/a","")</f>
        <v/>
      </c>
      <c r="AM196" s="122"/>
      <c r="AN196" s="122"/>
      <c r="AO196" s="122"/>
      <c r="AP196" s="122"/>
      <c r="AQ196" s="122"/>
      <c r="AR196" s="122"/>
      <c r="AS196" s="122"/>
      <c r="AT196" s="122"/>
      <c r="AU196" s="122"/>
      <c r="AV196" s="122"/>
      <c r="AW196" s="122"/>
      <c r="AX196" s="122"/>
      <c r="AY196" s="122"/>
      <c r="AZ196" s="122"/>
      <c r="BA196" s="122"/>
      <c r="BB196" s="122"/>
      <c r="BC196" s="148"/>
      <c r="BD196" s="140" t="str">
        <f>IF(Table1[[#This Row],[VerReq]]="N","x","")</f>
        <v/>
      </c>
      <c r="BE196" s="140" t="str">
        <f>IF(Table1[[#This Row],[VerReq]]="N","x","")</f>
        <v/>
      </c>
      <c r="BF196" s="140" t="str">
        <f>IF(Table1[[#This Row],[VerReq]]="N","x","")</f>
        <v/>
      </c>
      <c r="BG196" s="140" t="str">
        <f>IF(Table1[[#This Row],[VerReq]]="N","x","")</f>
        <v/>
      </c>
      <c r="BH196" s="140" t="str">
        <f>IF(Table1[[#This Row],[VerReq]]="N","x","")</f>
        <v/>
      </c>
      <c r="BI196" s="140" t="str">
        <f>IF(Table1[[#This Row],[VerReq]]="N","x","")</f>
        <v/>
      </c>
      <c r="BJ196" s="123">
        <f>1-((COUNTBLANK(Table1[[#This Row],[ALESent]:[TaxTran]]))/(COUNT(Table1[[#This Row],[ALESent]:[TaxTran]])+COUNTBLANK(Table1[[#This Row],[ALESent]:[TaxTran]])))</f>
        <v>0</v>
      </c>
      <c r="BK196" s="150">
        <f>IF(VLOOKUP(Table1[[#This Row],[SyStudentId]],SSR!$A$2:$CC$4982,22,FALSE)=44109,44109,"Check Program")</f>
        <v>44109</v>
      </c>
      <c r="BL196" s="150">
        <f>IF(Table1[[#This Row],[AYStart]]=44109,44356,"Check Program")</f>
        <v>44356</v>
      </c>
      <c r="BM196" s="219">
        <v>8505</v>
      </c>
      <c r="BN196" s="219">
        <v>8505</v>
      </c>
      <c r="BO196" s="219">
        <v>8505</v>
      </c>
      <c r="BP196" s="220">
        <f t="shared" si="9"/>
        <v>25515</v>
      </c>
      <c r="BQ196" s="221">
        <v>3300</v>
      </c>
      <c r="BR196" s="219">
        <v>400</v>
      </c>
      <c r="BS196" s="219">
        <v>400</v>
      </c>
      <c r="BT196" s="220">
        <f t="shared" si="10"/>
        <v>4100</v>
      </c>
      <c r="BU196" s="219">
        <v>2100</v>
      </c>
      <c r="BV196" s="219">
        <v>2100</v>
      </c>
      <c r="BW196" s="219">
        <v>2100</v>
      </c>
      <c r="BX196" s="220">
        <f t="shared" si="11"/>
        <v>6300</v>
      </c>
      <c r="BY196" s="275">
        <v>1200</v>
      </c>
      <c r="BZ196" s="275">
        <v>1200</v>
      </c>
      <c r="CA196" s="275">
        <v>1200</v>
      </c>
      <c r="CB196" s="220">
        <f>SUM(Table1[[#This Row],[LEQ1]:[LEQ3]])</f>
        <v>3600</v>
      </c>
      <c r="CC196" s="269"/>
      <c r="CD196" s="269"/>
      <c r="CE196" s="269"/>
      <c r="CF196" s="220">
        <f>SUM(Table1[[#This Row],[OthCostQ1]:[OthCostQ3]])</f>
        <v>0</v>
      </c>
      <c r="CG196" s="220">
        <f>(Table1[[#This Row],[T&amp;FTot]]+Table1[[#This Row],[B&amp;STot]]+Table1[[#This Row],[HousTot]]+Table1[[#This Row],[LETot]]+Table1[[#This Row],[OthCostTot]])</f>
        <v>39515</v>
      </c>
      <c r="CH196" s="250"/>
      <c r="CI196" s="250"/>
      <c r="CJ196" s="250"/>
      <c r="CK196" s="251">
        <f>SUM(Table1[[#This Row],[SEOGQ1]:[SEOGQ3]])</f>
        <v>0</v>
      </c>
      <c r="CL196" s="250">
        <f>IFERROR(ROUNDUP(Table1[[#This Row],[PellTot]]/3,0),0)</f>
        <v>2065</v>
      </c>
      <c r="CM196" s="250">
        <f>IFERROR(ROUND(Table1[[#This Row],[PellTot]]/3,0),0)</f>
        <v>2065</v>
      </c>
      <c r="CN196" s="250">
        <f>IFERROR(ROUNDDOWN(Table1[[#This Row],[PellTot]]/3,0),0)</f>
        <v>2065</v>
      </c>
      <c r="CO196" s="251">
        <f>IFERROR(LOOKUP(Table1[EFC],Pell_Table[#Data],Pell_Table[Pell Amt]),0)</f>
        <v>6195</v>
      </c>
      <c r="CP196" s="250">
        <f>Table1[[#This Row],[AccessTot]]/3</f>
        <v>500</v>
      </c>
      <c r="CQ196" s="250">
        <f>Table1[[#This Row],[AccessTot]]/3</f>
        <v>500</v>
      </c>
      <c r="CR196" s="250">
        <f>Table1[[#This Row],[AccessTot]]/3</f>
        <v>500</v>
      </c>
      <c r="CS196" s="251">
        <f>IF(Table1[[#This Row],[PellTot]]&gt;0,1500,0)</f>
        <v>1500</v>
      </c>
      <c r="CT196" s="250">
        <f>Table1[[#This Row],[AchiTot]]/3</f>
        <v>0</v>
      </c>
      <c r="CU196" s="250">
        <f>Table1[[#This Row],[AchiTot]]/3</f>
        <v>0</v>
      </c>
      <c r="CV196" s="250">
        <f>Table1[[#This Row],[AchiTot]]/3</f>
        <v>0</v>
      </c>
      <c r="CW196" s="252">
        <f>IF(Table1[[#This Row],[Rank]]="","",IF(Table1[[#This Row],[Rank]]=1,5100,IF(Table1[[#This Row],[Rank]]=2,4500,IF(Table1[[#This Row],[Rank]]=3,3900,IF(Table1[[#This Row],[Rank]]=4,3750,IF(Table1[[#This Row],[Rank]]=5,3000,IF(Table1[[#This Row],[Rank]]=6,2250,0)))))))</f>
        <v>0</v>
      </c>
      <c r="CX196" s="250">
        <f>Table1[[#This Row],[UTTot]]/3</f>
        <v>0</v>
      </c>
      <c r="CY196" s="250">
        <f>Table1[[#This Row],[UTTot]]/3</f>
        <v>0</v>
      </c>
      <c r="CZ196" s="250">
        <f>Table1[[#This Row],[UTTot]]/3</f>
        <v>0</v>
      </c>
      <c r="DA196" s="251">
        <f>IF(Table1[[#This Row],[State]]="UT",9000,0)</f>
        <v>0</v>
      </c>
      <c r="DB196" s="250">
        <f>Table1[[#This Row],[WITTot]]/3</f>
        <v>0</v>
      </c>
      <c r="DC196" s="250">
        <f>Table1[[#This Row],[WITTot]]/3</f>
        <v>0</v>
      </c>
      <c r="DD196" s="250">
        <f>Table1[[#This Row],[WITTot]]/3</f>
        <v>0</v>
      </c>
      <c r="DE196" s="251">
        <f>IF(Table1[[#This Row],[Gender]]="Female",3000,0)</f>
        <v>0</v>
      </c>
      <c r="DF196" s="250">
        <f>Table1[[#This Row],[SerTot]]/3</f>
        <v>0</v>
      </c>
      <c r="DG196" s="250">
        <f>Table1[[#This Row],[SerTot]]/3</f>
        <v>0</v>
      </c>
      <c r="DH196" s="250">
        <f>Table1[[#This Row],[SerTot]]/3</f>
        <v>0</v>
      </c>
      <c r="DI196" s="252"/>
      <c r="DJ196" s="250"/>
      <c r="DK196" s="250"/>
      <c r="DL196" s="250"/>
      <c r="DM196" s="252"/>
      <c r="DN196" s="250">
        <f>Table1[[#This Row],[MatTot]]/3</f>
        <v>0</v>
      </c>
      <c r="DO196" s="250">
        <f>Table1[[#This Row],[MatTot]]/3</f>
        <v>0</v>
      </c>
      <c r="DP196" s="250">
        <f>Table1[[#This Row],[MatTot]]/3</f>
        <v>0</v>
      </c>
      <c r="DQ196" s="252"/>
      <c r="DR196" s="250">
        <f>Table1[[#This Row],[OutTot]]/3</f>
        <v>0</v>
      </c>
      <c r="DS196" s="250">
        <f>Table1[[#This Row],[OutTot]]/3</f>
        <v>0</v>
      </c>
      <c r="DT196" s="250">
        <f>Table1[[#This Row],[OutTot]]/3</f>
        <v>0</v>
      </c>
      <c r="DU196" s="252"/>
      <c r="DV196" s="250"/>
      <c r="DW196" s="250"/>
      <c r="DX196" s="250"/>
      <c r="DY196" s="252">
        <f>SUM(Table1[[#This Row],[VAQ1]:[VAQ3]])</f>
        <v>0</v>
      </c>
      <c r="DZ196" s="250"/>
      <c r="EA196" s="250"/>
      <c r="EB196" s="250"/>
      <c r="EC196" s="270">
        <f>SUM(Table1[[#This Row],[OthGrantQ1]:[OthGrantQ3]])</f>
        <v>0</v>
      </c>
      <c r="ED196" s="263">
        <f>Table1[[#This Row],[SEOGTot]]+Table1[[#This Row],[PellTot]]+Table1[[#This Row],[AccessTot]]+Table1[[#This Row],[AchiTot]]+Table1[[#This Row],[UTTot]]+Table1[[#This Row],[WITTot]]+Table1[[#This Row],[SerTot]]+Table1[[#This Row],[TranTot]]+Table1[[#This Row],[MatTot]]+Table1[[#This Row],[OutTot]]+Table1[[#This Row],[VATot]]+Table1[[#This Row],[OthGrantTot]]</f>
        <v>7695</v>
      </c>
      <c r="EE196" s="282"/>
      <c r="EF196" s="237"/>
      <c r="EG196" s="237"/>
      <c r="EH196" s="232">
        <f>SUM(Table1[[#This Row],[CashQ1]]:Table1[[#This Row],[CashQ3]])</f>
        <v>0</v>
      </c>
      <c r="EI196" s="271">
        <f>ROUND((Table1[[#This Row],[SubTot]]/3)/1.01059,0)</f>
        <v>0</v>
      </c>
      <c r="EJ196" s="234">
        <f>ROUND((Table1[[#This Row],[SubTot]]/3)/1.01059,0)</f>
        <v>0</v>
      </c>
      <c r="EK196" s="234">
        <f>ROUNDUP((Table1[[#This Row],[SubTot]]/3)/1.01059,0)</f>
        <v>0</v>
      </c>
      <c r="EL196" s="235"/>
      <c r="EM196" s="240">
        <f>Table1[[#This Row],[SubTot]]*0.01059</f>
        <v>0</v>
      </c>
      <c r="EN196" s="234">
        <f>ROUND((Table1[[#This Row],[UnsubTot]]/3)/1.01062,0)</f>
        <v>660</v>
      </c>
      <c r="EO196" s="234">
        <f>ROUND((Table1[[#This Row],[UnsubTot]]/3)/1.01062,0)</f>
        <v>660</v>
      </c>
      <c r="EP196" s="234">
        <f>ROUNDDOWN((Table1[[#This Row],[UnsubTot]]/3)/1.01062,0)</f>
        <v>659</v>
      </c>
      <c r="EQ196" s="235">
        <f>IF(Table1[D/I]="I",6000,2000)</f>
        <v>2000</v>
      </c>
      <c r="ER196" s="240">
        <f>Table1[[#This Row],[UnsubTot]]*0.01062</f>
        <v>21.24</v>
      </c>
      <c r="ES196" s="234">
        <f>ROUND((Table1[[#This Row],[PLUSTot]]/3)/1.04248,0)</f>
        <v>0</v>
      </c>
      <c r="ET196" s="234">
        <f>ROUND((Table1[[#This Row],[PLUSTot]]/3)/1.04248,0)</f>
        <v>0</v>
      </c>
      <c r="EU196" s="234">
        <f>ROUND((Table1[[#This Row],[PLUSTot]]/3)/1.04248,0)</f>
        <v>0</v>
      </c>
      <c r="EV196" s="235"/>
      <c r="EW196" s="239">
        <f>Table1[[#This Row],[PLUSTot]]*0.04248</f>
        <v>0</v>
      </c>
      <c r="EX196" s="237"/>
      <c r="EY196" s="237"/>
      <c r="EZ196" s="237"/>
      <c r="FA196" s="232">
        <f>SUM(Table1[[#This Row],[PrivQ1]:[PrivQ3]])</f>
        <v>0</v>
      </c>
      <c r="FB196" s="237"/>
      <c r="FC196" s="237"/>
      <c r="FD196" s="237"/>
      <c r="FE196" s="232">
        <f>SUM(Table1[[#This Row],[TOQ1]:[TOQ3]])</f>
        <v>0</v>
      </c>
      <c r="FF196" s="237"/>
      <c r="FG196" s="237"/>
      <c r="FH196" s="237"/>
      <c r="FI196" s="232">
        <f>SUM(Table1[[#This Row],[OFundQ1]:[OFundQ3]])</f>
        <v>0</v>
      </c>
      <c r="FJ196" s="239">
        <f>(Table1[[#This Row],[SubTot]]-Table1[[#This Row],[SubFee]])+(Table1[[#This Row],[UnsubTot]]-Table1[[#This Row],[UnsubFee]])+(Table1[[#This Row],[PLUSTot]]-Table1[[#This Row],[PLUSFee]])+Table1[[#This Row],[PrivTot]]+Table1[[#This Row],[TOTot]]+Table1[[#This Row],[OFundTot]]</f>
        <v>1978.76</v>
      </c>
      <c r="FK196" s="125">
        <f>Table1[[#This Row],[CostTot]]-Table1[[#This Row],[GiftTot]]</f>
        <v>31820</v>
      </c>
      <c r="FL196" s="130">
        <f>Table1[[#This Row],[NetNeed]]/(1-0.04248)</f>
        <v>31165.134931907429</v>
      </c>
      <c r="FM196" s="131">
        <f>Table1[[#This Row],[NetCost]]-Table1[[#This Row],[CashTot]]-(Table1[[#This Row],[SubTot]]-Table1[[#This Row],[SubFee]])-(Table1[[#This Row],[UnsubTot]]-Table1[[#This Row],[UnsubFee]])-(Table1[[#This Row],[PLUSTot]]-Table1[[#This Row],[PLUSFee]])-Table1[[#This Row],[PrivTot]]-Table1[[#This Row],[TOTot]]-Table1[[#This Row],[OFundTot]]</f>
        <v>29841.24</v>
      </c>
      <c r="FN196" s="156"/>
      <c r="FO196" s="113"/>
      <c r="FP196" s="113"/>
    </row>
    <row r="197" spans="1:172" ht="15" x14ac:dyDescent="0.25">
      <c r="A197" s="158">
        <v>198105</v>
      </c>
      <c r="B197" s="160" t="str">
        <f>VLOOKUP(Table1[[#This Row],[SyStudentId]],SSR!$A$2:$CC$4982,4,FALSE)</f>
        <v>Watson</v>
      </c>
      <c r="C197" s="160" t="str">
        <f>VLOOKUP(Table1[[#This Row],[SyStudentId]],SSR!$A$2:$CC$4982,5,FALSE)</f>
        <v>Austin</v>
      </c>
      <c r="D197" s="160" t="str">
        <f>VLOOKUP(Table1[[#This Row],[SyStudentId]],SSR!$A$2:$CC$4982,6,FALSE)</f>
        <v>Watson, Austin</v>
      </c>
      <c r="E197" s="113" t="str">
        <f>CONCATENATE(Table1[[#This Row],[FirstName]]," ",Table1[[#This Row],[LastName]])</f>
        <v>Austin Watson</v>
      </c>
      <c r="F197" s="158">
        <v>1</v>
      </c>
      <c r="G197" s="114">
        <v>43795</v>
      </c>
      <c r="H197" s="114">
        <v>43805</v>
      </c>
      <c r="I197" s="114">
        <v>43805</v>
      </c>
      <c r="J197" s="163"/>
      <c r="K197" s="164"/>
      <c r="L197" s="158" t="str">
        <f>IFERROR(VLOOKUP(Table1[[#This Row],[SyStudentId]],ISIR!$A$2:$X$4999,11,FALSE),"")</f>
        <v>D</v>
      </c>
      <c r="M197" s="160" t="str">
        <f>VLOOKUP(Table1[[#This Row],[SyStudentId]],SSR!$A$2:$CC$4982,7,FALSE)</f>
        <v>austin.watson91102@gmail.com</v>
      </c>
      <c r="N197" s="160" t="str">
        <f>VLOOKUP(Table1[[#This Row],[SyStudentId]],SSR!$A$2:$CC$4982,8,FALSE)</f>
        <v>106 Front Street</v>
      </c>
      <c r="O197" s="160" t="str">
        <f>VLOOKUP(Table1[[#This Row],[SyStudentId]],SSR!$A$2:$CC$4982,9,FALSE)</f>
        <v>Bardwell</v>
      </c>
      <c r="P197" s="294" t="str">
        <f>VLOOKUP(Table1[[#This Row],[SyStudentId]],SSR!$A$2:$CC$4982,10,FALSE)</f>
        <v>KY</v>
      </c>
      <c r="Q197" s="165" t="str">
        <f>VLOOKUP(Table1[[#This Row],[SyStudentId]],SSR!$A$2:$CC$4982,11,FALSE)</f>
        <v xml:space="preserve">42023     </v>
      </c>
      <c r="R197" s="166">
        <f>VLOOKUP(Table1[[#This Row],[SyStudentId]],SSR!$A$2:$CC$4982,15,FALSE)</f>
        <v>3.1259999999999999</v>
      </c>
      <c r="S197" s="167">
        <f>VLOOKUP(Table1[[#This Row],[SyStudentId]],SSR!$A$2:$CC$4982,22,FALSE)</f>
        <v>44109</v>
      </c>
      <c r="T197" s="160" t="str">
        <f>VLOOKUP(Table1[[#This Row],[SyStudentId]],SSR!$A$2:$CC$4982,24,FALSE)</f>
        <v>JT</v>
      </c>
      <c r="U197" s="160" t="str">
        <f>IF(VLOOKUP(Table1[[#This Row],[SyStudentId]],SSR!$A$2:$CC$4982,26,FALSE)=0,"Not Selected",VLOOKUP(Table1[[#This Row],[SyStudentId]],SSR!$A$2:$CC$4982,26,FALSE))</f>
        <v>Male</v>
      </c>
      <c r="V197" s="160" t="str">
        <f>VLOOKUP(Table1[[#This Row],[SyStudentId]],SSR!$A$2:$CC$4982,27,FALSE)</f>
        <v xml:space="preserve">HS2020  </v>
      </c>
      <c r="W197" s="160" t="str">
        <f>VLOOKUP(LEFT(Table1[[#This Row],[LastName]],1),Alpha!$A$1:$B$26,2,FALSE)</f>
        <v>Maureen Ranks</v>
      </c>
      <c r="X197" s="268" t="str">
        <f>VLOOKUP(Table1[[#This Row],[FAA]],Alpha!$B$1:$D$26,2,FALSE)</f>
        <v>mranks@neumont.edu</v>
      </c>
      <c r="Y197" s="160">
        <f>VLOOKUP(Table1[[#This Row],[FAA]],Alpha!$B$1:$D$26,3,FALSE)</f>
        <v>8883022894</v>
      </c>
      <c r="Z197" s="160" t="str">
        <f>VLOOKUP(Table1[[#This Row],[SyStudentId]],SSR!$A$2:$CC$4982,30,FALSE)</f>
        <v>16-Accepted</v>
      </c>
      <c r="AA197" s="160" t="str">
        <f>IF(VLOOKUP(Table1[[#This Row],[SyStudentId]],SSR!$A$2:$CC$4982,36,FALSE)="Bachelor of Science","BS Computer Science","Check Program")</f>
        <v>BS Computer Science</v>
      </c>
      <c r="AB197" s="160" t="str">
        <f>VLOOKUP(Table1[[#This Row],[SyStudentId]],SSR!$A$2:$CC$4982,37,FALSE)</f>
        <v xml:space="preserve">20      </v>
      </c>
      <c r="AC197" s="160">
        <f>VLOOKUP(Table1[[#This Row],[SyStudentId]],SSR!$A$2:$CC$4982,42,FALSE)</f>
        <v>0</v>
      </c>
      <c r="AD197" s="160" t="str">
        <f>VLOOKUP(Table1[[#This Row],[SyStudentId]],SSR!$A$2:$CC$4982,46,FALSE)</f>
        <v>97</v>
      </c>
      <c r="AE197" s="160" t="str">
        <f>VLOOKUP(Table1[[#This Row],[SyStudentId]],SSR!$A$2:$CC$4982,65,FALSE)</f>
        <v>V</v>
      </c>
      <c r="AF197"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5</v>
      </c>
      <c r="AG197" s="160" t="str">
        <f>VLOOKUP(Table1[[#This Row],[SyStudentId]],SSR!$A$2:$CC$4982,66,FALSE)</f>
        <v>July-October</v>
      </c>
      <c r="AH197" s="160" t="str">
        <f>IFERROR(VLOOKUP(Table1[[#This Row],[SyStudentId]],ISIR!$A$2:$X$1999,7,FALSE),"")</f>
        <v>000000</v>
      </c>
      <c r="AI197" s="170">
        <f>IF(Table1[[#This Row],[EFCRaw]]="","",IF(Table1[[#This Row],[EFCRaw]]="No EFC","No EFC",_xlfn.NUMBERVALUE(Table1[[#This Row],[EFCRaw]])))</f>
        <v>0</v>
      </c>
      <c r="AJ197" s="167">
        <f>IFERROR(VLOOKUP(Table1[[#This Row],[SyStudentId]],ISIR!$A$2:$X$4999,19,FALSE),"")</f>
        <v>43774</v>
      </c>
      <c r="AK197" s="160" t="str">
        <f>IFERROR(VLOOKUP(Table1[[#This Row],[SyStudentId]],ISIR!$A$2:$X$4999,8,FALSE),"")</f>
        <v>N</v>
      </c>
      <c r="AL197" s="171" t="str">
        <f>IF(Table1[[#This Row],[VerReq]]="N","n/a","")</f>
        <v>n/a</v>
      </c>
      <c r="AM197" s="122">
        <v>43805</v>
      </c>
      <c r="AN197" s="122">
        <v>43805</v>
      </c>
      <c r="AO197" s="122">
        <v>43805</v>
      </c>
      <c r="AP197" s="122"/>
      <c r="AQ197" s="122"/>
      <c r="AR197" s="122"/>
      <c r="AS197" s="122"/>
      <c r="AT197" s="122"/>
      <c r="AU197" s="122"/>
      <c r="AV197" s="122"/>
      <c r="AW197" s="122"/>
      <c r="AX197" s="122"/>
      <c r="AY197" s="122"/>
      <c r="AZ197" s="122"/>
      <c r="BA197" s="122"/>
      <c r="BB197" s="122"/>
      <c r="BC197" s="148"/>
      <c r="BD197" s="140" t="str">
        <f>IF(Table1[[#This Row],[VerReq]]="N","x","")</f>
        <v>x</v>
      </c>
      <c r="BE197" s="140" t="str">
        <f>IF(Table1[[#This Row],[VerReq]]="N","x","")</f>
        <v>x</v>
      </c>
      <c r="BF197" s="140" t="str">
        <f>IF(Table1[[#This Row],[VerReq]]="N","x","")</f>
        <v>x</v>
      </c>
      <c r="BG197" s="140" t="str">
        <f>IF(Table1[[#This Row],[VerReq]]="N","x","")</f>
        <v>x</v>
      </c>
      <c r="BH197" s="140" t="str">
        <f>IF(Table1[[#This Row],[VerReq]]="N","x","")</f>
        <v>x</v>
      </c>
      <c r="BI197" s="140" t="str">
        <f>IF(Table1[[#This Row],[VerReq]]="N","x","")</f>
        <v>x</v>
      </c>
      <c r="BJ197" s="181">
        <f>1-((COUNTBLANK(Table1[[#This Row],[ALESent]:[TaxTran]]))/(COUNT(Table1[[#This Row],[ALESent]:[TaxTran]])+COUNTBLANK(Table1[[#This Row],[ALESent]:[TaxTran]])))</f>
        <v>0.17647058823529416</v>
      </c>
      <c r="BK197" s="216">
        <f>IF(VLOOKUP(Table1[[#This Row],[SyStudentId]],SSR!$A$2:$CC$4982,22,FALSE)=44109,44109,"Check Program")</f>
        <v>44109</v>
      </c>
      <c r="BL197" s="216">
        <f>IF(Table1[[#This Row],[AYStart]]=44109,44356,"Check Program")</f>
        <v>44356</v>
      </c>
      <c r="BM197" s="219">
        <v>8505</v>
      </c>
      <c r="BN197" s="219">
        <v>8505</v>
      </c>
      <c r="BO197" s="219">
        <v>8505</v>
      </c>
      <c r="BP197" s="220">
        <f t="shared" si="9"/>
        <v>25515</v>
      </c>
      <c r="BQ197" s="221">
        <v>3300</v>
      </c>
      <c r="BR197" s="219">
        <v>400</v>
      </c>
      <c r="BS197" s="219">
        <v>400</v>
      </c>
      <c r="BT197" s="222">
        <f t="shared" si="10"/>
        <v>4100</v>
      </c>
      <c r="BU197" s="219">
        <v>2100</v>
      </c>
      <c r="BV197" s="219">
        <v>2100</v>
      </c>
      <c r="BW197" s="219">
        <v>2100</v>
      </c>
      <c r="BX197" s="222">
        <f t="shared" si="11"/>
        <v>6300</v>
      </c>
      <c r="BY197" s="275">
        <v>1200</v>
      </c>
      <c r="BZ197" s="275">
        <v>1200</v>
      </c>
      <c r="CA197" s="275">
        <v>1200</v>
      </c>
      <c r="CB197" s="222">
        <f>SUM(Table1[[#This Row],[LEQ1]:[LEQ3]])</f>
        <v>3600</v>
      </c>
      <c r="CC197" s="276">
        <v>0</v>
      </c>
      <c r="CD197" s="276">
        <v>0</v>
      </c>
      <c r="CE197" s="276">
        <v>0</v>
      </c>
      <c r="CF197" s="222">
        <f>SUM(Table1[[#This Row],[OthCostQ1]:[OthCostQ3]])</f>
        <v>0</v>
      </c>
      <c r="CG197" s="222">
        <f>(Table1[[#This Row],[T&amp;FTot]]+Table1[[#This Row],[B&amp;STot]]+Table1[[#This Row],[HousTot]]+Table1[[#This Row],[LETot]]+Table1[[#This Row],[OthCostTot]])</f>
        <v>39515</v>
      </c>
      <c r="CH197" s="253">
        <v>0</v>
      </c>
      <c r="CI197" s="253">
        <v>0</v>
      </c>
      <c r="CJ197" s="253">
        <v>0</v>
      </c>
      <c r="CK197" s="254">
        <f>SUM(Table1[[#This Row],[SEOGQ1]:[SEOGQ3]])</f>
        <v>0</v>
      </c>
      <c r="CL197" s="253">
        <f>IFERROR(ROUNDUP(Table1[[#This Row],[PellTot]]/3,0),0)</f>
        <v>2065</v>
      </c>
      <c r="CM197" s="253">
        <f>IFERROR(ROUND(Table1[[#This Row],[PellTot]]/3,0),0)</f>
        <v>2065</v>
      </c>
      <c r="CN197" s="253">
        <f>IFERROR(ROUNDDOWN(Table1[[#This Row],[PellTot]]/3,0),0)</f>
        <v>2065</v>
      </c>
      <c r="CO197" s="254">
        <f>IFERROR(LOOKUP(Table1[EFC],Pell_Table[#Data],Pell_Table[Pell Amt]),0)</f>
        <v>6195</v>
      </c>
      <c r="CP197" s="253">
        <f>Table1[[#This Row],[AccessTot]]/3</f>
        <v>500</v>
      </c>
      <c r="CQ197" s="253">
        <f>Table1[[#This Row],[AccessTot]]/3</f>
        <v>500</v>
      </c>
      <c r="CR197" s="253">
        <f>Table1[[#This Row],[AccessTot]]/3</f>
        <v>500</v>
      </c>
      <c r="CS197" s="254">
        <f>IF(Table1[[#This Row],[PellTot]]&gt;0,1500,0)</f>
        <v>1500</v>
      </c>
      <c r="CT197" s="253">
        <f>Table1[[#This Row],[AchiTot]]/3</f>
        <v>1000</v>
      </c>
      <c r="CU197" s="253">
        <f>Table1[[#This Row],[AchiTot]]/3</f>
        <v>1000</v>
      </c>
      <c r="CV197" s="253">
        <f>Table1[[#This Row],[AchiTot]]/3</f>
        <v>1000</v>
      </c>
      <c r="CW197" s="255">
        <f>IF(Table1[[#This Row],[Rank]]="","",IF(Table1[[#This Row],[Rank]]=1,5100,IF(Table1[[#This Row],[Rank]]=2,4500,IF(Table1[[#This Row],[Rank]]=3,3900,IF(Table1[[#This Row],[Rank]]=4,3750,IF(Table1[[#This Row],[Rank]]=5,3000,IF(Table1[[#This Row],[Rank]]=6,2250,0)))))))</f>
        <v>3000</v>
      </c>
      <c r="CX197" s="253">
        <f>Table1[[#This Row],[UTTot]]/3</f>
        <v>0</v>
      </c>
      <c r="CY197" s="253">
        <f>Table1[[#This Row],[UTTot]]/3</f>
        <v>0</v>
      </c>
      <c r="CZ197" s="253">
        <f>Table1[[#This Row],[UTTot]]/3</f>
        <v>0</v>
      </c>
      <c r="DA197" s="254">
        <f>IF(Table1[[#This Row],[State]]="UT",9000,0)</f>
        <v>0</v>
      </c>
      <c r="DB197" s="253">
        <f>Table1[[#This Row],[WITTot]]/3</f>
        <v>0</v>
      </c>
      <c r="DC197" s="253">
        <f>Table1[[#This Row],[WITTot]]/3</f>
        <v>0</v>
      </c>
      <c r="DD197" s="253">
        <f>Table1[[#This Row],[WITTot]]/3</f>
        <v>0</v>
      </c>
      <c r="DE197" s="254">
        <f>IF(Table1[[#This Row],[Gender]]="Female",3000,0)</f>
        <v>0</v>
      </c>
      <c r="DF197" s="253">
        <f>Table1[[#This Row],[SerTot]]/3</f>
        <v>0</v>
      </c>
      <c r="DG197" s="253">
        <f>Table1[[#This Row],[SerTot]]/3</f>
        <v>0</v>
      </c>
      <c r="DH197" s="253">
        <f>Table1[[#This Row],[SerTot]]/3</f>
        <v>0</v>
      </c>
      <c r="DI197" s="255">
        <v>0</v>
      </c>
      <c r="DJ197" s="253">
        <f>IFERROR(ROUNDUP(Table1[[#This Row],[TranTot]]/3,0),0)</f>
        <v>0</v>
      </c>
      <c r="DK197" s="253">
        <f>IFERROR(ROUND(Table1[[#This Row],[TranTot]]/3,0),0)</f>
        <v>0</v>
      </c>
      <c r="DL197" s="253">
        <f>IFERROR(ROUNDDOWN(Table1[[#This Row],[TranTot]]/3,0),0)</f>
        <v>0</v>
      </c>
      <c r="DM197" s="255">
        <v>0</v>
      </c>
      <c r="DN197" s="253">
        <f>Table1[[#This Row],[MatTot]]/3</f>
        <v>0</v>
      </c>
      <c r="DO197" s="253">
        <f>Table1[[#This Row],[MatTot]]/3</f>
        <v>0</v>
      </c>
      <c r="DP197" s="253">
        <f>Table1[[#This Row],[MatTot]]/3</f>
        <v>0</v>
      </c>
      <c r="DQ197" s="255">
        <v>0</v>
      </c>
      <c r="DR197" s="253">
        <f>Table1[[#This Row],[OutTot]]/3</f>
        <v>0</v>
      </c>
      <c r="DS197" s="253">
        <f>Table1[[#This Row],[OutTot]]/3</f>
        <v>0</v>
      </c>
      <c r="DT197" s="253">
        <f>Table1[[#This Row],[OutTot]]/3</f>
        <v>0</v>
      </c>
      <c r="DU197" s="255">
        <v>0</v>
      </c>
      <c r="DV197" s="253">
        <v>0</v>
      </c>
      <c r="DW197" s="253">
        <v>0</v>
      </c>
      <c r="DX197" s="253">
        <v>0</v>
      </c>
      <c r="DY197" s="255">
        <f>SUM(Table1[[#This Row],[VAQ1]:[VAQ3]])</f>
        <v>0</v>
      </c>
      <c r="DZ197" s="253">
        <v>0</v>
      </c>
      <c r="EA197" s="253">
        <v>0</v>
      </c>
      <c r="EB197" s="253">
        <v>0</v>
      </c>
      <c r="EC197" s="278">
        <f>SUM(Table1[[#This Row],[OthGrantQ1]:[OthGrantQ3]])</f>
        <v>0</v>
      </c>
      <c r="ED197" s="264">
        <f>Table1[[#This Row],[SEOGTot]]+Table1[[#This Row],[PellTot]]+Table1[[#This Row],[AccessTot]]+Table1[[#This Row],[AchiTot]]+Table1[[#This Row],[UTTot]]+Table1[[#This Row],[WITTot]]+Table1[[#This Row],[SerTot]]+Table1[[#This Row],[TranTot]]+Table1[[#This Row],[MatTot]]+Table1[[#This Row],[OutTot]]+Table1[[#This Row],[VATot]]+Table1[[#This Row],[OthGrantTot]]</f>
        <v>10695</v>
      </c>
      <c r="EE197" s="298">
        <v>0</v>
      </c>
      <c r="EF197" s="227">
        <v>0</v>
      </c>
      <c r="EG197" s="227">
        <v>0</v>
      </c>
      <c r="EH197" s="228">
        <f>SUM(Table1[[#This Row],[CashQ1]]:Table1[[#This Row],[CashQ3]])</f>
        <v>0</v>
      </c>
      <c r="EI197" s="229">
        <f>ROUND((Table1[[#This Row],[SubTot]]/3)/1.01059,0)</f>
        <v>1154</v>
      </c>
      <c r="EJ197" s="230">
        <f>ROUND((Table1[[#This Row],[SubTot]]/3)/1.01059,0)</f>
        <v>1154</v>
      </c>
      <c r="EK197" s="230">
        <f>ROUNDUP((Table1[[#This Row],[SubTot]]/3)/1.01059,0)</f>
        <v>1155</v>
      </c>
      <c r="EL197" s="231">
        <v>3500</v>
      </c>
      <c r="EM197" s="233">
        <f>Table1[[#This Row],[SubTot]]*0.01059</f>
        <v>37.065000000000005</v>
      </c>
      <c r="EN197" s="230">
        <f>ROUND((Table1[[#This Row],[UnsubTot]]/3)/1.01062,0)</f>
        <v>660</v>
      </c>
      <c r="EO197" s="230">
        <f>ROUND((Table1[[#This Row],[UnsubTot]]/3)/1.01062,0)</f>
        <v>660</v>
      </c>
      <c r="EP197" s="230">
        <f>ROUNDDOWN((Table1[[#This Row],[UnsubTot]]/3)/1.01062,0)</f>
        <v>659</v>
      </c>
      <c r="EQ197" s="231">
        <f>IF(Table1[D/I]="I",6000,2000)</f>
        <v>2000</v>
      </c>
      <c r="ER197" s="233">
        <f>Table1[[#This Row],[UnsubTot]]*0.01059</f>
        <v>21.18</v>
      </c>
      <c r="ES197" s="230">
        <f>ROUND((Table1[[#This Row],[PLUSTot]]/3)/1.04236,0)</f>
        <v>7807</v>
      </c>
      <c r="ET197" s="230">
        <f>ROUND((Table1[[#This Row],[PLUSTot]]/3)/1.04236,0)</f>
        <v>7807</v>
      </c>
      <c r="EU197" s="230">
        <f>ROUND((Table1[[#This Row],[PLUSTot]]/3)/1.04236,0)</f>
        <v>7807</v>
      </c>
      <c r="EV197" s="231">
        <v>24412</v>
      </c>
      <c r="EW197" s="236">
        <f>Table1[[#This Row],[PLUSTot]]*0.04236</f>
        <v>1034.09232</v>
      </c>
      <c r="EX197" s="227"/>
      <c r="EY197" s="227"/>
      <c r="EZ197" s="227"/>
      <c r="FA197" s="228">
        <f>SUM(Table1[[#This Row],[PrivQ1]:[PrivQ3]])</f>
        <v>0</v>
      </c>
      <c r="FB197" s="227"/>
      <c r="FC197" s="227"/>
      <c r="FD197" s="227"/>
      <c r="FE197" s="228">
        <f>SUM(Table1[[#This Row],[TOQ1]:[TOQ3]])</f>
        <v>0</v>
      </c>
      <c r="FF197" s="227"/>
      <c r="FG197" s="227"/>
      <c r="FH197" s="227"/>
      <c r="FI197" s="228">
        <f>SUM(Table1[[#This Row],[OFundQ1]:[OFundQ3]])</f>
        <v>0</v>
      </c>
      <c r="FJ197" s="236">
        <f>(Table1[[#This Row],[SubTot]]-Table1[[#This Row],[SubFee]])+(Table1[[#This Row],[UnsubTot]]-Table1[[#This Row],[UnsubFee]])+(Table1[[#This Row],[PLUSTot]]-Table1[[#This Row],[PLUSFee]])+Table1[[#This Row],[PrivTot]]+Table1[[#This Row],[TOTot]]+Table1[[#This Row],[OFundTot]]</f>
        <v>28819.662680000001</v>
      </c>
      <c r="FK197" s="159">
        <f>Table1[[#This Row],[CostTot]]-Table1[[#This Row],[GiftTot]]</f>
        <v>28820</v>
      </c>
      <c r="FL197" s="174">
        <f>Table1[[#This Row],[NetNeed]]/(1-0.04236)</f>
        <v>0.35224092560745834</v>
      </c>
      <c r="FM197" s="176">
        <f>Table1[[#This Row],[NetCost]]-Table1[[#This Row],[CashTot]]-(Table1[[#This Row],[SubTot]]-Table1[[#This Row],[SubFee]])-(Table1[[#This Row],[UnsubTot]]-Table1[[#This Row],[UnsubFee]])-(Table1[[#This Row],[PLUSTot]]-Table1[[#This Row],[PLUSFee]])-Table1[[#This Row],[PrivTot]]-Table1[[#This Row],[TOTot]]-Table1[[#This Row],[OFundTot]]</f>
        <v>0.33731999999872642</v>
      </c>
      <c r="FN197" s="217"/>
      <c r="FO197" s="162"/>
      <c r="FP197" s="162"/>
    </row>
    <row r="198" spans="1:172" ht="15" x14ac:dyDescent="0.25">
      <c r="A198" s="158">
        <v>196423</v>
      </c>
      <c r="B198" s="160" t="str">
        <f>VLOOKUP(Table1[[#This Row],[SyStudentId]],SSR!$A$2:$CC$4982,4,FALSE)</f>
        <v>Watson</v>
      </c>
      <c r="C198" s="160" t="str">
        <f>VLOOKUP(Table1[[#This Row],[SyStudentId]],SSR!$A$2:$CC$4982,5,FALSE)</f>
        <v>James</v>
      </c>
      <c r="D198" s="160" t="str">
        <f>VLOOKUP(Table1[[#This Row],[SyStudentId]],SSR!$A$2:$CC$4982,6,FALSE)</f>
        <v>Watson, James</v>
      </c>
      <c r="E198" s="113" t="str">
        <f>CONCATENATE(Table1[[#This Row],[FirstName]]," ",Table1[[#This Row],[LastName]])</f>
        <v>James Watson</v>
      </c>
      <c r="F198" s="158">
        <v>1</v>
      </c>
      <c r="G198" s="114">
        <v>43783</v>
      </c>
      <c r="H198" s="114">
        <v>43783</v>
      </c>
      <c r="I198" s="114">
        <v>43783</v>
      </c>
      <c r="J198" s="163"/>
      <c r="K198" s="164"/>
      <c r="L198" s="158" t="str">
        <f>IFERROR(VLOOKUP(Table1[[#This Row],[SyStudentId]],ISIR!$A$2:$X$4999,11,FALSE),"")</f>
        <v>D</v>
      </c>
      <c r="M198" s="160" t="str">
        <f>VLOOKUP(Table1[[#This Row],[SyStudentId]],SSR!$A$2:$CC$4982,7,FALSE)</f>
        <v>james.watson4798@gmail.com</v>
      </c>
      <c r="N198" s="160" t="str">
        <f>VLOOKUP(Table1[[#This Row],[SyStudentId]],SSR!$A$2:$CC$4982,8,FALSE)</f>
        <v>106 Front Street</v>
      </c>
      <c r="O198" s="160" t="str">
        <f>VLOOKUP(Table1[[#This Row],[SyStudentId]],SSR!$A$2:$CC$4982,9,FALSE)</f>
        <v>Bardwell</v>
      </c>
      <c r="P198" s="294" t="str">
        <f>VLOOKUP(Table1[[#This Row],[SyStudentId]],SSR!$A$2:$CC$4982,10,FALSE)</f>
        <v>KY</v>
      </c>
      <c r="Q198" s="165" t="str">
        <f>VLOOKUP(Table1[[#This Row],[SyStudentId]],SSR!$A$2:$CC$4982,11,FALSE)</f>
        <v xml:space="preserve">42023     </v>
      </c>
      <c r="R198" s="166">
        <f>VLOOKUP(Table1[[#This Row],[SyStudentId]],SSR!$A$2:$CC$4982,15,FALSE)</f>
        <v>2.7</v>
      </c>
      <c r="S198" s="167">
        <f>VLOOKUP(Table1[[#This Row],[SyStudentId]],SSR!$A$2:$CC$4982,22,FALSE)</f>
        <v>44109</v>
      </c>
      <c r="T198" s="160" t="str">
        <f>VLOOKUP(Table1[[#This Row],[SyStudentId]],SSR!$A$2:$CC$4982,24,FALSE)</f>
        <v>GM</v>
      </c>
      <c r="U198" s="160" t="str">
        <f>IF(VLOOKUP(Table1[[#This Row],[SyStudentId]],SSR!$A$2:$CC$4982,26,FALSE)=0,"Not Selected",VLOOKUP(Table1[[#This Row],[SyStudentId]],SSR!$A$2:$CC$4982,26,FALSE))</f>
        <v>Male</v>
      </c>
      <c r="V198" s="160" t="str">
        <f>VLOOKUP(Table1[[#This Row],[SyStudentId]],SSR!$A$2:$CC$4982,27,FALSE)</f>
        <v xml:space="preserve">HS2016  </v>
      </c>
      <c r="W198" s="160" t="str">
        <f>VLOOKUP(LEFT(Table1[[#This Row],[LastName]],1),Alpha!$A$1:$B$26,2,FALSE)</f>
        <v>Maureen Ranks</v>
      </c>
      <c r="X198" s="268" t="str">
        <f>VLOOKUP(Table1[[#This Row],[FAA]],Alpha!$B$1:$D$26,2,FALSE)</f>
        <v>mranks@neumont.edu</v>
      </c>
      <c r="Y198" s="160">
        <f>VLOOKUP(Table1[[#This Row],[FAA]],Alpha!$B$1:$D$26,3,FALSE)</f>
        <v>8883022894</v>
      </c>
      <c r="Z198" s="160" t="str">
        <f>VLOOKUP(Table1[[#This Row],[SyStudentId]],SSR!$A$2:$CC$4982,30,FALSE)</f>
        <v>16-Accepted</v>
      </c>
      <c r="AA198" s="160" t="str">
        <f>IF(VLOOKUP(Table1[[#This Row],[SyStudentId]],SSR!$A$2:$CC$4982,36,FALSE)="Bachelor of Science","BS Computer Science","Check Program")</f>
        <v>BS Computer Science</v>
      </c>
      <c r="AB198" s="160" t="str">
        <f>VLOOKUP(Table1[[#This Row],[SyStudentId]],SSR!$A$2:$CC$4982,37,FALSE)</f>
        <v xml:space="preserve">16      </v>
      </c>
      <c r="AC198" s="160">
        <f>VLOOKUP(Table1[[#This Row],[SyStudentId]],SSR!$A$2:$CC$4982,42,FALSE)</f>
        <v>0</v>
      </c>
      <c r="AD198" s="160" t="str">
        <f>VLOOKUP(Table1[[#This Row],[SyStudentId]],SSR!$A$2:$CC$4982,46,FALSE)</f>
        <v>83</v>
      </c>
      <c r="AE198" s="160" t="str">
        <f>VLOOKUP(Table1[[#This Row],[SyStudentId]],SSR!$A$2:$CC$4982,65,FALSE)</f>
        <v>IX</v>
      </c>
      <c r="AF198"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198" s="160" t="str">
        <f>VLOOKUP(Table1[[#This Row],[SyStudentId]],SSR!$A$2:$CC$4982,66,FALSE)</f>
        <v>July-October</v>
      </c>
      <c r="AH198" s="160" t="str">
        <f>IFERROR(VLOOKUP(Table1[[#This Row],[SyStudentId]],ISIR!$A$2:$X$1999,7,FALSE),"")</f>
        <v>000000</v>
      </c>
      <c r="AI198" s="170">
        <f>IF(Table1[[#This Row],[EFCRaw]]="","",IF(Table1[[#This Row],[EFCRaw]]="No EFC","No EFC",_xlfn.NUMBERVALUE(Table1[[#This Row],[EFCRaw]])))</f>
        <v>0</v>
      </c>
      <c r="AJ198" s="167">
        <f>IFERROR(VLOOKUP(Table1[[#This Row],[SyStudentId]],ISIR!$A$2:$X$4999,19,FALSE),"")</f>
        <v>43776</v>
      </c>
      <c r="AK198" s="160" t="str">
        <f>IFERROR(VLOOKUP(Table1[[#This Row],[SyStudentId]],ISIR!$A$2:$X$4999,8,FALSE),"")</f>
        <v>N</v>
      </c>
      <c r="AL198" s="171" t="str">
        <f>IF(Table1[[#This Row],[VerReq]]="N","n/a","")</f>
        <v>n/a</v>
      </c>
      <c r="AM198" s="122"/>
      <c r="AN198" s="122"/>
      <c r="AO198" s="122"/>
      <c r="AP198" s="122"/>
      <c r="AQ198" s="122"/>
      <c r="AR198" s="122"/>
      <c r="AS198" s="122"/>
      <c r="AT198" s="122"/>
      <c r="AU198" s="122"/>
      <c r="AV198" s="122"/>
      <c r="AW198" s="122"/>
      <c r="AX198" s="122"/>
      <c r="AY198" s="122"/>
      <c r="AZ198" s="122"/>
      <c r="BA198" s="122"/>
      <c r="BB198" s="122"/>
      <c r="BC198" s="148"/>
      <c r="BD198" s="140" t="str">
        <f>IF(Table1[[#This Row],[VerReq]]="N","x","")</f>
        <v>x</v>
      </c>
      <c r="BE198" s="140" t="str">
        <f>IF(Table1[[#This Row],[VerReq]]="N","x","")</f>
        <v>x</v>
      </c>
      <c r="BF198" s="140" t="str">
        <f>IF(Table1[[#This Row],[VerReq]]="N","x","")</f>
        <v>x</v>
      </c>
      <c r="BG198" s="140" t="str">
        <f>IF(Table1[[#This Row],[VerReq]]="N","x","")</f>
        <v>x</v>
      </c>
      <c r="BH198" s="140" t="str">
        <f>IF(Table1[[#This Row],[VerReq]]="N","x","")</f>
        <v>x</v>
      </c>
      <c r="BI198" s="140" t="str">
        <f>IF(Table1[[#This Row],[VerReq]]="N","x","")</f>
        <v>x</v>
      </c>
      <c r="BJ198" s="181">
        <f>1-((COUNTBLANK(Table1[[#This Row],[ALESent]:[TaxTran]]))/(COUNT(Table1[[#This Row],[ALESent]:[TaxTran]])+COUNTBLANK(Table1[[#This Row],[ALESent]:[TaxTran]])))</f>
        <v>0</v>
      </c>
      <c r="BK198" s="216">
        <f>IF(VLOOKUP(Table1[[#This Row],[SyStudentId]],SSR!$A$2:$CC$4982,22,FALSE)=44109,44109,"Check Program")</f>
        <v>44109</v>
      </c>
      <c r="BL198" s="216">
        <f>IF(Table1[[#This Row],[AYStart]]=44109,44356,"Check Program")</f>
        <v>44356</v>
      </c>
      <c r="BM198" s="219">
        <v>8505</v>
      </c>
      <c r="BN198" s="219">
        <v>8505</v>
      </c>
      <c r="BO198" s="219">
        <v>8505</v>
      </c>
      <c r="BP198" s="220">
        <f t="shared" si="9"/>
        <v>25515</v>
      </c>
      <c r="BQ198" s="221">
        <v>3300</v>
      </c>
      <c r="BR198" s="219">
        <v>400</v>
      </c>
      <c r="BS198" s="219">
        <v>400</v>
      </c>
      <c r="BT198" s="222">
        <f t="shared" si="10"/>
        <v>4100</v>
      </c>
      <c r="BU198" s="219">
        <v>2100</v>
      </c>
      <c r="BV198" s="219">
        <v>2100</v>
      </c>
      <c r="BW198" s="219">
        <v>2100</v>
      </c>
      <c r="BX198" s="222">
        <f t="shared" si="11"/>
        <v>6300</v>
      </c>
      <c r="BY198" s="275">
        <v>1200</v>
      </c>
      <c r="BZ198" s="275">
        <v>1200</v>
      </c>
      <c r="CA198" s="275">
        <v>1200</v>
      </c>
      <c r="CB198" s="222">
        <f>SUM(Table1[[#This Row],[LEQ1]:[LEQ3]])</f>
        <v>3600</v>
      </c>
      <c r="CC198" s="276">
        <v>0</v>
      </c>
      <c r="CD198" s="276">
        <v>0</v>
      </c>
      <c r="CE198" s="276">
        <v>0</v>
      </c>
      <c r="CF198" s="222">
        <f>SUM(Table1[[#This Row],[OthCostQ1]:[OthCostQ3]])</f>
        <v>0</v>
      </c>
      <c r="CG198" s="222">
        <f>(Table1[[#This Row],[T&amp;FTot]]+Table1[[#This Row],[B&amp;STot]]+Table1[[#This Row],[HousTot]]+Table1[[#This Row],[LETot]]+Table1[[#This Row],[OthCostTot]])</f>
        <v>39515</v>
      </c>
      <c r="CH198" s="253">
        <v>0</v>
      </c>
      <c r="CI198" s="253">
        <v>0</v>
      </c>
      <c r="CJ198" s="253">
        <v>0</v>
      </c>
      <c r="CK198" s="254">
        <f>SUM(Table1[[#This Row],[SEOGQ1]:[SEOGQ3]])</f>
        <v>0</v>
      </c>
      <c r="CL198" s="253">
        <f>IFERROR(ROUNDUP(Table1[[#This Row],[PellTot]]/3,0),0)</f>
        <v>2065</v>
      </c>
      <c r="CM198" s="253">
        <f>IFERROR(ROUND(Table1[[#This Row],[PellTot]]/3,0),0)</f>
        <v>2065</v>
      </c>
      <c r="CN198" s="253">
        <f>IFERROR(ROUNDDOWN(Table1[[#This Row],[PellTot]]/3,0),0)</f>
        <v>2065</v>
      </c>
      <c r="CO198" s="254">
        <f>IFERROR(LOOKUP(Table1[EFC],Pell_Table[#Data],Pell_Table[Pell Amt]),0)</f>
        <v>6195</v>
      </c>
      <c r="CP198" s="253">
        <f>Table1[[#This Row],[AccessTot]]/3</f>
        <v>500</v>
      </c>
      <c r="CQ198" s="253">
        <f>Table1[[#This Row],[AccessTot]]/3</f>
        <v>500</v>
      </c>
      <c r="CR198" s="253">
        <f>Table1[[#This Row],[AccessTot]]/3</f>
        <v>500</v>
      </c>
      <c r="CS198" s="254">
        <f>IF(Table1[[#This Row],[PellTot]]&gt;0,1500,0)</f>
        <v>1500</v>
      </c>
      <c r="CT198" s="253">
        <f>Table1[[#This Row],[AchiTot]]/3</f>
        <v>0</v>
      </c>
      <c r="CU198" s="253">
        <f>Table1[[#This Row],[AchiTot]]/3</f>
        <v>0</v>
      </c>
      <c r="CV198" s="253">
        <f>Table1[[#This Row],[AchiTot]]/3</f>
        <v>0</v>
      </c>
      <c r="CW198" s="255">
        <f>IF(Table1[[#This Row],[Rank]]="","",IF(Table1[[#This Row],[Rank]]=1,5100,IF(Table1[[#This Row],[Rank]]=2,4500,IF(Table1[[#This Row],[Rank]]=3,3900,IF(Table1[[#This Row],[Rank]]=4,3750,IF(Table1[[#This Row],[Rank]]=5,3000,IF(Table1[[#This Row],[Rank]]=6,2250,0)))))))</f>
        <v>0</v>
      </c>
      <c r="CX198" s="253">
        <f>Table1[[#This Row],[UTTot]]/3</f>
        <v>0</v>
      </c>
      <c r="CY198" s="253">
        <f>Table1[[#This Row],[UTTot]]/3</f>
        <v>0</v>
      </c>
      <c r="CZ198" s="253">
        <f>Table1[[#This Row],[UTTot]]/3</f>
        <v>0</v>
      </c>
      <c r="DA198" s="254">
        <f>IF(Table1[[#This Row],[State]]="UT",9000,0)</f>
        <v>0</v>
      </c>
      <c r="DB198" s="253">
        <f>Table1[[#This Row],[WITTot]]/3</f>
        <v>0</v>
      </c>
      <c r="DC198" s="253">
        <f>Table1[[#This Row],[WITTot]]/3</f>
        <v>0</v>
      </c>
      <c r="DD198" s="253">
        <f>Table1[[#This Row],[WITTot]]/3</f>
        <v>0</v>
      </c>
      <c r="DE198" s="254">
        <f>IF(Table1[[#This Row],[Gender]]="Female",3000,0)</f>
        <v>0</v>
      </c>
      <c r="DF198" s="253">
        <f>Table1[[#This Row],[SerTot]]/3</f>
        <v>0</v>
      </c>
      <c r="DG198" s="253">
        <f>Table1[[#This Row],[SerTot]]/3</f>
        <v>0</v>
      </c>
      <c r="DH198" s="253">
        <f>Table1[[#This Row],[SerTot]]/3</f>
        <v>0</v>
      </c>
      <c r="DI198" s="255">
        <v>0</v>
      </c>
      <c r="DJ198" s="253">
        <f>IFERROR(ROUNDUP(Table1[[#This Row],[TranTot]]/3,0),0)</f>
        <v>0</v>
      </c>
      <c r="DK198" s="253">
        <f>IFERROR(ROUND(Table1[[#This Row],[TranTot]]/3,0),0)</f>
        <v>0</v>
      </c>
      <c r="DL198" s="253">
        <f>IFERROR(ROUNDDOWN(Table1[[#This Row],[TranTot]]/3,0),0)</f>
        <v>0</v>
      </c>
      <c r="DM198" s="255">
        <v>0</v>
      </c>
      <c r="DN198" s="253">
        <f>Table1[[#This Row],[MatTot]]/3</f>
        <v>0</v>
      </c>
      <c r="DO198" s="253">
        <f>Table1[[#This Row],[MatTot]]/3</f>
        <v>0</v>
      </c>
      <c r="DP198" s="253">
        <f>Table1[[#This Row],[MatTot]]/3</f>
        <v>0</v>
      </c>
      <c r="DQ198" s="255">
        <v>0</v>
      </c>
      <c r="DR198" s="253">
        <f>Table1[[#This Row],[OutTot]]/3</f>
        <v>0</v>
      </c>
      <c r="DS198" s="253">
        <f>Table1[[#This Row],[OutTot]]/3</f>
        <v>0</v>
      </c>
      <c r="DT198" s="253">
        <f>Table1[[#This Row],[OutTot]]/3</f>
        <v>0</v>
      </c>
      <c r="DU198" s="255">
        <v>0</v>
      </c>
      <c r="DV198" s="253">
        <v>0</v>
      </c>
      <c r="DW198" s="253">
        <v>0</v>
      </c>
      <c r="DX198" s="253">
        <v>0</v>
      </c>
      <c r="DY198" s="255">
        <f>SUM(Table1[[#This Row],[VAQ1]:[VAQ3]])</f>
        <v>0</v>
      </c>
      <c r="DZ198" s="253">
        <v>0</v>
      </c>
      <c r="EA198" s="253">
        <v>0</v>
      </c>
      <c r="EB198" s="253">
        <v>0</v>
      </c>
      <c r="EC198" s="278">
        <f>SUM(Table1[[#This Row],[OthGrantQ1]:[OthGrantQ3]])</f>
        <v>0</v>
      </c>
      <c r="ED198" s="264">
        <f>Table1[[#This Row],[SEOGTot]]+Table1[[#This Row],[PellTot]]+Table1[[#This Row],[AccessTot]]+Table1[[#This Row],[AchiTot]]+Table1[[#This Row],[UTTot]]+Table1[[#This Row],[WITTot]]+Table1[[#This Row],[SerTot]]+Table1[[#This Row],[TranTot]]+Table1[[#This Row],[MatTot]]+Table1[[#This Row],[OutTot]]+Table1[[#This Row],[VATot]]+Table1[[#This Row],[OthGrantTot]]</f>
        <v>7695</v>
      </c>
      <c r="EE198" s="298">
        <v>0</v>
      </c>
      <c r="EF198" s="227">
        <v>0</v>
      </c>
      <c r="EG198" s="227">
        <v>0</v>
      </c>
      <c r="EH198" s="228">
        <f>SUM(Table1[[#This Row],[CashQ1]]:Table1[[#This Row],[CashQ3]])</f>
        <v>0</v>
      </c>
      <c r="EI198" s="229">
        <f>ROUND((Table1[[#This Row],[SubTot]]/3)/1.01059,0)</f>
        <v>1154</v>
      </c>
      <c r="EJ198" s="230">
        <f>ROUND((Table1[[#This Row],[SubTot]]/3)/1.01059,0)</f>
        <v>1154</v>
      </c>
      <c r="EK198" s="230">
        <f>ROUNDUP((Table1[[#This Row],[SubTot]]/3)/1.01059,0)</f>
        <v>1155</v>
      </c>
      <c r="EL198" s="231">
        <v>3500</v>
      </c>
      <c r="EM198" s="233">
        <f>Table1[[#This Row],[SubTot]]*0.01059</f>
        <v>37.065000000000005</v>
      </c>
      <c r="EN198" s="230">
        <f>ROUND((Table1[[#This Row],[UnsubTot]]/3)/1.01062,0)</f>
        <v>660</v>
      </c>
      <c r="EO198" s="230">
        <f>ROUND((Table1[[#This Row],[UnsubTot]]/3)/1.01062,0)</f>
        <v>660</v>
      </c>
      <c r="EP198" s="230">
        <f>ROUNDDOWN((Table1[[#This Row],[UnsubTot]]/3)/1.01062,0)</f>
        <v>659</v>
      </c>
      <c r="EQ198" s="231">
        <f>IF(Table1[D/I]="I",6000,2000)</f>
        <v>2000</v>
      </c>
      <c r="ER198" s="233">
        <f>Table1[[#This Row],[UnsubTot]]*0.01059</f>
        <v>21.18</v>
      </c>
      <c r="ES198" s="230">
        <f>ROUND((Table1[[#This Row],[PLUSTot]]/3)/1.04236,0)</f>
        <v>0</v>
      </c>
      <c r="ET198" s="230">
        <f>ROUND((Table1[[#This Row],[PLUSTot]]/3)/1.04236,0)</f>
        <v>0</v>
      </c>
      <c r="EU198" s="230">
        <f>ROUND((Table1[[#This Row],[PLUSTot]]/3)/1.04236,0)</f>
        <v>0</v>
      </c>
      <c r="EV198" s="231">
        <v>0</v>
      </c>
      <c r="EW198" s="236">
        <f>Table1[[#This Row],[PLUSTot]]*0.04236</f>
        <v>0</v>
      </c>
      <c r="EX198" s="227"/>
      <c r="EY198" s="227"/>
      <c r="EZ198" s="227"/>
      <c r="FA198" s="228">
        <v>0</v>
      </c>
      <c r="FB198" s="227"/>
      <c r="FC198" s="227"/>
      <c r="FD198" s="227"/>
      <c r="FE198" s="228">
        <f>SUM(Table1[[#This Row],[TOQ1]:[TOQ3]])</f>
        <v>0</v>
      </c>
      <c r="FF198" s="227"/>
      <c r="FG198" s="227"/>
      <c r="FH198" s="227"/>
      <c r="FI198" s="228">
        <f>SUM(Table1[[#This Row],[OFundQ1]:[OFundQ3]])</f>
        <v>0</v>
      </c>
      <c r="FJ198" s="236">
        <f>(Table1[[#This Row],[SubTot]]-Table1[[#This Row],[SubFee]])+(Table1[[#This Row],[UnsubTot]]-Table1[[#This Row],[UnsubFee]])+(Table1[[#This Row],[PLUSTot]]-Table1[[#This Row],[PLUSFee]])+Table1[[#This Row],[PrivTot]]+Table1[[#This Row],[TOTot]]+Table1[[#This Row],[OFundTot]]</f>
        <v>5441.7550000000001</v>
      </c>
      <c r="FK198" s="159">
        <f>Table1[[#This Row],[CostTot]]-Table1[[#This Row],[GiftTot]]</f>
        <v>31820</v>
      </c>
      <c r="FL198" s="174">
        <f>Table1[[#This Row],[NetNeed]]/(1-0.04236)</f>
        <v>27545.053464767552</v>
      </c>
      <c r="FM198" s="176">
        <f>Table1[[#This Row],[NetCost]]-Table1[[#This Row],[CashTot]]-(Table1[[#This Row],[SubTot]]-Table1[[#This Row],[SubFee]])-(Table1[[#This Row],[UnsubTot]]-Table1[[#This Row],[UnsubFee]])-(Table1[[#This Row],[PLUSTot]]-Table1[[#This Row],[PLUSFee]])-Table1[[#This Row],[PrivTot]]-Table1[[#This Row],[TOTot]]-Table1[[#This Row],[OFundTot]]</f>
        <v>26378.244999999999</v>
      </c>
      <c r="FN198" s="217"/>
      <c r="FO198" s="162"/>
      <c r="FP198" s="162"/>
    </row>
    <row r="199" spans="1:172" ht="15" x14ac:dyDescent="0.25">
      <c r="A199" s="311">
        <v>199273</v>
      </c>
      <c r="B199" s="113" t="str">
        <f>VLOOKUP(Table1[[#This Row],[SyStudentId]],SSR!$A$2:$CC$4982,4,FALSE)</f>
        <v>Watson</v>
      </c>
      <c r="C199" s="113" t="str">
        <f>VLOOKUP(Table1[[#This Row],[SyStudentId]],SSR!$A$2:$CC$4982,5,FALSE)</f>
        <v>Jubilee</v>
      </c>
      <c r="D199" s="113" t="str">
        <f>VLOOKUP(Table1[[#This Row],[SyStudentId]],SSR!$A$2:$CC$4982,6,FALSE)</f>
        <v>Watson, Jubilee</v>
      </c>
      <c r="E199" s="113" t="str">
        <f>CONCATENATE(Table1[[#This Row],[FirstName]]," ",Table1[[#This Row],[LastName]])</f>
        <v>Jubilee Watson</v>
      </c>
      <c r="F199" s="112"/>
      <c r="G199" s="114"/>
      <c r="H199" s="114"/>
      <c r="I199" s="114"/>
      <c r="J199" s="314" t="s">
        <v>6120</v>
      </c>
      <c r="K199" s="116"/>
      <c r="L199" s="112" t="str">
        <f>IFERROR(VLOOKUP(Table1[[#This Row],[SyStudentId]],ISIR!$A$2:$X$999,11,FALSE),"")</f>
        <v>D</v>
      </c>
      <c r="M199" s="113" t="str">
        <f>VLOOKUP(Table1[[#This Row],[SyStudentId]],SSR!$A$2:$CC$4982,7,FALSE)</f>
        <v>jubilee.watson.02@k12.rrsd.me</v>
      </c>
      <c r="N199" s="113" t="str">
        <f>VLOOKUP(Table1[[#This Row],[SyStudentId]],SSR!$A$2:$CC$4982,8,FALSE)</f>
        <v>1103 CONTOURS</v>
      </c>
      <c r="O199" s="113" t="str">
        <f>VLOOKUP(Table1[[#This Row],[SyStudentId]],SSR!$A$2:$CC$4982,9,FALSE)</f>
        <v>DETROIT</v>
      </c>
      <c r="P199" s="303" t="str">
        <f>VLOOKUP(Table1[[#This Row],[SyStudentId]],SSR!$A$2:$CC$4982,10,FALSE)</f>
        <v>MI</v>
      </c>
      <c r="Q199" s="117" t="str">
        <f>VLOOKUP(Table1[[#This Row],[SyStudentId]],SSR!$A$2:$CC$4982,11,FALSE)</f>
        <v xml:space="preserve">48201     </v>
      </c>
      <c r="R199" s="118">
        <f>VLOOKUP(Table1[[#This Row],[SyStudentId]],SSR!$A$2:$CC$4982,15,FALSE)</f>
        <v>2.88</v>
      </c>
      <c r="S199" s="119">
        <f>VLOOKUP(Table1[[#This Row],[SyStudentId]],SSR!$A$2:$CC$4982,22,FALSE)</f>
        <v>44109</v>
      </c>
      <c r="T199" s="113" t="str">
        <f>VLOOKUP(Table1[[#This Row],[SyStudentId]],SSR!$A$2:$CC$4982,24,FALSE)</f>
        <v>JT</v>
      </c>
      <c r="U199" s="113" t="str">
        <f>IF(VLOOKUP(Table1[[#This Row],[SyStudentId]],SSR!$A$2:$CC$4982,26,FALSE)=0,"Not Selected",VLOOKUP(Table1[[#This Row],[SyStudentId]],SSR!$A$2:$CC$4982,26,FALSE))</f>
        <v>Female</v>
      </c>
      <c r="V199" s="113" t="str">
        <f>VLOOKUP(Table1[[#This Row],[SyStudentId]],SSR!$A$2:$CC$4982,27,FALSE)</f>
        <v xml:space="preserve">HS2020  </v>
      </c>
      <c r="W199" s="113" t="str">
        <f>VLOOKUP(LEFT(Table1[[#This Row],[LastName]],1),Alpha!$A$1:$B$26,2,FALSE)</f>
        <v>Maureen Ranks</v>
      </c>
      <c r="X199" s="149" t="str">
        <f>VLOOKUP(Table1[[#This Row],[FAA]],Alpha!$B$1:$D$26,2,FALSE)</f>
        <v>mranks@neumont.edu</v>
      </c>
      <c r="Y199" s="113">
        <f>VLOOKUP(Table1[[#This Row],[FAA]],Alpha!$B$1:$D$26,3,FALSE)</f>
        <v>8883022894</v>
      </c>
      <c r="Z199" s="113" t="str">
        <f>VLOOKUP(Table1[[#This Row],[SyStudentId]],SSR!$A$2:$CC$4982,30,FALSE)</f>
        <v>16-Accepted</v>
      </c>
      <c r="AA199" s="113" t="str">
        <f>IF(VLOOKUP(Table1[[#This Row],[SyStudentId]],SSR!$A$2:$CC$4982,36,FALSE)="Bachelor of Science","BS Computer Science","Check Program")</f>
        <v>BS Computer Science</v>
      </c>
      <c r="AB199" s="113">
        <f>VLOOKUP(Table1[[#This Row],[SyStudentId]],SSR!$A$2:$CC$4982,37,FALSE)</f>
        <v>0</v>
      </c>
      <c r="AC199" s="113">
        <f>VLOOKUP(Table1[[#This Row],[SyStudentId]],SSR!$A$2:$CC$4982,42,FALSE)</f>
        <v>0</v>
      </c>
      <c r="AD199" s="113" t="str">
        <f>VLOOKUP(Table1[[#This Row],[SyStudentId]],SSR!$A$2:$CC$4982,46,FALSE)</f>
        <v>0</v>
      </c>
      <c r="AE199" s="113" t="str">
        <f>VLOOKUP(Table1[[#This Row],[SyStudentId]],SSR!$A$2:$CC$4982,65,FALSE)</f>
        <v>X</v>
      </c>
      <c r="AF199"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10</v>
      </c>
      <c r="AG199" s="113" t="str">
        <f>VLOOKUP(Table1[[#This Row],[SyStudentId]],SSR!$A$2:$CC$4982,66,FALSE)</f>
        <v>November</v>
      </c>
      <c r="AH199" s="113" t="str">
        <f>IFERROR(VLOOKUP(Table1[[#This Row],[SyStudentId]],ISIR!$A$2:$X$999,7,FALSE),"")</f>
        <v>000000</v>
      </c>
      <c r="AI199" s="121">
        <f>IF(Table1[[#This Row],[EFCRaw]]="","",IF(Table1[[#This Row],[EFCRaw]]="No EFC","No EFC",_xlfn.NUMBERVALUE(Table1[[#This Row],[EFCRaw]])))</f>
        <v>0</v>
      </c>
      <c r="AJ199" s="119">
        <f>IFERROR(VLOOKUP(Table1[[#This Row],[SyStudentId]],ISIR!$A$2:$X$4999,19,FALSE),"")</f>
        <v>43790</v>
      </c>
      <c r="AK199" s="113" t="str">
        <f>IFERROR(VLOOKUP(Table1[[#This Row],[SyStudentId]],ISIR!$A$2:$X$4999,8,FALSE),"")</f>
        <v>N</v>
      </c>
      <c r="AL199" s="132" t="str">
        <f>IF(Table1[[#This Row],[VerReq]]="N","n/a","")</f>
        <v>n/a</v>
      </c>
      <c r="AM199" s="122"/>
      <c r="AN199" s="122"/>
      <c r="AO199" s="122">
        <v>43790</v>
      </c>
      <c r="AP199" s="122"/>
      <c r="AQ199" s="122">
        <v>43790</v>
      </c>
      <c r="AR199" s="122"/>
      <c r="AS199" s="122"/>
      <c r="AT199" s="122"/>
      <c r="AU199" s="122"/>
      <c r="AV199" s="122"/>
      <c r="AW199" s="122"/>
      <c r="AX199" s="122"/>
      <c r="AY199" s="122"/>
      <c r="AZ199" s="122"/>
      <c r="BA199" s="122"/>
      <c r="BB199" s="122"/>
      <c r="BC199" s="148"/>
      <c r="BD199" s="140" t="str">
        <f>IF(Table1[[#This Row],[VerReq]]="N","x","")</f>
        <v>x</v>
      </c>
      <c r="BE199" s="140" t="str">
        <f>IF(Table1[[#This Row],[VerReq]]="N","x","")</f>
        <v>x</v>
      </c>
      <c r="BF199" s="140" t="str">
        <f>IF(Table1[[#This Row],[VerReq]]="N","x","")</f>
        <v>x</v>
      </c>
      <c r="BG199" s="140" t="str">
        <f>IF(Table1[[#This Row],[VerReq]]="N","x","")</f>
        <v>x</v>
      </c>
      <c r="BH199" s="140" t="str">
        <f>IF(Table1[[#This Row],[VerReq]]="N","x","")</f>
        <v>x</v>
      </c>
      <c r="BI199" s="140" t="str">
        <f>IF(Table1[[#This Row],[VerReq]]="N","x","")</f>
        <v>x</v>
      </c>
      <c r="BJ199" s="123">
        <f>1-((COUNTBLANK(Table1[[#This Row],[ALESent]:[TaxTran]]))/(COUNT(Table1[[#This Row],[ALESent]:[TaxTran]])+COUNTBLANK(Table1[[#This Row],[ALESent]:[TaxTran]])))</f>
        <v>0.11764705882352944</v>
      </c>
      <c r="BK199" s="150">
        <f>IF(VLOOKUP(Table1[[#This Row],[SyStudentId]],SSR!$A$2:$CC$4982,22,FALSE)=44109,44109,"Check Program")</f>
        <v>44109</v>
      </c>
      <c r="BL199" s="150">
        <f>IF(Table1[[#This Row],[AYStart]]=44109,44356,"Check Program")</f>
        <v>44356</v>
      </c>
      <c r="BM199" s="219">
        <v>8505</v>
      </c>
      <c r="BN199" s="219">
        <v>8505</v>
      </c>
      <c r="BO199" s="219">
        <v>8505</v>
      </c>
      <c r="BP199" s="220">
        <f t="shared" si="9"/>
        <v>25515</v>
      </c>
      <c r="BQ199" s="221">
        <v>3300</v>
      </c>
      <c r="BR199" s="219">
        <v>400</v>
      </c>
      <c r="BS199" s="219">
        <v>400</v>
      </c>
      <c r="BT199" s="220">
        <f t="shared" si="10"/>
        <v>4100</v>
      </c>
      <c r="BU199" s="219">
        <v>2100</v>
      </c>
      <c r="BV199" s="219">
        <v>2100</v>
      </c>
      <c r="BW199" s="219">
        <v>2100</v>
      </c>
      <c r="BX199" s="220">
        <f t="shared" si="11"/>
        <v>6300</v>
      </c>
      <c r="BY199" s="275">
        <v>1200</v>
      </c>
      <c r="BZ199" s="275">
        <v>1200</v>
      </c>
      <c r="CA199" s="275">
        <v>1200</v>
      </c>
      <c r="CB199" s="220">
        <f>SUM(Table1[[#This Row],[LEQ1]:[LEQ3]])</f>
        <v>3600</v>
      </c>
      <c r="CC199" s="269"/>
      <c r="CD199" s="269"/>
      <c r="CE199" s="269"/>
      <c r="CF199" s="220">
        <f>SUM(Table1[[#This Row],[OthCostQ1]:[OthCostQ3]])</f>
        <v>0</v>
      </c>
      <c r="CG199" s="220">
        <f>(Table1[[#This Row],[T&amp;FTot]]+Table1[[#This Row],[B&amp;STot]]+Table1[[#This Row],[HousTot]]+Table1[[#This Row],[LETot]]+Table1[[#This Row],[OthCostTot]])</f>
        <v>39515</v>
      </c>
      <c r="CH199" s="250"/>
      <c r="CI199" s="250"/>
      <c r="CJ199" s="250"/>
      <c r="CK199" s="251">
        <f>SUM(Table1[[#This Row],[SEOGQ1]:[SEOGQ3]])</f>
        <v>0</v>
      </c>
      <c r="CL199" s="250">
        <f>IFERROR(ROUNDUP(Table1[[#This Row],[PellTot]]/3,0),0)</f>
        <v>2065</v>
      </c>
      <c r="CM199" s="250">
        <f>IFERROR(ROUND(Table1[[#This Row],[PellTot]]/3,0),0)</f>
        <v>2065</v>
      </c>
      <c r="CN199" s="250">
        <f>IFERROR(ROUNDDOWN(Table1[[#This Row],[PellTot]]/3,0),0)</f>
        <v>2065</v>
      </c>
      <c r="CO199" s="251">
        <f>IFERROR(LOOKUP(Table1[EFC],Pell_Table[#Data],Pell_Table[Pell Amt]),0)</f>
        <v>6195</v>
      </c>
      <c r="CP199" s="250">
        <f>Table1[[#This Row],[AccessTot]]/3</f>
        <v>500</v>
      </c>
      <c r="CQ199" s="250">
        <f>Table1[[#This Row],[AccessTot]]/3</f>
        <v>500</v>
      </c>
      <c r="CR199" s="250">
        <f>Table1[[#This Row],[AccessTot]]/3</f>
        <v>500</v>
      </c>
      <c r="CS199" s="251">
        <f>IF(Table1[[#This Row],[PellTot]]&gt;0,1500,0)</f>
        <v>1500</v>
      </c>
      <c r="CT199" s="250">
        <f>Table1[[#This Row],[AchiTot]]/3</f>
        <v>0</v>
      </c>
      <c r="CU199" s="250">
        <f>Table1[[#This Row],[AchiTot]]/3</f>
        <v>0</v>
      </c>
      <c r="CV199" s="250">
        <f>Table1[[#This Row],[AchiTot]]/3</f>
        <v>0</v>
      </c>
      <c r="CW199" s="252">
        <f>IF(Table1[[#This Row],[Rank]]="","",IF(Table1[[#This Row],[Rank]]=1,5100,IF(Table1[[#This Row],[Rank]]=2,4500,IF(Table1[[#This Row],[Rank]]=3,3900,IF(Table1[[#This Row],[Rank]]=4,3750,IF(Table1[[#This Row],[Rank]]=5,3000,IF(Table1[[#This Row],[Rank]]=6,2250,0)))))))</f>
        <v>0</v>
      </c>
      <c r="CX199" s="250">
        <f>Table1[[#This Row],[UTTot]]/3</f>
        <v>0</v>
      </c>
      <c r="CY199" s="250">
        <f>Table1[[#This Row],[UTTot]]/3</f>
        <v>0</v>
      </c>
      <c r="CZ199" s="250">
        <f>Table1[[#This Row],[UTTot]]/3</f>
        <v>0</v>
      </c>
      <c r="DA199" s="251">
        <f>IF(Table1[[#This Row],[State]]="UT",9000,0)</f>
        <v>0</v>
      </c>
      <c r="DB199" s="250">
        <f>Table1[[#This Row],[WITTot]]/3</f>
        <v>1000</v>
      </c>
      <c r="DC199" s="250">
        <f>Table1[[#This Row],[WITTot]]/3</f>
        <v>1000</v>
      </c>
      <c r="DD199" s="250">
        <f>Table1[[#This Row],[WITTot]]/3</f>
        <v>1000</v>
      </c>
      <c r="DE199" s="251">
        <f>IF(Table1[[#This Row],[Gender]]="Female",3000,0)</f>
        <v>3000</v>
      </c>
      <c r="DF199" s="250">
        <f>Table1[[#This Row],[SerTot]]/3</f>
        <v>0</v>
      </c>
      <c r="DG199" s="250">
        <f>Table1[[#This Row],[SerTot]]/3</f>
        <v>0</v>
      </c>
      <c r="DH199" s="250">
        <f>Table1[[#This Row],[SerTot]]/3</f>
        <v>0</v>
      </c>
      <c r="DI199" s="252"/>
      <c r="DJ199" s="250"/>
      <c r="DK199" s="250"/>
      <c r="DL199" s="250"/>
      <c r="DM199" s="252"/>
      <c r="DN199" s="250">
        <f>Table1[[#This Row],[MatTot]]/3</f>
        <v>0</v>
      </c>
      <c r="DO199" s="250">
        <f>Table1[[#This Row],[MatTot]]/3</f>
        <v>0</v>
      </c>
      <c r="DP199" s="250">
        <f>Table1[[#This Row],[MatTot]]/3</f>
        <v>0</v>
      </c>
      <c r="DQ199" s="252"/>
      <c r="DR199" s="250">
        <f>Table1[[#This Row],[OutTot]]/3</f>
        <v>0</v>
      </c>
      <c r="DS199" s="250">
        <f>Table1[[#This Row],[OutTot]]/3</f>
        <v>0</v>
      </c>
      <c r="DT199" s="250">
        <f>Table1[[#This Row],[OutTot]]/3</f>
        <v>0</v>
      </c>
      <c r="DU199" s="252"/>
      <c r="DV199" s="250"/>
      <c r="DW199" s="250"/>
      <c r="DX199" s="250"/>
      <c r="DY199" s="252">
        <f>SUM(Table1[[#This Row],[VAQ1]:[VAQ3]])</f>
        <v>0</v>
      </c>
      <c r="DZ199" s="250"/>
      <c r="EA199" s="250"/>
      <c r="EB199" s="250"/>
      <c r="EC199" s="270">
        <f>SUM(Table1[[#This Row],[OthGrantQ1]:[OthGrantQ3]])</f>
        <v>0</v>
      </c>
      <c r="ED199" s="263">
        <f>Table1[[#This Row],[SEOGTot]]+Table1[[#This Row],[PellTot]]+Table1[[#This Row],[AccessTot]]+Table1[[#This Row],[AchiTot]]+Table1[[#This Row],[UTTot]]+Table1[[#This Row],[WITTot]]+Table1[[#This Row],[SerTot]]+Table1[[#This Row],[TranTot]]+Table1[[#This Row],[MatTot]]+Table1[[#This Row],[OutTot]]+Table1[[#This Row],[VATot]]+Table1[[#This Row],[OthGrantTot]]</f>
        <v>10695</v>
      </c>
      <c r="EE199" s="282"/>
      <c r="EF199" s="237"/>
      <c r="EG199" s="237"/>
      <c r="EH199" s="232">
        <f>SUM(Table1[[#This Row],[CashQ1]]:Table1[[#This Row],[CashQ3]])</f>
        <v>0</v>
      </c>
      <c r="EI199" s="271">
        <f>ROUND((Table1[[#This Row],[SubTot]]/3)/1.01059,0)</f>
        <v>0</v>
      </c>
      <c r="EJ199" s="234">
        <f>ROUND((Table1[[#This Row],[SubTot]]/3)/1.01059,0)</f>
        <v>0</v>
      </c>
      <c r="EK199" s="234">
        <f>ROUNDUP((Table1[[#This Row],[SubTot]]/3)/1.01059,0)</f>
        <v>0</v>
      </c>
      <c r="EL199" s="235"/>
      <c r="EM199" s="240">
        <f>Table1[[#This Row],[SubTot]]*0.01059</f>
        <v>0</v>
      </c>
      <c r="EN199" s="234">
        <f>ROUND((Table1[[#This Row],[UnsubTot]]/3)/1.01062,0)</f>
        <v>660</v>
      </c>
      <c r="EO199" s="234">
        <f>ROUND((Table1[[#This Row],[UnsubTot]]/3)/1.01062,0)</f>
        <v>660</v>
      </c>
      <c r="EP199" s="234">
        <f>ROUNDDOWN((Table1[[#This Row],[UnsubTot]]/3)/1.01062,0)</f>
        <v>659</v>
      </c>
      <c r="EQ199" s="235">
        <f>IF(Table1[D/I]="I",6000,2000)</f>
        <v>2000</v>
      </c>
      <c r="ER199" s="240">
        <f>Table1[[#This Row],[UnsubTot]]*0.01062</f>
        <v>21.24</v>
      </c>
      <c r="ES199" s="234">
        <f>ROUND((Table1[[#This Row],[PLUSTot]]/3)/1.04248,0)</f>
        <v>0</v>
      </c>
      <c r="ET199" s="234">
        <f>ROUND((Table1[[#This Row],[PLUSTot]]/3)/1.04248,0)</f>
        <v>0</v>
      </c>
      <c r="EU199" s="234">
        <f>ROUND((Table1[[#This Row],[PLUSTot]]/3)/1.04248,0)</f>
        <v>0</v>
      </c>
      <c r="EV199" s="235"/>
      <c r="EW199" s="239">
        <f>Table1[[#This Row],[PLUSTot]]*0.04248</f>
        <v>0</v>
      </c>
      <c r="EX199" s="237"/>
      <c r="EY199" s="237"/>
      <c r="EZ199" s="237"/>
      <c r="FA199" s="232">
        <f>SUM(Table1[[#This Row],[PrivQ1]:[PrivQ3]])</f>
        <v>0</v>
      </c>
      <c r="FB199" s="237"/>
      <c r="FC199" s="237"/>
      <c r="FD199" s="237"/>
      <c r="FE199" s="232">
        <f>SUM(Table1[[#This Row],[TOQ1]:[TOQ3]])</f>
        <v>0</v>
      </c>
      <c r="FF199" s="237"/>
      <c r="FG199" s="237"/>
      <c r="FH199" s="237"/>
      <c r="FI199" s="232">
        <f>SUM(Table1[[#This Row],[OFundQ1]:[OFundQ3]])</f>
        <v>0</v>
      </c>
      <c r="FJ199" s="239">
        <f>(Table1[[#This Row],[SubTot]]-Table1[[#This Row],[SubFee]])+(Table1[[#This Row],[UnsubTot]]-Table1[[#This Row],[UnsubFee]])+(Table1[[#This Row],[PLUSTot]]-Table1[[#This Row],[PLUSFee]])+Table1[[#This Row],[PrivTot]]+Table1[[#This Row],[TOTot]]+Table1[[#This Row],[OFundTot]]</f>
        <v>1978.76</v>
      </c>
      <c r="FK199" s="125">
        <f>Table1[[#This Row],[CostTot]]-Table1[[#This Row],[GiftTot]]</f>
        <v>28820</v>
      </c>
      <c r="FL199" s="130">
        <f>Table1[[#This Row],[NetNeed]]/(1-0.04248)</f>
        <v>28032.041106190994</v>
      </c>
      <c r="FM199" s="131">
        <f>Table1[[#This Row],[NetCost]]-Table1[[#This Row],[CashTot]]-(Table1[[#This Row],[SubTot]]-Table1[[#This Row],[SubFee]])-(Table1[[#This Row],[UnsubTot]]-Table1[[#This Row],[UnsubFee]])-(Table1[[#This Row],[PLUSTot]]-Table1[[#This Row],[PLUSFee]])-Table1[[#This Row],[PrivTot]]-Table1[[#This Row],[TOTot]]-Table1[[#This Row],[OFundTot]]</f>
        <v>26841.24</v>
      </c>
      <c r="FN199" s="156"/>
      <c r="FO199" s="113"/>
      <c r="FP199" s="113"/>
    </row>
    <row r="200" spans="1:172" ht="15" x14ac:dyDescent="0.25">
      <c r="A200" s="160">
        <v>198333</v>
      </c>
      <c r="B200" s="160" t="str">
        <f>VLOOKUP(Table1[[#This Row],[SyStudentId]],SSR!$A$2:$CC$4982,4,FALSE)</f>
        <v>Weese</v>
      </c>
      <c r="C200" s="160" t="str">
        <f>VLOOKUP(Table1[[#This Row],[SyStudentId]],SSR!$A$2:$CC$4982,5,FALSE)</f>
        <v>Josie</v>
      </c>
      <c r="D200" s="160" t="str">
        <f>VLOOKUP(Table1[[#This Row],[SyStudentId]],SSR!$A$2:$CC$4982,6,FALSE)</f>
        <v>Weese, Josie</v>
      </c>
      <c r="E200" s="113" t="str">
        <f>CONCATENATE(Table1[[#This Row],[FirstName]]," ",Table1[[#This Row],[LastName]])</f>
        <v>Josie Weese</v>
      </c>
      <c r="F200" s="158">
        <v>1</v>
      </c>
      <c r="G200" s="114"/>
      <c r="H200" s="114"/>
      <c r="I200" s="114">
        <v>43795</v>
      </c>
      <c r="J200" s="163"/>
      <c r="K200" s="164"/>
      <c r="L200" s="158" t="str">
        <f>IFERROR(VLOOKUP(Table1[[#This Row],[SyStudentId]],ISIR!$A$2:$X$4999,11,FALSE),"")</f>
        <v>D</v>
      </c>
      <c r="M200" s="160" t="str">
        <f>VLOOKUP(Table1[[#This Row],[SyStudentId]],SSR!$A$2:$CC$4982,7,FALSE)</f>
        <v>josie.n.weese@gmail.com</v>
      </c>
      <c r="N200" s="160" t="str">
        <f>VLOOKUP(Table1[[#This Row],[SyStudentId]],SSR!$A$2:$CC$4982,8,FALSE)</f>
        <v>1475 Stoneham St</v>
      </c>
      <c r="O200" s="160" t="str">
        <f>VLOOKUP(Table1[[#This Row],[SyStudentId]],SSR!$A$2:$CC$4982,9,FALSE)</f>
        <v>Superior</v>
      </c>
      <c r="P200" s="230" t="str">
        <f>VLOOKUP(Table1[[#This Row],[SyStudentId]],SSR!$A$2:$CC$4982,10,FALSE)</f>
        <v>CO</v>
      </c>
      <c r="Q200" s="165" t="str">
        <f>VLOOKUP(Table1[[#This Row],[SyStudentId]],SSR!$A$2:$CC$4982,11,FALSE)</f>
        <v xml:space="preserve">80027     </v>
      </c>
      <c r="R200" s="166">
        <f>VLOOKUP(Table1[[#This Row],[SyStudentId]],SSR!$A$2:$CC$4982,15,FALSE)</f>
        <v>3.56</v>
      </c>
      <c r="S200" s="167">
        <f>VLOOKUP(Table1[[#This Row],[SyStudentId]],SSR!$A$2:$CC$4982,22,FALSE)</f>
        <v>44109</v>
      </c>
      <c r="T200" s="160" t="str">
        <f>VLOOKUP(Table1[[#This Row],[SyStudentId]],SSR!$A$2:$CC$4982,24,FALSE)</f>
        <v>JT</v>
      </c>
      <c r="U200" s="160" t="str">
        <f>IF(VLOOKUP(Table1[[#This Row],[SyStudentId]],SSR!$A$2:$CC$4982,26,FALSE)=0,"Not Selected",VLOOKUP(Table1[[#This Row],[SyStudentId]],SSR!$A$2:$CC$4982,26,FALSE))</f>
        <v>Female</v>
      </c>
      <c r="V200" s="160" t="str">
        <f>VLOOKUP(Table1[[#This Row],[SyStudentId]],SSR!$A$2:$CC$4982,27,FALSE)</f>
        <v xml:space="preserve">HS2020  </v>
      </c>
      <c r="W200" s="160" t="str">
        <f>VLOOKUP(LEFT(Table1[[#This Row],[LastName]],1),Alpha!$A$1:$B$26,2,FALSE)</f>
        <v>Maureen Ranks</v>
      </c>
      <c r="X200" s="268" t="str">
        <f>VLOOKUP(Table1[[#This Row],[FAA]],Alpha!$B$1:$D$26,2,FALSE)</f>
        <v>mranks@neumont.edu</v>
      </c>
      <c r="Y200" s="160">
        <f>VLOOKUP(Table1[[#This Row],[FAA]],Alpha!$B$1:$D$26,3,FALSE)</f>
        <v>8883022894</v>
      </c>
      <c r="Z200" s="160" t="str">
        <f>VLOOKUP(Table1[[#This Row],[SyStudentId]],SSR!$A$2:$CC$4982,30,FALSE)</f>
        <v>16-Accepted</v>
      </c>
      <c r="AA200" s="160" t="str">
        <f>IF(VLOOKUP(Table1[[#This Row],[SyStudentId]],SSR!$A$2:$CC$4982,36,FALSE)="Bachelor of Science","BS Computer Science","Check Program")</f>
        <v>BS Computer Science</v>
      </c>
      <c r="AB200" s="160">
        <f>VLOOKUP(Table1[[#This Row],[SyStudentId]],SSR!$A$2:$CC$4982,37,FALSE)</f>
        <v>0</v>
      </c>
      <c r="AC200" s="160" t="str">
        <f>VLOOKUP(Table1[[#This Row],[SyStudentId]],SSR!$A$2:$CC$4982,42,FALSE)</f>
        <v xml:space="preserve">1130    </v>
      </c>
      <c r="AD200" s="160" t="str">
        <f>VLOOKUP(Table1[[#This Row],[SyStudentId]],SSR!$A$2:$CC$4982,46,FALSE)</f>
        <v>115</v>
      </c>
      <c r="AE200" s="160" t="str">
        <f>VLOOKUP(Table1[[#This Row],[SyStudentId]],SSR!$A$2:$CC$4982,65,FALSE)</f>
        <v>III</v>
      </c>
      <c r="AF200"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200" s="160" t="str">
        <f>VLOOKUP(Table1[[#This Row],[SyStudentId]],SSR!$A$2:$CC$4982,66,FALSE)</f>
        <v>July-October</v>
      </c>
      <c r="AH200" s="160" t="str">
        <f>IFERROR(VLOOKUP(Table1[[#This Row],[SyStudentId]],ISIR!$A$2:$X$1999,7,FALSE),"")</f>
        <v>020297</v>
      </c>
      <c r="AI200" s="170">
        <f>IF(Table1[[#This Row],[EFCRaw]]="","",IF(Table1[[#This Row],[EFCRaw]]="No EFC","No EFC",_xlfn.NUMBERVALUE(Table1[[#This Row],[EFCRaw]])))</f>
        <v>20297</v>
      </c>
      <c r="AJ200" s="167">
        <f>IFERROR(VLOOKUP(Table1[[#This Row],[SyStudentId]],ISIR!$A$2:$X$4999,19,FALSE),"")</f>
        <v>43774</v>
      </c>
      <c r="AK200" s="160" t="str">
        <f>IFERROR(VLOOKUP(Table1[[#This Row],[SyStudentId]],ISIR!$A$2:$X$4999,8,FALSE),"")</f>
        <v>N</v>
      </c>
      <c r="AL200" s="171" t="str">
        <f>IF(Table1[[#This Row],[VerReq]]="N","n/a","")</f>
        <v>n/a</v>
      </c>
      <c r="AM200" s="122"/>
      <c r="AN200" s="122"/>
      <c r="AO200" s="122"/>
      <c r="AP200" s="122"/>
      <c r="AQ200" s="122"/>
      <c r="AR200" s="122"/>
      <c r="AS200" s="122"/>
      <c r="AT200" s="122"/>
      <c r="AU200" s="122"/>
      <c r="AV200" s="122"/>
      <c r="AW200" s="122"/>
      <c r="AX200" s="122"/>
      <c r="AY200" s="122"/>
      <c r="AZ200" s="122"/>
      <c r="BA200" s="122"/>
      <c r="BB200" s="122"/>
      <c r="BC200" s="148"/>
      <c r="BD200" s="140" t="str">
        <f>IF(Table1[[#This Row],[VerReq]]="N","x","")</f>
        <v>x</v>
      </c>
      <c r="BE200" s="140" t="str">
        <f>IF(Table1[[#This Row],[VerReq]]="N","x","")</f>
        <v>x</v>
      </c>
      <c r="BF200" s="140" t="str">
        <f>IF(Table1[[#This Row],[VerReq]]="N","x","")</f>
        <v>x</v>
      </c>
      <c r="BG200" s="140" t="str">
        <f>IF(Table1[[#This Row],[VerReq]]="N","x","")</f>
        <v>x</v>
      </c>
      <c r="BH200" s="140" t="str">
        <f>IF(Table1[[#This Row],[VerReq]]="N","x","")</f>
        <v>x</v>
      </c>
      <c r="BI200" s="140" t="str">
        <f>IF(Table1[[#This Row],[VerReq]]="N","x","")</f>
        <v>x</v>
      </c>
      <c r="BJ200" s="181">
        <f>1-((COUNTBLANK(Table1[[#This Row],[ALESent]:[TaxTran]]))/(COUNT(Table1[[#This Row],[ALESent]:[TaxTran]])+COUNTBLANK(Table1[[#This Row],[ALESent]:[TaxTran]])))</f>
        <v>0</v>
      </c>
      <c r="BK200" s="216">
        <f>IF(VLOOKUP(Table1[[#This Row],[SyStudentId]],SSR!$A$2:$CC$4982,22,FALSE)=44109,44109,"Check Program")</f>
        <v>44109</v>
      </c>
      <c r="BL200" s="216">
        <f>IF(Table1[[#This Row],[AYStart]]=44109,44356,"Check Program")</f>
        <v>44356</v>
      </c>
      <c r="BM200" s="219">
        <v>8505</v>
      </c>
      <c r="BN200" s="219">
        <v>8505</v>
      </c>
      <c r="BO200" s="219">
        <v>8505</v>
      </c>
      <c r="BP200" s="220">
        <f t="shared" si="9"/>
        <v>25515</v>
      </c>
      <c r="BQ200" s="221">
        <v>3300</v>
      </c>
      <c r="BR200" s="219">
        <v>400</v>
      </c>
      <c r="BS200" s="219">
        <v>400</v>
      </c>
      <c r="BT200" s="222">
        <f t="shared" si="10"/>
        <v>4100</v>
      </c>
      <c r="BU200" s="219">
        <v>2100</v>
      </c>
      <c r="BV200" s="219">
        <v>2100</v>
      </c>
      <c r="BW200" s="219">
        <v>2100</v>
      </c>
      <c r="BX200" s="222">
        <f t="shared" si="11"/>
        <v>6300</v>
      </c>
      <c r="BY200" s="275">
        <v>1200</v>
      </c>
      <c r="BZ200" s="275">
        <v>1200</v>
      </c>
      <c r="CA200" s="275">
        <v>1200</v>
      </c>
      <c r="CB200" s="222">
        <f>SUM(Table1[[#This Row],[LEQ1]:[LEQ3]])</f>
        <v>3600</v>
      </c>
      <c r="CC200" s="276">
        <v>0</v>
      </c>
      <c r="CD200" s="276">
        <v>0</v>
      </c>
      <c r="CE200" s="276">
        <v>0</v>
      </c>
      <c r="CF200" s="222">
        <f>SUM(Table1[[#This Row],[OthCostQ1]:[OthCostQ3]])</f>
        <v>0</v>
      </c>
      <c r="CG200" s="222">
        <f>(Table1[[#This Row],[T&amp;FTot]]+Table1[[#This Row],[B&amp;STot]]+Table1[[#This Row],[HousTot]]+Table1[[#This Row],[LETot]]+Table1[[#This Row],[OthCostTot]])</f>
        <v>39515</v>
      </c>
      <c r="CH200" s="253">
        <v>0</v>
      </c>
      <c r="CI200" s="253">
        <v>0</v>
      </c>
      <c r="CJ200" s="253">
        <v>0</v>
      </c>
      <c r="CK200" s="254">
        <f>SUM(Table1[[#This Row],[SEOGQ1]:[SEOGQ3]])</f>
        <v>0</v>
      </c>
      <c r="CL200" s="253">
        <f>IFERROR(ROUNDUP(Table1[[#This Row],[PellTot]]/3,0),0)</f>
        <v>0</v>
      </c>
      <c r="CM200" s="253">
        <f>IFERROR(ROUND(Table1[[#This Row],[PellTot]]/3,0),0)</f>
        <v>0</v>
      </c>
      <c r="CN200" s="253">
        <f>IFERROR(ROUNDDOWN(Table1[[#This Row],[PellTot]]/3,0),0)</f>
        <v>0</v>
      </c>
      <c r="CO200" s="254">
        <f>IFERROR(LOOKUP(Table1[EFC],Pell_Table[#Data],Pell_Table[Pell Amt]),0)</f>
        <v>0</v>
      </c>
      <c r="CP200" s="253">
        <f>Table1[[#This Row],[AccessTot]]/3</f>
        <v>0</v>
      </c>
      <c r="CQ200" s="253">
        <f>Table1[[#This Row],[AccessTot]]/3</f>
        <v>0</v>
      </c>
      <c r="CR200" s="253">
        <f>Table1[[#This Row],[AccessTot]]/3</f>
        <v>0</v>
      </c>
      <c r="CS200" s="254">
        <f>IF(Table1[[#This Row],[PellTot]]&gt;0,1500,0)</f>
        <v>0</v>
      </c>
      <c r="CT200" s="253">
        <f>Table1[[#This Row],[AchiTot]]/3</f>
        <v>1300</v>
      </c>
      <c r="CU200" s="253">
        <f>Table1[[#This Row],[AchiTot]]/3</f>
        <v>1300</v>
      </c>
      <c r="CV200" s="253">
        <f>Table1[[#This Row],[AchiTot]]/3</f>
        <v>1300</v>
      </c>
      <c r="CW200" s="255">
        <f>IF(Table1[[#This Row],[Rank]]="","",IF(Table1[[#This Row],[Rank]]=1,5100,IF(Table1[[#This Row],[Rank]]=2,4500,IF(Table1[[#This Row],[Rank]]=3,3900,IF(Table1[[#This Row],[Rank]]=4,3750,IF(Table1[[#This Row],[Rank]]=5,3000,IF(Table1[[#This Row],[Rank]]=6,2250,0)))))))</f>
        <v>3900</v>
      </c>
      <c r="CX200" s="253">
        <f>Table1[[#This Row],[UTTot]]/3</f>
        <v>0</v>
      </c>
      <c r="CY200" s="253">
        <f>Table1[[#This Row],[UTTot]]/3</f>
        <v>0</v>
      </c>
      <c r="CZ200" s="253">
        <f>Table1[[#This Row],[UTTot]]/3</f>
        <v>0</v>
      </c>
      <c r="DA200" s="254">
        <v>0</v>
      </c>
      <c r="DB200" s="253">
        <f>Table1[[#This Row],[WITTot]]/3</f>
        <v>1000</v>
      </c>
      <c r="DC200" s="253">
        <f>Table1[[#This Row],[WITTot]]/3</f>
        <v>1000</v>
      </c>
      <c r="DD200" s="253">
        <f>Table1[[#This Row],[WITTot]]/3</f>
        <v>1000</v>
      </c>
      <c r="DE200" s="254">
        <f>IF(Table1[[#This Row],[Gender]]="Female",3000,0)</f>
        <v>3000</v>
      </c>
      <c r="DF200" s="253">
        <f>Table1[[#This Row],[SerTot]]/3</f>
        <v>0</v>
      </c>
      <c r="DG200" s="253">
        <f>Table1[[#This Row],[SerTot]]/3</f>
        <v>0</v>
      </c>
      <c r="DH200" s="253">
        <f>Table1[[#This Row],[SerTot]]/3</f>
        <v>0</v>
      </c>
      <c r="DI200" s="255">
        <v>0</v>
      </c>
      <c r="DJ200" s="253">
        <f>IFERROR(ROUNDUP(Table1[[#This Row],[TranTot]]/3,0),0)</f>
        <v>0</v>
      </c>
      <c r="DK200" s="253">
        <f>IFERROR(ROUND(Table1[[#This Row],[TranTot]]/3,0),0)</f>
        <v>0</v>
      </c>
      <c r="DL200" s="253">
        <f>IFERROR(ROUNDDOWN(Table1[[#This Row],[TranTot]]/3,0),0)</f>
        <v>0</v>
      </c>
      <c r="DM200" s="255">
        <v>0</v>
      </c>
      <c r="DN200" s="253">
        <f>Table1[[#This Row],[MatTot]]/3</f>
        <v>0</v>
      </c>
      <c r="DO200" s="253">
        <f>Table1[[#This Row],[MatTot]]/3</f>
        <v>0</v>
      </c>
      <c r="DP200" s="253">
        <f>Table1[[#This Row],[MatTot]]/3</f>
        <v>0</v>
      </c>
      <c r="DQ200" s="255">
        <v>0</v>
      </c>
      <c r="DR200" s="253">
        <f>Table1[[#This Row],[OutTot]]/3</f>
        <v>0</v>
      </c>
      <c r="DS200" s="253">
        <f>Table1[[#This Row],[OutTot]]/3</f>
        <v>0</v>
      </c>
      <c r="DT200" s="253">
        <f>Table1[[#This Row],[OutTot]]/3</f>
        <v>0</v>
      </c>
      <c r="DU200" s="255">
        <v>0</v>
      </c>
      <c r="DV200" s="253">
        <v>0</v>
      </c>
      <c r="DW200" s="253">
        <v>0</v>
      </c>
      <c r="DX200" s="253">
        <v>0</v>
      </c>
      <c r="DY200" s="255">
        <f>SUM(Table1[[#This Row],[VAQ1]:[VAQ3]])</f>
        <v>0</v>
      </c>
      <c r="DZ200" s="253">
        <v>0</v>
      </c>
      <c r="EA200" s="253">
        <v>0</v>
      </c>
      <c r="EB200" s="253">
        <v>0</v>
      </c>
      <c r="EC200" s="278">
        <f>SUM(Table1[[#This Row],[OthGrantQ1]:[OthGrantQ3]])</f>
        <v>0</v>
      </c>
      <c r="ED200" s="264">
        <f>Table1[[#This Row],[SEOGTot]]+Table1[[#This Row],[PellTot]]+Table1[[#This Row],[AccessTot]]+Table1[[#This Row],[AchiTot]]+Table1[[#This Row],[UTTot]]+Table1[[#This Row],[WITTot]]+Table1[[#This Row],[SerTot]]+Table1[[#This Row],[TranTot]]+Table1[[#This Row],[MatTot]]+Table1[[#This Row],[OutTot]]+Table1[[#This Row],[VATot]]+Table1[[#This Row],[OthGrantTot]]</f>
        <v>6900</v>
      </c>
      <c r="EE200" s="298">
        <v>0</v>
      </c>
      <c r="EF200" s="227">
        <v>0</v>
      </c>
      <c r="EG200" s="227">
        <v>0</v>
      </c>
      <c r="EH200" s="228">
        <f>SUM(Table1[[#This Row],[CashQ1]]:Table1[[#This Row],[CashQ3]])</f>
        <v>0</v>
      </c>
      <c r="EI200" s="229">
        <f>ROUND((Table1[[#This Row],[SubTot]]/3)/1.01059,0)</f>
        <v>1154</v>
      </c>
      <c r="EJ200" s="230">
        <f>ROUND((Table1[[#This Row],[SubTot]]/3)/1.01059,0)</f>
        <v>1154</v>
      </c>
      <c r="EK200" s="230">
        <f>ROUNDUP((Table1[[#This Row],[SubTot]]/3)/1.01059,0)</f>
        <v>1155</v>
      </c>
      <c r="EL200" s="231">
        <v>3500</v>
      </c>
      <c r="EM200" s="233">
        <f>Table1[[#This Row],[SubTot]]*0.01059</f>
        <v>37.065000000000005</v>
      </c>
      <c r="EN200" s="230">
        <f>ROUND((Table1[[#This Row],[UnsubTot]]/3)/1.01062,0)</f>
        <v>660</v>
      </c>
      <c r="EO200" s="230">
        <f>ROUND((Table1[[#This Row],[UnsubTot]]/3)/1.01062,0)</f>
        <v>660</v>
      </c>
      <c r="EP200" s="230">
        <f>ROUNDDOWN((Table1[[#This Row],[UnsubTot]]/3)/1.01062,0)</f>
        <v>659</v>
      </c>
      <c r="EQ200" s="231">
        <f>IF(Table1[D/I]="I",6000,2000)</f>
        <v>2000</v>
      </c>
      <c r="ER200" s="233">
        <f>Table1[[#This Row],[UnsubTot]]*0.01059</f>
        <v>21.18</v>
      </c>
      <c r="ES200" s="230">
        <f>ROUND((Table1[[#This Row],[PLUSTot]]/3)/1.04236,0)</f>
        <v>0</v>
      </c>
      <c r="ET200" s="230">
        <f>ROUND((Table1[[#This Row],[PLUSTot]]/3)/1.04236,0)</f>
        <v>0</v>
      </c>
      <c r="EU200" s="230">
        <f>ROUND((Table1[[#This Row],[PLUSTot]]/3)/1.04236,0)</f>
        <v>0</v>
      </c>
      <c r="EV200" s="231">
        <v>0</v>
      </c>
      <c r="EW200" s="236">
        <f>Table1[[#This Row],[PLUSTot]]*0.04236</f>
        <v>0</v>
      </c>
      <c r="EX200" s="227"/>
      <c r="EY200" s="227"/>
      <c r="EZ200" s="227"/>
      <c r="FA200" s="228">
        <f>SUM(Table1[[#This Row],[PrivQ1]:[PrivQ3]])</f>
        <v>0</v>
      </c>
      <c r="FB200" s="227"/>
      <c r="FC200" s="227"/>
      <c r="FD200" s="227"/>
      <c r="FE200" s="228">
        <f>SUM(Table1[[#This Row],[TOQ1]:[TOQ3]])</f>
        <v>0</v>
      </c>
      <c r="FF200" s="227"/>
      <c r="FG200" s="227"/>
      <c r="FH200" s="227"/>
      <c r="FI200" s="228">
        <f>SUM(Table1[[#This Row],[OFundQ1]:[OFundQ3]])</f>
        <v>0</v>
      </c>
      <c r="FJ200" s="236">
        <f>(Table1[[#This Row],[SubTot]]-Table1[[#This Row],[SubFee]])+(Table1[[#This Row],[UnsubTot]]-Table1[[#This Row],[UnsubFee]])+(Table1[[#This Row],[PLUSTot]]-Table1[[#This Row],[PLUSFee]])+Table1[[#This Row],[PrivTot]]+Table1[[#This Row],[TOTot]]+Table1[[#This Row],[OFundTot]]</f>
        <v>5441.7550000000001</v>
      </c>
      <c r="FK200" s="159">
        <f>Table1[[#This Row],[CostTot]]-Table1[[#This Row],[GiftTot]]</f>
        <v>32615</v>
      </c>
      <c r="FL200" s="174">
        <f>Table1[[#This Row],[NetNeed]]/(1-0.04236)</f>
        <v>28375.219289085668</v>
      </c>
      <c r="FM200" s="176">
        <f>Table1[[#This Row],[NetCost]]-Table1[[#This Row],[CashTot]]-(Table1[[#This Row],[SubTot]]-Table1[[#This Row],[SubFee]])-(Table1[[#This Row],[UnsubTot]]-Table1[[#This Row],[UnsubFee]])-(Table1[[#This Row],[PLUSTot]]-Table1[[#This Row],[PLUSFee]])-Table1[[#This Row],[PrivTot]]-Table1[[#This Row],[TOTot]]-Table1[[#This Row],[OFundTot]]</f>
        <v>27173.244999999999</v>
      </c>
      <c r="FN200" s="217"/>
      <c r="FO200" s="162"/>
      <c r="FP200" s="162"/>
    </row>
    <row r="201" spans="1:172" ht="15" x14ac:dyDescent="0.25">
      <c r="A201" s="158">
        <v>192176</v>
      </c>
      <c r="B201" s="160" t="str">
        <f>VLOOKUP(Table1[[#This Row],[SyStudentId]],SSR!$A$2:$CC$4982,4,FALSE)</f>
        <v>Weller</v>
      </c>
      <c r="C201" s="160" t="str">
        <f>VLOOKUP(Table1[[#This Row],[SyStudentId]],SSR!$A$2:$CC$4982,5,FALSE)</f>
        <v>Wyatt</v>
      </c>
      <c r="D201" s="160" t="str">
        <f>VLOOKUP(Table1[[#This Row],[SyStudentId]],SSR!$A$2:$CC$4982,6,FALSE)</f>
        <v>Weller, Wyatt</v>
      </c>
      <c r="E201" s="113" t="str">
        <f>CONCATENATE(Table1[[#This Row],[FirstName]]," ",Table1[[#This Row],[LastName]])</f>
        <v>Wyatt Weller</v>
      </c>
      <c r="F201" s="158">
        <v>1</v>
      </c>
      <c r="G201" s="114"/>
      <c r="H201" s="114"/>
      <c r="I201" s="114">
        <v>43795</v>
      </c>
      <c r="J201" s="163"/>
      <c r="K201" s="164"/>
      <c r="L201" s="158" t="str">
        <f>IFERROR(VLOOKUP(Table1[[#This Row],[SyStudentId]],ISIR!$A$2:$X$4999,11,FALSE),"")</f>
        <v>D</v>
      </c>
      <c r="M201" s="160" t="str">
        <f>VLOOKUP(Table1[[#This Row],[SyStudentId]],SSR!$A$2:$CC$4982,7,FALSE)</f>
        <v>wyattzyatt@gmail.com</v>
      </c>
      <c r="N201" s="160" t="str">
        <f>VLOOKUP(Table1[[#This Row],[SyStudentId]],SSR!$A$2:$CC$4982,8,FALSE)</f>
        <v>34 Chip Court</v>
      </c>
      <c r="O201" s="160" t="str">
        <f>VLOOKUP(Table1[[#This Row],[SyStudentId]],SSR!$A$2:$CC$4982,9,FALSE)</f>
        <v>Kalispell</v>
      </c>
      <c r="P201" s="230" t="str">
        <f>VLOOKUP(Table1[[#This Row],[SyStudentId]],SSR!$A$2:$CC$4982,10,FALSE)</f>
        <v>MT</v>
      </c>
      <c r="Q201" s="165" t="str">
        <f>VLOOKUP(Table1[[#This Row],[SyStudentId]],SSR!$A$2:$CC$4982,11,FALSE)</f>
        <v xml:space="preserve">59901     </v>
      </c>
      <c r="R201" s="166">
        <f>VLOOKUP(Table1[[#This Row],[SyStudentId]],SSR!$A$2:$CC$4982,15,FALSE)</f>
        <v>3.9762</v>
      </c>
      <c r="S201" s="167">
        <f>VLOOKUP(Table1[[#This Row],[SyStudentId]],SSR!$A$2:$CC$4982,22,FALSE)</f>
        <v>44109</v>
      </c>
      <c r="T201" s="160" t="str">
        <f>VLOOKUP(Table1[[#This Row],[SyStudentId]],SSR!$A$2:$CC$4982,24,FALSE)</f>
        <v>MN</v>
      </c>
      <c r="U201" s="160" t="str">
        <f>IF(VLOOKUP(Table1[[#This Row],[SyStudentId]],SSR!$A$2:$CC$4982,26,FALSE)=0,"Not Selected",VLOOKUP(Table1[[#This Row],[SyStudentId]],SSR!$A$2:$CC$4982,26,FALSE))</f>
        <v>Male</v>
      </c>
      <c r="V201" s="160" t="str">
        <f>VLOOKUP(Table1[[#This Row],[SyStudentId]],SSR!$A$2:$CC$4982,27,FALSE)</f>
        <v xml:space="preserve">HS2020  </v>
      </c>
      <c r="W201" s="160" t="str">
        <f>VLOOKUP(LEFT(Table1[[#This Row],[LastName]],1),Alpha!$A$1:$B$26,2,FALSE)</f>
        <v>Maureen Ranks</v>
      </c>
      <c r="X201" s="268" t="str">
        <f>VLOOKUP(Table1[[#This Row],[FAA]],Alpha!$B$1:$D$26,2,FALSE)</f>
        <v>mranks@neumont.edu</v>
      </c>
      <c r="Y201" s="160">
        <f>VLOOKUP(Table1[[#This Row],[FAA]],Alpha!$B$1:$D$26,3,FALSE)</f>
        <v>8883022894</v>
      </c>
      <c r="Z201" s="160" t="str">
        <f>VLOOKUP(Table1[[#This Row],[SyStudentId]],SSR!$A$2:$CC$4982,30,FALSE)</f>
        <v>16-Accepted</v>
      </c>
      <c r="AA201" s="160" t="str">
        <f>IF(VLOOKUP(Table1[[#This Row],[SyStudentId]],SSR!$A$2:$CC$4982,36,FALSE)="Bachelor of Science","BS Computer Science","Check Program")</f>
        <v>BS Computer Science</v>
      </c>
      <c r="AB201" s="160" t="str">
        <f>VLOOKUP(Table1[[#This Row],[SyStudentId]],SSR!$A$2:$CC$4982,37,FALSE)</f>
        <v xml:space="preserve">25      </v>
      </c>
      <c r="AC201" s="160">
        <f>VLOOKUP(Table1[[#This Row],[SyStudentId]],SSR!$A$2:$CC$4982,42,FALSE)</f>
        <v>0</v>
      </c>
      <c r="AD201" s="160" t="str">
        <f>VLOOKUP(Table1[[#This Row],[SyStudentId]],SSR!$A$2:$CC$4982,46,FALSE)</f>
        <v>122</v>
      </c>
      <c r="AE201" s="160" t="str">
        <f>VLOOKUP(Table1[[#This Row],[SyStudentId]],SSR!$A$2:$CC$4982,65,FALSE)</f>
        <v>I</v>
      </c>
      <c r="AF201"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201" s="160" t="str">
        <f>VLOOKUP(Table1[[#This Row],[SyStudentId]],SSR!$A$2:$CC$4982,66,FALSE)</f>
        <v>July-October</v>
      </c>
      <c r="AH201" s="160" t="str">
        <f>IFERROR(VLOOKUP(Table1[[#This Row],[SyStudentId]],ISIR!$A$2:$X$1999,7,FALSE),"")</f>
        <v>025624</v>
      </c>
      <c r="AI201" s="170">
        <f>IF(Table1[[#This Row],[EFCRaw]]="","",IF(Table1[[#This Row],[EFCRaw]]="No EFC","No EFC",_xlfn.NUMBERVALUE(Table1[[#This Row],[EFCRaw]])))</f>
        <v>25624</v>
      </c>
      <c r="AJ201" s="167">
        <f>IFERROR(VLOOKUP(Table1[[#This Row],[SyStudentId]],ISIR!$A$2:$X$4999,19,FALSE),"")</f>
        <v>43774</v>
      </c>
      <c r="AK201" s="160" t="str">
        <f>IFERROR(VLOOKUP(Table1[[#This Row],[SyStudentId]],ISIR!$A$2:$X$4999,8,FALSE),"")</f>
        <v>N</v>
      </c>
      <c r="AL201" s="171" t="str">
        <f>IF(Table1[[#This Row],[VerReq]]="N","n/a","")</f>
        <v>n/a</v>
      </c>
      <c r="AM201" s="122"/>
      <c r="AN201" s="122"/>
      <c r="AO201" s="122"/>
      <c r="AP201" s="122"/>
      <c r="AQ201" s="122"/>
      <c r="AR201" s="122"/>
      <c r="AS201" s="122"/>
      <c r="AT201" s="122"/>
      <c r="AU201" s="122"/>
      <c r="AV201" s="122"/>
      <c r="AW201" s="122"/>
      <c r="AX201" s="122"/>
      <c r="AY201" s="122"/>
      <c r="AZ201" s="122"/>
      <c r="BA201" s="122"/>
      <c r="BB201" s="122"/>
      <c r="BC201" s="148"/>
      <c r="BD201" s="140" t="str">
        <f>IF(Table1[[#This Row],[VerReq]]="N","x","")</f>
        <v>x</v>
      </c>
      <c r="BE201" s="140" t="str">
        <f>IF(Table1[[#This Row],[VerReq]]="N","x","")</f>
        <v>x</v>
      </c>
      <c r="BF201" s="140" t="str">
        <f>IF(Table1[[#This Row],[VerReq]]="N","x","")</f>
        <v>x</v>
      </c>
      <c r="BG201" s="140" t="str">
        <f>IF(Table1[[#This Row],[VerReq]]="N","x","")</f>
        <v>x</v>
      </c>
      <c r="BH201" s="140" t="str">
        <f>IF(Table1[[#This Row],[VerReq]]="N","x","")</f>
        <v>x</v>
      </c>
      <c r="BI201" s="140" t="str">
        <f>IF(Table1[[#This Row],[VerReq]]="N","x","")</f>
        <v>x</v>
      </c>
      <c r="BJ201" s="181">
        <f>1-((COUNTBLANK(Table1[[#This Row],[ALESent]:[TaxTran]]))/(COUNT(Table1[[#This Row],[ALESent]:[TaxTran]])+COUNTBLANK(Table1[[#This Row],[ALESent]:[TaxTran]])))</f>
        <v>0</v>
      </c>
      <c r="BK201" s="216">
        <f>IF(VLOOKUP(Table1[[#This Row],[SyStudentId]],SSR!$A$2:$CC$4982,22,FALSE)=44109,44109,"Check Program")</f>
        <v>44109</v>
      </c>
      <c r="BL201" s="216">
        <f>IF(Table1[[#This Row],[AYStart]]=44109,44356,"Check Program")</f>
        <v>44356</v>
      </c>
      <c r="BM201" s="219">
        <v>8505</v>
      </c>
      <c r="BN201" s="219">
        <v>8505</v>
      </c>
      <c r="BO201" s="219">
        <v>8505</v>
      </c>
      <c r="BP201" s="220">
        <f t="shared" si="9"/>
        <v>25515</v>
      </c>
      <c r="BQ201" s="221">
        <v>3300</v>
      </c>
      <c r="BR201" s="219">
        <v>400</v>
      </c>
      <c r="BS201" s="219">
        <v>400</v>
      </c>
      <c r="BT201" s="222">
        <f t="shared" si="10"/>
        <v>4100</v>
      </c>
      <c r="BU201" s="219">
        <v>2100</v>
      </c>
      <c r="BV201" s="219">
        <v>2100</v>
      </c>
      <c r="BW201" s="219">
        <v>2100</v>
      </c>
      <c r="BX201" s="222">
        <f t="shared" si="11"/>
        <v>6300</v>
      </c>
      <c r="BY201" s="275">
        <v>1200</v>
      </c>
      <c r="BZ201" s="275">
        <v>1200</v>
      </c>
      <c r="CA201" s="275">
        <v>1200</v>
      </c>
      <c r="CB201" s="222">
        <f>SUM(Table1[[#This Row],[LEQ1]:[LEQ3]])</f>
        <v>3600</v>
      </c>
      <c r="CC201" s="276">
        <v>0</v>
      </c>
      <c r="CD201" s="276">
        <v>0</v>
      </c>
      <c r="CE201" s="276">
        <v>0</v>
      </c>
      <c r="CF201" s="222">
        <f>SUM(Table1[[#This Row],[OthCostQ1]:[OthCostQ3]])</f>
        <v>0</v>
      </c>
      <c r="CG201" s="222">
        <f>(Table1[[#This Row],[T&amp;FTot]]+Table1[[#This Row],[B&amp;STot]]+Table1[[#This Row],[HousTot]]+Table1[[#This Row],[LETot]]+Table1[[#This Row],[OthCostTot]])</f>
        <v>39515</v>
      </c>
      <c r="CH201" s="253">
        <v>0</v>
      </c>
      <c r="CI201" s="253">
        <v>0</v>
      </c>
      <c r="CJ201" s="253">
        <v>0</v>
      </c>
      <c r="CK201" s="254">
        <f>SUM(Table1[[#This Row],[SEOGQ1]:[SEOGQ3]])</f>
        <v>0</v>
      </c>
      <c r="CL201" s="253">
        <f>IFERROR(ROUNDUP(Table1[[#This Row],[PellTot]]/3,0),0)</f>
        <v>0</v>
      </c>
      <c r="CM201" s="253">
        <f>IFERROR(ROUND(Table1[[#This Row],[PellTot]]/3,0),0)</f>
        <v>0</v>
      </c>
      <c r="CN201" s="253">
        <f>IFERROR(ROUNDDOWN(Table1[[#This Row],[PellTot]]/3,0),0)</f>
        <v>0</v>
      </c>
      <c r="CO201" s="254">
        <f>IFERROR(LOOKUP(Table1[EFC],Pell_Table[#Data],Pell_Table[Pell Amt]),0)</f>
        <v>0</v>
      </c>
      <c r="CP201" s="253">
        <f>Table1[[#This Row],[AccessTot]]/3</f>
        <v>0</v>
      </c>
      <c r="CQ201" s="253">
        <f>Table1[[#This Row],[AccessTot]]/3</f>
        <v>0</v>
      </c>
      <c r="CR201" s="253">
        <f>Table1[[#This Row],[AccessTot]]/3</f>
        <v>0</v>
      </c>
      <c r="CS201" s="254">
        <f>IF(Table1[[#This Row],[PellTot]]&gt;0,1500,0)</f>
        <v>0</v>
      </c>
      <c r="CT201" s="253">
        <f>Table1[[#This Row],[AchiTot]]/3</f>
        <v>1700</v>
      </c>
      <c r="CU201" s="253">
        <f>Table1[[#This Row],[AchiTot]]/3</f>
        <v>1700</v>
      </c>
      <c r="CV201" s="253">
        <f>Table1[[#This Row],[AchiTot]]/3</f>
        <v>1700</v>
      </c>
      <c r="CW201" s="255">
        <f>IF(Table1[[#This Row],[Rank]]="","",IF(Table1[[#This Row],[Rank]]=1,5100,IF(Table1[[#This Row],[Rank]]=2,4500,IF(Table1[[#This Row],[Rank]]=3,3900,IF(Table1[[#This Row],[Rank]]=4,3750,IF(Table1[[#This Row],[Rank]]=5,3000,IF(Table1[[#This Row],[Rank]]=6,2250,0)))))))</f>
        <v>5100</v>
      </c>
      <c r="CX201" s="253">
        <f>Table1[[#This Row],[UTTot]]/3</f>
        <v>0</v>
      </c>
      <c r="CY201" s="253">
        <f>Table1[[#This Row],[UTTot]]/3</f>
        <v>0</v>
      </c>
      <c r="CZ201" s="253">
        <f>Table1[[#This Row],[UTTot]]/3</f>
        <v>0</v>
      </c>
      <c r="DA201" s="254">
        <f>IF(Table1[[#This Row],[State]]="UT",9000,0)</f>
        <v>0</v>
      </c>
      <c r="DB201" s="253">
        <f>Table1[[#This Row],[WITTot]]/3</f>
        <v>0</v>
      </c>
      <c r="DC201" s="253">
        <f>Table1[[#This Row],[WITTot]]/3</f>
        <v>0</v>
      </c>
      <c r="DD201" s="253">
        <f>Table1[[#This Row],[WITTot]]/3</f>
        <v>0</v>
      </c>
      <c r="DE201" s="254">
        <f>IF(Table1[[#This Row],[Gender]]="Female",3000,0)</f>
        <v>0</v>
      </c>
      <c r="DF201" s="253">
        <f>Table1[[#This Row],[SerTot]]/3</f>
        <v>0</v>
      </c>
      <c r="DG201" s="253">
        <f>Table1[[#This Row],[SerTot]]/3</f>
        <v>0</v>
      </c>
      <c r="DH201" s="253">
        <f>Table1[[#This Row],[SerTot]]/3</f>
        <v>0</v>
      </c>
      <c r="DI201" s="255">
        <v>0</v>
      </c>
      <c r="DJ201" s="253">
        <f>IFERROR(ROUNDUP(Table1[[#This Row],[TranTot]]/3,0),0)</f>
        <v>0</v>
      </c>
      <c r="DK201" s="253">
        <f>IFERROR(ROUND(Table1[[#This Row],[TranTot]]/3,0),0)</f>
        <v>0</v>
      </c>
      <c r="DL201" s="253">
        <f>IFERROR(ROUNDDOWN(Table1[[#This Row],[TranTot]]/3,0),0)</f>
        <v>0</v>
      </c>
      <c r="DM201" s="255">
        <v>0</v>
      </c>
      <c r="DN201" s="253">
        <f>Table1[[#This Row],[MatTot]]/3</f>
        <v>0</v>
      </c>
      <c r="DO201" s="253">
        <f>Table1[[#This Row],[MatTot]]/3</f>
        <v>0</v>
      </c>
      <c r="DP201" s="253">
        <f>Table1[[#This Row],[MatTot]]/3</f>
        <v>0</v>
      </c>
      <c r="DQ201" s="255">
        <v>0</v>
      </c>
      <c r="DR201" s="253">
        <f>Table1[[#This Row],[OutTot]]/3</f>
        <v>0</v>
      </c>
      <c r="DS201" s="253">
        <f>Table1[[#This Row],[OutTot]]/3</f>
        <v>0</v>
      </c>
      <c r="DT201" s="253">
        <f>Table1[[#This Row],[OutTot]]/3</f>
        <v>0</v>
      </c>
      <c r="DU201" s="255">
        <v>0</v>
      </c>
      <c r="DV201" s="253">
        <v>0</v>
      </c>
      <c r="DW201" s="253">
        <v>0</v>
      </c>
      <c r="DX201" s="253">
        <v>0</v>
      </c>
      <c r="DY201" s="255">
        <f>SUM(Table1[[#This Row],[VAQ1]:[VAQ3]])</f>
        <v>0</v>
      </c>
      <c r="DZ201" s="253">
        <v>0</v>
      </c>
      <c r="EA201" s="253">
        <v>0</v>
      </c>
      <c r="EB201" s="253">
        <v>0</v>
      </c>
      <c r="EC201" s="278">
        <f>SUM(Table1[[#This Row],[OthGrantQ1]:[OthGrantQ3]])</f>
        <v>0</v>
      </c>
      <c r="ED201" s="264">
        <f>Table1[[#This Row],[SEOGTot]]+Table1[[#This Row],[PellTot]]+Table1[[#This Row],[AccessTot]]+Table1[[#This Row],[AchiTot]]+Table1[[#This Row],[UTTot]]+Table1[[#This Row],[WITTot]]+Table1[[#This Row],[SerTot]]+Table1[[#This Row],[TranTot]]+Table1[[#This Row],[MatTot]]+Table1[[#This Row],[OutTot]]+Table1[[#This Row],[VATot]]+Table1[[#This Row],[OthGrantTot]]</f>
        <v>5100</v>
      </c>
      <c r="EE201" s="298">
        <v>0</v>
      </c>
      <c r="EF201" s="227">
        <v>0</v>
      </c>
      <c r="EG201" s="227">
        <v>0</v>
      </c>
      <c r="EH201" s="228">
        <f>SUM(Table1[[#This Row],[CashQ1]]:Table1[[#This Row],[CashQ3]])</f>
        <v>0</v>
      </c>
      <c r="EI201" s="229">
        <f>ROUND((Table1[[#This Row],[SubTot]]/3)/1.01059,0)</f>
        <v>1154</v>
      </c>
      <c r="EJ201" s="230">
        <f>ROUND((Table1[[#This Row],[SubTot]]/3)/1.01059,0)</f>
        <v>1154</v>
      </c>
      <c r="EK201" s="230">
        <f>ROUNDUP((Table1[[#This Row],[SubTot]]/3)/1.01059,0)</f>
        <v>1155</v>
      </c>
      <c r="EL201" s="231">
        <v>3500</v>
      </c>
      <c r="EM201" s="233">
        <f>Table1[[#This Row],[SubTot]]*0.01059</f>
        <v>37.065000000000005</v>
      </c>
      <c r="EN201" s="230">
        <f>ROUND((Table1[[#This Row],[UnsubTot]]/3)/1.01062,0)</f>
        <v>660</v>
      </c>
      <c r="EO201" s="230">
        <f>ROUND((Table1[[#This Row],[UnsubTot]]/3)/1.01062,0)</f>
        <v>660</v>
      </c>
      <c r="EP201" s="230">
        <f>ROUNDDOWN((Table1[[#This Row],[UnsubTot]]/3)/1.01062,0)</f>
        <v>659</v>
      </c>
      <c r="EQ201" s="231">
        <f>IF(Table1[D/I]="I",6000,2000)</f>
        <v>2000</v>
      </c>
      <c r="ER201" s="233">
        <f>Table1[[#This Row],[UnsubTot]]*0.01059</f>
        <v>21.18</v>
      </c>
      <c r="ES201" s="230">
        <f>ROUND((Table1[[#This Row],[PLUSTot]]/3)/1.04236,0)</f>
        <v>0</v>
      </c>
      <c r="ET201" s="230">
        <f>ROUND((Table1[[#This Row],[PLUSTot]]/3)/1.04236,0)</f>
        <v>0</v>
      </c>
      <c r="EU201" s="230">
        <f>ROUND((Table1[[#This Row],[PLUSTot]]/3)/1.04236,0)</f>
        <v>0</v>
      </c>
      <c r="EV201" s="231">
        <v>0</v>
      </c>
      <c r="EW201" s="236">
        <f>Table1[[#This Row],[PLUSTot]]*0.04236</f>
        <v>0</v>
      </c>
      <c r="EX201" s="227"/>
      <c r="EY201" s="227"/>
      <c r="EZ201" s="227"/>
      <c r="FA201" s="228">
        <f>SUM(Table1[[#This Row],[PrivQ1]:[PrivQ3]])</f>
        <v>0</v>
      </c>
      <c r="FB201" s="227"/>
      <c r="FC201" s="227"/>
      <c r="FD201" s="227"/>
      <c r="FE201" s="228">
        <f>SUM(Table1[[#This Row],[TOQ1]:[TOQ3]])</f>
        <v>0</v>
      </c>
      <c r="FF201" s="227"/>
      <c r="FG201" s="227"/>
      <c r="FH201" s="227"/>
      <c r="FI201" s="228">
        <f>SUM(Table1[[#This Row],[OFundQ1]:[OFundQ3]])</f>
        <v>0</v>
      </c>
      <c r="FJ201" s="236">
        <f>(Table1[[#This Row],[SubTot]]-Table1[[#This Row],[SubFee]])+(Table1[[#This Row],[UnsubTot]]-Table1[[#This Row],[UnsubFee]])+(Table1[[#This Row],[PLUSTot]]-Table1[[#This Row],[PLUSFee]])+Table1[[#This Row],[PrivTot]]+Table1[[#This Row],[TOTot]]+Table1[[#This Row],[OFundTot]]</f>
        <v>5441.7550000000001</v>
      </c>
      <c r="FK201" s="159">
        <f>Table1[[#This Row],[CostTot]]-Table1[[#This Row],[GiftTot]]</f>
        <v>34415</v>
      </c>
      <c r="FL201" s="174">
        <f>Table1[[#This Row],[NetNeed]]/(1-0.04236)</f>
        <v>30254.840023390832</v>
      </c>
      <c r="FM201" s="176">
        <f>Table1[[#This Row],[NetCost]]-Table1[[#This Row],[CashTot]]-(Table1[[#This Row],[SubTot]]-Table1[[#This Row],[SubFee]])-(Table1[[#This Row],[UnsubTot]]-Table1[[#This Row],[UnsubFee]])-(Table1[[#This Row],[PLUSTot]]-Table1[[#This Row],[PLUSFee]])-Table1[[#This Row],[PrivTot]]-Table1[[#This Row],[TOTot]]-Table1[[#This Row],[OFundTot]]</f>
        <v>28973.244999999999</v>
      </c>
      <c r="FN201" s="217"/>
      <c r="FO201" s="162"/>
      <c r="FP201" s="162"/>
    </row>
    <row r="202" spans="1:172" ht="15" x14ac:dyDescent="0.25">
      <c r="A202" s="158">
        <v>197476</v>
      </c>
      <c r="B202" s="160" t="str">
        <f>VLOOKUP(Table1[[#This Row],[SyStudentId]],SSR!$A$2:$CC$4982,4,FALSE)</f>
        <v>Wescoat</v>
      </c>
      <c r="C202" s="160" t="str">
        <f>VLOOKUP(Table1[[#This Row],[SyStudentId]],SSR!$A$2:$CC$4982,5,FALSE)</f>
        <v>Donovan</v>
      </c>
      <c r="D202" s="160" t="str">
        <f>VLOOKUP(Table1[[#This Row],[SyStudentId]],SSR!$A$2:$CC$4982,6,FALSE)</f>
        <v>Wescoat, Donovan</v>
      </c>
      <c r="E202" s="113" t="str">
        <f>CONCATENATE(Table1[[#This Row],[FirstName]]," ",Table1[[#This Row],[LastName]])</f>
        <v>Donovan Wescoat</v>
      </c>
      <c r="F202" s="158"/>
      <c r="G202" s="114"/>
      <c r="H202" s="114"/>
      <c r="I202" s="114"/>
      <c r="J202" s="163"/>
      <c r="K202" s="164"/>
      <c r="L202" s="158" t="str">
        <f>IFERROR(VLOOKUP(Table1[[#This Row],[SyStudentId]],ISIR!$A$2:$X$4999,11,FALSE),"")</f>
        <v/>
      </c>
      <c r="M202" s="160" t="str">
        <f>VLOOKUP(Table1[[#This Row],[SyStudentId]],SSR!$A$2:$CC$4982,7,FALSE)</f>
        <v>Wescoat85@gmail.com</v>
      </c>
      <c r="N202" s="160" t="str">
        <f>VLOOKUP(Table1[[#This Row],[SyStudentId]],SSR!$A$2:$CC$4982,8,FALSE)</f>
        <v>3249 E. Wilson Rd.</v>
      </c>
      <c r="O202" s="160" t="str">
        <f>VLOOKUP(Table1[[#This Row],[SyStudentId]],SSR!$A$2:$CC$4982,9,FALSE)</f>
        <v>Clio</v>
      </c>
      <c r="P202" s="307" t="str">
        <f>VLOOKUP(Table1[[#This Row],[SyStudentId]],SSR!$A$2:$CC$4982,10,FALSE)</f>
        <v>MI</v>
      </c>
      <c r="Q202" s="165" t="str">
        <f>VLOOKUP(Table1[[#This Row],[SyStudentId]],SSR!$A$2:$CC$4982,11,FALSE)</f>
        <v xml:space="preserve">48420     </v>
      </c>
      <c r="R202" s="166">
        <f>VLOOKUP(Table1[[#This Row],[SyStudentId]],SSR!$A$2:$CC$4982,15,FALSE)</f>
        <v>1.63</v>
      </c>
      <c r="S202" s="167">
        <f>VLOOKUP(Table1[[#This Row],[SyStudentId]],SSR!$A$2:$CC$4982,22,FALSE)</f>
        <v>44109</v>
      </c>
      <c r="T202" s="160" t="str">
        <f>VLOOKUP(Table1[[#This Row],[SyStudentId]],SSR!$A$2:$CC$4982,24,FALSE)</f>
        <v>MN</v>
      </c>
      <c r="U202" s="160" t="str">
        <f>IF(VLOOKUP(Table1[[#This Row],[SyStudentId]],SSR!$A$2:$CC$4982,26,FALSE)=0,"Not Selected",VLOOKUP(Table1[[#This Row],[SyStudentId]],SSR!$A$2:$CC$4982,26,FALSE))</f>
        <v>Male</v>
      </c>
      <c r="V202" s="160" t="str">
        <f>VLOOKUP(Table1[[#This Row],[SyStudentId]],SSR!$A$2:$CC$4982,27,FALSE)</f>
        <v xml:space="preserve">HS2020  </v>
      </c>
      <c r="W202" s="160" t="str">
        <f>VLOOKUP(LEFT(Table1[[#This Row],[LastName]],1),Alpha!$A$1:$B$26,2,FALSE)</f>
        <v>Maureen Ranks</v>
      </c>
      <c r="X202" s="268" t="str">
        <f>VLOOKUP(Table1[[#This Row],[FAA]],Alpha!$B$1:$D$26,2,FALSE)</f>
        <v>mranks@neumont.edu</v>
      </c>
      <c r="Y202" s="160">
        <f>VLOOKUP(Table1[[#This Row],[FAA]],Alpha!$B$1:$D$26,3,FALSE)</f>
        <v>8883022894</v>
      </c>
      <c r="Z202" s="160" t="str">
        <f>VLOOKUP(Table1[[#This Row],[SyStudentId]],SSR!$A$2:$CC$4982,30,FALSE)</f>
        <v>16-Accepted</v>
      </c>
      <c r="AA202" s="160" t="str">
        <f>IF(VLOOKUP(Table1[[#This Row],[SyStudentId]],SSR!$A$2:$CC$4982,36,FALSE)="Bachelor of Science","BS Computer Science","Check Program")</f>
        <v>BS Computer Science</v>
      </c>
      <c r="AB202" s="160">
        <f>VLOOKUP(Table1[[#This Row],[SyStudentId]],SSR!$A$2:$CC$4982,37,FALSE)</f>
        <v>0</v>
      </c>
      <c r="AC202" s="160" t="str">
        <f>VLOOKUP(Table1[[#This Row],[SyStudentId]],SSR!$A$2:$CC$4982,42,FALSE)</f>
        <v xml:space="preserve">1270    </v>
      </c>
      <c r="AD202" s="160" t="str">
        <f>VLOOKUP(Table1[[#This Row],[SyStudentId]],SSR!$A$2:$CC$4982,46,FALSE)</f>
        <v>85</v>
      </c>
      <c r="AE202" s="160" t="str">
        <f>VLOOKUP(Table1[[#This Row],[SyStudentId]],SSR!$A$2:$CC$4982,65,FALSE)</f>
        <v>IX</v>
      </c>
      <c r="AF202"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202" s="160" t="str">
        <f>VLOOKUP(Table1[[#This Row],[SyStudentId]],SSR!$A$2:$CC$4982,66,FALSE)</f>
        <v>July-October</v>
      </c>
      <c r="AH202" s="160" t="str">
        <f>IFERROR(VLOOKUP(Table1[[#This Row],[SyStudentId]],ISIR!$A$2:$X$1999,7,FALSE),"")</f>
        <v/>
      </c>
      <c r="AI202" s="170" t="str">
        <f>IF(Table1[[#This Row],[EFCRaw]]="","",IF(Table1[[#This Row],[EFCRaw]]="No EFC","No EFC",_xlfn.NUMBERVALUE(Table1[[#This Row],[EFCRaw]])))</f>
        <v/>
      </c>
      <c r="AJ202" s="167" t="str">
        <f>IFERROR(VLOOKUP(Table1[[#This Row],[SyStudentId]],ISIR!$A$2:$X$4999,19,FALSE),"")</f>
        <v/>
      </c>
      <c r="AK202" s="160" t="str">
        <f>IFERROR(VLOOKUP(Table1[[#This Row],[SyStudentId]],ISIR!$A$2:$X$4999,8,FALSE),"")</f>
        <v/>
      </c>
      <c r="AL202" s="171" t="str">
        <f>IF(Table1[[#This Row],[VerReq]]="N","n/a","")</f>
        <v/>
      </c>
      <c r="AM202" s="122"/>
      <c r="AN202" s="122"/>
      <c r="AO202" s="122"/>
      <c r="AP202" s="122"/>
      <c r="AQ202" s="122"/>
      <c r="AR202" s="122"/>
      <c r="AS202" s="122"/>
      <c r="AT202" s="122"/>
      <c r="AU202" s="122"/>
      <c r="AV202" s="122"/>
      <c r="AW202" s="122"/>
      <c r="AX202" s="122"/>
      <c r="AY202" s="122"/>
      <c r="AZ202" s="122"/>
      <c r="BA202" s="122"/>
      <c r="BB202" s="122"/>
      <c r="BC202" s="148"/>
      <c r="BD202" s="140" t="str">
        <f>IF(Table1[[#This Row],[VerReq]]="N","x","")</f>
        <v/>
      </c>
      <c r="BE202" s="140" t="str">
        <f>IF(Table1[[#This Row],[VerReq]]="N","x","")</f>
        <v/>
      </c>
      <c r="BF202" s="140" t="str">
        <f>IF(Table1[[#This Row],[VerReq]]="N","x","")</f>
        <v/>
      </c>
      <c r="BG202" s="140" t="str">
        <f>IF(Table1[[#This Row],[VerReq]]="N","x","")</f>
        <v/>
      </c>
      <c r="BH202" s="140" t="str">
        <f>IF(Table1[[#This Row],[VerReq]]="N","x","")</f>
        <v/>
      </c>
      <c r="BI202" s="140" t="str">
        <f>IF(Table1[[#This Row],[VerReq]]="N","x","")</f>
        <v/>
      </c>
      <c r="BJ202" s="181">
        <f>1-((COUNTBLANK(Table1[[#This Row],[ALESent]:[TaxTran]]))/(COUNT(Table1[[#This Row],[ALESent]:[TaxTran]])+COUNTBLANK(Table1[[#This Row],[ALESent]:[TaxTran]])))</f>
        <v>0</v>
      </c>
      <c r="BK202" s="216">
        <f>IF(VLOOKUP(Table1[[#This Row],[SyStudentId]],SSR!$A$2:$CC$4982,22,FALSE)=44109,44109,"Check Program")</f>
        <v>44109</v>
      </c>
      <c r="BL202" s="216">
        <f>IF(Table1[[#This Row],[AYStart]]=44109,44356,"Check Program")</f>
        <v>44356</v>
      </c>
      <c r="BM202" s="219">
        <v>8505</v>
      </c>
      <c r="BN202" s="219">
        <v>8505</v>
      </c>
      <c r="BO202" s="219">
        <v>8505</v>
      </c>
      <c r="BP202" s="220">
        <f t="shared" si="9"/>
        <v>25515</v>
      </c>
      <c r="BQ202" s="221">
        <v>3300</v>
      </c>
      <c r="BR202" s="219">
        <v>400</v>
      </c>
      <c r="BS202" s="219">
        <v>400</v>
      </c>
      <c r="BT202" s="222">
        <f t="shared" si="10"/>
        <v>4100</v>
      </c>
      <c r="BU202" s="219">
        <v>2100</v>
      </c>
      <c r="BV202" s="219">
        <v>2100</v>
      </c>
      <c r="BW202" s="219">
        <v>2100</v>
      </c>
      <c r="BX202" s="222">
        <f t="shared" si="11"/>
        <v>6300</v>
      </c>
      <c r="BY202" s="275">
        <v>1200</v>
      </c>
      <c r="BZ202" s="275">
        <v>1200</v>
      </c>
      <c r="CA202" s="275">
        <v>1200</v>
      </c>
      <c r="CB202" s="222">
        <f>SUM(Table1[[#This Row],[LEQ1]:[LEQ3]])</f>
        <v>3600</v>
      </c>
      <c r="CC202" s="276">
        <v>0</v>
      </c>
      <c r="CD202" s="276">
        <v>0</v>
      </c>
      <c r="CE202" s="276">
        <v>0</v>
      </c>
      <c r="CF202" s="222">
        <f>SUM(Table1[[#This Row],[OthCostQ1]:[OthCostQ3]])</f>
        <v>0</v>
      </c>
      <c r="CG202" s="222">
        <f>(Table1[[#This Row],[T&amp;FTot]]+Table1[[#This Row],[B&amp;STot]]+Table1[[#This Row],[HousTot]]+Table1[[#This Row],[LETot]]+Table1[[#This Row],[OthCostTot]])</f>
        <v>39515</v>
      </c>
      <c r="CH202" s="253">
        <v>0</v>
      </c>
      <c r="CI202" s="253">
        <v>0</v>
      </c>
      <c r="CJ202" s="253">
        <v>0</v>
      </c>
      <c r="CK202" s="254">
        <f>SUM(Table1[[#This Row],[SEOGQ1]:[SEOGQ3]])</f>
        <v>0</v>
      </c>
      <c r="CL202" s="253">
        <f>IFERROR(ROUNDUP(Table1[[#This Row],[PellTot]]/3,0),0)</f>
        <v>0</v>
      </c>
      <c r="CM202" s="253">
        <f>IFERROR(ROUND(Table1[[#This Row],[PellTot]]/3,0),0)</f>
        <v>0</v>
      </c>
      <c r="CN202" s="253">
        <f>IFERROR(ROUNDDOWN(Table1[[#This Row],[PellTot]]/3,0),0)</f>
        <v>0</v>
      </c>
      <c r="CO202" s="254">
        <f>IFERROR(LOOKUP(Table1[EFC],Pell_Table[#Data],Pell_Table[Pell Amt]),0)</f>
        <v>0</v>
      </c>
      <c r="CP202" s="253">
        <f>Table1[[#This Row],[AccessTot]]/3</f>
        <v>0</v>
      </c>
      <c r="CQ202" s="253">
        <f>Table1[[#This Row],[AccessTot]]/3</f>
        <v>0</v>
      </c>
      <c r="CR202" s="253">
        <f>Table1[[#This Row],[AccessTot]]/3</f>
        <v>0</v>
      </c>
      <c r="CS202" s="254">
        <f>IF(Table1[[#This Row],[PellTot]]&gt;0,1500,0)</f>
        <v>0</v>
      </c>
      <c r="CT202" s="253">
        <f>Table1[[#This Row],[AchiTot]]/3</f>
        <v>0</v>
      </c>
      <c r="CU202" s="253">
        <f>Table1[[#This Row],[AchiTot]]/3</f>
        <v>0</v>
      </c>
      <c r="CV202" s="253">
        <f>Table1[[#This Row],[AchiTot]]/3</f>
        <v>0</v>
      </c>
      <c r="CW202" s="255">
        <f>IF(Table1[[#This Row],[Rank]]="","",IF(Table1[[#This Row],[Rank]]=1,5100,IF(Table1[[#This Row],[Rank]]=2,4500,IF(Table1[[#This Row],[Rank]]=3,3900,IF(Table1[[#This Row],[Rank]]=4,3750,IF(Table1[[#This Row],[Rank]]=5,3000,IF(Table1[[#This Row],[Rank]]=6,2250,0)))))))</f>
        <v>0</v>
      </c>
      <c r="CX202" s="253">
        <f>Table1[[#This Row],[UTTot]]/3</f>
        <v>0</v>
      </c>
      <c r="CY202" s="253">
        <f>Table1[[#This Row],[UTTot]]/3</f>
        <v>0</v>
      </c>
      <c r="CZ202" s="253">
        <f>Table1[[#This Row],[UTTot]]/3</f>
        <v>0</v>
      </c>
      <c r="DA202" s="254">
        <f>IF(Table1[[#This Row],[State]]="UT",9000,0)</f>
        <v>0</v>
      </c>
      <c r="DB202" s="253">
        <f>Table1[[#This Row],[WITTot]]/3</f>
        <v>0</v>
      </c>
      <c r="DC202" s="253">
        <f>Table1[[#This Row],[WITTot]]/3</f>
        <v>0</v>
      </c>
      <c r="DD202" s="253">
        <f>Table1[[#This Row],[WITTot]]/3</f>
        <v>0</v>
      </c>
      <c r="DE202" s="254">
        <f>IF(Table1[[#This Row],[Gender]]="Female",3000,0)</f>
        <v>0</v>
      </c>
      <c r="DF202" s="253">
        <f>Table1[[#This Row],[SerTot]]/3</f>
        <v>0</v>
      </c>
      <c r="DG202" s="253">
        <f>Table1[[#This Row],[SerTot]]/3</f>
        <v>0</v>
      </c>
      <c r="DH202" s="253">
        <f>Table1[[#This Row],[SerTot]]/3</f>
        <v>0</v>
      </c>
      <c r="DI202" s="255">
        <v>0</v>
      </c>
      <c r="DJ202" s="253">
        <f>IFERROR(ROUNDUP(Table1[[#This Row],[TranTot]]/3,0),0)</f>
        <v>0</v>
      </c>
      <c r="DK202" s="253">
        <f>IFERROR(ROUND(Table1[[#This Row],[TranTot]]/3,0),0)</f>
        <v>0</v>
      </c>
      <c r="DL202" s="253">
        <f>IFERROR(ROUNDDOWN(Table1[[#This Row],[TranTot]]/3,0),0)</f>
        <v>0</v>
      </c>
      <c r="DM202" s="255">
        <v>0</v>
      </c>
      <c r="DN202" s="253">
        <f>Table1[[#This Row],[MatTot]]/3</f>
        <v>0</v>
      </c>
      <c r="DO202" s="253">
        <f>Table1[[#This Row],[MatTot]]/3</f>
        <v>0</v>
      </c>
      <c r="DP202" s="253">
        <f>Table1[[#This Row],[MatTot]]/3</f>
        <v>0</v>
      </c>
      <c r="DQ202" s="255">
        <v>0</v>
      </c>
      <c r="DR202" s="253">
        <f>Table1[[#This Row],[OutTot]]/3</f>
        <v>0</v>
      </c>
      <c r="DS202" s="253">
        <f>Table1[[#This Row],[OutTot]]/3</f>
        <v>0</v>
      </c>
      <c r="DT202" s="253">
        <f>Table1[[#This Row],[OutTot]]/3</f>
        <v>0</v>
      </c>
      <c r="DU202" s="255">
        <v>0</v>
      </c>
      <c r="DV202" s="253">
        <v>0</v>
      </c>
      <c r="DW202" s="253">
        <v>0</v>
      </c>
      <c r="DX202" s="253">
        <v>0</v>
      </c>
      <c r="DY202" s="255">
        <f>SUM(Table1[[#This Row],[VAQ1]:[VAQ3]])</f>
        <v>0</v>
      </c>
      <c r="DZ202" s="253">
        <v>0</v>
      </c>
      <c r="EA202" s="253">
        <v>0</v>
      </c>
      <c r="EB202" s="253">
        <v>0</v>
      </c>
      <c r="EC202" s="278">
        <f>SUM(Table1[[#This Row],[OthGrantQ1]:[OthGrantQ3]])</f>
        <v>0</v>
      </c>
      <c r="ED202" s="264">
        <f>Table1[[#This Row],[SEOGTot]]+Table1[[#This Row],[PellTot]]+Table1[[#This Row],[AccessTot]]+Table1[[#This Row],[AchiTot]]+Table1[[#This Row],[UTTot]]+Table1[[#This Row],[WITTot]]+Table1[[#This Row],[SerTot]]+Table1[[#This Row],[TranTot]]+Table1[[#This Row],[MatTot]]+Table1[[#This Row],[OutTot]]+Table1[[#This Row],[VATot]]+Table1[[#This Row],[OthGrantTot]]</f>
        <v>0</v>
      </c>
      <c r="EE202" s="298">
        <v>0</v>
      </c>
      <c r="EF202" s="227">
        <v>0</v>
      </c>
      <c r="EG202" s="227">
        <v>0</v>
      </c>
      <c r="EH202" s="228">
        <f>SUM(Table1[[#This Row],[CashQ1]]:Table1[[#This Row],[CashQ3]])</f>
        <v>0</v>
      </c>
      <c r="EI202" s="229">
        <f>ROUND((Table1[[#This Row],[SubTot]]/3)/1.01059,0)</f>
        <v>1154</v>
      </c>
      <c r="EJ202" s="230">
        <f>ROUND((Table1[[#This Row],[SubTot]]/3)/1.01059,0)</f>
        <v>1154</v>
      </c>
      <c r="EK202" s="230">
        <f>ROUNDUP((Table1[[#This Row],[SubTot]]/3)/1.01059,0)</f>
        <v>1155</v>
      </c>
      <c r="EL202" s="231">
        <v>3500</v>
      </c>
      <c r="EM202" s="233">
        <f>Table1[[#This Row],[SubTot]]*0.01059</f>
        <v>37.065000000000005</v>
      </c>
      <c r="EN202" s="230">
        <f>ROUND((Table1[[#This Row],[UnsubTot]]/3)/1.01062,0)</f>
        <v>660</v>
      </c>
      <c r="EO202" s="230">
        <f>ROUND((Table1[[#This Row],[UnsubTot]]/3)/1.01062,0)</f>
        <v>660</v>
      </c>
      <c r="EP202" s="230">
        <f>ROUNDDOWN((Table1[[#This Row],[UnsubTot]]/3)/1.01062,0)</f>
        <v>659</v>
      </c>
      <c r="EQ202" s="231">
        <f>IF(Table1[D/I]="I",6000,2000)</f>
        <v>2000</v>
      </c>
      <c r="ER202" s="233">
        <f>Table1[[#This Row],[UnsubTot]]*0.01059</f>
        <v>21.18</v>
      </c>
      <c r="ES202" s="230">
        <f>ROUND((Table1[[#This Row],[PLUSTot]]/3)/1.04236,0)</f>
        <v>0</v>
      </c>
      <c r="ET202" s="230">
        <f>ROUND((Table1[[#This Row],[PLUSTot]]/3)/1.04236,0)</f>
        <v>0</v>
      </c>
      <c r="EU202" s="230">
        <f>ROUND((Table1[[#This Row],[PLUSTot]]/3)/1.04236,0)</f>
        <v>0</v>
      </c>
      <c r="EV202" s="231">
        <v>0</v>
      </c>
      <c r="EW202" s="236">
        <f>Table1[[#This Row],[PLUSTot]]*0.04236</f>
        <v>0</v>
      </c>
      <c r="EX202" s="227"/>
      <c r="EY202" s="227"/>
      <c r="EZ202" s="227"/>
      <c r="FA202" s="228">
        <f>SUM(Table1[[#This Row],[PrivQ1]:[PrivQ3]])</f>
        <v>0</v>
      </c>
      <c r="FB202" s="227"/>
      <c r="FC202" s="227"/>
      <c r="FD202" s="227"/>
      <c r="FE202" s="228">
        <f>SUM(Table1[[#This Row],[TOQ1]:[TOQ3]])</f>
        <v>0</v>
      </c>
      <c r="FF202" s="227"/>
      <c r="FG202" s="227"/>
      <c r="FH202" s="227"/>
      <c r="FI202" s="228">
        <f>SUM(Table1[[#This Row],[OFundQ1]:[OFundQ3]])</f>
        <v>0</v>
      </c>
      <c r="FJ202" s="236">
        <f>(Table1[[#This Row],[SubTot]]-Table1[[#This Row],[SubFee]])+(Table1[[#This Row],[UnsubTot]]-Table1[[#This Row],[UnsubFee]])+(Table1[[#This Row],[PLUSTot]]-Table1[[#This Row],[PLUSFee]])+Table1[[#This Row],[PrivTot]]+Table1[[#This Row],[TOTot]]+Table1[[#This Row],[OFundTot]]</f>
        <v>5441.7550000000001</v>
      </c>
      <c r="FK202" s="159">
        <f>Table1[[#This Row],[CostTot]]-Table1[[#This Row],[GiftTot]]</f>
        <v>39515</v>
      </c>
      <c r="FL202" s="174">
        <f>Table1[[#This Row],[NetNeed]]/(1-0.04236)</f>
        <v>35580.43210392214</v>
      </c>
      <c r="FM202" s="176">
        <f>Table1[[#This Row],[NetCost]]-Table1[[#This Row],[CashTot]]-(Table1[[#This Row],[SubTot]]-Table1[[#This Row],[SubFee]])-(Table1[[#This Row],[UnsubTot]]-Table1[[#This Row],[UnsubFee]])-(Table1[[#This Row],[PLUSTot]]-Table1[[#This Row],[PLUSFee]])-Table1[[#This Row],[PrivTot]]-Table1[[#This Row],[TOTot]]-Table1[[#This Row],[OFundTot]]</f>
        <v>34073.245000000003</v>
      </c>
      <c r="FN202" s="217"/>
      <c r="FO202" s="162"/>
      <c r="FP202" s="162"/>
    </row>
    <row r="203" spans="1:172" ht="15" x14ac:dyDescent="0.25">
      <c r="A203" s="310">
        <v>198663</v>
      </c>
      <c r="B203" s="113" t="str">
        <f>VLOOKUP(Table1[[#This Row],[SyStudentId]],SSR!$A$2:$CC$4982,4,FALSE)</f>
        <v>Wharton</v>
      </c>
      <c r="C203" s="113" t="str">
        <f>VLOOKUP(Table1[[#This Row],[SyStudentId]],SSR!$A$2:$CC$4982,5,FALSE)</f>
        <v>Mindy</v>
      </c>
      <c r="D203" s="113" t="str">
        <f>VLOOKUP(Table1[[#This Row],[SyStudentId]],SSR!$A$2:$CC$4982,6,FALSE)</f>
        <v>Wharton, Mindy</v>
      </c>
      <c r="E203" s="113" t="str">
        <f>CONCATENATE(Table1[[#This Row],[FirstName]]," ",Table1[[#This Row],[LastName]])</f>
        <v>Mindy Wharton</v>
      </c>
      <c r="F203" s="112">
        <v>1</v>
      </c>
      <c r="G203" s="114">
        <v>43795</v>
      </c>
      <c r="H203" s="114">
        <v>43795</v>
      </c>
      <c r="I203" s="114">
        <v>43795</v>
      </c>
      <c r="J203" s="163"/>
      <c r="K203" s="116"/>
      <c r="L203" s="112" t="str">
        <f>IFERROR(VLOOKUP(Table1[[#This Row],[SyStudentId]],ISIR!$A$2:$X$999,11,FALSE),"")</f>
        <v/>
      </c>
      <c r="M203" s="113" t="str">
        <f>VLOOKUP(Table1[[#This Row],[SyStudentId]],SSR!$A$2:$CC$4982,7,FALSE)</f>
        <v>MINDYLYNWHARTON@GMAIL.COM</v>
      </c>
      <c r="N203" s="113" t="str">
        <f>VLOOKUP(Table1[[#This Row],[SyStudentId]],SSR!$A$2:$CC$4982,8,FALSE)</f>
        <v>5764 S WATERBURY WAY, I</v>
      </c>
      <c r="O203" s="113" t="str">
        <f>VLOOKUP(Table1[[#This Row],[SyStudentId]],SSR!$A$2:$CC$4982,9,FALSE)</f>
        <v>MURRAY</v>
      </c>
      <c r="P203" s="113" t="str">
        <f>VLOOKUP(Table1[[#This Row],[SyStudentId]],SSR!$A$2:$CC$4982,10,FALSE)</f>
        <v>UT</v>
      </c>
      <c r="Q203" s="117" t="str">
        <f>VLOOKUP(Table1[[#This Row],[SyStudentId]],SSR!$A$2:$CC$4982,11,FALSE)</f>
        <v xml:space="preserve">84121     </v>
      </c>
      <c r="R203" s="118">
        <f>VLOOKUP(Table1[[#This Row],[SyStudentId]],SSR!$A$2:$CC$4982,15,FALSE)</f>
        <v>3.512</v>
      </c>
      <c r="S203" s="119">
        <f>VLOOKUP(Table1[[#This Row],[SyStudentId]],SSR!$A$2:$CC$4982,22,FALSE)</f>
        <v>44109</v>
      </c>
      <c r="T203" s="113" t="str">
        <f>VLOOKUP(Table1[[#This Row],[SyStudentId]],SSR!$A$2:$CC$4982,24,FALSE)</f>
        <v>MR</v>
      </c>
      <c r="U203" s="113" t="str">
        <f>IF(VLOOKUP(Table1[[#This Row],[SyStudentId]],SSR!$A$2:$CC$4982,26,FALSE)=0,"Not Selected",VLOOKUP(Table1[[#This Row],[SyStudentId]],SSR!$A$2:$CC$4982,26,FALSE))</f>
        <v>Female</v>
      </c>
      <c r="V203" s="113" t="str">
        <f>VLOOKUP(Table1[[#This Row],[SyStudentId]],SSR!$A$2:$CC$4982,27,FALSE)</f>
        <v xml:space="preserve">HS2014  </v>
      </c>
      <c r="W203" s="113" t="str">
        <f>VLOOKUP(LEFT(Table1[[#This Row],[LastName]],1),Alpha!$A$1:$B$26,2,FALSE)</f>
        <v>Maureen Ranks</v>
      </c>
      <c r="X203" s="149" t="str">
        <f>VLOOKUP(Table1[[#This Row],[FAA]],Alpha!$B$1:$D$26,2,FALSE)</f>
        <v>mranks@neumont.edu</v>
      </c>
      <c r="Y203" s="113">
        <f>VLOOKUP(Table1[[#This Row],[FAA]],Alpha!$B$1:$D$26,3,FALSE)</f>
        <v>8883022894</v>
      </c>
      <c r="Z203" s="113" t="str">
        <f>VLOOKUP(Table1[[#This Row],[SyStudentId]],SSR!$A$2:$CC$4982,30,FALSE)</f>
        <v>16-Accepted</v>
      </c>
      <c r="AA203" s="113" t="str">
        <f>IF(VLOOKUP(Table1[[#This Row],[SyStudentId]],SSR!$A$2:$CC$4982,36,FALSE)="Bachelor of Science","BS Computer Science","Check Program")</f>
        <v>BS Computer Science</v>
      </c>
      <c r="AB203" s="113" t="str">
        <f>VLOOKUP(Table1[[#This Row],[SyStudentId]],SSR!$A$2:$CC$4982,37,FALSE)</f>
        <v xml:space="preserve">20      </v>
      </c>
      <c r="AC203" s="113">
        <f>VLOOKUP(Table1[[#This Row],[SyStudentId]],SSR!$A$2:$CC$4982,42,FALSE)</f>
        <v>0</v>
      </c>
      <c r="AD203" s="113" t="str">
        <f>VLOOKUP(Table1[[#This Row],[SyStudentId]],SSR!$A$2:$CC$4982,46,FALSE)</f>
        <v>104</v>
      </c>
      <c r="AE203" s="113" t="str">
        <f>VLOOKUP(Table1[[#This Row],[SyStudentId]],SSR!$A$2:$CC$4982,65,FALSE)</f>
        <v>IV</v>
      </c>
      <c r="AF20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4</v>
      </c>
      <c r="AG203" s="113" t="str">
        <f>VLOOKUP(Table1[[#This Row],[SyStudentId]],SSR!$A$2:$CC$4982,66,FALSE)</f>
        <v>November</v>
      </c>
      <c r="AH203" s="113" t="str">
        <f>IFERROR(VLOOKUP(Table1[[#This Row],[SyStudentId]],ISIR!$A$2:$X$999,7,FALSE),"")</f>
        <v/>
      </c>
      <c r="AI203" s="121" t="str">
        <f>IF(Table1[[#This Row],[EFCRaw]]="","",IF(Table1[[#This Row],[EFCRaw]]="No EFC","No EFC",_xlfn.NUMBERVALUE(Table1[[#This Row],[EFCRaw]])))</f>
        <v/>
      </c>
      <c r="AJ203" s="119" t="str">
        <f>IFERROR(VLOOKUP(Table1[[#This Row],[SyStudentId]],ISIR!$A$2:$X$4999,19,FALSE),"")</f>
        <v/>
      </c>
      <c r="AK203" s="113" t="str">
        <f>IFERROR(VLOOKUP(Table1[[#This Row],[SyStudentId]],ISIR!$A$2:$X$4999,8,FALSE),"")</f>
        <v/>
      </c>
      <c r="AL203" s="132" t="str">
        <f>IF(Table1[[#This Row],[VerReq]]="N","n/a","")</f>
        <v/>
      </c>
      <c r="AM203" s="122"/>
      <c r="AN203" s="122"/>
      <c r="AO203" s="122">
        <v>43791</v>
      </c>
      <c r="AP203" s="122"/>
      <c r="AQ203" s="122"/>
      <c r="AR203" s="122"/>
      <c r="AS203" s="122"/>
      <c r="AT203" s="122"/>
      <c r="AU203" s="122"/>
      <c r="AV203" s="122"/>
      <c r="AW203" s="122"/>
      <c r="AX203" s="122"/>
      <c r="AY203" s="122"/>
      <c r="AZ203" s="122"/>
      <c r="BA203" s="122"/>
      <c r="BB203" s="122"/>
      <c r="BC203" s="148"/>
      <c r="BD203" s="140" t="str">
        <f>IF(Table1[[#This Row],[VerReq]]="N","x","")</f>
        <v/>
      </c>
      <c r="BE203" s="140" t="str">
        <f>IF(Table1[[#This Row],[VerReq]]="N","x","")</f>
        <v/>
      </c>
      <c r="BF203" s="140" t="str">
        <f>IF(Table1[[#This Row],[VerReq]]="N","x","")</f>
        <v/>
      </c>
      <c r="BG203" s="140" t="str">
        <f>IF(Table1[[#This Row],[VerReq]]="N","x","")</f>
        <v/>
      </c>
      <c r="BH203" s="140" t="str">
        <f>IF(Table1[[#This Row],[VerReq]]="N","x","")</f>
        <v/>
      </c>
      <c r="BI203" s="140" t="str">
        <f>IF(Table1[[#This Row],[VerReq]]="N","x","")</f>
        <v/>
      </c>
      <c r="BJ203" s="123">
        <f>1-((COUNTBLANK(Table1[[#This Row],[ALESent]:[TaxTran]]))/(COUNT(Table1[[#This Row],[ALESent]:[TaxTran]])+COUNTBLANK(Table1[[#This Row],[ALESent]:[TaxTran]])))</f>
        <v>4.3478260869565188E-2</v>
      </c>
      <c r="BK203" s="150">
        <f>IF(VLOOKUP(Table1[[#This Row],[SyStudentId]],SSR!$A$2:$CC$4982,22,FALSE)=44109,44109,"Check Program")</f>
        <v>44109</v>
      </c>
      <c r="BL203" s="150">
        <f>IF(Table1[[#This Row],[AYStart]]=44109,44356,"Check Program")</f>
        <v>44356</v>
      </c>
      <c r="BM203" s="219">
        <v>8505</v>
      </c>
      <c r="BN203" s="219">
        <v>8505</v>
      </c>
      <c r="BO203" s="219">
        <v>8505</v>
      </c>
      <c r="BP203" s="220">
        <f t="shared" si="9"/>
        <v>25515</v>
      </c>
      <c r="BQ203" s="221">
        <v>3300</v>
      </c>
      <c r="BR203" s="219">
        <v>400</v>
      </c>
      <c r="BS203" s="219">
        <v>400</v>
      </c>
      <c r="BT203" s="220">
        <f t="shared" si="10"/>
        <v>4100</v>
      </c>
      <c r="BU203" s="219">
        <v>2100</v>
      </c>
      <c r="BV203" s="219">
        <v>2100</v>
      </c>
      <c r="BW203" s="219">
        <v>2100</v>
      </c>
      <c r="BX203" s="220">
        <f t="shared" si="11"/>
        <v>6300</v>
      </c>
      <c r="BY203" s="275">
        <v>1200</v>
      </c>
      <c r="BZ203" s="275">
        <v>1200</v>
      </c>
      <c r="CA203" s="275">
        <v>1200</v>
      </c>
      <c r="CB203" s="220">
        <f>SUM(Table1[[#This Row],[LEQ1]:[LEQ3]])</f>
        <v>3600</v>
      </c>
      <c r="CC203" s="269"/>
      <c r="CD203" s="269"/>
      <c r="CE203" s="269"/>
      <c r="CF203" s="220">
        <f>SUM(Table1[[#This Row],[OthCostQ1]:[OthCostQ3]])</f>
        <v>0</v>
      </c>
      <c r="CG203" s="220">
        <f>(Table1[[#This Row],[T&amp;FTot]]+Table1[[#This Row],[B&amp;STot]]+Table1[[#This Row],[HousTot]]+Table1[[#This Row],[LETot]]+Table1[[#This Row],[OthCostTot]])</f>
        <v>39515</v>
      </c>
      <c r="CH203" s="250"/>
      <c r="CI203" s="250"/>
      <c r="CJ203" s="250"/>
      <c r="CK203" s="251">
        <f>SUM(Table1[[#This Row],[SEOGQ1]:[SEOGQ3]])</f>
        <v>0</v>
      </c>
      <c r="CL203" s="250">
        <f>IFERROR(ROUNDUP(Table1[[#This Row],[PellTot]]/3,0),0)</f>
        <v>0</v>
      </c>
      <c r="CM203" s="250">
        <f>IFERROR(ROUND(Table1[[#This Row],[PellTot]]/3,0),0)</f>
        <v>0</v>
      </c>
      <c r="CN203" s="250">
        <f>IFERROR(ROUNDDOWN(Table1[[#This Row],[PellTot]]/3,0),0)</f>
        <v>0</v>
      </c>
      <c r="CO203" s="251">
        <f>IFERROR(LOOKUP(Table1[EFC],Pell_Table[#Data],Pell_Table[Pell Amt]),0)</f>
        <v>0</v>
      </c>
      <c r="CP203" s="250">
        <f>Table1[[#This Row],[AccessTot]]/3</f>
        <v>0</v>
      </c>
      <c r="CQ203" s="250">
        <f>Table1[[#This Row],[AccessTot]]/3</f>
        <v>0</v>
      </c>
      <c r="CR203" s="250">
        <f>Table1[[#This Row],[AccessTot]]/3</f>
        <v>0</v>
      </c>
      <c r="CS203" s="251">
        <f>IF(Table1[[#This Row],[PellTot]]&gt;0,1500,0)</f>
        <v>0</v>
      </c>
      <c r="CT203" s="250">
        <f>Table1[[#This Row],[AchiTot]]/3</f>
        <v>1250</v>
      </c>
      <c r="CU203" s="250">
        <f>Table1[[#This Row],[AchiTot]]/3</f>
        <v>1250</v>
      </c>
      <c r="CV203" s="250">
        <f>Table1[[#This Row],[AchiTot]]/3</f>
        <v>1250</v>
      </c>
      <c r="CW203" s="252">
        <f>IF(Table1[[#This Row],[Rank]]="","",IF(Table1[[#This Row],[Rank]]=1,5100,IF(Table1[[#This Row],[Rank]]=2,4500,IF(Table1[[#This Row],[Rank]]=3,3900,IF(Table1[[#This Row],[Rank]]=4,3750,IF(Table1[[#This Row],[Rank]]=5,3000,IF(Table1[[#This Row],[Rank]]=6,2250,0)))))))</f>
        <v>3750</v>
      </c>
      <c r="CX203" s="250">
        <f>Table1[[#This Row],[UTTot]]/3</f>
        <v>3000</v>
      </c>
      <c r="CY203" s="250">
        <f>Table1[[#This Row],[UTTot]]/3</f>
        <v>3000</v>
      </c>
      <c r="CZ203" s="250">
        <f>Table1[[#This Row],[UTTot]]/3</f>
        <v>3000</v>
      </c>
      <c r="DA203" s="251">
        <f>IF(Table1[[#This Row],[State]]="UT",9000,0)</f>
        <v>9000</v>
      </c>
      <c r="DB203" s="250">
        <f>Table1[[#This Row],[WITTot]]/3</f>
        <v>1000</v>
      </c>
      <c r="DC203" s="250">
        <f>Table1[[#This Row],[WITTot]]/3</f>
        <v>1000</v>
      </c>
      <c r="DD203" s="250">
        <f>Table1[[#This Row],[WITTot]]/3</f>
        <v>1000</v>
      </c>
      <c r="DE203" s="251">
        <f>IF(Table1[[#This Row],[Gender]]="Female",3000,0)</f>
        <v>3000</v>
      </c>
      <c r="DF203" s="250">
        <f>Table1[[#This Row],[SerTot]]/3</f>
        <v>0</v>
      </c>
      <c r="DG203" s="250">
        <f>Table1[[#This Row],[SerTot]]/3</f>
        <v>0</v>
      </c>
      <c r="DH203" s="250">
        <f>Table1[[#This Row],[SerTot]]/3</f>
        <v>0</v>
      </c>
      <c r="DI203" s="252"/>
      <c r="DJ203" s="250"/>
      <c r="DK203" s="250"/>
      <c r="DL203" s="250"/>
      <c r="DM203" s="252"/>
      <c r="DN203" s="250">
        <f>Table1[[#This Row],[MatTot]]/3</f>
        <v>0</v>
      </c>
      <c r="DO203" s="250">
        <f>Table1[[#This Row],[MatTot]]/3</f>
        <v>0</v>
      </c>
      <c r="DP203" s="250">
        <f>Table1[[#This Row],[MatTot]]/3</f>
        <v>0</v>
      </c>
      <c r="DQ203" s="252"/>
      <c r="DR203" s="250">
        <f>Table1[[#This Row],[OutTot]]/3</f>
        <v>0</v>
      </c>
      <c r="DS203" s="250">
        <f>Table1[[#This Row],[OutTot]]/3</f>
        <v>0</v>
      </c>
      <c r="DT203" s="250">
        <f>Table1[[#This Row],[OutTot]]/3</f>
        <v>0</v>
      </c>
      <c r="DU203" s="252"/>
      <c r="DV203" s="250"/>
      <c r="DW203" s="250"/>
      <c r="DX203" s="250"/>
      <c r="DY203" s="252">
        <f>SUM(Table1[[#This Row],[VAQ1]:[VAQ3]])</f>
        <v>0</v>
      </c>
      <c r="DZ203" s="250"/>
      <c r="EA203" s="250"/>
      <c r="EB203" s="250"/>
      <c r="EC203" s="270">
        <f>SUM(Table1[[#This Row],[OthGrantQ1]:[OthGrantQ3]])</f>
        <v>0</v>
      </c>
      <c r="ED203" s="263">
        <f>Table1[[#This Row],[SEOGTot]]+Table1[[#This Row],[PellTot]]+Table1[[#This Row],[AccessTot]]+Table1[[#This Row],[AchiTot]]+Table1[[#This Row],[UTTot]]+Table1[[#This Row],[WITTot]]+Table1[[#This Row],[SerTot]]+Table1[[#This Row],[TranTot]]+Table1[[#This Row],[MatTot]]+Table1[[#This Row],[OutTot]]+Table1[[#This Row],[VATot]]+Table1[[#This Row],[OthGrantTot]]</f>
        <v>15750</v>
      </c>
      <c r="EE203" s="282"/>
      <c r="EF203" s="237"/>
      <c r="EG203" s="237"/>
      <c r="EH203" s="232">
        <f>SUM(Table1[[#This Row],[CashQ1]]:Table1[[#This Row],[CashQ3]])</f>
        <v>0</v>
      </c>
      <c r="EI203" s="271">
        <f>ROUND((Table1[[#This Row],[SubTot]]/3)/1.01059,0)</f>
        <v>0</v>
      </c>
      <c r="EJ203" s="234">
        <f>ROUND((Table1[[#This Row],[SubTot]]/3)/1.01059,0)</f>
        <v>0</v>
      </c>
      <c r="EK203" s="234">
        <f>ROUNDUP((Table1[[#This Row],[SubTot]]/3)/1.01059,0)</f>
        <v>0</v>
      </c>
      <c r="EL203" s="235"/>
      <c r="EM203" s="240">
        <f>Table1[[#This Row],[SubTot]]*0.01059</f>
        <v>0</v>
      </c>
      <c r="EN203" s="234">
        <f>ROUND((Table1[[#This Row],[UnsubTot]]/3)/1.01062,0)</f>
        <v>660</v>
      </c>
      <c r="EO203" s="234">
        <f>ROUND((Table1[[#This Row],[UnsubTot]]/3)/1.01062,0)</f>
        <v>660</v>
      </c>
      <c r="EP203" s="234">
        <f>ROUNDDOWN((Table1[[#This Row],[UnsubTot]]/3)/1.01062,0)</f>
        <v>659</v>
      </c>
      <c r="EQ203" s="235">
        <f>IF(Table1[D/I]="I",6000,2000)</f>
        <v>2000</v>
      </c>
      <c r="ER203" s="240">
        <f>Table1[[#This Row],[UnsubTot]]*0.01062</f>
        <v>21.24</v>
      </c>
      <c r="ES203" s="234">
        <f>ROUND((Table1[[#This Row],[PLUSTot]]/3)/1.04248,0)</f>
        <v>0</v>
      </c>
      <c r="ET203" s="234">
        <f>ROUND((Table1[[#This Row],[PLUSTot]]/3)/1.04248,0)</f>
        <v>0</v>
      </c>
      <c r="EU203" s="234">
        <f>ROUND((Table1[[#This Row],[PLUSTot]]/3)/1.04248,0)</f>
        <v>0</v>
      </c>
      <c r="EV203" s="235"/>
      <c r="EW203" s="239">
        <f>Table1[[#This Row],[PLUSTot]]*0.04248</f>
        <v>0</v>
      </c>
      <c r="EX203" s="237"/>
      <c r="EY203" s="237"/>
      <c r="EZ203" s="237"/>
      <c r="FA203" s="232">
        <f>SUM(Table1[[#This Row],[PrivQ1]:[PrivQ3]])</f>
        <v>0</v>
      </c>
      <c r="FB203" s="237"/>
      <c r="FC203" s="237"/>
      <c r="FD203" s="237"/>
      <c r="FE203" s="232">
        <f>SUM(Table1[[#This Row],[TOQ1]:[TOQ3]])</f>
        <v>0</v>
      </c>
      <c r="FF203" s="237"/>
      <c r="FG203" s="237"/>
      <c r="FH203" s="237"/>
      <c r="FI203" s="232">
        <f>SUM(Table1[[#This Row],[OFundQ1]:[OFundQ3]])</f>
        <v>0</v>
      </c>
      <c r="FJ203" s="239">
        <f>(Table1[[#This Row],[SubTot]]-Table1[[#This Row],[SubFee]])+(Table1[[#This Row],[UnsubTot]]-Table1[[#This Row],[UnsubFee]])+(Table1[[#This Row],[PLUSTot]]-Table1[[#This Row],[PLUSFee]])+Table1[[#This Row],[PrivTot]]+Table1[[#This Row],[TOTot]]+Table1[[#This Row],[OFundTot]]</f>
        <v>1978.76</v>
      </c>
      <c r="FK203" s="125">
        <f>Table1[[#This Row],[CostTot]]-Table1[[#This Row],[GiftTot]]</f>
        <v>23765</v>
      </c>
      <c r="FL203" s="130">
        <f>Table1[[#This Row],[NetNeed]]/(1-0.04248)</f>
        <v>22752.778009858801</v>
      </c>
      <c r="FM203" s="131">
        <f>Table1[[#This Row],[NetCost]]-Table1[[#This Row],[CashTot]]-(Table1[[#This Row],[SubTot]]-Table1[[#This Row],[SubFee]])-(Table1[[#This Row],[UnsubTot]]-Table1[[#This Row],[UnsubFee]])-(Table1[[#This Row],[PLUSTot]]-Table1[[#This Row],[PLUSFee]])-Table1[[#This Row],[PrivTot]]-Table1[[#This Row],[TOTot]]-Table1[[#This Row],[OFundTot]]</f>
        <v>21786.240000000002</v>
      </c>
      <c r="FN203" s="156"/>
      <c r="FO203" s="113"/>
      <c r="FP203" s="113"/>
    </row>
    <row r="204" spans="1:172" ht="15" x14ac:dyDescent="0.25">
      <c r="A204" s="311">
        <v>196946</v>
      </c>
      <c r="B204" s="113" t="str">
        <f>VLOOKUP(Table1[[#This Row],[SyStudentId]],SSR!$A$2:$CC$4982,4,FALSE)</f>
        <v>Wheeler</v>
      </c>
      <c r="C204" s="113" t="str">
        <f>VLOOKUP(Table1[[#This Row],[SyStudentId]],SSR!$A$2:$CC$4982,5,FALSE)</f>
        <v>Nehemiah</v>
      </c>
      <c r="D204" s="113" t="str">
        <f>VLOOKUP(Table1[[#This Row],[SyStudentId]],SSR!$A$2:$CC$4982,6,FALSE)</f>
        <v>Wheeler, Nehemiah</v>
      </c>
      <c r="E204" s="113" t="str">
        <f>CONCATENATE(Table1[[#This Row],[FirstName]]," ",Table1[[#This Row],[LastName]])</f>
        <v>Nehemiah Wheeler</v>
      </c>
      <c r="F204" s="112"/>
      <c r="G204" s="114"/>
      <c r="H204" s="114"/>
      <c r="I204" s="114"/>
      <c r="J204" s="115"/>
      <c r="K204" s="116"/>
      <c r="L204" s="112" t="str">
        <f>IFERROR(VLOOKUP(Table1[[#This Row],[SyStudentId]],ISIR!$A$2:$X$999,11,FALSE),"")</f>
        <v/>
      </c>
      <c r="M204" s="113" t="str">
        <f>VLOOKUP(Table1[[#This Row],[SyStudentId]],SSR!$A$2:$CC$4982,7,FALSE)</f>
        <v>nehemiah1280@gmail.com</v>
      </c>
      <c r="N204" s="113" t="str">
        <f>VLOOKUP(Table1[[#This Row],[SyStudentId]],SSR!$A$2:$CC$4982,8,FALSE)</f>
        <v>119 Carondolet Ct N</v>
      </c>
      <c r="O204" s="113" t="str">
        <f>VLOOKUP(Table1[[#This Row],[SyStudentId]],SSR!$A$2:$CC$4982,9,FALSE)</f>
        <v>Mobile</v>
      </c>
      <c r="P204" s="113" t="str">
        <f>VLOOKUP(Table1[[#This Row],[SyStudentId]],SSR!$A$2:$CC$4982,10,FALSE)</f>
        <v>AL</v>
      </c>
      <c r="Q204" s="117" t="str">
        <f>VLOOKUP(Table1[[#This Row],[SyStudentId]],SSR!$A$2:$CC$4982,11,FALSE)</f>
        <v>36608-5716</v>
      </c>
      <c r="R204" s="118">
        <f>VLOOKUP(Table1[[#This Row],[SyStudentId]],SSR!$A$2:$CC$4982,15,FALSE)</f>
        <v>2.88496</v>
      </c>
      <c r="S204" s="119">
        <f>VLOOKUP(Table1[[#This Row],[SyStudentId]],SSR!$A$2:$CC$4982,22,FALSE)</f>
        <v>44109</v>
      </c>
      <c r="T204" s="113" t="str">
        <f>VLOOKUP(Table1[[#This Row],[SyStudentId]],SSR!$A$2:$CC$4982,24,FALSE)</f>
        <v>JT</v>
      </c>
      <c r="U204" s="113" t="str">
        <f>IF(VLOOKUP(Table1[[#This Row],[SyStudentId]],SSR!$A$2:$CC$4982,26,FALSE)=0,"Not Selected",VLOOKUP(Table1[[#This Row],[SyStudentId]],SSR!$A$2:$CC$4982,26,FALSE))</f>
        <v>Male</v>
      </c>
      <c r="V204" s="113" t="str">
        <f>VLOOKUP(Table1[[#This Row],[SyStudentId]],SSR!$A$2:$CC$4982,27,FALSE)</f>
        <v xml:space="preserve">HS2020  </v>
      </c>
      <c r="W204" s="113" t="str">
        <f>VLOOKUP(LEFT(Table1[[#This Row],[LastName]],1),Alpha!$A$1:$B$26,2,FALSE)</f>
        <v>Maureen Ranks</v>
      </c>
      <c r="X204" s="149" t="str">
        <f>VLOOKUP(Table1[[#This Row],[FAA]],Alpha!$B$1:$D$26,2,FALSE)</f>
        <v>mranks@neumont.edu</v>
      </c>
      <c r="Y204" s="113">
        <f>VLOOKUP(Table1[[#This Row],[FAA]],Alpha!$B$1:$D$26,3,FALSE)</f>
        <v>8883022894</v>
      </c>
      <c r="Z204" s="113" t="str">
        <f>VLOOKUP(Table1[[#This Row],[SyStudentId]],SSR!$A$2:$CC$4982,30,FALSE)</f>
        <v>16-Accepted</v>
      </c>
      <c r="AA204" s="113" t="str">
        <f>IF(VLOOKUP(Table1[[#This Row],[SyStudentId]],SSR!$A$2:$CC$4982,36,FALSE)="Bachelor of Science","BS Computer Science","Check Program")</f>
        <v>BS Computer Science</v>
      </c>
      <c r="AB204" s="113" t="str">
        <f>VLOOKUP(Table1[[#This Row],[SyStudentId]],SSR!$A$2:$CC$4982,37,FALSE)</f>
        <v xml:space="preserve">18      </v>
      </c>
      <c r="AC204" s="113">
        <f>VLOOKUP(Table1[[#This Row],[SyStudentId]],SSR!$A$2:$CC$4982,42,FALSE)</f>
        <v>0</v>
      </c>
      <c r="AD204" s="113" t="str">
        <f>VLOOKUP(Table1[[#This Row],[SyStudentId]],SSR!$A$2:$CC$4982,46,FALSE)</f>
        <v>90</v>
      </c>
      <c r="AE204" s="113" t="str">
        <f>VLOOKUP(Table1[[#This Row],[SyStudentId]],SSR!$A$2:$CC$4982,65,FALSE)</f>
        <v>VIII</v>
      </c>
      <c r="AF204"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204" s="113" t="str">
        <f>VLOOKUP(Table1[[#This Row],[SyStudentId]],SSR!$A$2:$CC$4982,66,FALSE)</f>
        <v>October</v>
      </c>
      <c r="AH204" s="113" t="str">
        <f>IFERROR(VLOOKUP(Table1[[#This Row],[SyStudentId]],ISIR!$A$2:$X$999,7,FALSE),"")</f>
        <v/>
      </c>
      <c r="AI204" s="121" t="str">
        <f>IF(Table1[[#This Row],[EFCRaw]]="","",IF(Table1[[#This Row],[EFCRaw]]="No EFC","No EFC",_xlfn.NUMBERVALUE(Table1[[#This Row],[EFCRaw]])))</f>
        <v/>
      </c>
      <c r="AJ204" s="119" t="str">
        <f>IFERROR(VLOOKUP(Table1[[#This Row],[SyStudentId]],ISIR!$A$2:$X$4999,19,FALSE),"")</f>
        <v/>
      </c>
      <c r="AK204" s="113" t="str">
        <f>IFERROR(VLOOKUP(Table1[[#This Row],[SyStudentId]],ISIR!$A$2:$X$4999,8,FALSE),"")</f>
        <v/>
      </c>
      <c r="AL204" s="132" t="str">
        <f>IF(Table1[[#This Row],[VerReq]]="N","n/a","")</f>
        <v/>
      </c>
      <c r="AM204" s="122"/>
      <c r="AN204" s="122"/>
      <c r="AO204" s="122"/>
      <c r="AP204" s="122"/>
      <c r="AQ204" s="122"/>
      <c r="AR204" s="122"/>
      <c r="AS204" s="122"/>
      <c r="AT204" s="122"/>
      <c r="AU204" s="122"/>
      <c r="AV204" s="122"/>
      <c r="AW204" s="122"/>
      <c r="AX204" s="122"/>
      <c r="AY204" s="122"/>
      <c r="AZ204" s="122"/>
      <c r="BA204" s="122"/>
      <c r="BB204" s="122"/>
      <c r="BC204" s="148"/>
      <c r="BD204" s="140" t="str">
        <f>IF(Table1[[#This Row],[VerReq]]="N","x","")</f>
        <v/>
      </c>
      <c r="BE204" s="140" t="str">
        <f>IF(Table1[[#This Row],[VerReq]]="N","x","")</f>
        <v/>
      </c>
      <c r="BF204" s="140" t="str">
        <f>IF(Table1[[#This Row],[VerReq]]="N","x","")</f>
        <v/>
      </c>
      <c r="BG204" s="140" t="str">
        <f>IF(Table1[[#This Row],[VerReq]]="N","x","")</f>
        <v/>
      </c>
      <c r="BH204" s="140" t="str">
        <f>IF(Table1[[#This Row],[VerReq]]="N","x","")</f>
        <v/>
      </c>
      <c r="BI204" s="140" t="str">
        <f>IF(Table1[[#This Row],[VerReq]]="N","x","")</f>
        <v/>
      </c>
      <c r="BJ204" s="123">
        <f>1-((COUNTBLANK(Table1[[#This Row],[ALESent]:[TaxTran]]))/(COUNT(Table1[[#This Row],[ALESent]:[TaxTran]])+COUNTBLANK(Table1[[#This Row],[ALESent]:[TaxTran]])))</f>
        <v>0</v>
      </c>
      <c r="BK204" s="150">
        <f>IF(VLOOKUP(Table1[[#This Row],[SyStudentId]],SSR!$A$2:$CC$4982,22,FALSE)=44109,44109,"Check Program")</f>
        <v>44109</v>
      </c>
      <c r="BL204" s="150">
        <f>IF(Table1[[#This Row],[AYStart]]=44109,44356,"Check Program")</f>
        <v>44356</v>
      </c>
      <c r="BM204" s="219">
        <v>8505</v>
      </c>
      <c r="BN204" s="219">
        <v>8505</v>
      </c>
      <c r="BO204" s="219">
        <v>8505</v>
      </c>
      <c r="BP204" s="220">
        <f t="shared" si="9"/>
        <v>25515</v>
      </c>
      <c r="BQ204" s="221">
        <v>3300</v>
      </c>
      <c r="BR204" s="219">
        <v>400</v>
      </c>
      <c r="BS204" s="219">
        <v>400</v>
      </c>
      <c r="BT204" s="220">
        <f t="shared" si="10"/>
        <v>4100</v>
      </c>
      <c r="BU204" s="219">
        <v>2100</v>
      </c>
      <c r="BV204" s="219">
        <v>2100</v>
      </c>
      <c r="BW204" s="219">
        <v>2100</v>
      </c>
      <c r="BX204" s="220">
        <f t="shared" si="11"/>
        <v>6300</v>
      </c>
      <c r="BY204" s="275">
        <v>1200</v>
      </c>
      <c r="BZ204" s="275">
        <v>1200</v>
      </c>
      <c r="CA204" s="275">
        <v>1200</v>
      </c>
      <c r="CB204" s="220">
        <f>SUM(Table1[[#This Row],[LEQ1]:[LEQ3]])</f>
        <v>3600</v>
      </c>
      <c r="CC204" s="269"/>
      <c r="CD204" s="269"/>
      <c r="CE204" s="269"/>
      <c r="CF204" s="220">
        <f>SUM(Table1[[#This Row],[OthCostQ1]:[OthCostQ3]])</f>
        <v>0</v>
      </c>
      <c r="CG204" s="220">
        <f>(Table1[[#This Row],[T&amp;FTot]]+Table1[[#This Row],[B&amp;STot]]+Table1[[#This Row],[HousTot]]+Table1[[#This Row],[LETot]]+Table1[[#This Row],[OthCostTot]])</f>
        <v>39515</v>
      </c>
      <c r="CH204" s="250"/>
      <c r="CI204" s="250"/>
      <c r="CJ204" s="250"/>
      <c r="CK204" s="251">
        <f>SUM(Table1[[#This Row],[SEOGQ1]:[SEOGQ3]])</f>
        <v>0</v>
      </c>
      <c r="CL204" s="250">
        <f>IFERROR(ROUNDUP(Table1[[#This Row],[PellTot]]/3,0),0)</f>
        <v>0</v>
      </c>
      <c r="CM204" s="250">
        <f>IFERROR(ROUND(Table1[[#This Row],[PellTot]]/3,0),0)</f>
        <v>0</v>
      </c>
      <c r="CN204" s="250">
        <f>IFERROR(ROUNDDOWN(Table1[[#This Row],[PellTot]]/3,0),0)</f>
        <v>0</v>
      </c>
      <c r="CO204" s="251">
        <f>IFERROR(LOOKUP(Table1[EFC],Pell_Table[#Data],Pell_Table[Pell Amt]),0)</f>
        <v>0</v>
      </c>
      <c r="CP204" s="250">
        <f>Table1[[#This Row],[AccessTot]]/3</f>
        <v>0</v>
      </c>
      <c r="CQ204" s="250">
        <f>Table1[[#This Row],[AccessTot]]/3</f>
        <v>0</v>
      </c>
      <c r="CR204" s="250">
        <f>Table1[[#This Row],[AccessTot]]/3</f>
        <v>0</v>
      </c>
      <c r="CS204" s="251">
        <f>IF(Table1[[#This Row],[PellTot]]&gt;0,1500,0)</f>
        <v>0</v>
      </c>
      <c r="CT204" s="250">
        <f>Table1[[#This Row],[AchiTot]]/3</f>
        <v>0</v>
      </c>
      <c r="CU204" s="250">
        <f>Table1[[#This Row],[AchiTot]]/3</f>
        <v>0</v>
      </c>
      <c r="CV204" s="250">
        <f>Table1[[#This Row],[AchiTot]]/3</f>
        <v>0</v>
      </c>
      <c r="CW204" s="252">
        <f>IF(Table1[[#This Row],[Rank]]="","",IF(Table1[[#This Row],[Rank]]=1,5100,IF(Table1[[#This Row],[Rank]]=2,4500,IF(Table1[[#This Row],[Rank]]=3,3900,IF(Table1[[#This Row],[Rank]]=4,3750,IF(Table1[[#This Row],[Rank]]=5,3000,IF(Table1[[#This Row],[Rank]]=6,2250,0)))))))</f>
        <v>0</v>
      </c>
      <c r="CX204" s="250">
        <f>Table1[[#This Row],[UTTot]]/3</f>
        <v>0</v>
      </c>
      <c r="CY204" s="250">
        <f>Table1[[#This Row],[UTTot]]/3</f>
        <v>0</v>
      </c>
      <c r="CZ204" s="250">
        <f>Table1[[#This Row],[UTTot]]/3</f>
        <v>0</v>
      </c>
      <c r="DA204" s="251">
        <f>IF(Table1[[#This Row],[State]]="UT",9000,0)</f>
        <v>0</v>
      </c>
      <c r="DB204" s="250">
        <f>Table1[[#This Row],[WITTot]]/3</f>
        <v>0</v>
      </c>
      <c r="DC204" s="250">
        <f>Table1[[#This Row],[WITTot]]/3</f>
        <v>0</v>
      </c>
      <c r="DD204" s="250">
        <f>Table1[[#This Row],[WITTot]]/3</f>
        <v>0</v>
      </c>
      <c r="DE204" s="251">
        <f>IF(Table1[[#This Row],[Gender]]="Female",3000,0)</f>
        <v>0</v>
      </c>
      <c r="DF204" s="250">
        <f>Table1[[#This Row],[SerTot]]/3</f>
        <v>0</v>
      </c>
      <c r="DG204" s="250">
        <f>Table1[[#This Row],[SerTot]]/3</f>
        <v>0</v>
      </c>
      <c r="DH204" s="250">
        <f>Table1[[#This Row],[SerTot]]/3</f>
        <v>0</v>
      </c>
      <c r="DI204" s="252"/>
      <c r="DJ204" s="250"/>
      <c r="DK204" s="250"/>
      <c r="DL204" s="250"/>
      <c r="DM204" s="252"/>
      <c r="DN204" s="250">
        <f>Table1[[#This Row],[MatTot]]/3</f>
        <v>0</v>
      </c>
      <c r="DO204" s="250">
        <f>Table1[[#This Row],[MatTot]]/3</f>
        <v>0</v>
      </c>
      <c r="DP204" s="250">
        <f>Table1[[#This Row],[MatTot]]/3</f>
        <v>0</v>
      </c>
      <c r="DQ204" s="252"/>
      <c r="DR204" s="250">
        <f>Table1[[#This Row],[OutTot]]/3</f>
        <v>0</v>
      </c>
      <c r="DS204" s="250">
        <f>Table1[[#This Row],[OutTot]]/3</f>
        <v>0</v>
      </c>
      <c r="DT204" s="250">
        <f>Table1[[#This Row],[OutTot]]/3</f>
        <v>0</v>
      </c>
      <c r="DU204" s="252"/>
      <c r="DV204" s="250"/>
      <c r="DW204" s="250"/>
      <c r="DX204" s="250"/>
      <c r="DY204" s="252">
        <f>SUM(Table1[[#This Row],[VAQ1]:[VAQ3]])</f>
        <v>0</v>
      </c>
      <c r="DZ204" s="250"/>
      <c r="EA204" s="250"/>
      <c r="EB204" s="250"/>
      <c r="EC204" s="270">
        <f>SUM(Table1[[#This Row],[OthGrantQ1]:[OthGrantQ3]])</f>
        <v>0</v>
      </c>
      <c r="ED204" s="263">
        <f>Table1[[#This Row],[SEOGTot]]+Table1[[#This Row],[PellTot]]+Table1[[#This Row],[AccessTot]]+Table1[[#This Row],[AchiTot]]+Table1[[#This Row],[UTTot]]+Table1[[#This Row],[WITTot]]+Table1[[#This Row],[SerTot]]+Table1[[#This Row],[TranTot]]+Table1[[#This Row],[MatTot]]+Table1[[#This Row],[OutTot]]+Table1[[#This Row],[VATot]]+Table1[[#This Row],[OthGrantTot]]</f>
        <v>0</v>
      </c>
      <c r="EE204" s="282"/>
      <c r="EF204" s="237"/>
      <c r="EG204" s="237"/>
      <c r="EH204" s="232">
        <f>SUM(Table1[[#This Row],[CashQ1]]:Table1[[#This Row],[CashQ3]])</f>
        <v>0</v>
      </c>
      <c r="EI204" s="271">
        <f>ROUND((Table1[[#This Row],[SubTot]]/3)/1.01059,0)</f>
        <v>0</v>
      </c>
      <c r="EJ204" s="234">
        <f>ROUND((Table1[[#This Row],[SubTot]]/3)/1.01059,0)</f>
        <v>0</v>
      </c>
      <c r="EK204" s="234">
        <f>ROUNDUP((Table1[[#This Row],[SubTot]]/3)/1.01059,0)</f>
        <v>0</v>
      </c>
      <c r="EL204" s="235"/>
      <c r="EM204" s="240">
        <f>Table1[[#This Row],[SubTot]]*0.01059</f>
        <v>0</v>
      </c>
      <c r="EN204" s="234">
        <f>ROUND((Table1[[#This Row],[UnsubTot]]/3)/1.01062,0)</f>
        <v>660</v>
      </c>
      <c r="EO204" s="234">
        <f>ROUND((Table1[[#This Row],[UnsubTot]]/3)/1.01062,0)</f>
        <v>660</v>
      </c>
      <c r="EP204" s="234">
        <f>ROUNDDOWN((Table1[[#This Row],[UnsubTot]]/3)/1.01062,0)</f>
        <v>659</v>
      </c>
      <c r="EQ204" s="235">
        <f>IF(Table1[D/I]="I",6000,2000)</f>
        <v>2000</v>
      </c>
      <c r="ER204" s="240">
        <f>Table1[[#This Row],[UnsubTot]]*0.01062</f>
        <v>21.24</v>
      </c>
      <c r="ES204" s="234">
        <f>ROUND((Table1[[#This Row],[PLUSTot]]/3)/1.04248,0)</f>
        <v>0</v>
      </c>
      <c r="ET204" s="234">
        <f>ROUND((Table1[[#This Row],[PLUSTot]]/3)/1.04248,0)</f>
        <v>0</v>
      </c>
      <c r="EU204" s="234">
        <f>ROUND((Table1[[#This Row],[PLUSTot]]/3)/1.04248,0)</f>
        <v>0</v>
      </c>
      <c r="EV204" s="235"/>
      <c r="EW204" s="239">
        <f>Table1[[#This Row],[PLUSTot]]*0.04248</f>
        <v>0</v>
      </c>
      <c r="EX204" s="237"/>
      <c r="EY204" s="237"/>
      <c r="EZ204" s="237"/>
      <c r="FA204" s="232">
        <f>SUM(Table1[[#This Row],[PrivQ1]:[PrivQ3]])</f>
        <v>0</v>
      </c>
      <c r="FB204" s="237"/>
      <c r="FC204" s="237"/>
      <c r="FD204" s="237"/>
      <c r="FE204" s="232">
        <f>SUM(Table1[[#This Row],[TOQ1]:[TOQ3]])</f>
        <v>0</v>
      </c>
      <c r="FF204" s="237"/>
      <c r="FG204" s="237"/>
      <c r="FH204" s="237"/>
      <c r="FI204" s="232">
        <f>SUM(Table1[[#This Row],[OFundQ1]:[OFundQ3]])</f>
        <v>0</v>
      </c>
      <c r="FJ204" s="239">
        <f>(Table1[[#This Row],[SubTot]]-Table1[[#This Row],[SubFee]])+(Table1[[#This Row],[UnsubTot]]-Table1[[#This Row],[UnsubFee]])+(Table1[[#This Row],[PLUSTot]]-Table1[[#This Row],[PLUSFee]])+Table1[[#This Row],[PrivTot]]+Table1[[#This Row],[TOTot]]+Table1[[#This Row],[OFundTot]]</f>
        <v>1978.76</v>
      </c>
      <c r="FK204" s="125">
        <f>Table1[[#This Row],[CostTot]]-Table1[[#This Row],[GiftTot]]</f>
        <v>39515</v>
      </c>
      <c r="FL204" s="130">
        <f>Table1[[#This Row],[NetNeed]]/(1-0.04248)</f>
        <v>39201.520594870075</v>
      </c>
      <c r="FM204" s="131">
        <f>Table1[[#This Row],[NetCost]]-Table1[[#This Row],[CashTot]]-(Table1[[#This Row],[SubTot]]-Table1[[#This Row],[SubFee]])-(Table1[[#This Row],[UnsubTot]]-Table1[[#This Row],[UnsubFee]])-(Table1[[#This Row],[PLUSTot]]-Table1[[#This Row],[PLUSFee]])-Table1[[#This Row],[PrivTot]]-Table1[[#This Row],[TOTot]]-Table1[[#This Row],[OFundTot]]</f>
        <v>37536.239999999998</v>
      </c>
      <c r="FN204" s="156"/>
      <c r="FO204" s="113"/>
      <c r="FP204" s="113"/>
    </row>
    <row r="205" spans="1:172" ht="15" x14ac:dyDescent="0.25">
      <c r="A205" s="160">
        <v>196792</v>
      </c>
      <c r="B205" s="160" t="str">
        <f>VLOOKUP(Table1[[#This Row],[SyStudentId]],SSR!$A$2:$CC$4982,4,FALSE)</f>
        <v>Whitehead</v>
      </c>
      <c r="C205" s="160" t="str">
        <f>VLOOKUP(Table1[[#This Row],[SyStudentId]],SSR!$A$2:$CC$4982,5,FALSE)</f>
        <v>Amanda</v>
      </c>
      <c r="D205" s="160" t="str">
        <f>VLOOKUP(Table1[[#This Row],[SyStudentId]],SSR!$A$2:$CC$4982,6,FALSE)</f>
        <v>Whitehead, Amanda</v>
      </c>
      <c r="E205" s="113" t="str">
        <f>CONCATENATE(Table1[[#This Row],[FirstName]]," ",Table1[[#This Row],[LastName]])</f>
        <v>Amanda Whitehead</v>
      </c>
      <c r="F205" s="158"/>
      <c r="G205" s="114"/>
      <c r="H205" s="114"/>
      <c r="I205" s="114"/>
      <c r="J205" s="163"/>
      <c r="K205" s="164"/>
      <c r="L205" s="158" t="str">
        <f>IFERROR(VLOOKUP(Table1[[#This Row],[SyStudentId]],ISIR!$A$2:$X$4999,11,FALSE),"")</f>
        <v/>
      </c>
      <c r="M205" s="160" t="str">
        <f>VLOOKUP(Table1[[#This Row],[SyStudentId]],SSR!$A$2:$CC$4982,7,FALSE)</f>
        <v>aw40036@ocsd5.net</v>
      </c>
      <c r="N205" s="160" t="str">
        <f>VLOOKUP(Table1[[#This Row],[SyStudentId]],SSR!$A$2:$CC$4982,8,FALSE)</f>
        <v>1707 Az Rd</v>
      </c>
      <c r="O205" s="160" t="str">
        <f>VLOOKUP(Table1[[#This Row],[SyStudentId]],SSR!$A$2:$CC$4982,9,FALSE)</f>
        <v>North</v>
      </c>
      <c r="P205" s="304" t="str">
        <f>VLOOKUP(Table1[[#This Row],[SyStudentId]],SSR!$A$2:$CC$4982,10,FALSE)</f>
        <v>SC</v>
      </c>
      <c r="Q205" s="165" t="str">
        <f>VLOOKUP(Table1[[#This Row],[SyStudentId]],SSR!$A$2:$CC$4982,11,FALSE)</f>
        <v>29112-9122</v>
      </c>
      <c r="R205" s="166">
        <f>VLOOKUP(Table1[[#This Row],[SyStudentId]],SSR!$A$2:$CC$4982,15,FALSE)</f>
        <v>3.9</v>
      </c>
      <c r="S205" s="167">
        <f>VLOOKUP(Table1[[#This Row],[SyStudentId]],SSR!$A$2:$CC$4982,22,FALSE)</f>
        <v>44109</v>
      </c>
      <c r="T205" s="160" t="str">
        <f>VLOOKUP(Table1[[#This Row],[SyStudentId]],SSR!$A$2:$CC$4982,24,FALSE)</f>
        <v>JT</v>
      </c>
      <c r="U205" s="160" t="str">
        <f>IF(VLOOKUP(Table1[[#This Row],[SyStudentId]],SSR!$A$2:$CC$4982,26,FALSE)=0,"Not Selected",VLOOKUP(Table1[[#This Row],[SyStudentId]],SSR!$A$2:$CC$4982,26,FALSE))</f>
        <v>Female</v>
      </c>
      <c r="V205" s="160" t="str">
        <f>VLOOKUP(Table1[[#This Row],[SyStudentId]],SSR!$A$2:$CC$4982,27,FALSE)</f>
        <v xml:space="preserve">HS2020  </v>
      </c>
      <c r="W205" s="160" t="str">
        <f>VLOOKUP(LEFT(Table1[[#This Row],[LastName]],1),Alpha!$A$1:$B$26,2,FALSE)</f>
        <v>Maureen Ranks</v>
      </c>
      <c r="X205" s="268" t="str">
        <f>VLOOKUP(Table1[[#This Row],[FAA]],Alpha!$B$1:$D$26,2,FALSE)</f>
        <v>mranks@neumont.edu</v>
      </c>
      <c r="Y205" s="160">
        <f>VLOOKUP(Table1[[#This Row],[FAA]],Alpha!$B$1:$D$26,3,FALSE)</f>
        <v>8883022894</v>
      </c>
      <c r="Z205" s="160" t="str">
        <f>VLOOKUP(Table1[[#This Row],[SyStudentId]],SSR!$A$2:$CC$4982,30,FALSE)</f>
        <v>16-Accepted</v>
      </c>
      <c r="AA205" s="160" t="str">
        <f>IF(VLOOKUP(Table1[[#This Row],[SyStudentId]],SSR!$A$2:$CC$4982,36,FALSE)="Bachelor of Science","BS Computer Science","Check Program")</f>
        <v>BS Computer Science</v>
      </c>
      <c r="AB205" s="160">
        <f>VLOOKUP(Table1[[#This Row],[SyStudentId]],SSR!$A$2:$CC$4982,37,FALSE)</f>
        <v>0</v>
      </c>
      <c r="AC205" s="160" t="str">
        <f>VLOOKUP(Table1[[#This Row],[SyStudentId]],SSR!$A$2:$CC$4982,42,FALSE)</f>
        <v xml:space="preserve">1290    </v>
      </c>
      <c r="AD205" s="160" t="str">
        <f>VLOOKUP(Table1[[#This Row],[SyStudentId]],SSR!$A$2:$CC$4982,46,FALSE)</f>
        <v>127</v>
      </c>
      <c r="AE205" s="160" t="str">
        <f>VLOOKUP(Table1[[#This Row],[SyStudentId]],SSR!$A$2:$CC$4982,65,FALSE)</f>
        <v>I</v>
      </c>
      <c r="AF205"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205" s="160" t="str">
        <f>VLOOKUP(Table1[[#This Row],[SyStudentId]],SSR!$A$2:$CC$4982,66,FALSE)</f>
        <v>July-October</v>
      </c>
      <c r="AH205" s="160" t="str">
        <f>IFERROR(VLOOKUP(Table1[[#This Row],[SyStudentId]],ISIR!$A$2:$X$1999,7,FALSE),"")</f>
        <v/>
      </c>
      <c r="AI205" s="170" t="str">
        <f>IF(Table1[[#This Row],[EFCRaw]]="","",IF(Table1[[#This Row],[EFCRaw]]="No EFC","No EFC",_xlfn.NUMBERVALUE(Table1[[#This Row],[EFCRaw]])))</f>
        <v/>
      </c>
      <c r="AJ205" s="167" t="str">
        <f>IFERROR(VLOOKUP(Table1[[#This Row],[SyStudentId]],ISIR!$A$2:$X$4999,19,FALSE),"")</f>
        <v/>
      </c>
      <c r="AK205" s="160" t="str">
        <f>IFERROR(VLOOKUP(Table1[[#This Row],[SyStudentId]],ISIR!$A$2:$X$4999,8,FALSE),"")</f>
        <v/>
      </c>
      <c r="AL205" s="171" t="str">
        <f>IF(Table1[[#This Row],[VerReq]]="N","n/a","")</f>
        <v/>
      </c>
      <c r="AM205" s="122"/>
      <c r="AN205" s="122"/>
      <c r="AO205" s="122"/>
      <c r="AP205" s="122"/>
      <c r="AQ205" s="122"/>
      <c r="AR205" s="122"/>
      <c r="AS205" s="122"/>
      <c r="AT205" s="122"/>
      <c r="AU205" s="122"/>
      <c r="AV205" s="122"/>
      <c r="AW205" s="122"/>
      <c r="AX205" s="122"/>
      <c r="AY205" s="122"/>
      <c r="AZ205" s="122"/>
      <c r="BA205" s="122"/>
      <c r="BB205" s="122"/>
      <c r="BC205" s="148"/>
      <c r="BD205" s="140" t="str">
        <f>IF(Table1[[#This Row],[VerReq]]="N","x","")</f>
        <v/>
      </c>
      <c r="BE205" s="140" t="str">
        <f>IF(Table1[[#This Row],[VerReq]]="N","x","")</f>
        <v/>
      </c>
      <c r="BF205" s="140" t="str">
        <f>IF(Table1[[#This Row],[VerReq]]="N","x","")</f>
        <v/>
      </c>
      <c r="BG205" s="140" t="str">
        <f>IF(Table1[[#This Row],[VerReq]]="N","x","")</f>
        <v/>
      </c>
      <c r="BH205" s="140" t="str">
        <f>IF(Table1[[#This Row],[VerReq]]="N","x","")</f>
        <v/>
      </c>
      <c r="BI205" s="140" t="str">
        <f>IF(Table1[[#This Row],[VerReq]]="N","x","")</f>
        <v/>
      </c>
      <c r="BJ205" s="181">
        <f>1-((COUNTBLANK(Table1[[#This Row],[ALESent]:[TaxTran]]))/(COUNT(Table1[[#This Row],[ALESent]:[TaxTran]])+COUNTBLANK(Table1[[#This Row],[ALESent]:[TaxTran]])))</f>
        <v>0</v>
      </c>
      <c r="BK205" s="216">
        <f>IF(VLOOKUP(Table1[[#This Row],[SyStudentId]],SSR!$A$2:$CC$4982,22,FALSE)=44109,44109,"Check Program")</f>
        <v>44109</v>
      </c>
      <c r="BL205" s="216">
        <f>IF(Table1[[#This Row],[AYStart]]=44109,44356,"Check Program")</f>
        <v>44356</v>
      </c>
      <c r="BM205" s="219">
        <v>8505</v>
      </c>
      <c r="BN205" s="219">
        <v>8505</v>
      </c>
      <c r="BO205" s="219">
        <v>8505</v>
      </c>
      <c r="BP205" s="220">
        <f t="shared" si="9"/>
        <v>25515</v>
      </c>
      <c r="BQ205" s="221">
        <v>3300</v>
      </c>
      <c r="BR205" s="219">
        <v>400</v>
      </c>
      <c r="BS205" s="219">
        <v>400</v>
      </c>
      <c r="BT205" s="222">
        <f t="shared" si="10"/>
        <v>4100</v>
      </c>
      <c r="BU205" s="219">
        <v>2100</v>
      </c>
      <c r="BV205" s="219">
        <v>2100</v>
      </c>
      <c r="BW205" s="219">
        <v>2100</v>
      </c>
      <c r="BX205" s="222">
        <f t="shared" si="11"/>
        <v>6300</v>
      </c>
      <c r="BY205" s="275">
        <v>1200</v>
      </c>
      <c r="BZ205" s="275">
        <v>1200</v>
      </c>
      <c r="CA205" s="275">
        <v>1200</v>
      </c>
      <c r="CB205" s="222">
        <f>SUM(Table1[[#This Row],[LEQ1]:[LEQ3]])</f>
        <v>3600</v>
      </c>
      <c r="CC205" s="276">
        <v>0</v>
      </c>
      <c r="CD205" s="276">
        <v>0</v>
      </c>
      <c r="CE205" s="276">
        <v>0</v>
      </c>
      <c r="CF205" s="222">
        <f>SUM(Table1[[#This Row],[OthCostQ1]:[OthCostQ3]])</f>
        <v>0</v>
      </c>
      <c r="CG205" s="222">
        <f>(Table1[[#This Row],[T&amp;FTot]]+Table1[[#This Row],[B&amp;STot]]+Table1[[#This Row],[HousTot]]+Table1[[#This Row],[LETot]]+Table1[[#This Row],[OthCostTot]])</f>
        <v>39515</v>
      </c>
      <c r="CH205" s="253">
        <v>0</v>
      </c>
      <c r="CI205" s="253">
        <v>0</v>
      </c>
      <c r="CJ205" s="253">
        <v>0</v>
      </c>
      <c r="CK205" s="254">
        <f>SUM(Table1[[#This Row],[SEOGQ1]:[SEOGQ3]])</f>
        <v>0</v>
      </c>
      <c r="CL205" s="253">
        <f>IFERROR(ROUNDUP(Table1[[#This Row],[PellTot]]/3,0),0)</f>
        <v>0</v>
      </c>
      <c r="CM205" s="253">
        <f>IFERROR(ROUND(Table1[[#This Row],[PellTot]]/3,0),0)</f>
        <v>0</v>
      </c>
      <c r="CN205" s="253">
        <f>IFERROR(ROUNDDOWN(Table1[[#This Row],[PellTot]]/3,0),0)</f>
        <v>0</v>
      </c>
      <c r="CO205" s="254">
        <f>IFERROR(LOOKUP(Table1[EFC],Pell_Table[#Data],Pell_Table[Pell Amt]),0)</f>
        <v>0</v>
      </c>
      <c r="CP205" s="253">
        <f>Table1[[#This Row],[AccessTot]]/3</f>
        <v>0</v>
      </c>
      <c r="CQ205" s="253">
        <f>Table1[[#This Row],[AccessTot]]/3</f>
        <v>0</v>
      </c>
      <c r="CR205" s="253">
        <f>Table1[[#This Row],[AccessTot]]/3</f>
        <v>0</v>
      </c>
      <c r="CS205" s="254">
        <f>IF(Table1[[#This Row],[PellTot]]&gt;0,1500,0)</f>
        <v>0</v>
      </c>
      <c r="CT205" s="253">
        <f>Table1[[#This Row],[AchiTot]]/3</f>
        <v>1700</v>
      </c>
      <c r="CU205" s="253">
        <f>Table1[[#This Row],[AchiTot]]/3</f>
        <v>1700</v>
      </c>
      <c r="CV205" s="253">
        <f>Table1[[#This Row],[AchiTot]]/3</f>
        <v>1700</v>
      </c>
      <c r="CW205" s="255">
        <f>IF(Table1[[#This Row],[Rank]]="","",IF(Table1[[#This Row],[Rank]]=1,5100,IF(Table1[[#This Row],[Rank]]=2,4500,IF(Table1[[#This Row],[Rank]]=3,3900,IF(Table1[[#This Row],[Rank]]=4,3750,IF(Table1[[#This Row],[Rank]]=5,3000,IF(Table1[[#This Row],[Rank]]=6,2250,0)))))))</f>
        <v>5100</v>
      </c>
      <c r="CX205" s="253">
        <f>Table1[[#This Row],[UTTot]]/3</f>
        <v>0</v>
      </c>
      <c r="CY205" s="253">
        <f>Table1[[#This Row],[UTTot]]/3</f>
        <v>0</v>
      </c>
      <c r="CZ205" s="253">
        <f>Table1[[#This Row],[UTTot]]/3</f>
        <v>0</v>
      </c>
      <c r="DA205" s="254">
        <f>IF(Table1[[#This Row],[State]]="UT",9000,0)</f>
        <v>0</v>
      </c>
      <c r="DB205" s="253">
        <f>Table1[[#This Row],[WITTot]]/3</f>
        <v>1000</v>
      </c>
      <c r="DC205" s="253">
        <f>Table1[[#This Row],[WITTot]]/3</f>
        <v>1000</v>
      </c>
      <c r="DD205" s="253">
        <f>Table1[[#This Row],[WITTot]]/3</f>
        <v>1000</v>
      </c>
      <c r="DE205" s="254">
        <f>IF(Table1[[#This Row],[Gender]]="Female",3000,0)</f>
        <v>3000</v>
      </c>
      <c r="DF205" s="253">
        <f>Table1[[#This Row],[SerTot]]/3</f>
        <v>0</v>
      </c>
      <c r="DG205" s="253">
        <f>Table1[[#This Row],[SerTot]]/3</f>
        <v>0</v>
      </c>
      <c r="DH205" s="253">
        <f>Table1[[#This Row],[SerTot]]/3</f>
        <v>0</v>
      </c>
      <c r="DI205" s="255">
        <v>0</v>
      </c>
      <c r="DJ205" s="253">
        <f>IFERROR(ROUNDUP(Table1[[#This Row],[TranTot]]/3,0),0)</f>
        <v>0</v>
      </c>
      <c r="DK205" s="253">
        <f>IFERROR(ROUND(Table1[[#This Row],[TranTot]]/3,0),0)</f>
        <v>0</v>
      </c>
      <c r="DL205" s="253">
        <f>IFERROR(ROUNDDOWN(Table1[[#This Row],[TranTot]]/3,0),0)</f>
        <v>0</v>
      </c>
      <c r="DM205" s="255">
        <v>0</v>
      </c>
      <c r="DN205" s="253">
        <f>Table1[[#This Row],[MatTot]]/3</f>
        <v>0</v>
      </c>
      <c r="DO205" s="253">
        <f>Table1[[#This Row],[MatTot]]/3</f>
        <v>0</v>
      </c>
      <c r="DP205" s="253">
        <f>Table1[[#This Row],[MatTot]]/3</f>
        <v>0</v>
      </c>
      <c r="DQ205" s="255">
        <v>0</v>
      </c>
      <c r="DR205" s="253">
        <f>Table1[[#This Row],[OutTot]]/3</f>
        <v>0</v>
      </c>
      <c r="DS205" s="253">
        <f>Table1[[#This Row],[OutTot]]/3</f>
        <v>0</v>
      </c>
      <c r="DT205" s="253">
        <f>Table1[[#This Row],[OutTot]]/3</f>
        <v>0</v>
      </c>
      <c r="DU205" s="255">
        <v>0</v>
      </c>
      <c r="DV205" s="253">
        <v>0</v>
      </c>
      <c r="DW205" s="253">
        <v>0</v>
      </c>
      <c r="DX205" s="253">
        <v>0</v>
      </c>
      <c r="DY205" s="255">
        <f>SUM(Table1[[#This Row],[VAQ1]:[VAQ3]])</f>
        <v>0</v>
      </c>
      <c r="DZ205" s="253">
        <v>0</v>
      </c>
      <c r="EA205" s="253">
        <v>0</v>
      </c>
      <c r="EB205" s="253">
        <v>0</v>
      </c>
      <c r="EC205" s="278">
        <f>SUM(Table1[[#This Row],[OthGrantQ1]:[OthGrantQ3]])</f>
        <v>0</v>
      </c>
      <c r="ED205" s="264">
        <f>Table1[[#This Row],[SEOGTot]]+Table1[[#This Row],[PellTot]]+Table1[[#This Row],[AccessTot]]+Table1[[#This Row],[AchiTot]]+Table1[[#This Row],[UTTot]]+Table1[[#This Row],[WITTot]]+Table1[[#This Row],[SerTot]]+Table1[[#This Row],[TranTot]]+Table1[[#This Row],[MatTot]]+Table1[[#This Row],[OutTot]]+Table1[[#This Row],[VATot]]+Table1[[#This Row],[OthGrantTot]]</f>
        <v>8100</v>
      </c>
      <c r="EE205" s="298">
        <v>0</v>
      </c>
      <c r="EF205" s="227">
        <v>0</v>
      </c>
      <c r="EG205" s="227">
        <v>0</v>
      </c>
      <c r="EH205" s="228">
        <f>SUM(Table1[[#This Row],[CashQ1]]:Table1[[#This Row],[CashQ3]])</f>
        <v>0</v>
      </c>
      <c r="EI205" s="229">
        <f>ROUND((Table1[[#This Row],[SubTot]]/3)/1.01059,0)</f>
        <v>1154</v>
      </c>
      <c r="EJ205" s="230">
        <f>ROUND((Table1[[#This Row],[SubTot]]/3)/1.01059,0)</f>
        <v>1154</v>
      </c>
      <c r="EK205" s="230">
        <f>ROUNDUP((Table1[[#This Row],[SubTot]]/3)/1.01059,0)</f>
        <v>1155</v>
      </c>
      <c r="EL205" s="231">
        <v>3500</v>
      </c>
      <c r="EM205" s="233">
        <f>Table1[[#This Row],[SubTot]]*0.01059</f>
        <v>37.065000000000005</v>
      </c>
      <c r="EN205" s="230">
        <f>ROUND((Table1[[#This Row],[UnsubTot]]/3)/1.01062,0)</f>
        <v>660</v>
      </c>
      <c r="EO205" s="230">
        <f>ROUND((Table1[[#This Row],[UnsubTot]]/3)/1.01062,0)</f>
        <v>660</v>
      </c>
      <c r="EP205" s="230">
        <f>ROUNDDOWN((Table1[[#This Row],[UnsubTot]]/3)/1.01062,0)</f>
        <v>659</v>
      </c>
      <c r="EQ205" s="231">
        <f>IF(Table1[D/I]="I",6000,2000)</f>
        <v>2000</v>
      </c>
      <c r="ER205" s="233">
        <f>Table1[[#This Row],[UnsubTot]]*0.01059</f>
        <v>21.18</v>
      </c>
      <c r="ES205" s="230">
        <f>ROUND((Table1[[#This Row],[PLUSTot]]/3)/1.04236,0)</f>
        <v>0</v>
      </c>
      <c r="ET205" s="230">
        <f>ROUND((Table1[[#This Row],[PLUSTot]]/3)/1.04236,0)</f>
        <v>0</v>
      </c>
      <c r="EU205" s="230">
        <f>ROUND((Table1[[#This Row],[PLUSTot]]/3)/1.04236,0)</f>
        <v>0</v>
      </c>
      <c r="EV205" s="231">
        <v>0</v>
      </c>
      <c r="EW205" s="236">
        <f>Table1[[#This Row],[PLUSTot]]*0.04236</f>
        <v>0</v>
      </c>
      <c r="EX205" s="227"/>
      <c r="EY205" s="227"/>
      <c r="EZ205" s="227"/>
      <c r="FA205" s="228">
        <f>SUM(Table1[[#This Row],[PrivQ1]:[PrivQ3]])</f>
        <v>0</v>
      </c>
      <c r="FB205" s="227"/>
      <c r="FC205" s="227"/>
      <c r="FD205" s="227"/>
      <c r="FE205" s="228">
        <f>SUM(Table1[[#This Row],[TOQ1]:[TOQ3]])</f>
        <v>0</v>
      </c>
      <c r="FF205" s="227"/>
      <c r="FG205" s="227"/>
      <c r="FH205" s="227"/>
      <c r="FI205" s="228">
        <f>SUM(Table1[[#This Row],[OFundQ1]:[OFundQ3]])</f>
        <v>0</v>
      </c>
      <c r="FJ205" s="236">
        <f>(Table1[[#This Row],[SubTot]]-Table1[[#This Row],[SubFee]])+(Table1[[#This Row],[UnsubTot]]-Table1[[#This Row],[UnsubFee]])+(Table1[[#This Row],[PLUSTot]]-Table1[[#This Row],[PLUSFee]])+Table1[[#This Row],[PrivTot]]+Table1[[#This Row],[TOTot]]+Table1[[#This Row],[OFundTot]]</f>
        <v>5441.7550000000001</v>
      </c>
      <c r="FK205" s="159">
        <f>Table1[[#This Row],[CostTot]]-Table1[[#This Row],[GiftTot]]</f>
        <v>31415</v>
      </c>
      <c r="FL205" s="174">
        <f>Table1[[#This Row],[NetNeed]]/(1-0.04236)</f>
        <v>27122.138799548888</v>
      </c>
      <c r="FM205" s="176">
        <f>Table1[[#This Row],[NetCost]]-Table1[[#This Row],[CashTot]]-(Table1[[#This Row],[SubTot]]-Table1[[#This Row],[SubFee]])-(Table1[[#This Row],[UnsubTot]]-Table1[[#This Row],[UnsubFee]])-(Table1[[#This Row],[PLUSTot]]-Table1[[#This Row],[PLUSFee]])-Table1[[#This Row],[PrivTot]]-Table1[[#This Row],[TOTot]]-Table1[[#This Row],[OFundTot]]</f>
        <v>25973.244999999999</v>
      </c>
      <c r="FN205" s="217"/>
      <c r="FO205" s="162"/>
      <c r="FP205" s="162"/>
    </row>
    <row r="206" spans="1:172" ht="15" x14ac:dyDescent="0.25">
      <c r="A206" s="329">
        <v>197896</v>
      </c>
      <c r="B206" s="113" t="str">
        <f>VLOOKUP(Table1[[#This Row],[SyStudentId]],SSR!$A$2:$CC$4982,4,FALSE)</f>
        <v>Williams</v>
      </c>
      <c r="C206" s="113" t="str">
        <f>VLOOKUP(Table1[[#This Row],[SyStudentId]],SSR!$A$2:$CC$4982,5,FALSE)</f>
        <v>Ashton</v>
      </c>
      <c r="D206" s="113" t="str">
        <f>VLOOKUP(Table1[[#This Row],[SyStudentId]],SSR!$A$2:$CC$4982,6,FALSE)</f>
        <v>Williams, Ashton</v>
      </c>
      <c r="E206" s="113" t="str">
        <f>CONCATENATE(Table1[[#This Row],[FirstName]]," ",Table1[[#This Row],[LastName]])</f>
        <v>Ashton Williams</v>
      </c>
      <c r="F206" s="112"/>
      <c r="G206" s="114"/>
      <c r="H206" s="114"/>
      <c r="I206" s="114"/>
      <c r="J206" s="115"/>
      <c r="K206" s="116"/>
      <c r="L206" s="112" t="str">
        <f>IFERROR(VLOOKUP(Table1[[#This Row],[SyStudentId]],ISIR!$A$2:$X$999,11,FALSE),"")</f>
        <v/>
      </c>
      <c r="M206" s="113" t="str">
        <f>VLOOKUP(Table1[[#This Row],[SyStudentId]],SSR!$A$2:$CC$4982,7,FALSE)</f>
        <v>ashton9201@gmail.com</v>
      </c>
      <c r="N206" s="113" t="str">
        <f>VLOOKUP(Table1[[#This Row],[SyStudentId]],SSR!$A$2:$CC$4982,8,FALSE)</f>
        <v>2831 Cane Creek Rd</v>
      </c>
      <c r="O206" s="113" t="str">
        <f>VLOOKUP(Table1[[#This Row],[SyStudentId]],SSR!$A$2:$CC$4982,9,FALSE)</f>
        <v>Centerville</v>
      </c>
      <c r="P206" s="113" t="str">
        <f>VLOOKUP(Table1[[#This Row],[SyStudentId]],SSR!$A$2:$CC$4982,10,FALSE)</f>
        <v>TN</v>
      </c>
      <c r="Q206" s="117" t="str">
        <f>VLOOKUP(Table1[[#This Row],[SyStudentId]],SSR!$A$2:$CC$4982,11,FALSE)</f>
        <v xml:space="preserve">37033     </v>
      </c>
      <c r="R206" s="118">
        <f>VLOOKUP(Table1[[#This Row],[SyStudentId]],SSR!$A$2:$CC$4982,15,FALSE)</f>
        <v>3.02</v>
      </c>
      <c r="S206" s="119">
        <f>VLOOKUP(Table1[[#This Row],[SyStudentId]],SSR!$A$2:$CC$4982,22,FALSE)</f>
        <v>44109</v>
      </c>
      <c r="T206" s="113" t="str">
        <f>VLOOKUP(Table1[[#This Row],[SyStudentId]],SSR!$A$2:$CC$4982,24,FALSE)</f>
        <v>JT</v>
      </c>
      <c r="U206" s="113" t="str">
        <f>IF(VLOOKUP(Table1[[#This Row],[SyStudentId]],SSR!$A$2:$CC$4982,26,FALSE)=0,"Not Selected",VLOOKUP(Table1[[#This Row],[SyStudentId]],SSR!$A$2:$CC$4982,26,FALSE))</f>
        <v>Male</v>
      </c>
      <c r="V206" s="113" t="str">
        <f>VLOOKUP(Table1[[#This Row],[SyStudentId]],SSR!$A$2:$CC$4982,27,FALSE)</f>
        <v xml:space="preserve">HS2020  </v>
      </c>
      <c r="W206" s="113" t="str">
        <f>VLOOKUP(LEFT(Table1[[#This Row],[LastName]],1),Alpha!$A$1:$B$26,2,FALSE)</f>
        <v>Maureen Ranks</v>
      </c>
      <c r="X206" s="149" t="str">
        <f>VLOOKUP(Table1[[#This Row],[FAA]],Alpha!$B$1:$D$26,2,FALSE)</f>
        <v>mranks@neumont.edu</v>
      </c>
      <c r="Y206" s="113">
        <f>VLOOKUP(Table1[[#This Row],[FAA]],Alpha!$B$1:$D$26,3,FALSE)</f>
        <v>8883022894</v>
      </c>
      <c r="Z206" s="113" t="str">
        <f>VLOOKUP(Table1[[#This Row],[SyStudentId]],SSR!$A$2:$CC$4982,30,FALSE)</f>
        <v>16-Accepted</v>
      </c>
      <c r="AA206" s="113" t="str">
        <f>IF(VLOOKUP(Table1[[#This Row],[SyStudentId]],SSR!$A$2:$CC$4982,36,FALSE)="Bachelor of Science","BS Computer Science","Check Program")</f>
        <v>BS Computer Science</v>
      </c>
      <c r="AB206" s="113">
        <f>VLOOKUP(Table1[[#This Row],[SyStudentId]],SSR!$A$2:$CC$4982,37,FALSE)</f>
        <v>0</v>
      </c>
      <c r="AC206" s="113">
        <f>VLOOKUP(Table1[[#This Row],[SyStudentId]],SSR!$A$2:$CC$4982,42,FALSE)</f>
        <v>0</v>
      </c>
      <c r="AD206" s="113" t="str">
        <f>VLOOKUP(Table1[[#This Row],[SyStudentId]],SSR!$A$2:$CC$4982,46,FALSE)</f>
        <v>0</v>
      </c>
      <c r="AE206" s="113" t="str">
        <f>VLOOKUP(Table1[[#This Row],[SyStudentId]],SSR!$A$2:$CC$4982,65,FALSE)</f>
        <v>VI</v>
      </c>
      <c r="AF206"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6</v>
      </c>
      <c r="AG206" s="113" t="str">
        <f>VLOOKUP(Table1[[#This Row],[SyStudentId]],SSR!$A$2:$CC$4982,66,FALSE)</f>
        <v>October</v>
      </c>
      <c r="AH206" s="113" t="str">
        <f>IFERROR(VLOOKUP(Table1[[#This Row],[SyStudentId]],ISIR!$A$2:$X$999,7,FALSE),"")</f>
        <v/>
      </c>
      <c r="AI206" s="121" t="str">
        <f>IF(Table1[[#This Row],[EFCRaw]]="","",IF(Table1[[#This Row],[EFCRaw]]="No EFC","No EFC",_xlfn.NUMBERVALUE(Table1[[#This Row],[EFCRaw]])))</f>
        <v/>
      </c>
      <c r="AJ206" s="119" t="str">
        <f>IFERROR(VLOOKUP(Table1[[#This Row],[SyStudentId]],ISIR!$A$2:$X$4999,19,FALSE),"")</f>
        <v/>
      </c>
      <c r="AK206" s="113" t="str">
        <f>IFERROR(VLOOKUP(Table1[[#This Row],[SyStudentId]],ISIR!$A$2:$X$4999,8,FALSE),"")</f>
        <v/>
      </c>
      <c r="AL206" s="132" t="str">
        <f>IF(Table1[[#This Row],[VerReq]]="N","n/a","")</f>
        <v/>
      </c>
      <c r="AM206" s="122"/>
      <c r="AN206" s="122"/>
      <c r="AO206" s="122"/>
      <c r="AP206" s="122"/>
      <c r="AQ206" s="122"/>
      <c r="AR206" s="122"/>
      <c r="AS206" s="122"/>
      <c r="AT206" s="122"/>
      <c r="AU206" s="122"/>
      <c r="AV206" s="122"/>
      <c r="AW206" s="122"/>
      <c r="AX206" s="122"/>
      <c r="AY206" s="122"/>
      <c r="AZ206" s="122"/>
      <c r="BA206" s="122"/>
      <c r="BB206" s="122"/>
      <c r="BC206" s="148"/>
      <c r="BD206" s="140" t="str">
        <f>IF(Table1[[#This Row],[VerReq]]="N","x","")</f>
        <v/>
      </c>
      <c r="BE206" s="140" t="str">
        <f>IF(Table1[[#This Row],[VerReq]]="N","x","")</f>
        <v/>
      </c>
      <c r="BF206" s="140" t="str">
        <f>IF(Table1[[#This Row],[VerReq]]="N","x","")</f>
        <v/>
      </c>
      <c r="BG206" s="140" t="str">
        <f>IF(Table1[[#This Row],[VerReq]]="N","x","")</f>
        <v/>
      </c>
      <c r="BH206" s="140" t="str">
        <f>IF(Table1[[#This Row],[VerReq]]="N","x","")</f>
        <v/>
      </c>
      <c r="BI206" s="140" t="str">
        <f>IF(Table1[[#This Row],[VerReq]]="N","x","")</f>
        <v/>
      </c>
      <c r="BJ206" s="123">
        <f>1-((COUNTBLANK(Table1[[#This Row],[ALESent]:[TaxTran]]))/(COUNT(Table1[[#This Row],[ALESent]:[TaxTran]])+COUNTBLANK(Table1[[#This Row],[ALESent]:[TaxTran]])))</f>
        <v>0</v>
      </c>
      <c r="BK206" s="150">
        <f>IF(VLOOKUP(Table1[[#This Row],[SyStudentId]],SSR!$A$2:$CC$4982,22,FALSE)=44109,44109,"Check Program")</f>
        <v>44109</v>
      </c>
      <c r="BL206" s="150">
        <f>IF(Table1[[#This Row],[AYStart]]=44109,44356,"Check Program")</f>
        <v>44356</v>
      </c>
      <c r="BM206" s="219">
        <v>8505</v>
      </c>
      <c r="BN206" s="219">
        <v>8505</v>
      </c>
      <c r="BO206" s="219">
        <v>8505</v>
      </c>
      <c r="BP206" s="220">
        <f t="shared" si="9"/>
        <v>25515</v>
      </c>
      <c r="BQ206" s="221">
        <v>3300</v>
      </c>
      <c r="BR206" s="219">
        <v>400</v>
      </c>
      <c r="BS206" s="219">
        <v>400</v>
      </c>
      <c r="BT206" s="220">
        <f t="shared" si="10"/>
        <v>4100</v>
      </c>
      <c r="BU206" s="219">
        <v>2100</v>
      </c>
      <c r="BV206" s="219">
        <v>2100</v>
      </c>
      <c r="BW206" s="219">
        <v>2100</v>
      </c>
      <c r="BX206" s="220">
        <f t="shared" si="11"/>
        <v>6300</v>
      </c>
      <c r="BY206" s="275">
        <v>1200</v>
      </c>
      <c r="BZ206" s="275">
        <v>1200</v>
      </c>
      <c r="CA206" s="275">
        <v>1200</v>
      </c>
      <c r="CB206" s="220">
        <f>SUM(Table1[[#This Row],[LEQ1]:[LEQ3]])</f>
        <v>3600</v>
      </c>
      <c r="CC206" s="269"/>
      <c r="CD206" s="269"/>
      <c r="CE206" s="269"/>
      <c r="CF206" s="220">
        <f>SUM(Table1[[#This Row],[OthCostQ1]:[OthCostQ3]])</f>
        <v>0</v>
      </c>
      <c r="CG206" s="220">
        <f>(Table1[[#This Row],[T&amp;FTot]]+Table1[[#This Row],[B&amp;STot]]+Table1[[#This Row],[HousTot]]+Table1[[#This Row],[LETot]]+Table1[[#This Row],[OthCostTot]])</f>
        <v>39515</v>
      </c>
      <c r="CH206" s="250"/>
      <c r="CI206" s="250"/>
      <c r="CJ206" s="250"/>
      <c r="CK206" s="251">
        <f>SUM(Table1[[#This Row],[SEOGQ1]:[SEOGQ3]])</f>
        <v>0</v>
      </c>
      <c r="CL206" s="250">
        <f>IFERROR(ROUNDUP(Table1[[#This Row],[PellTot]]/3,0),0)</f>
        <v>0</v>
      </c>
      <c r="CM206" s="250">
        <f>IFERROR(ROUND(Table1[[#This Row],[PellTot]]/3,0),0)</f>
        <v>0</v>
      </c>
      <c r="CN206" s="250">
        <f>IFERROR(ROUNDDOWN(Table1[[#This Row],[PellTot]]/3,0),0)</f>
        <v>0</v>
      </c>
      <c r="CO206" s="251">
        <f>IFERROR(LOOKUP(Table1[EFC],Pell_Table[#Data],Pell_Table[Pell Amt]),0)</f>
        <v>0</v>
      </c>
      <c r="CP206" s="250">
        <f>Table1[[#This Row],[AccessTot]]/3</f>
        <v>0</v>
      </c>
      <c r="CQ206" s="250">
        <f>Table1[[#This Row],[AccessTot]]/3</f>
        <v>0</v>
      </c>
      <c r="CR206" s="250">
        <f>Table1[[#This Row],[AccessTot]]/3</f>
        <v>0</v>
      </c>
      <c r="CS206" s="251">
        <f>IF(Table1[[#This Row],[PellTot]]&gt;0,1500,0)</f>
        <v>0</v>
      </c>
      <c r="CT206" s="250">
        <f>Table1[[#This Row],[AchiTot]]/3</f>
        <v>750</v>
      </c>
      <c r="CU206" s="250">
        <f>Table1[[#This Row],[AchiTot]]/3</f>
        <v>750</v>
      </c>
      <c r="CV206" s="250">
        <f>Table1[[#This Row],[AchiTot]]/3</f>
        <v>750</v>
      </c>
      <c r="CW206" s="252">
        <f>IF(Table1[[#This Row],[Rank]]="","",IF(Table1[[#This Row],[Rank]]=1,5100,IF(Table1[[#This Row],[Rank]]=2,4500,IF(Table1[[#This Row],[Rank]]=3,3900,IF(Table1[[#This Row],[Rank]]=4,3750,IF(Table1[[#This Row],[Rank]]=5,3000,IF(Table1[[#This Row],[Rank]]=6,2250,0)))))))</f>
        <v>2250</v>
      </c>
      <c r="CX206" s="250">
        <f>Table1[[#This Row],[UTTot]]/3</f>
        <v>0</v>
      </c>
      <c r="CY206" s="250">
        <f>Table1[[#This Row],[UTTot]]/3</f>
        <v>0</v>
      </c>
      <c r="CZ206" s="250">
        <f>Table1[[#This Row],[UTTot]]/3</f>
        <v>0</v>
      </c>
      <c r="DA206" s="251">
        <f>IF(Table1[[#This Row],[State]]="UT",9000,0)</f>
        <v>0</v>
      </c>
      <c r="DB206" s="250">
        <f>Table1[[#This Row],[WITTot]]/3</f>
        <v>0</v>
      </c>
      <c r="DC206" s="250">
        <f>Table1[[#This Row],[WITTot]]/3</f>
        <v>0</v>
      </c>
      <c r="DD206" s="250">
        <f>Table1[[#This Row],[WITTot]]/3</f>
        <v>0</v>
      </c>
      <c r="DE206" s="251">
        <f>IF(Table1[[#This Row],[Gender]]="Female",3000,0)</f>
        <v>0</v>
      </c>
      <c r="DF206" s="250">
        <f>Table1[[#This Row],[SerTot]]/3</f>
        <v>0</v>
      </c>
      <c r="DG206" s="250">
        <f>Table1[[#This Row],[SerTot]]/3</f>
        <v>0</v>
      </c>
      <c r="DH206" s="250">
        <f>Table1[[#This Row],[SerTot]]/3</f>
        <v>0</v>
      </c>
      <c r="DI206" s="252"/>
      <c r="DJ206" s="250"/>
      <c r="DK206" s="250"/>
      <c r="DL206" s="250"/>
      <c r="DM206" s="252"/>
      <c r="DN206" s="250">
        <f>Table1[[#This Row],[MatTot]]/3</f>
        <v>0</v>
      </c>
      <c r="DO206" s="250">
        <f>Table1[[#This Row],[MatTot]]/3</f>
        <v>0</v>
      </c>
      <c r="DP206" s="250">
        <f>Table1[[#This Row],[MatTot]]/3</f>
        <v>0</v>
      </c>
      <c r="DQ206" s="252"/>
      <c r="DR206" s="250">
        <f>Table1[[#This Row],[OutTot]]/3</f>
        <v>0</v>
      </c>
      <c r="DS206" s="250">
        <f>Table1[[#This Row],[OutTot]]/3</f>
        <v>0</v>
      </c>
      <c r="DT206" s="250">
        <f>Table1[[#This Row],[OutTot]]/3</f>
        <v>0</v>
      </c>
      <c r="DU206" s="252"/>
      <c r="DV206" s="250"/>
      <c r="DW206" s="250"/>
      <c r="DX206" s="250"/>
      <c r="DY206" s="252">
        <f>SUM(Table1[[#This Row],[VAQ1]:[VAQ3]])</f>
        <v>0</v>
      </c>
      <c r="DZ206" s="250"/>
      <c r="EA206" s="250"/>
      <c r="EB206" s="250"/>
      <c r="EC206" s="270">
        <f>SUM(Table1[[#This Row],[OthGrantQ1]:[OthGrantQ3]])</f>
        <v>0</v>
      </c>
      <c r="ED206" s="263">
        <f>Table1[[#This Row],[SEOGTot]]+Table1[[#This Row],[PellTot]]+Table1[[#This Row],[AccessTot]]+Table1[[#This Row],[AchiTot]]+Table1[[#This Row],[UTTot]]+Table1[[#This Row],[WITTot]]+Table1[[#This Row],[SerTot]]+Table1[[#This Row],[TranTot]]+Table1[[#This Row],[MatTot]]+Table1[[#This Row],[OutTot]]+Table1[[#This Row],[VATot]]+Table1[[#This Row],[OthGrantTot]]</f>
        <v>2250</v>
      </c>
      <c r="EE206" s="282"/>
      <c r="EF206" s="237"/>
      <c r="EG206" s="237"/>
      <c r="EH206" s="232">
        <f>SUM(Table1[[#This Row],[CashQ1]]:Table1[[#This Row],[CashQ3]])</f>
        <v>0</v>
      </c>
      <c r="EI206" s="271">
        <f>ROUND((Table1[[#This Row],[SubTot]]/3)/1.01059,0)</f>
        <v>0</v>
      </c>
      <c r="EJ206" s="234">
        <f>ROUND((Table1[[#This Row],[SubTot]]/3)/1.01059,0)</f>
        <v>0</v>
      </c>
      <c r="EK206" s="234">
        <f>ROUNDUP((Table1[[#This Row],[SubTot]]/3)/1.01059,0)</f>
        <v>0</v>
      </c>
      <c r="EL206" s="235"/>
      <c r="EM206" s="240">
        <f>Table1[[#This Row],[SubTot]]*0.01059</f>
        <v>0</v>
      </c>
      <c r="EN206" s="234">
        <f>ROUND((Table1[[#This Row],[UnsubTot]]/3)/1.01062,0)</f>
        <v>660</v>
      </c>
      <c r="EO206" s="234">
        <f>ROUND((Table1[[#This Row],[UnsubTot]]/3)/1.01062,0)</f>
        <v>660</v>
      </c>
      <c r="EP206" s="234">
        <f>ROUNDDOWN((Table1[[#This Row],[UnsubTot]]/3)/1.01062,0)</f>
        <v>659</v>
      </c>
      <c r="EQ206" s="235">
        <f>IF(Table1[D/I]="I",6000,2000)</f>
        <v>2000</v>
      </c>
      <c r="ER206" s="240">
        <f>Table1[[#This Row],[UnsubTot]]*0.01062</f>
        <v>21.24</v>
      </c>
      <c r="ES206" s="234">
        <f>ROUND((Table1[[#This Row],[PLUSTot]]/3)/1.04248,0)</f>
        <v>0</v>
      </c>
      <c r="ET206" s="234">
        <f>ROUND((Table1[[#This Row],[PLUSTot]]/3)/1.04248,0)</f>
        <v>0</v>
      </c>
      <c r="EU206" s="234">
        <f>ROUND((Table1[[#This Row],[PLUSTot]]/3)/1.04248,0)</f>
        <v>0</v>
      </c>
      <c r="EV206" s="235"/>
      <c r="EW206" s="239">
        <f>Table1[[#This Row],[PLUSTot]]*0.04248</f>
        <v>0</v>
      </c>
      <c r="EX206" s="237"/>
      <c r="EY206" s="237"/>
      <c r="EZ206" s="237"/>
      <c r="FA206" s="232">
        <f>SUM(Table1[[#This Row],[PrivQ1]:[PrivQ3]])</f>
        <v>0</v>
      </c>
      <c r="FB206" s="237"/>
      <c r="FC206" s="237"/>
      <c r="FD206" s="237"/>
      <c r="FE206" s="232">
        <f>SUM(Table1[[#This Row],[TOQ1]:[TOQ3]])</f>
        <v>0</v>
      </c>
      <c r="FF206" s="237"/>
      <c r="FG206" s="237"/>
      <c r="FH206" s="237"/>
      <c r="FI206" s="232">
        <f>SUM(Table1[[#This Row],[OFundQ1]:[OFundQ3]])</f>
        <v>0</v>
      </c>
      <c r="FJ206" s="239">
        <f>(Table1[[#This Row],[SubTot]]-Table1[[#This Row],[SubFee]])+(Table1[[#This Row],[UnsubTot]]-Table1[[#This Row],[UnsubFee]])+(Table1[[#This Row],[PLUSTot]]-Table1[[#This Row],[PLUSFee]])+Table1[[#This Row],[PrivTot]]+Table1[[#This Row],[TOTot]]+Table1[[#This Row],[OFundTot]]</f>
        <v>1978.76</v>
      </c>
      <c r="FK206" s="125">
        <f>Table1[[#This Row],[CostTot]]-Table1[[#This Row],[GiftTot]]</f>
        <v>37265</v>
      </c>
      <c r="FL206" s="130">
        <f>Table1[[#This Row],[NetNeed]]/(1-0.04248)</f>
        <v>36851.700225582754</v>
      </c>
      <c r="FM206" s="131">
        <f>Table1[[#This Row],[NetCost]]-Table1[[#This Row],[CashTot]]-(Table1[[#This Row],[SubTot]]-Table1[[#This Row],[SubFee]])-(Table1[[#This Row],[UnsubTot]]-Table1[[#This Row],[UnsubFee]])-(Table1[[#This Row],[PLUSTot]]-Table1[[#This Row],[PLUSFee]])-Table1[[#This Row],[PrivTot]]-Table1[[#This Row],[TOTot]]-Table1[[#This Row],[OFundTot]]</f>
        <v>35286.239999999998</v>
      </c>
      <c r="FN206" s="156"/>
      <c r="FO206" s="113"/>
      <c r="FP206" s="113"/>
    </row>
    <row r="207" spans="1:172" ht="15" x14ac:dyDescent="0.25">
      <c r="A207" s="310">
        <v>198826</v>
      </c>
      <c r="B207" s="113" t="str">
        <f>VLOOKUP(Table1[[#This Row],[SyStudentId]],SSR!$A$2:$CC$4982,4,FALSE)</f>
        <v>Williams</v>
      </c>
      <c r="C207" s="113" t="str">
        <f>VLOOKUP(Table1[[#This Row],[SyStudentId]],SSR!$A$2:$CC$4982,5,FALSE)</f>
        <v>Deverell</v>
      </c>
      <c r="D207" s="113" t="str">
        <f>VLOOKUP(Table1[[#This Row],[SyStudentId]],SSR!$A$2:$CC$4982,6,FALSE)</f>
        <v>Williams, Deverell</v>
      </c>
      <c r="E207" s="113" t="str">
        <f>CONCATENATE(Table1[[#This Row],[FirstName]]," ",Table1[[#This Row],[LastName]])</f>
        <v>Deverell Williams</v>
      </c>
      <c r="F207" s="112">
        <v>1</v>
      </c>
      <c r="G207" s="114"/>
      <c r="H207" s="114"/>
      <c r="I207" s="114">
        <v>43783</v>
      </c>
      <c r="J207" s="115"/>
      <c r="K207" s="116"/>
      <c r="L207" s="112" t="str">
        <f>IFERROR(VLOOKUP(Table1[[#This Row],[SyStudentId]],ISIR!$A$2:$X$999,11,FALSE),"")</f>
        <v>D</v>
      </c>
      <c r="M207" s="113" t="str">
        <f>VLOOKUP(Table1[[#This Row],[SyStudentId]],SSR!$A$2:$CC$4982,7,FALSE)</f>
        <v>devrat12345@gmail.com</v>
      </c>
      <c r="N207" s="113" t="str">
        <f>VLOOKUP(Table1[[#This Row],[SyStudentId]],SSR!$A$2:$CC$4982,8,FALSE)</f>
        <v>1337 Edison Street</v>
      </c>
      <c r="O207" s="113" t="str">
        <f>VLOOKUP(Table1[[#This Row],[SyStudentId]],SSR!$A$2:$CC$4982,9,FALSE)</f>
        <v>Dayton</v>
      </c>
      <c r="P207" s="303" t="str">
        <f>VLOOKUP(Table1[[#This Row],[SyStudentId]],SSR!$A$2:$CC$4982,10,FALSE)</f>
        <v>OH</v>
      </c>
      <c r="Q207" s="117" t="str">
        <f>VLOOKUP(Table1[[#This Row],[SyStudentId]],SSR!$A$2:$CC$4982,11,FALSE)</f>
        <v xml:space="preserve">45417     </v>
      </c>
      <c r="R207" s="118">
        <f>VLOOKUP(Table1[[#This Row],[SyStudentId]],SSR!$A$2:$CC$4982,15,FALSE)</f>
        <v>3</v>
      </c>
      <c r="S207" s="119">
        <f>VLOOKUP(Table1[[#This Row],[SyStudentId]],SSR!$A$2:$CC$4982,22,FALSE)</f>
        <v>44109</v>
      </c>
      <c r="T207" s="113" t="str">
        <f>VLOOKUP(Table1[[#This Row],[SyStudentId]],SSR!$A$2:$CC$4982,24,FALSE)</f>
        <v>GM</v>
      </c>
      <c r="U207" s="113" t="str">
        <f>IF(VLOOKUP(Table1[[#This Row],[SyStudentId]],SSR!$A$2:$CC$4982,26,FALSE)=0,"Not Selected",VLOOKUP(Table1[[#This Row],[SyStudentId]],SSR!$A$2:$CC$4982,26,FALSE))</f>
        <v>Male</v>
      </c>
      <c r="V207" s="113" t="str">
        <f>VLOOKUP(Table1[[#This Row],[SyStudentId]],SSR!$A$2:$CC$4982,27,FALSE)</f>
        <v xml:space="preserve">HS2020  </v>
      </c>
      <c r="W207" s="113" t="str">
        <f>VLOOKUP(LEFT(Table1[[#This Row],[LastName]],1),Alpha!$A$1:$B$26,2,FALSE)</f>
        <v>Maureen Ranks</v>
      </c>
      <c r="X207" s="149" t="str">
        <f>VLOOKUP(Table1[[#This Row],[FAA]],Alpha!$B$1:$D$26,2,FALSE)</f>
        <v>mranks@neumont.edu</v>
      </c>
      <c r="Y207" s="113">
        <f>VLOOKUP(Table1[[#This Row],[FAA]],Alpha!$B$1:$D$26,3,FALSE)</f>
        <v>8883022894</v>
      </c>
      <c r="Z207" s="113" t="str">
        <f>VLOOKUP(Table1[[#This Row],[SyStudentId]],SSR!$A$2:$CC$4982,30,FALSE)</f>
        <v>16-Accepted</v>
      </c>
      <c r="AA207" s="113" t="str">
        <f>IF(VLOOKUP(Table1[[#This Row],[SyStudentId]],SSR!$A$2:$CC$4982,36,FALSE)="Bachelor of Science","BS Computer Science","Check Program")</f>
        <v>BS Computer Science</v>
      </c>
      <c r="AB207" s="113" t="str">
        <f>VLOOKUP(Table1[[#This Row],[SyStudentId]],SSR!$A$2:$CC$4982,37,FALSE)</f>
        <v xml:space="preserve">21      </v>
      </c>
      <c r="AC207" s="113">
        <f>VLOOKUP(Table1[[#This Row],[SyStudentId]],SSR!$A$2:$CC$4982,42,FALSE)</f>
        <v>0</v>
      </c>
      <c r="AD207" s="113" t="str">
        <f>VLOOKUP(Table1[[#This Row],[SyStudentId]],SSR!$A$2:$CC$4982,46,FALSE)</f>
        <v>97</v>
      </c>
      <c r="AE207" s="113" t="str">
        <f>VLOOKUP(Table1[[#This Row],[SyStudentId]],SSR!$A$2:$CC$4982,65,FALSE)</f>
        <v>VI</v>
      </c>
      <c r="AF207"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6</v>
      </c>
      <c r="AG207" s="113" t="str">
        <f>VLOOKUP(Table1[[#This Row],[SyStudentId]],SSR!$A$2:$CC$4982,66,FALSE)</f>
        <v>October</v>
      </c>
      <c r="AH207" s="113" t="str">
        <f>IFERROR(VLOOKUP(Table1[[#This Row],[SyStudentId]],ISIR!$A$2:$X$999,7,FALSE),"")</f>
        <v>000000</v>
      </c>
      <c r="AI207" s="121">
        <f>IF(Table1[[#This Row],[EFCRaw]]="","",IF(Table1[[#This Row],[EFCRaw]]="No EFC","No EFC",_xlfn.NUMBERVALUE(Table1[[#This Row],[EFCRaw]])))</f>
        <v>0</v>
      </c>
      <c r="AJ207" s="119">
        <f>IFERROR(VLOOKUP(Table1[[#This Row],[SyStudentId]],ISIR!$A$2:$X$4999,19,FALSE),"")</f>
        <v>43774</v>
      </c>
      <c r="AK207" s="113" t="str">
        <f>IFERROR(VLOOKUP(Table1[[#This Row],[SyStudentId]],ISIR!$A$2:$X$4999,8,FALSE),"")</f>
        <v>N</v>
      </c>
      <c r="AL207" s="132" t="str">
        <f>IF(Table1[[#This Row],[VerReq]]="N","n/a","")</f>
        <v>n/a</v>
      </c>
      <c r="AM207" s="122"/>
      <c r="AN207" s="122"/>
      <c r="AO207" s="122"/>
      <c r="AP207" s="122"/>
      <c r="AQ207" s="122"/>
      <c r="AR207" s="122"/>
      <c r="AS207" s="122"/>
      <c r="AT207" s="122"/>
      <c r="AU207" s="122"/>
      <c r="AV207" s="122"/>
      <c r="AW207" s="122"/>
      <c r="AX207" s="122"/>
      <c r="AY207" s="122"/>
      <c r="AZ207" s="122"/>
      <c r="BA207" s="122"/>
      <c r="BB207" s="122"/>
      <c r="BC207" s="148"/>
      <c r="BD207" s="140" t="str">
        <f>IF(Table1[[#This Row],[VerReq]]="N","x","")</f>
        <v>x</v>
      </c>
      <c r="BE207" s="140" t="str">
        <f>IF(Table1[[#This Row],[VerReq]]="N","x","")</f>
        <v>x</v>
      </c>
      <c r="BF207" s="140" t="str">
        <f>IF(Table1[[#This Row],[VerReq]]="N","x","")</f>
        <v>x</v>
      </c>
      <c r="BG207" s="140" t="str">
        <f>IF(Table1[[#This Row],[VerReq]]="N","x","")</f>
        <v>x</v>
      </c>
      <c r="BH207" s="140" t="str">
        <f>IF(Table1[[#This Row],[VerReq]]="N","x","")</f>
        <v>x</v>
      </c>
      <c r="BI207" s="140" t="str">
        <f>IF(Table1[[#This Row],[VerReq]]="N","x","")</f>
        <v>x</v>
      </c>
      <c r="BJ207" s="123">
        <f>1-((COUNTBLANK(Table1[[#This Row],[ALESent]:[TaxTran]]))/(COUNT(Table1[[#This Row],[ALESent]:[TaxTran]])+COUNTBLANK(Table1[[#This Row],[ALESent]:[TaxTran]])))</f>
        <v>0</v>
      </c>
      <c r="BK207" s="150">
        <f>IF(VLOOKUP(Table1[[#This Row],[SyStudentId]],SSR!$A$2:$CC$4982,22,FALSE)=44109,44109,"Check Program")</f>
        <v>44109</v>
      </c>
      <c r="BL207" s="150">
        <f>IF(Table1[[#This Row],[AYStart]]=44109,44356,"Check Program")</f>
        <v>44356</v>
      </c>
      <c r="BM207" s="219">
        <v>8505</v>
      </c>
      <c r="BN207" s="219">
        <v>8505</v>
      </c>
      <c r="BO207" s="219">
        <v>8505</v>
      </c>
      <c r="BP207" s="220">
        <f t="shared" si="9"/>
        <v>25515</v>
      </c>
      <c r="BQ207" s="221">
        <v>3300</v>
      </c>
      <c r="BR207" s="219">
        <v>400</v>
      </c>
      <c r="BS207" s="219">
        <v>400</v>
      </c>
      <c r="BT207" s="220">
        <f t="shared" si="10"/>
        <v>4100</v>
      </c>
      <c r="BU207" s="219">
        <v>2100</v>
      </c>
      <c r="BV207" s="219">
        <v>2100</v>
      </c>
      <c r="BW207" s="219">
        <v>2100</v>
      </c>
      <c r="BX207" s="220">
        <f t="shared" si="11"/>
        <v>6300</v>
      </c>
      <c r="BY207" s="275">
        <v>1200</v>
      </c>
      <c r="BZ207" s="275">
        <v>1200</v>
      </c>
      <c r="CA207" s="275">
        <v>1200</v>
      </c>
      <c r="CB207" s="220">
        <f>SUM(Table1[[#This Row],[LEQ1]:[LEQ3]])</f>
        <v>3600</v>
      </c>
      <c r="CC207" s="269"/>
      <c r="CD207" s="269"/>
      <c r="CE207" s="269"/>
      <c r="CF207" s="220">
        <f>SUM(Table1[[#This Row],[OthCostQ1]:[OthCostQ3]])</f>
        <v>0</v>
      </c>
      <c r="CG207" s="220">
        <f>(Table1[[#This Row],[T&amp;FTot]]+Table1[[#This Row],[B&amp;STot]]+Table1[[#This Row],[HousTot]]+Table1[[#This Row],[LETot]]+Table1[[#This Row],[OthCostTot]])</f>
        <v>39515</v>
      </c>
      <c r="CH207" s="250"/>
      <c r="CI207" s="250"/>
      <c r="CJ207" s="250"/>
      <c r="CK207" s="251">
        <f>SUM(Table1[[#This Row],[SEOGQ1]:[SEOGQ3]])</f>
        <v>0</v>
      </c>
      <c r="CL207" s="250">
        <f>IFERROR(ROUNDUP(Table1[[#This Row],[PellTot]]/3,0),0)</f>
        <v>2065</v>
      </c>
      <c r="CM207" s="250">
        <f>IFERROR(ROUND(Table1[[#This Row],[PellTot]]/3,0),0)</f>
        <v>2065</v>
      </c>
      <c r="CN207" s="250">
        <f>IFERROR(ROUNDDOWN(Table1[[#This Row],[PellTot]]/3,0),0)</f>
        <v>2065</v>
      </c>
      <c r="CO207" s="251">
        <f>IFERROR(LOOKUP(Table1[EFC],Pell_Table[#Data],Pell_Table[Pell Amt]),0)</f>
        <v>6195</v>
      </c>
      <c r="CP207" s="250">
        <f>Table1[[#This Row],[AccessTot]]/3</f>
        <v>500</v>
      </c>
      <c r="CQ207" s="250">
        <f>Table1[[#This Row],[AccessTot]]/3</f>
        <v>500</v>
      </c>
      <c r="CR207" s="250">
        <f>Table1[[#This Row],[AccessTot]]/3</f>
        <v>500</v>
      </c>
      <c r="CS207" s="251">
        <f>IF(Table1[[#This Row],[PellTot]]&gt;0,1500,0)</f>
        <v>1500</v>
      </c>
      <c r="CT207" s="250">
        <f>Table1[[#This Row],[AchiTot]]/3</f>
        <v>750</v>
      </c>
      <c r="CU207" s="250">
        <f>Table1[[#This Row],[AchiTot]]/3</f>
        <v>750</v>
      </c>
      <c r="CV207" s="250">
        <f>Table1[[#This Row],[AchiTot]]/3</f>
        <v>750</v>
      </c>
      <c r="CW207" s="252">
        <f>IF(Table1[[#This Row],[Rank]]="","",IF(Table1[[#This Row],[Rank]]=1,5100,IF(Table1[[#This Row],[Rank]]=2,4500,IF(Table1[[#This Row],[Rank]]=3,3900,IF(Table1[[#This Row],[Rank]]=4,3750,IF(Table1[[#This Row],[Rank]]=5,3000,IF(Table1[[#This Row],[Rank]]=6,2250,0)))))))</f>
        <v>2250</v>
      </c>
      <c r="CX207" s="250">
        <f>Table1[[#This Row],[UTTot]]/3</f>
        <v>0</v>
      </c>
      <c r="CY207" s="250">
        <f>Table1[[#This Row],[UTTot]]/3</f>
        <v>0</v>
      </c>
      <c r="CZ207" s="250">
        <f>Table1[[#This Row],[UTTot]]/3</f>
        <v>0</v>
      </c>
      <c r="DA207" s="251">
        <f>IF(Table1[[#This Row],[State]]="UT",9000,0)</f>
        <v>0</v>
      </c>
      <c r="DB207" s="250">
        <f>Table1[[#This Row],[WITTot]]/3</f>
        <v>0</v>
      </c>
      <c r="DC207" s="250">
        <f>Table1[[#This Row],[WITTot]]/3</f>
        <v>0</v>
      </c>
      <c r="DD207" s="250">
        <f>Table1[[#This Row],[WITTot]]/3</f>
        <v>0</v>
      </c>
      <c r="DE207" s="251">
        <f>IF(Table1[[#This Row],[Gender]]="Female",3000,0)</f>
        <v>0</v>
      </c>
      <c r="DF207" s="250">
        <f>Table1[[#This Row],[SerTot]]/3</f>
        <v>0</v>
      </c>
      <c r="DG207" s="250">
        <f>Table1[[#This Row],[SerTot]]/3</f>
        <v>0</v>
      </c>
      <c r="DH207" s="250">
        <f>Table1[[#This Row],[SerTot]]/3</f>
        <v>0</v>
      </c>
      <c r="DI207" s="252"/>
      <c r="DJ207" s="250"/>
      <c r="DK207" s="250"/>
      <c r="DL207" s="250"/>
      <c r="DM207" s="252"/>
      <c r="DN207" s="250">
        <f>Table1[[#This Row],[MatTot]]/3</f>
        <v>0</v>
      </c>
      <c r="DO207" s="250">
        <f>Table1[[#This Row],[MatTot]]/3</f>
        <v>0</v>
      </c>
      <c r="DP207" s="250">
        <f>Table1[[#This Row],[MatTot]]/3</f>
        <v>0</v>
      </c>
      <c r="DQ207" s="252"/>
      <c r="DR207" s="250">
        <f>Table1[[#This Row],[OutTot]]/3</f>
        <v>0</v>
      </c>
      <c r="DS207" s="250">
        <f>Table1[[#This Row],[OutTot]]/3</f>
        <v>0</v>
      </c>
      <c r="DT207" s="250">
        <f>Table1[[#This Row],[OutTot]]/3</f>
        <v>0</v>
      </c>
      <c r="DU207" s="252"/>
      <c r="DV207" s="250"/>
      <c r="DW207" s="250"/>
      <c r="DX207" s="250"/>
      <c r="DY207" s="252">
        <f>SUM(Table1[[#This Row],[VAQ1]:[VAQ3]])</f>
        <v>0</v>
      </c>
      <c r="DZ207" s="250"/>
      <c r="EA207" s="250"/>
      <c r="EB207" s="250"/>
      <c r="EC207" s="270">
        <f>SUM(Table1[[#This Row],[OthGrantQ1]:[OthGrantQ3]])</f>
        <v>0</v>
      </c>
      <c r="ED207" s="263">
        <f>Table1[[#This Row],[SEOGTot]]+Table1[[#This Row],[PellTot]]+Table1[[#This Row],[AccessTot]]+Table1[[#This Row],[AchiTot]]+Table1[[#This Row],[UTTot]]+Table1[[#This Row],[WITTot]]+Table1[[#This Row],[SerTot]]+Table1[[#This Row],[TranTot]]+Table1[[#This Row],[MatTot]]+Table1[[#This Row],[OutTot]]+Table1[[#This Row],[VATot]]+Table1[[#This Row],[OthGrantTot]]</f>
        <v>9945</v>
      </c>
      <c r="EE207" s="282"/>
      <c r="EF207" s="237"/>
      <c r="EG207" s="237"/>
      <c r="EH207" s="232">
        <f>SUM(Table1[[#This Row],[CashQ1]]:Table1[[#This Row],[CashQ3]])</f>
        <v>0</v>
      </c>
      <c r="EI207" s="271">
        <f>ROUND((Table1[[#This Row],[SubTot]]/3)/1.01059,0)</f>
        <v>0</v>
      </c>
      <c r="EJ207" s="234">
        <f>ROUND((Table1[[#This Row],[SubTot]]/3)/1.01059,0)</f>
        <v>0</v>
      </c>
      <c r="EK207" s="234">
        <f>ROUNDUP((Table1[[#This Row],[SubTot]]/3)/1.01059,0)</f>
        <v>0</v>
      </c>
      <c r="EL207" s="235"/>
      <c r="EM207" s="240">
        <f>Table1[[#This Row],[SubTot]]*0.01059</f>
        <v>0</v>
      </c>
      <c r="EN207" s="234">
        <f>ROUND((Table1[[#This Row],[UnsubTot]]/3)/1.01062,0)</f>
        <v>660</v>
      </c>
      <c r="EO207" s="234">
        <f>ROUND((Table1[[#This Row],[UnsubTot]]/3)/1.01062,0)</f>
        <v>660</v>
      </c>
      <c r="EP207" s="234">
        <f>ROUNDDOWN((Table1[[#This Row],[UnsubTot]]/3)/1.01062,0)</f>
        <v>659</v>
      </c>
      <c r="EQ207" s="235">
        <f>IF(Table1[D/I]="I",6000,2000)</f>
        <v>2000</v>
      </c>
      <c r="ER207" s="240">
        <f>Table1[[#This Row],[UnsubTot]]*0.01062</f>
        <v>21.24</v>
      </c>
      <c r="ES207" s="234">
        <f>ROUND((Table1[[#This Row],[PLUSTot]]/3)/1.04248,0)</f>
        <v>0</v>
      </c>
      <c r="ET207" s="234">
        <f>ROUND((Table1[[#This Row],[PLUSTot]]/3)/1.04248,0)</f>
        <v>0</v>
      </c>
      <c r="EU207" s="234">
        <f>ROUND((Table1[[#This Row],[PLUSTot]]/3)/1.04248,0)</f>
        <v>0</v>
      </c>
      <c r="EV207" s="235"/>
      <c r="EW207" s="239">
        <f>Table1[[#This Row],[PLUSTot]]*0.04248</f>
        <v>0</v>
      </c>
      <c r="EX207" s="237"/>
      <c r="EY207" s="237"/>
      <c r="EZ207" s="237"/>
      <c r="FA207" s="232">
        <f>SUM(Table1[[#This Row],[PrivQ1]:[PrivQ3]])</f>
        <v>0</v>
      </c>
      <c r="FB207" s="237"/>
      <c r="FC207" s="237"/>
      <c r="FD207" s="237"/>
      <c r="FE207" s="232">
        <f>SUM(Table1[[#This Row],[TOQ1]:[TOQ3]])</f>
        <v>0</v>
      </c>
      <c r="FF207" s="237"/>
      <c r="FG207" s="237"/>
      <c r="FH207" s="237"/>
      <c r="FI207" s="232">
        <f>SUM(Table1[[#This Row],[OFundQ1]:[OFundQ3]])</f>
        <v>0</v>
      </c>
      <c r="FJ207" s="239">
        <f>(Table1[[#This Row],[SubTot]]-Table1[[#This Row],[SubFee]])+(Table1[[#This Row],[UnsubTot]]-Table1[[#This Row],[UnsubFee]])+(Table1[[#This Row],[PLUSTot]]-Table1[[#This Row],[PLUSFee]])+Table1[[#This Row],[PrivTot]]+Table1[[#This Row],[TOTot]]+Table1[[#This Row],[OFundTot]]</f>
        <v>1978.76</v>
      </c>
      <c r="FK207" s="125">
        <f>Table1[[#This Row],[CostTot]]-Table1[[#This Row],[GiftTot]]</f>
        <v>29570</v>
      </c>
      <c r="FL207" s="130">
        <f>Table1[[#This Row],[NetNeed]]/(1-0.04248)</f>
        <v>28815.314562620104</v>
      </c>
      <c r="FM207" s="131">
        <f>Table1[[#This Row],[NetCost]]-Table1[[#This Row],[CashTot]]-(Table1[[#This Row],[SubTot]]-Table1[[#This Row],[SubFee]])-(Table1[[#This Row],[UnsubTot]]-Table1[[#This Row],[UnsubFee]])-(Table1[[#This Row],[PLUSTot]]-Table1[[#This Row],[PLUSFee]])-Table1[[#This Row],[PrivTot]]-Table1[[#This Row],[TOTot]]-Table1[[#This Row],[OFundTot]]</f>
        <v>27591.24</v>
      </c>
      <c r="FN207" s="156"/>
      <c r="FO207" s="113"/>
      <c r="FP207" s="113"/>
    </row>
    <row r="208" spans="1:172" ht="15" x14ac:dyDescent="0.25">
      <c r="A208" s="160">
        <v>191923</v>
      </c>
      <c r="B208" s="160" t="str">
        <f>VLOOKUP(Table1[[#This Row],[SyStudentId]],SSR!$A$2:$CC$4982,4,FALSE)</f>
        <v>Williams</v>
      </c>
      <c r="C208" s="160" t="str">
        <f>VLOOKUP(Table1[[#This Row],[SyStudentId]],SSR!$A$2:$CC$4982,5,FALSE)</f>
        <v>Jaiden</v>
      </c>
      <c r="D208" s="160" t="str">
        <f>VLOOKUP(Table1[[#This Row],[SyStudentId]],SSR!$A$2:$CC$4982,6,FALSE)</f>
        <v>Williams, Jaiden</v>
      </c>
      <c r="E208" s="113" t="str">
        <f>CONCATENATE(Table1[[#This Row],[FirstName]]," ",Table1[[#This Row],[LastName]])</f>
        <v>Jaiden Williams</v>
      </c>
      <c r="F208" s="158">
        <v>1</v>
      </c>
      <c r="G208" s="114">
        <v>43776</v>
      </c>
      <c r="H208" s="114">
        <v>43776</v>
      </c>
      <c r="I208" s="114">
        <v>43776</v>
      </c>
      <c r="J208" s="163" t="s">
        <v>4907</v>
      </c>
      <c r="K208" s="164" t="s">
        <v>708</v>
      </c>
      <c r="L208" s="158" t="str">
        <f>IFERROR(VLOOKUP(Table1[[#This Row],[SyStudentId]],ISIR!$A$2:$X$4999,11,FALSE),"")</f>
        <v>I</v>
      </c>
      <c r="M208" s="160" t="str">
        <f>VLOOKUP(Table1[[#This Row],[SyStudentId]],SSR!$A$2:$CC$4982,7,FALSE)</f>
        <v>darkphoenix845@gmail.com</v>
      </c>
      <c r="N208" s="160" t="str">
        <f>VLOOKUP(Table1[[#This Row],[SyStudentId]],SSR!$A$2:$CC$4982,8,FALSE)</f>
        <v>3152 Alison Dr</v>
      </c>
      <c r="O208" s="160" t="str">
        <f>VLOOKUP(Table1[[#This Row],[SyStudentId]],SSR!$A$2:$CC$4982,9,FALSE)</f>
        <v>Montgomery</v>
      </c>
      <c r="P208" s="294" t="str">
        <f>VLOOKUP(Table1[[#This Row],[SyStudentId]],SSR!$A$2:$CC$4982,10,FALSE)</f>
        <v>AL</v>
      </c>
      <c r="Q208" s="165" t="str">
        <f>VLOOKUP(Table1[[#This Row],[SyStudentId]],SSR!$A$2:$CC$4982,11,FALSE)</f>
        <v xml:space="preserve">36116     </v>
      </c>
      <c r="R208" s="166">
        <f>VLOOKUP(Table1[[#This Row],[SyStudentId]],SSR!$A$2:$CC$4982,15,FALSE)</f>
        <v>3.2</v>
      </c>
      <c r="S208" s="167">
        <f>VLOOKUP(Table1[[#This Row],[SyStudentId]],SSR!$A$2:$CC$4982,22,FALSE)</f>
        <v>44109</v>
      </c>
      <c r="T208" s="160" t="str">
        <f>VLOOKUP(Table1[[#This Row],[SyStudentId]],SSR!$A$2:$CC$4982,24,FALSE)</f>
        <v>MN</v>
      </c>
      <c r="U208" s="160" t="str">
        <f>IF(VLOOKUP(Table1[[#This Row],[SyStudentId]],SSR!$A$2:$CC$4982,26,FALSE)=0,"Not Selected",VLOOKUP(Table1[[#This Row],[SyStudentId]],SSR!$A$2:$CC$4982,26,FALSE))</f>
        <v>Female</v>
      </c>
      <c r="V208" s="160" t="str">
        <f>VLOOKUP(Table1[[#This Row],[SyStudentId]],SSR!$A$2:$CC$4982,27,FALSE)</f>
        <v xml:space="preserve">HS2020  </v>
      </c>
      <c r="W208" s="160" t="str">
        <f>VLOOKUP(LEFT(Table1[[#This Row],[LastName]],1),Alpha!$A$1:$B$26,2,FALSE)</f>
        <v>Maureen Ranks</v>
      </c>
      <c r="X208" s="268" t="str">
        <f>VLOOKUP(Table1[[#This Row],[FAA]],Alpha!$B$1:$D$26,2,FALSE)</f>
        <v>mranks@neumont.edu</v>
      </c>
      <c r="Y208" s="160">
        <f>VLOOKUP(Table1[[#This Row],[FAA]],Alpha!$B$1:$D$26,3,FALSE)</f>
        <v>8883022894</v>
      </c>
      <c r="Z208" s="160" t="str">
        <f>VLOOKUP(Table1[[#This Row],[SyStudentId]],SSR!$A$2:$CC$4982,30,FALSE)</f>
        <v>18-Pending Enrollment</v>
      </c>
      <c r="AA208" s="160" t="str">
        <f>IF(VLOOKUP(Table1[[#This Row],[SyStudentId]],SSR!$A$2:$CC$4982,36,FALSE)="Bachelor of Science","BS Computer Science","Check Program")</f>
        <v>BS Computer Science</v>
      </c>
      <c r="AB208" s="160" t="str">
        <f>VLOOKUP(Table1[[#This Row],[SyStudentId]],SSR!$A$2:$CC$4982,37,FALSE)</f>
        <v xml:space="preserve">27      </v>
      </c>
      <c r="AC208" s="160">
        <f>VLOOKUP(Table1[[#This Row],[SyStudentId]],SSR!$A$2:$CC$4982,42,FALSE)</f>
        <v>0</v>
      </c>
      <c r="AD208" s="160" t="str">
        <f>VLOOKUP(Table1[[#This Row],[SyStudentId]],SSR!$A$2:$CC$4982,46,FALSE)</f>
        <v>112</v>
      </c>
      <c r="AE208" s="160" t="str">
        <f>VLOOKUP(Table1[[#This Row],[SyStudentId]],SSR!$A$2:$CC$4982,65,FALSE)</f>
        <v>II</v>
      </c>
      <c r="AF208"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2</v>
      </c>
      <c r="AG208" s="160" t="str">
        <f>VLOOKUP(Table1[[#This Row],[SyStudentId]],SSR!$A$2:$CC$4982,66,FALSE)</f>
        <v>July-October</v>
      </c>
      <c r="AH208" s="160" t="str">
        <f>IFERROR(VLOOKUP(Table1[[#This Row],[SyStudentId]],ISIR!$A$2:$X$1999,7,FALSE),"")</f>
        <v>000000</v>
      </c>
      <c r="AI208" s="170">
        <f>IF(Table1[[#This Row],[EFCRaw]]="","",IF(Table1[[#This Row],[EFCRaw]]="No EFC","No EFC",_xlfn.NUMBERVALUE(Table1[[#This Row],[EFCRaw]])))</f>
        <v>0</v>
      </c>
      <c r="AJ208" s="167">
        <f>IFERROR(VLOOKUP(Table1[[#This Row],[SyStudentId]],ISIR!$A$2:$X$4999,19,FALSE),"")</f>
        <v>43774</v>
      </c>
      <c r="AK208" s="160" t="str">
        <f>IFERROR(VLOOKUP(Table1[[#This Row],[SyStudentId]],ISIR!$A$2:$X$4999,8,FALSE),"")</f>
        <v>Y</v>
      </c>
      <c r="AL208" s="171" t="str">
        <f>IF(Table1[[#This Row],[VerReq]]="N","n/a","")</f>
        <v/>
      </c>
      <c r="AM208" s="122"/>
      <c r="AN208" s="122"/>
      <c r="AO208" s="122">
        <v>43776</v>
      </c>
      <c r="AP208" s="122"/>
      <c r="AQ208" s="122"/>
      <c r="AR208" s="122"/>
      <c r="AS208" s="122"/>
      <c r="AT208" s="122"/>
      <c r="AU208" s="122"/>
      <c r="AV208" s="122"/>
      <c r="AW208" s="122"/>
      <c r="AX208" s="122"/>
      <c r="AY208" s="122"/>
      <c r="AZ208" s="122"/>
      <c r="BA208" s="122"/>
      <c r="BB208" s="122"/>
      <c r="BC208" s="148"/>
      <c r="BD208" s="140" t="str">
        <f>IF(Table1[[#This Row],[VerReq]]="N","x","")</f>
        <v/>
      </c>
      <c r="BE208" s="140" t="str">
        <f>IF(Table1[[#This Row],[VerReq]]="N","x","")</f>
        <v/>
      </c>
      <c r="BF208" s="140" t="str">
        <f>IF(Table1[[#This Row],[VerReq]]="N","x","")</f>
        <v/>
      </c>
      <c r="BG208" s="140" t="str">
        <f>IF(Table1[[#This Row],[VerReq]]="N","x","")</f>
        <v/>
      </c>
      <c r="BH208" s="140" t="str">
        <f>IF(Table1[[#This Row],[VerReq]]="N","x","")</f>
        <v/>
      </c>
      <c r="BI208" s="140" t="str">
        <f>IF(Table1[[#This Row],[VerReq]]="N","x","")</f>
        <v/>
      </c>
      <c r="BJ208" s="181">
        <f>1-((COUNTBLANK(Table1[[#This Row],[ALESent]:[TaxTran]]))/(COUNT(Table1[[#This Row],[ALESent]:[TaxTran]])+COUNTBLANK(Table1[[#This Row],[ALESent]:[TaxTran]])))</f>
        <v>4.3478260869565188E-2</v>
      </c>
      <c r="BK208" s="216">
        <f>IF(VLOOKUP(Table1[[#This Row],[SyStudentId]],SSR!$A$2:$CC$4982,22,FALSE)=44109,44109,"Check Program")</f>
        <v>44109</v>
      </c>
      <c r="BL208" s="216">
        <f>IF(Table1[[#This Row],[AYStart]]=44109,44356,"Check Program")</f>
        <v>44356</v>
      </c>
      <c r="BM208" s="219">
        <v>8505</v>
      </c>
      <c r="BN208" s="219">
        <v>8505</v>
      </c>
      <c r="BO208" s="219">
        <v>8505</v>
      </c>
      <c r="BP208" s="220">
        <f t="shared" si="9"/>
        <v>25515</v>
      </c>
      <c r="BQ208" s="221">
        <v>3300</v>
      </c>
      <c r="BR208" s="219">
        <v>400</v>
      </c>
      <c r="BS208" s="219">
        <v>400</v>
      </c>
      <c r="BT208" s="222">
        <f t="shared" si="10"/>
        <v>4100</v>
      </c>
      <c r="BU208" s="219">
        <v>2100</v>
      </c>
      <c r="BV208" s="219">
        <v>2100</v>
      </c>
      <c r="BW208" s="219">
        <v>2100</v>
      </c>
      <c r="BX208" s="222">
        <f t="shared" si="11"/>
        <v>6300</v>
      </c>
      <c r="BY208" s="275">
        <v>1200</v>
      </c>
      <c r="BZ208" s="275">
        <v>1200</v>
      </c>
      <c r="CA208" s="275">
        <v>1200</v>
      </c>
      <c r="CB208" s="222">
        <f>SUM(Table1[[#This Row],[LEQ1]:[LEQ3]])</f>
        <v>3600</v>
      </c>
      <c r="CC208" s="276">
        <v>0</v>
      </c>
      <c r="CD208" s="276">
        <v>0</v>
      </c>
      <c r="CE208" s="276">
        <v>0</v>
      </c>
      <c r="CF208" s="222">
        <f>SUM(Table1[[#This Row],[OthCostQ1]:[OthCostQ3]])</f>
        <v>0</v>
      </c>
      <c r="CG208" s="222">
        <f>(Table1[[#This Row],[T&amp;FTot]]+Table1[[#This Row],[B&amp;STot]]+Table1[[#This Row],[HousTot]]+Table1[[#This Row],[LETot]]+Table1[[#This Row],[OthCostTot]])</f>
        <v>39515</v>
      </c>
      <c r="CH208" s="253">
        <v>0</v>
      </c>
      <c r="CI208" s="253">
        <v>0</v>
      </c>
      <c r="CJ208" s="253">
        <v>0</v>
      </c>
      <c r="CK208" s="254">
        <f>SUM(Table1[[#This Row],[SEOGQ1]:[SEOGQ3]])</f>
        <v>0</v>
      </c>
      <c r="CL208" s="253">
        <f>IFERROR(ROUNDUP(Table1[[#This Row],[PellTot]]/3,0),0)</f>
        <v>2065</v>
      </c>
      <c r="CM208" s="253">
        <f>IFERROR(ROUND(Table1[[#This Row],[PellTot]]/3,0),0)</f>
        <v>2065</v>
      </c>
      <c r="CN208" s="253">
        <f>IFERROR(ROUNDDOWN(Table1[[#This Row],[PellTot]]/3,0),0)</f>
        <v>2065</v>
      </c>
      <c r="CO208" s="254">
        <f>IFERROR(LOOKUP(Table1[EFC],Pell_Table[#Data],Pell_Table[Pell Amt]),0)</f>
        <v>6195</v>
      </c>
      <c r="CP208" s="253">
        <f>Table1[[#This Row],[AccessTot]]/3</f>
        <v>500</v>
      </c>
      <c r="CQ208" s="253">
        <f>Table1[[#This Row],[AccessTot]]/3</f>
        <v>500</v>
      </c>
      <c r="CR208" s="253">
        <f>Table1[[#This Row],[AccessTot]]/3</f>
        <v>500</v>
      </c>
      <c r="CS208" s="254">
        <f>IF(Table1[[#This Row],[PellTot]]&gt;0,1500,0)</f>
        <v>1500</v>
      </c>
      <c r="CT208" s="253">
        <f>Table1[[#This Row],[AchiTot]]/3</f>
        <v>1500</v>
      </c>
      <c r="CU208" s="253">
        <f>Table1[[#This Row],[AchiTot]]/3</f>
        <v>1500</v>
      </c>
      <c r="CV208" s="253">
        <f>Table1[[#This Row],[AchiTot]]/3</f>
        <v>1500</v>
      </c>
      <c r="CW208" s="255">
        <f>IF(Table1[[#This Row],[Rank]]="","",IF(Table1[[#This Row],[Rank]]=1,5100,IF(Table1[[#This Row],[Rank]]=2,4500,IF(Table1[[#This Row],[Rank]]=3,3900,IF(Table1[[#This Row],[Rank]]=4,3750,IF(Table1[[#This Row],[Rank]]=5,3000,IF(Table1[[#This Row],[Rank]]=6,2250,0)))))))</f>
        <v>4500</v>
      </c>
      <c r="CX208" s="253">
        <f>Table1[[#This Row],[UTTot]]/3</f>
        <v>0</v>
      </c>
      <c r="CY208" s="253">
        <f>Table1[[#This Row],[UTTot]]/3</f>
        <v>0</v>
      </c>
      <c r="CZ208" s="253">
        <f>Table1[[#This Row],[UTTot]]/3</f>
        <v>0</v>
      </c>
      <c r="DA208" s="254">
        <f>IF(Table1[[#This Row],[State]]="UT",9000,0)</f>
        <v>0</v>
      </c>
      <c r="DB208" s="253">
        <f>Table1[[#This Row],[WITTot]]/3</f>
        <v>1000</v>
      </c>
      <c r="DC208" s="253">
        <f>Table1[[#This Row],[WITTot]]/3</f>
        <v>1000</v>
      </c>
      <c r="DD208" s="253">
        <f>Table1[[#This Row],[WITTot]]/3</f>
        <v>1000</v>
      </c>
      <c r="DE208" s="254">
        <f>IF(Table1[[#This Row],[Gender]]="Female",3000,0)</f>
        <v>3000</v>
      </c>
      <c r="DF208" s="253">
        <f>Table1[[#This Row],[SerTot]]/3</f>
        <v>0</v>
      </c>
      <c r="DG208" s="253">
        <f>Table1[[#This Row],[SerTot]]/3</f>
        <v>0</v>
      </c>
      <c r="DH208" s="253">
        <f>Table1[[#This Row],[SerTot]]/3</f>
        <v>0</v>
      </c>
      <c r="DI208" s="255">
        <v>0</v>
      </c>
      <c r="DJ208" s="253">
        <f>IFERROR(ROUNDUP(Table1[[#This Row],[TranTot]]/3,0),0)</f>
        <v>0</v>
      </c>
      <c r="DK208" s="253">
        <f>IFERROR(ROUND(Table1[[#This Row],[TranTot]]/3,0),0)</f>
        <v>0</v>
      </c>
      <c r="DL208" s="253">
        <f>IFERROR(ROUNDDOWN(Table1[[#This Row],[TranTot]]/3,0),0)</f>
        <v>0</v>
      </c>
      <c r="DM208" s="255">
        <v>0</v>
      </c>
      <c r="DN208" s="253">
        <f>Table1[[#This Row],[MatTot]]/3</f>
        <v>0</v>
      </c>
      <c r="DO208" s="253">
        <f>Table1[[#This Row],[MatTot]]/3</f>
        <v>0</v>
      </c>
      <c r="DP208" s="253">
        <f>Table1[[#This Row],[MatTot]]/3</f>
        <v>0</v>
      </c>
      <c r="DQ208" s="255">
        <v>0</v>
      </c>
      <c r="DR208" s="253">
        <f>Table1[[#This Row],[OutTot]]/3</f>
        <v>0</v>
      </c>
      <c r="DS208" s="253">
        <f>Table1[[#This Row],[OutTot]]/3</f>
        <v>0</v>
      </c>
      <c r="DT208" s="253">
        <f>Table1[[#This Row],[OutTot]]/3</f>
        <v>0</v>
      </c>
      <c r="DU208" s="255">
        <v>0</v>
      </c>
      <c r="DV208" s="253">
        <v>0</v>
      </c>
      <c r="DW208" s="253">
        <v>0</v>
      </c>
      <c r="DX208" s="253">
        <v>0</v>
      </c>
      <c r="DY208" s="255">
        <f>SUM(Table1[[#This Row],[VAQ1]:[VAQ3]])</f>
        <v>0</v>
      </c>
      <c r="DZ208" s="253">
        <v>0</v>
      </c>
      <c r="EA208" s="253">
        <v>0</v>
      </c>
      <c r="EB208" s="253">
        <v>0</v>
      </c>
      <c r="EC208" s="278">
        <f>SUM(Table1[[#This Row],[OthGrantQ1]:[OthGrantQ3]])</f>
        <v>0</v>
      </c>
      <c r="ED208" s="264">
        <f>Table1[[#This Row],[SEOGTot]]+Table1[[#This Row],[PellTot]]+Table1[[#This Row],[AccessTot]]+Table1[[#This Row],[AchiTot]]+Table1[[#This Row],[UTTot]]+Table1[[#This Row],[WITTot]]+Table1[[#This Row],[SerTot]]+Table1[[#This Row],[TranTot]]+Table1[[#This Row],[MatTot]]+Table1[[#This Row],[OutTot]]+Table1[[#This Row],[VATot]]+Table1[[#This Row],[OthGrantTot]]</f>
        <v>15195</v>
      </c>
      <c r="EE208" s="298">
        <v>0</v>
      </c>
      <c r="EF208" s="227">
        <v>0</v>
      </c>
      <c r="EG208" s="227">
        <v>0</v>
      </c>
      <c r="EH208" s="228">
        <f>SUM(Table1[[#This Row],[CashQ1]]:Table1[[#This Row],[CashQ3]])</f>
        <v>0</v>
      </c>
      <c r="EI208" s="229">
        <f>ROUND((Table1[[#This Row],[SubTot]]/3)/1.01059,0)</f>
        <v>1154</v>
      </c>
      <c r="EJ208" s="230">
        <f>ROUND((Table1[[#This Row],[SubTot]]/3)/1.01059,0)</f>
        <v>1154</v>
      </c>
      <c r="EK208" s="230">
        <f>ROUNDUP((Table1[[#This Row],[SubTot]]/3)/1.01059,0)</f>
        <v>1155</v>
      </c>
      <c r="EL208" s="231">
        <v>3500</v>
      </c>
      <c r="EM208" s="233">
        <f>Table1[[#This Row],[SubTot]]*0.01059</f>
        <v>37.065000000000005</v>
      </c>
      <c r="EN208" s="230">
        <f>ROUND((Table1[[#This Row],[UnsubTot]]/3)/1.01062,0)</f>
        <v>1979</v>
      </c>
      <c r="EO208" s="230">
        <f>ROUND((Table1[[#This Row],[UnsubTot]]/3)/1.01062,0)</f>
        <v>1979</v>
      </c>
      <c r="EP208" s="230">
        <f>ROUNDDOWN((Table1[[#This Row],[UnsubTot]]/3)/1.01062,0)</f>
        <v>1978</v>
      </c>
      <c r="EQ208" s="231">
        <f>IF(Table1[D/I]="I",6000,2000)</f>
        <v>6000</v>
      </c>
      <c r="ER208" s="233">
        <f>Table1[[#This Row],[UnsubTot]]*0.01059</f>
        <v>63.540000000000006</v>
      </c>
      <c r="ES208" s="230">
        <f>ROUND((Table1[[#This Row],[PLUSTot]]/3)/1.04236,0)</f>
        <v>0</v>
      </c>
      <c r="ET208" s="230">
        <f>ROUND((Table1[[#This Row],[PLUSTot]]/3)/1.04236,0)</f>
        <v>0</v>
      </c>
      <c r="EU208" s="230">
        <f>ROUND((Table1[[#This Row],[PLUSTot]]/3)/1.04236,0)</f>
        <v>0</v>
      </c>
      <c r="EV208" s="231">
        <v>0</v>
      </c>
      <c r="EW208" s="236">
        <f>Table1[[#This Row],[PLUSTot]]*0.04236</f>
        <v>0</v>
      </c>
      <c r="EX208" s="227"/>
      <c r="EY208" s="227"/>
      <c r="EZ208" s="227"/>
      <c r="FA208" s="228">
        <f>SUM(Table1[[#This Row],[PrivQ1]:[PrivQ3]])</f>
        <v>0</v>
      </c>
      <c r="FB208" s="227"/>
      <c r="FC208" s="227"/>
      <c r="FD208" s="227"/>
      <c r="FE208" s="228">
        <f>SUM(Table1[[#This Row],[TOQ1]:[TOQ3]])</f>
        <v>0</v>
      </c>
      <c r="FF208" s="227"/>
      <c r="FG208" s="227"/>
      <c r="FH208" s="227"/>
      <c r="FI208" s="228">
        <f>SUM(Table1[[#This Row],[OFundQ1]:[OFundQ3]])</f>
        <v>0</v>
      </c>
      <c r="FJ208" s="236">
        <f>(Table1[[#This Row],[SubTot]]-Table1[[#This Row],[SubFee]])+(Table1[[#This Row],[UnsubTot]]-Table1[[#This Row],[UnsubFee]])+(Table1[[#This Row],[PLUSTot]]-Table1[[#This Row],[PLUSFee]])+Table1[[#This Row],[PrivTot]]+Table1[[#This Row],[TOTot]]+Table1[[#This Row],[OFundTot]]</f>
        <v>9399.3950000000004</v>
      </c>
      <c r="FK208" s="159">
        <f>Table1[[#This Row],[CostTot]]-Table1[[#This Row],[GiftTot]]</f>
        <v>24320</v>
      </c>
      <c r="FL208" s="174">
        <f>Table1[[#This Row],[NetNeed]]/(1-0.04236)</f>
        <v>15580.599181320746</v>
      </c>
      <c r="FM208" s="176">
        <f>Table1[[#This Row],[NetCost]]-Table1[[#This Row],[CashTot]]-(Table1[[#This Row],[SubTot]]-Table1[[#This Row],[SubFee]])-(Table1[[#This Row],[UnsubTot]]-Table1[[#This Row],[UnsubFee]])-(Table1[[#This Row],[PLUSTot]]-Table1[[#This Row],[PLUSFee]])-Table1[[#This Row],[PrivTot]]-Table1[[#This Row],[TOTot]]-Table1[[#This Row],[OFundTot]]</f>
        <v>14920.605</v>
      </c>
      <c r="FN208" s="217"/>
      <c r="FO208" s="162"/>
      <c r="FP208" s="162"/>
    </row>
    <row r="209" spans="1:172" ht="15" x14ac:dyDescent="0.25">
      <c r="A209" s="311">
        <v>199067</v>
      </c>
      <c r="B209" s="113" t="str">
        <f>VLOOKUP(Table1[[#This Row],[SyStudentId]],SSR!$A$2:$CC$4982,4,FALSE)</f>
        <v>Williams</v>
      </c>
      <c r="C209" s="113" t="str">
        <f>VLOOKUP(Table1[[#This Row],[SyStudentId]],SSR!$A$2:$CC$4982,5,FALSE)</f>
        <v>Justin</v>
      </c>
      <c r="D209" s="113" t="str">
        <f>VLOOKUP(Table1[[#This Row],[SyStudentId]],SSR!$A$2:$CC$4982,6,FALSE)</f>
        <v>Williams, Justin</v>
      </c>
      <c r="E209" s="113" t="str">
        <f>CONCATENATE(Table1[[#This Row],[FirstName]]," ",Table1[[#This Row],[LastName]])</f>
        <v>Justin Williams</v>
      </c>
      <c r="F209" s="112"/>
      <c r="G209" s="114"/>
      <c r="H209" s="114"/>
      <c r="I209" s="114"/>
      <c r="J209" s="115" t="s">
        <v>5593</v>
      </c>
      <c r="K209" s="116"/>
      <c r="L209" s="112" t="str">
        <f>IFERROR(VLOOKUP(Table1[[#This Row],[SyStudentId]],ISIR!$A$2:$X$999,11,FALSE),"")</f>
        <v>X</v>
      </c>
      <c r="M209" s="113" t="str">
        <f>VLOOKUP(Table1[[#This Row],[SyStudentId]],SSR!$A$2:$CC$4982,7,FALSE)</f>
        <v>littleone1233@gmail.com</v>
      </c>
      <c r="N209" s="113" t="str">
        <f>VLOOKUP(Table1[[#This Row],[SyStudentId]],SSR!$A$2:$CC$4982,8,FALSE)</f>
        <v>6262 BARTON PARK DRIVE</v>
      </c>
      <c r="O209" s="113" t="str">
        <f>VLOOKUP(Table1[[#This Row],[SyStudentId]],SSR!$A$2:$CC$4982,9,FALSE)</f>
        <v>WEST JORDAN</v>
      </c>
      <c r="P209" s="113" t="str">
        <f>VLOOKUP(Table1[[#This Row],[SyStudentId]],SSR!$A$2:$CC$4982,10,FALSE)</f>
        <v>UT</v>
      </c>
      <c r="Q209" s="117" t="str">
        <f>VLOOKUP(Table1[[#This Row],[SyStudentId]],SSR!$A$2:$CC$4982,11,FALSE)</f>
        <v xml:space="preserve">84081     </v>
      </c>
      <c r="R209" s="118">
        <f>VLOOKUP(Table1[[#This Row],[SyStudentId]],SSR!$A$2:$CC$4982,15,FALSE)</f>
        <v>3.76</v>
      </c>
      <c r="S209" s="119">
        <f>VLOOKUP(Table1[[#This Row],[SyStudentId]],SSR!$A$2:$CC$4982,22,FALSE)</f>
        <v>44109</v>
      </c>
      <c r="T209" s="113" t="str">
        <f>VLOOKUP(Table1[[#This Row],[SyStudentId]],SSR!$A$2:$CC$4982,24,FALSE)</f>
        <v>JT</v>
      </c>
      <c r="U209" s="113" t="str">
        <f>IF(VLOOKUP(Table1[[#This Row],[SyStudentId]],SSR!$A$2:$CC$4982,26,FALSE)=0,"Not Selected",VLOOKUP(Table1[[#This Row],[SyStudentId]],SSR!$A$2:$CC$4982,26,FALSE))</f>
        <v>Male</v>
      </c>
      <c r="V209" s="113" t="str">
        <f>VLOOKUP(Table1[[#This Row],[SyStudentId]],SSR!$A$2:$CC$4982,27,FALSE)</f>
        <v xml:space="preserve">HS2020  </v>
      </c>
      <c r="W209" s="113" t="str">
        <f>VLOOKUP(LEFT(Table1[[#This Row],[LastName]],1),Alpha!$A$1:$B$26,2,FALSE)</f>
        <v>Maureen Ranks</v>
      </c>
      <c r="X209" s="149" t="str">
        <f>VLOOKUP(Table1[[#This Row],[FAA]],Alpha!$B$1:$D$26,2,FALSE)</f>
        <v>mranks@neumont.edu</v>
      </c>
      <c r="Y209" s="113">
        <f>VLOOKUP(Table1[[#This Row],[FAA]],Alpha!$B$1:$D$26,3,FALSE)</f>
        <v>8883022894</v>
      </c>
      <c r="Z209" s="113" t="str">
        <f>VLOOKUP(Table1[[#This Row],[SyStudentId]],SSR!$A$2:$CC$4982,30,FALSE)</f>
        <v>16-Accepted</v>
      </c>
      <c r="AA209" s="113" t="str">
        <f>IF(VLOOKUP(Table1[[#This Row],[SyStudentId]],SSR!$A$2:$CC$4982,36,FALSE)="Bachelor of Science","BS Computer Science","Check Program")</f>
        <v>BS Computer Science</v>
      </c>
      <c r="AB209" s="113" t="str">
        <f>VLOOKUP(Table1[[#This Row],[SyStudentId]],SSR!$A$2:$CC$4982,37,FALSE)</f>
        <v xml:space="preserve">20      </v>
      </c>
      <c r="AC209" s="113">
        <f>VLOOKUP(Table1[[#This Row],[SyStudentId]],SSR!$A$2:$CC$4982,42,FALSE)</f>
        <v>0</v>
      </c>
      <c r="AD209" s="113" t="str">
        <f>VLOOKUP(Table1[[#This Row],[SyStudentId]],SSR!$A$2:$CC$4982,46,FALSE)</f>
        <v>110</v>
      </c>
      <c r="AE209" s="113" t="str">
        <f>VLOOKUP(Table1[[#This Row],[SyStudentId]],SSR!$A$2:$CC$4982,65,FALSE)</f>
        <v>II</v>
      </c>
      <c r="AF209"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2</v>
      </c>
      <c r="AG209" s="113" t="str">
        <f>VLOOKUP(Table1[[#This Row],[SyStudentId]],SSR!$A$2:$CC$4982,66,FALSE)</f>
        <v>November</v>
      </c>
      <c r="AH209" s="113">
        <f>IFERROR(VLOOKUP(Table1[[#This Row],[SyStudentId]],ISIR!$A$2:$X$999,7,FALSE),"")</f>
        <v>0</v>
      </c>
      <c r="AI209" s="121">
        <f>IF(Table1[[#This Row],[EFCRaw]]="","",IF(Table1[[#This Row],[EFCRaw]]="No EFC","No EFC",_xlfn.NUMBERVALUE(Table1[[#This Row],[EFCRaw]])))</f>
        <v>0</v>
      </c>
      <c r="AJ209" s="119">
        <f>IFERROR(VLOOKUP(Table1[[#This Row],[SyStudentId]],ISIR!$A$2:$X$4999,19,FALSE),"")</f>
        <v>43804</v>
      </c>
      <c r="AK209" s="113" t="str">
        <f>IFERROR(VLOOKUP(Table1[[#This Row],[SyStudentId]],ISIR!$A$2:$X$4999,8,FALSE),"")</f>
        <v>Y</v>
      </c>
      <c r="AL209" s="132" t="str">
        <f>IF(Table1[[#This Row],[VerReq]]="N","n/a","")</f>
        <v/>
      </c>
      <c r="AM209" s="122"/>
      <c r="AN209" s="122"/>
      <c r="AO209" s="122"/>
      <c r="AP209" s="122"/>
      <c r="AQ209" s="122"/>
      <c r="AR209" s="122"/>
      <c r="AS209" s="122"/>
      <c r="AT209" s="122"/>
      <c r="AU209" s="122"/>
      <c r="AV209" s="122"/>
      <c r="AW209" s="122"/>
      <c r="AX209" s="122"/>
      <c r="AY209" s="122"/>
      <c r="AZ209" s="122"/>
      <c r="BA209" s="122"/>
      <c r="BB209" s="122"/>
      <c r="BC209" s="148"/>
      <c r="BD209" s="140" t="str">
        <f>IF(Table1[[#This Row],[VerReq]]="N","x","")</f>
        <v/>
      </c>
      <c r="BE209" s="140" t="str">
        <f>IF(Table1[[#This Row],[VerReq]]="N","x","")</f>
        <v/>
      </c>
      <c r="BF209" s="140" t="str">
        <f>IF(Table1[[#This Row],[VerReq]]="N","x","")</f>
        <v/>
      </c>
      <c r="BG209" s="140" t="str">
        <f>IF(Table1[[#This Row],[VerReq]]="N","x","")</f>
        <v/>
      </c>
      <c r="BH209" s="140" t="str">
        <f>IF(Table1[[#This Row],[VerReq]]="N","x","")</f>
        <v/>
      </c>
      <c r="BI209" s="140" t="str">
        <f>IF(Table1[[#This Row],[VerReq]]="N","x","")</f>
        <v/>
      </c>
      <c r="BJ209" s="123">
        <f>1-((COUNTBLANK(Table1[[#This Row],[ALESent]:[TaxTran]]))/(COUNT(Table1[[#This Row],[ALESent]:[TaxTran]])+COUNTBLANK(Table1[[#This Row],[ALESent]:[TaxTran]])))</f>
        <v>0</v>
      </c>
      <c r="BK209" s="150">
        <f>IF(VLOOKUP(Table1[[#This Row],[SyStudentId]],SSR!$A$2:$CC$4982,22,FALSE)=44109,44109,"Check Program")</f>
        <v>44109</v>
      </c>
      <c r="BL209" s="150">
        <f>IF(Table1[[#This Row],[AYStart]]=44109,44356,"Check Program")</f>
        <v>44356</v>
      </c>
      <c r="BM209" s="219">
        <v>8505</v>
      </c>
      <c r="BN209" s="219">
        <v>8505</v>
      </c>
      <c r="BO209" s="219">
        <v>8505</v>
      </c>
      <c r="BP209" s="220">
        <f t="shared" si="9"/>
        <v>25515</v>
      </c>
      <c r="BQ209" s="221">
        <v>3300</v>
      </c>
      <c r="BR209" s="219">
        <v>400</v>
      </c>
      <c r="BS209" s="219">
        <v>400</v>
      </c>
      <c r="BT209" s="220">
        <f t="shared" si="10"/>
        <v>4100</v>
      </c>
      <c r="BU209" s="219">
        <v>2100</v>
      </c>
      <c r="BV209" s="219">
        <v>2100</v>
      </c>
      <c r="BW209" s="219">
        <v>2100</v>
      </c>
      <c r="BX209" s="220">
        <f t="shared" si="11"/>
        <v>6300</v>
      </c>
      <c r="BY209" s="275">
        <v>1200</v>
      </c>
      <c r="BZ209" s="275">
        <v>1200</v>
      </c>
      <c r="CA209" s="275">
        <v>1200</v>
      </c>
      <c r="CB209" s="220">
        <f>SUM(Table1[[#This Row],[LEQ1]:[LEQ3]])</f>
        <v>3600</v>
      </c>
      <c r="CC209" s="269"/>
      <c r="CD209" s="269"/>
      <c r="CE209" s="269"/>
      <c r="CF209" s="220">
        <f>SUM(Table1[[#This Row],[OthCostQ1]:[OthCostQ3]])</f>
        <v>0</v>
      </c>
      <c r="CG209" s="220">
        <f>(Table1[[#This Row],[T&amp;FTot]]+Table1[[#This Row],[B&amp;STot]]+Table1[[#This Row],[HousTot]]+Table1[[#This Row],[LETot]]+Table1[[#This Row],[OthCostTot]])</f>
        <v>39515</v>
      </c>
      <c r="CH209" s="250"/>
      <c r="CI209" s="250"/>
      <c r="CJ209" s="250"/>
      <c r="CK209" s="251">
        <f>SUM(Table1[[#This Row],[SEOGQ1]:[SEOGQ3]])</f>
        <v>0</v>
      </c>
      <c r="CL209" s="250">
        <f>IFERROR(ROUNDUP(Table1[[#This Row],[PellTot]]/3,0),0)</f>
        <v>2065</v>
      </c>
      <c r="CM209" s="250">
        <f>IFERROR(ROUND(Table1[[#This Row],[PellTot]]/3,0),0)</f>
        <v>2065</v>
      </c>
      <c r="CN209" s="250">
        <f>IFERROR(ROUNDDOWN(Table1[[#This Row],[PellTot]]/3,0),0)</f>
        <v>2065</v>
      </c>
      <c r="CO209" s="251">
        <f>IFERROR(LOOKUP(Table1[EFC],Pell_Table[#Data],Pell_Table[Pell Amt]),0)</f>
        <v>6195</v>
      </c>
      <c r="CP209" s="250">
        <f>Table1[[#This Row],[AccessTot]]/3</f>
        <v>500</v>
      </c>
      <c r="CQ209" s="250">
        <f>Table1[[#This Row],[AccessTot]]/3</f>
        <v>500</v>
      </c>
      <c r="CR209" s="250">
        <f>Table1[[#This Row],[AccessTot]]/3</f>
        <v>500</v>
      </c>
      <c r="CS209" s="251">
        <f>IF(Table1[[#This Row],[PellTot]]&gt;0,1500,0)</f>
        <v>1500</v>
      </c>
      <c r="CT209" s="250">
        <f>Table1[[#This Row],[AchiTot]]/3</f>
        <v>1500</v>
      </c>
      <c r="CU209" s="250">
        <f>Table1[[#This Row],[AchiTot]]/3</f>
        <v>1500</v>
      </c>
      <c r="CV209" s="250">
        <f>Table1[[#This Row],[AchiTot]]/3</f>
        <v>1500</v>
      </c>
      <c r="CW209" s="252">
        <f>IF(Table1[[#This Row],[Rank]]="","",IF(Table1[[#This Row],[Rank]]=1,5100,IF(Table1[[#This Row],[Rank]]=2,4500,IF(Table1[[#This Row],[Rank]]=3,3900,IF(Table1[[#This Row],[Rank]]=4,3750,IF(Table1[[#This Row],[Rank]]=5,3000,IF(Table1[[#This Row],[Rank]]=6,2250,0)))))))</f>
        <v>4500</v>
      </c>
      <c r="CX209" s="250">
        <f>Table1[[#This Row],[UTTot]]/3</f>
        <v>3000</v>
      </c>
      <c r="CY209" s="250">
        <f>Table1[[#This Row],[UTTot]]/3</f>
        <v>3000</v>
      </c>
      <c r="CZ209" s="250">
        <f>Table1[[#This Row],[UTTot]]/3</f>
        <v>3000</v>
      </c>
      <c r="DA209" s="251">
        <f>IF(Table1[[#This Row],[State]]="UT",9000,0)</f>
        <v>9000</v>
      </c>
      <c r="DB209" s="250">
        <f>Table1[[#This Row],[WITTot]]/3</f>
        <v>0</v>
      </c>
      <c r="DC209" s="250">
        <f>Table1[[#This Row],[WITTot]]/3</f>
        <v>0</v>
      </c>
      <c r="DD209" s="250">
        <f>Table1[[#This Row],[WITTot]]/3</f>
        <v>0</v>
      </c>
      <c r="DE209" s="251">
        <f>IF(Table1[[#This Row],[Gender]]="Female",3000,0)</f>
        <v>0</v>
      </c>
      <c r="DF209" s="250">
        <f>Table1[[#This Row],[SerTot]]/3</f>
        <v>0</v>
      </c>
      <c r="DG209" s="250">
        <f>Table1[[#This Row],[SerTot]]/3</f>
        <v>0</v>
      </c>
      <c r="DH209" s="250">
        <f>Table1[[#This Row],[SerTot]]/3</f>
        <v>0</v>
      </c>
      <c r="DI209" s="252"/>
      <c r="DJ209" s="250"/>
      <c r="DK209" s="250"/>
      <c r="DL209" s="250"/>
      <c r="DM209" s="252"/>
      <c r="DN209" s="250">
        <f>Table1[[#This Row],[MatTot]]/3</f>
        <v>0</v>
      </c>
      <c r="DO209" s="250">
        <f>Table1[[#This Row],[MatTot]]/3</f>
        <v>0</v>
      </c>
      <c r="DP209" s="250">
        <f>Table1[[#This Row],[MatTot]]/3</f>
        <v>0</v>
      </c>
      <c r="DQ209" s="252"/>
      <c r="DR209" s="250">
        <f>Table1[[#This Row],[OutTot]]/3</f>
        <v>0</v>
      </c>
      <c r="DS209" s="250">
        <f>Table1[[#This Row],[OutTot]]/3</f>
        <v>0</v>
      </c>
      <c r="DT209" s="250">
        <f>Table1[[#This Row],[OutTot]]/3</f>
        <v>0</v>
      </c>
      <c r="DU209" s="252"/>
      <c r="DV209" s="250"/>
      <c r="DW209" s="250"/>
      <c r="DX209" s="250"/>
      <c r="DY209" s="252">
        <f>SUM(Table1[[#This Row],[VAQ1]:[VAQ3]])</f>
        <v>0</v>
      </c>
      <c r="DZ209" s="250"/>
      <c r="EA209" s="250"/>
      <c r="EB209" s="250"/>
      <c r="EC209" s="270">
        <f>SUM(Table1[[#This Row],[OthGrantQ1]:[OthGrantQ3]])</f>
        <v>0</v>
      </c>
      <c r="ED209" s="263">
        <f>Table1[[#This Row],[SEOGTot]]+Table1[[#This Row],[PellTot]]+Table1[[#This Row],[AccessTot]]+Table1[[#This Row],[AchiTot]]+Table1[[#This Row],[UTTot]]+Table1[[#This Row],[WITTot]]+Table1[[#This Row],[SerTot]]+Table1[[#This Row],[TranTot]]+Table1[[#This Row],[MatTot]]+Table1[[#This Row],[OutTot]]+Table1[[#This Row],[VATot]]+Table1[[#This Row],[OthGrantTot]]</f>
        <v>21195</v>
      </c>
      <c r="EE209" s="282"/>
      <c r="EF209" s="237"/>
      <c r="EG209" s="237"/>
      <c r="EH209" s="232">
        <f>SUM(Table1[[#This Row],[CashQ1]]:Table1[[#This Row],[CashQ3]])</f>
        <v>0</v>
      </c>
      <c r="EI209" s="271">
        <f>ROUND((Table1[[#This Row],[SubTot]]/3)/1.01059,0)</f>
        <v>0</v>
      </c>
      <c r="EJ209" s="234">
        <f>ROUND((Table1[[#This Row],[SubTot]]/3)/1.01059,0)</f>
        <v>0</v>
      </c>
      <c r="EK209" s="234">
        <f>ROUNDUP((Table1[[#This Row],[SubTot]]/3)/1.01059,0)</f>
        <v>0</v>
      </c>
      <c r="EL209" s="235"/>
      <c r="EM209" s="240">
        <f>Table1[[#This Row],[SubTot]]*0.01059</f>
        <v>0</v>
      </c>
      <c r="EN209" s="234">
        <f>ROUND((Table1[[#This Row],[UnsubTot]]/3)/1.01062,0)</f>
        <v>660</v>
      </c>
      <c r="EO209" s="234">
        <f>ROUND((Table1[[#This Row],[UnsubTot]]/3)/1.01062,0)</f>
        <v>660</v>
      </c>
      <c r="EP209" s="234">
        <f>ROUNDDOWN((Table1[[#This Row],[UnsubTot]]/3)/1.01062,0)</f>
        <v>659</v>
      </c>
      <c r="EQ209" s="235">
        <f>IF(Table1[D/I]="I",6000,2000)</f>
        <v>2000</v>
      </c>
      <c r="ER209" s="240">
        <f>Table1[[#This Row],[UnsubTot]]*0.01062</f>
        <v>21.24</v>
      </c>
      <c r="ES209" s="234">
        <f>ROUND((Table1[[#This Row],[PLUSTot]]/3)/1.04248,0)</f>
        <v>0</v>
      </c>
      <c r="ET209" s="234">
        <f>ROUND((Table1[[#This Row],[PLUSTot]]/3)/1.04248,0)</f>
        <v>0</v>
      </c>
      <c r="EU209" s="234">
        <f>ROUND((Table1[[#This Row],[PLUSTot]]/3)/1.04248,0)</f>
        <v>0</v>
      </c>
      <c r="EV209" s="235"/>
      <c r="EW209" s="239">
        <f>Table1[[#This Row],[PLUSTot]]*0.04248</f>
        <v>0</v>
      </c>
      <c r="EX209" s="237"/>
      <c r="EY209" s="237"/>
      <c r="EZ209" s="237"/>
      <c r="FA209" s="232">
        <f>SUM(Table1[[#This Row],[PrivQ1]:[PrivQ3]])</f>
        <v>0</v>
      </c>
      <c r="FB209" s="237"/>
      <c r="FC209" s="237"/>
      <c r="FD209" s="237"/>
      <c r="FE209" s="232">
        <f>SUM(Table1[[#This Row],[TOQ1]:[TOQ3]])</f>
        <v>0</v>
      </c>
      <c r="FF209" s="237"/>
      <c r="FG209" s="237"/>
      <c r="FH209" s="237"/>
      <c r="FI209" s="232">
        <f>SUM(Table1[[#This Row],[OFundQ1]:[OFundQ3]])</f>
        <v>0</v>
      </c>
      <c r="FJ209" s="239">
        <f>(Table1[[#This Row],[SubTot]]-Table1[[#This Row],[SubFee]])+(Table1[[#This Row],[UnsubTot]]-Table1[[#This Row],[UnsubFee]])+(Table1[[#This Row],[PLUSTot]]-Table1[[#This Row],[PLUSFee]])+Table1[[#This Row],[PrivTot]]+Table1[[#This Row],[TOTot]]+Table1[[#This Row],[OFundTot]]</f>
        <v>1978.76</v>
      </c>
      <c r="FK209" s="125">
        <f>Table1[[#This Row],[CostTot]]-Table1[[#This Row],[GiftTot]]</f>
        <v>18320</v>
      </c>
      <c r="FL209" s="130">
        <f>Table1[[#This Row],[NetNeed]]/(1-0.04248)</f>
        <v>17066.212716183472</v>
      </c>
      <c r="FM209" s="131">
        <f>Table1[[#This Row],[NetCost]]-Table1[[#This Row],[CashTot]]-(Table1[[#This Row],[SubTot]]-Table1[[#This Row],[SubFee]])-(Table1[[#This Row],[UnsubTot]]-Table1[[#This Row],[UnsubFee]])-(Table1[[#This Row],[PLUSTot]]-Table1[[#This Row],[PLUSFee]])-Table1[[#This Row],[PrivTot]]-Table1[[#This Row],[TOTot]]-Table1[[#This Row],[OFundTot]]</f>
        <v>16341.24</v>
      </c>
      <c r="FN209" s="156"/>
      <c r="FO209" s="113"/>
      <c r="FP209" s="113"/>
    </row>
    <row r="210" spans="1:172" ht="15" x14ac:dyDescent="0.25">
      <c r="A210" s="311">
        <v>196971</v>
      </c>
      <c r="B210" s="113" t="str">
        <f>VLOOKUP(Table1[[#This Row],[SyStudentId]],SSR!$A$2:$CC$4982,4,FALSE)</f>
        <v>Williams</v>
      </c>
      <c r="C210" s="113" t="str">
        <f>VLOOKUP(Table1[[#This Row],[SyStudentId]],SSR!$A$2:$CC$4982,5,FALSE)</f>
        <v>Kendel</v>
      </c>
      <c r="D210" s="113" t="str">
        <f>VLOOKUP(Table1[[#This Row],[SyStudentId]],SSR!$A$2:$CC$4982,6,FALSE)</f>
        <v>Williams, Kendel</v>
      </c>
      <c r="E210" s="113" t="str">
        <f>CONCATENATE(Table1[[#This Row],[FirstName]]," ",Table1[[#This Row],[LastName]])</f>
        <v>Kendel Williams</v>
      </c>
      <c r="F210" s="112"/>
      <c r="G210" s="114"/>
      <c r="H210" s="114"/>
      <c r="I210" s="114"/>
      <c r="J210" s="115" t="s">
        <v>5311</v>
      </c>
      <c r="K210" s="116"/>
      <c r="L210" s="112" t="str">
        <f>IFERROR(VLOOKUP(Table1[[#This Row],[SyStudentId]],ISIR!$A$2:$X$999,11,FALSE),"")</f>
        <v/>
      </c>
      <c r="M210" s="113" t="str">
        <f>VLOOKUP(Table1[[#This Row],[SyStudentId]],SSR!$A$2:$CC$4982,7,FALSE)</f>
        <v>kendelwilliams0822@gmail.com</v>
      </c>
      <c r="N210" s="113" t="str">
        <f>VLOOKUP(Table1[[#This Row],[SyStudentId]],SSR!$A$2:$CC$4982,8,FALSE)</f>
        <v>24740 Devoe Ave</v>
      </c>
      <c r="O210" s="113" t="str">
        <f>VLOOKUP(Table1[[#This Row],[SyStudentId]],SSR!$A$2:$CC$4982,9,FALSE)</f>
        <v>Euclid</v>
      </c>
      <c r="P210" s="303" t="str">
        <f>VLOOKUP(Table1[[#This Row],[SyStudentId]],SSR!$A$2:$CC$4982,10,FALSE)</f>
        <v>OH</v>
      </c>
      <c r="Q210" s="117" t="str">
        <f>VLOOKUP(Table1[[#This Row],[SyStudentId]],SSR!$A$2:$CC$4982,11,FALSE)</f>
        <v xml:space="preserve">44123     </v>
      </c>
      <c r="R210" s="118">
        <f>VLOOKUP(Table1[[#This Row],[SyStudentId]],SSR!$A$2:$CC$4982,15,FALSE)</f>
        <v>2.06</v>
      </c>
      <c r="S210" s="119">
        <f>VLOOKUP(Table1[[#This Row],[SyStudentId]],SSR!$A$2:$CC$4982,22,FALSE)</f>
        <v>44109</v>
      </c>
      <c r="T210" s="113" t="str">
        <f>VLOOKUP(Table1[[#This Row],[SyStudentId]],SSR!$A$2:$CC$4982,24,FALSE)</f>
        <v>JT</v>
      </c>
      <c r="U210" s="113" t="str">
        <f>IF(VLOOKUP(Table1[[#This Row],[SyStudentId]],SSR!$A$2:$CC$4982,26,FALSE)=0,"Not Selected",VLOOKUP(Table1[[#This Row],[SyStudentId]],SSR!$A$2:$CC$4982,26,FALSE))</f>
        <v>Male</v>
      </c>
      <c r="V210" s="113" t="str">
        <f>VLOOKUP(Table1[[#This Row],[SyStudentId]],SSR!$A$2:$CC$4982,27,FALSE)</f>
        <v xml:space="preserve">HS2020  </v>
      </c>
      <c r="W210" s="113" t="str">
        <f>VLOOKUP(LEFT(Table1[[#This Row],[LastName]],1),Alpha!$A$1:$B$26,2,FALSE)</f>
        <v>Maureen Ranks</v>
      </c>
      <c r="X210" s="149" t="str">
        <f>VLOOKUP(Table1[[#This Row],[FAA]],Alpha!$B$1:$D$26,2,FALSE)</f>
        <v>mranks@neumont.edu</v>
      </c>
      <c r="Y210" s="113">
        <f>VLOOKUP(Table1[[#This Row],[FAA]],Alpha!$B$1:$D$26,3,FALSE)</f>
        <v>8883022894</v>
      </c>
      <c r="Z210" s="113" t="str">
        <f>VLOOKUP(Table1[[#This Row],[SyStudentId]],SSR!$A$2:$CC$4982,30,FALSE)</f>
        <v>16-Accepted</v>
      </c>
      <c r="AA210" s="113" t="str">
        <f>IF(VLOOKUP(Table1[[#This Row],[SyStudentId]],SSR!$A$2:$CC$4982,36,FALSE)="Bachelor of Science","BS Computer Science","Check Program")</f>
        <v>BS Computer Science</v>
      </c>
      <c r="AB210" s="113">
        <f>VLOOKUP(Table1[[#This Row],[SyStudentId]],SSR!$A$2:$CC$4982,37,FALSE)</f>
        <v>0</v>
      </c>
      <c r="AC210" s="113" t="str">
        <f>VLOOKUP(Table1[[#This Row],[SyStudentId]],SSR!$A$2:$CC$4982,42,FALSE)</f>
        <v xml:space="preserve">890     </v>
      </c>
      <c r="AD210" s="113" t="str">
        <f>VLOOKUP(Table1[[#This Row],[SyStudentId]],SSR!$A$2:$CC$4982,46,FALSE)</f>
        <v>75</v>
      </c>
      <c r="AE210" s="113" t="str">
        <f>VLOOKUP(Table1[[#This Row],[SyStudentId]],SSR!$A$2:$CC$4982,65,FALSE)</f>
        <v>X</v>
      </c>
      <c r="AF210"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10</v>
      </c>
      <c r="AG210" s="113" t="str">
        <f>VLOOKUP(Table1[[#This Row],[SyStudentId]],SSR!$A$2:$CC$4982,66,FALSE)</f>
        <v>November</v>
      </c>
      <c r="AH210" s="113" t="str">
        <f>IFERROR(VLOOKUP(Table1[[#This Row],[SyStudentId]],ISIR!$A$2:$X$999,7,FALSE),"")</f>
        <v/>
      </c>
      <c r="AI210" s="121" t="str">
        <f>IF(Table1[[#This Row],[EFCRaw]]="","",IF(Table1[[#This Row],[EFCRaw]]="No EFC","No EFC",_xlfn.NUMBERVALUE(Table1[[#This Row],[EFCRaw]])))</f>
        <v/>
      </c>
      <c r="AJ210" s="119" t="str">
        <f>IFERROR(VLOOKUP(Table1[[#This Row],[SyStudentId]],ISIR!$A$2:$X$4999,19,FALSE),"")</f>
        <v/>
      </c>
      <c r="AK210" s="113" t="str">
        <f>IFERROR(VLOOKUP(Table1[[#This Row],[SyStudentId]],ISIR!$A$2:$X$4999,8,FALSE),"")</f>
        <v/>
      </c>
      <c r="AL210" s="132" t="str">
        <f>IF(Table1[[#This Row],[VerReq]]="N","n/a","")</f>
        <v/>
      </c>
      <c r="AM210" s="122"/>
      <c r="AN210" s="122"/>
      <c r="AO210" s="122"/>
      <c r="AP210" s="122"/>
      <c r="AQ210" s="122"/>
      <c r="AR210" s="122"/>
      <c r="AS210" s="122"/>
      <c r="AT210" s="122"/>
      <c r="AU210" s="122"/>
      <c r="AV210" s="122"/>
      <c r="AW210" s="122"/>
      <c r="AX210" s="122"/>
      <c r="AY210" s="122"/>
      <c r="AZ210" s="122"/>
      <c r="BA210" s="122"/>
      <c r="BB210" s="122"/>
      <c r="BC210" s="148"/>
      <c r="BD210" s="140" t="str">
        <f>IF(Table1[[#This Row],[VerReq]]="N","x","")</f>
        <v/>
      </c>
      <c r="BE210" s="140" t="str">
        <f>IF(Table1[[#This Row],[VerReq]]="N","x","")</f>
        <v/>
      </c>
      <c r="BF210" s="140" t="str">
        <f>IF(Table1[[#This Row],[VerReq]]="N","x","")</f>
        <v/>
      </c>
      <c r="BG210" s="140" t="str">
        <f>IF(Table1[[#This Row],[VerReq]]="N","x","")</f>
        <v/>
      </c>
      <c r="BH210" s="140" t="str">
        <f>IF(Table1[[#This Row],[VerReq]]="N","x","")</f>
        <v/>
      </c>
      <c r="BI210" s="140" t="str">
        <f>IF(Table1[[#This Row],[VerReq]]="N","x","")</f>
        <v/>
      </c>
      <c r="BJ210" s="123">
        <f>1-((COUNTBLANK(Table1[[#This Row],[ALESent]:[TaxTran]]))/(COUNT(Table1[[#This Row],[ALESent]:[TaxTran]])+COUNTBLANK(Table1[[#This Row],[ALESent]:[TaxTran]])))</f>
        <v>0</v>
      </c>
      <c r="BK210" s="150">
        <f>IF(VLOOKUP(Table1[[#This Row],[SyStudentId]],SSR!$A$2:$CC$4982,22,FALSE)=44109,44109,"Check Program")</f>
        <v>44109</v>
      </c>
      <c r="BL210" s="150">
        <f>IF(Table1[[#This Row],[AYStart]]=44109,44356,"Check Program")</f>
        <v>44356</v>
      </c>
      <c r="BM210" s="219">
        <v>8505</v>
      </c>
      <c r="BN210" s="219">
        <v>8505</v>
      </c>
      <c r="BO210" s="219">
        <v>8505</v>
      </c>
      <c r="BP210" s="220">
        <f t="shared" si="9"/>
        <v>25515</v>
      </c>
      <c r="BQ210" s="221">
        <v>3300</v>
      </c>
      <c r="BR210" s="219">
        <v>400</v>
      </c>
      <c r="BS210" s="219">
        <v>400</v>
      </c>
      <c r="BT210" s="220">
        <f t="shared" si="10"/>
        <v>4100</v>
      </c>
      <c r="BU210" s="219">
        <v>2100</v>
      </c>
      <c r="BV210" s="219">
        <v>2100</v>
      </c>
      <c r="BW210" s="219">
        <v>2100</v>
      </c>
      <c r="BX210" s="220">
        <f t="shared" si="11"/>
        <v>6300</v>
      </c>
      <c r="BY210" s="269">
        <v>1200</v>
      </c>
      <c r="BZ210" s="269">
        <v>1200</v>
      </c>
      <c r="CA210" s="269">
        <v>1200</v>
      </c>
      <c r="CB210" s="220">
        <f>SUM(Table1[[#This Row],[LEQ1]:[LEQ3]])</f>
        <v>3600</v>
      </c>
      <c r="CC210" s="269"/>
      <c r="CD210" s="269"/>
      <c r="CE210" s="269"/>
      <c r="CF210" s="220">
        <f>SUM(Table1[[#This Row],[OthCostQ1]:[OthCostQ3]])</f>
        <v>0</v>
      </c>
      <c r="CG210" s="220">
        <f>(Table1[[#This Row],[T&amp;FTot]]+Table1[[#This Row],[B&amp;STot]]+Table1[[#This Row],[HousTot]]+Table1[[#This Row],[LETot]]+Table1[[#This Row],[OthCostTot]])</f>
        <v>39515</v>
      </c>
      <c r="CH210" s="250"/>
      <c r="CI210" s="250"/>
      <c r="CJ210" s="250"/>
      <c r="CK210" s="251">
        <f>SUM(Table1[[#This Row],[SEOGQ1]:[SEOGQ3]])</f>
        <v>0</v>
      </c>
      <c r="CL210" s="250">
        <f>IFERROR(ROUNDUP(Table1[[#This Row],[PellTot]]/3,0),0)</f>
        <v>0</v>
      </c>
      <c r="CM210" s="250">
        <f>IFERROR(ROUND(Table1[[#This Row],[PellTot]]/3,0),0)</f>
        <v>0</v>
      </c>
      <c r="CN210" s="250">
        <f>IFERROR(ROUNDDOWN(Table1[[#This Row],[PellTot]]/3,0),0)</f>
        <v>0</v>
      </c>
      <c r="CO210" s="251">
        <f>IFERROR(LOOKUP(Table1[EFC],Pell_Table[#Data],Pell_Table[Pell Amt]),0)</f>
        <v>0</v>
      </c>
      <c r="CP210" s="250">
        <f>Table1[[#This Row],[AccessTot]]/3</f>
        <v>0</v>
      </c>
      <c r="CQ210" s="250">
        <f>Table1[[#This Row],[AccessTot]]/3</f>
        <v>0</v>
      </c>
      <c r="CR210" s="250">
        <f>Table1[[#This Row],[AccessTot]]/3</f>
        <v>0</v>
      </c>
      <c r="CS210" s="251">
        <f>IF(Table1[[#This Row],[PellTot]]&gt;0,1500,0)</f>
        <v>0</v>
      </c>
      <c r="CT210" s="250">
        <f>Table1[[#This Row],[AchiTot]]/3</f>
        <v>0</v>
      </c>
      <c r="CU210" s="250">
        <f>Table1[[#This Row],[AchiTot]]/3</f>
        <v>0</v>
      </c>
      <c r="CV210" s="250">
        <f>Table1[[#This Row],[AchiTot]]/3</f>
        <v>0</v>
      </c>
      <c r="CW210" s="252">
        <f>IF(Table1[[#This Row],[Rank]]="","",IF(Table1[[#This Row],[Rank]]=1,5100,IF(Table1[[#This Row],[Rank]]=2,4500,IF(Table1[[#This Row],[Rank]]=3,3900,IF(Table1[[#This Row],[Rank]]=4,3750,IF(Table1[[#This Row],[Rank]]=5,3000,IF(Table1[[#This Row],[Rank]]=6,2250,0)))))))</f>
        <v>0</v>
      </c>
      <c r="CX210" s="250">
        <f>Table1[[#This Row],[UTTot]]/3</f>
        <v>0</v>
      </c>
      <c r="CY210" s="250">
        <f>Table1[[#This Row],[UTTot]]/3</f>
        <v>0</v>
      </c>
      <c r="CZ210" s="250">
        <f>Table1[[#This Row],[UTTot]]/3</f>
        <v>0</v>
      </c>
      <c r="DA210" s="251">
        <f>IF(Table1[[#This Row],[State]]="UT",9000,0)</f>
        <v>0</v>
      </c>
      <c r="DB210" s="250">
        <f>Table1[[#This Row],[WITTot]]/3</f>
        <v>0</v>
      </c>
      <c r="DC210" s="250">
        <f>Table1[[#This Row],[WITTot]]/3</f>
        <v>0</v>
      </c>
      <c r="DD210" s="250">
        <f>Table1[[#This Row],[WITTot]]/3</f>
        <v>0</v>
      </c>
      <c r="DE210" s="251">
        <f>IF(Table1[[#This Row],[Gender]]="Female",3000,0)</f>
        <v>0</v>
      </c>
      <c r="DF210" s="250">
        <f>Table1[[#This Row],[SerTot]]/3</f>
        <v>0</v>
      </c>
      <c r="DG210" s="250">
        <f>Table1[[#This Row],[SerTot]]/3</f>
        <v>0</v>
      </c>
      <c r="DH210" s="250">
        <f>Table1[[#This Row],[SerTot]]/3</f>
        <v>0</v>
      </c>
      <c r="DI210" s="252"/>
      <c r="DJ210" s="250"/>
      <c r="DK210" s="250"/>
      <c r="DL210" s="250"/>
      <c r="DM210" s="252"/>
      <c r="DN210" s="250">
        <f>Table1[[#This Row],[MatTot]]/3</f>
        <v>0</v>
      </c>
      <c r="DO210" s="250">
        <f>Table1[[#This Row],[MatTot]]/3</f>
        <v>0</v>
      </c>
      <c r="DP210" s="250">
        <f>Table1[[#This Row],[MatTot]]/3</f>
        <v>0</v>
      </c>
      <c r="DQ210" s="252"/>
      <c r="DR210" s="250">
        <f>Table1[[#This Row],[OutTot]]/3</f>
        <v>0</v>
      </c>
      <c r="DS210" s="250">
        <f>Table1[[#This Row],[OutTot]]/3</f>
        <v>0</v>
      </c>
      <c r="DT210" s="250">
        <f>Table1[[#This Row],[OutTot]]/3</f>
        <v>0</v>
      </c>
      <c r="DU210" s="252"/>
      <c r="DV210" s="250"/>
      <c r="DW210" s="250"/>
      <c r="DX210" s="250"/>
      <c r="DY210" s="252">
        <f>SUM(Table1[[#This Row],[VAQ1]:[VAQ3]])</f>
        <v>0</v>
      </c>
      <c r="DZ210" s="250"/>
      <c r="EA210" s="250"/>
      <c r="EB210" s="250"/>
      <c r="EC210" s="270">
        <f>SUM(Table1[[#This Row],[OthGrantQ1]:[OthGrantQ3]])</f>
        <v>0</v>
      </c>
      <c r="ED210" s="263">
        <f>Table1[[#This Row],[SEOGTot]]+Table1[[#This Row],[PellTot]]+Table1[[#This Row],[AccessTot]]+Table1[[#This Row],[AchiTot]]+Table1[[#This Row],[UTTot]]+Table1[[#This Row],[WITTot]]+Table1[[#This Row],[SerTot]]+Table1[[#This Row],[TranTot]]+Table1[[#This Row],[MatTot]]+Table1[[#This Row],[OutTot]]+Table1[[#This Row],[VATot]]+Table1[[#This Row],[OthGrantTot]]</f>
        <v>0</v>
      </c>
      <c r="EE210" s="282"/>
      <c r="EF210" s="237"/>
      <c r="EG210" s="237"/>
      <c r="EH210" s="232">
        <f>SUM(Table1[[#This Row],[CashQ1]]:Table1[[#This Row],[CashQ3]])</f>
        <v>0</v>
      </c>
      <c r="EI210" s="271">
        <f>ROUND((Table1[[#This Row],[SubTot]]/3)/1.01059,0)</f>
        <v>0</v>
      </c>
      <c r="EJ210" s="234">
        <f>ROUND((Table1[[#This Row],[SubTot]]/3)/1.01059,0)</f>
        <v>0</v>
      </c>
      <c r="EK210" s="234">
        <f>ROUNDUP((Table1[[#This Row],[SubTot]]/3)/1.01059,0)</f>
        <v>0</v>
      </c>
      <c r="EL210" s="235"/>
      <c r="EM210" s="240">
        <f>Table1[[#This Row],[SubTot]]*0.01059</f>
        <v>0</v>
      </c>
      <c r="EN210" s="234">
        <f>ROUND((Table1[[#This Row],[UnsubTot]]/3)/1.01062,0)</f>
        <v>660</v>
      </c>
      <c r="EO210" s="234">
        <f>ROUND((Table1[[#This Row],[UnsubTot]]/3)/1.01062,0)</f>
        <v>660</v>
      </c>
      <c r="EP210" s="234">
        <f>ROUNDDOWN((Table1[[#This Row],[UnsubTot]]/3)/1.01062,0)</f>
        <v>659</v>
      </c>
      <c r="EQ210" s="235">
        <f>IF(Table1[D/I]="I",6000,2000)</f>
        <v>2000</v>
      </c>
      <c r="ER210" s="240">
        <f>Table1[[#This Row],[UnsubTot]]*0.01062</f>
        <v>21.24</v>
      </c>
      <c r="ES210" s="234">
        <f>ROUND((Table1[[#This Row],[PLUSTot]]/3)/1.04248,0)</f>
        <v>0</v>
      </c>
      <c r="ET210" s="234">
        <f>ROUND((Table1[[#This Row],[PLUSTot]]/3)/1.04248,0)</f>
        <v>0</v>
      </c>
      <c r="EU210" s="234">
        <f>ROUND((Table1[[#This Row],[PLUSTot]]/3)/1.04248,0)</f>
        <v>0</v>
      </c>
      <c r="EV210" s="235"/>
      <c r="EW210" s="239">
        <f>Table1[[#This Row],[PLUSTot]]*0.04248</f>
        <v>0</v>
      </c>
      <c r="EX210" s="237"/>
      <c r="EY210" s="237"/>
      <c r="EZ210" s="237"/>
      <c r="FA210" s="232">
        <f>SUM(Table1[[#This Row],[PrivQ1]:[PrivQ3]])</f>
        <v>0</v>
      </c>
      <c r="FB210" s="237"/>
      <c r="FC210" s="237"/>
      <c r="FD210" s="237"/>
      <c r="FE210" s="232">
        <f>SUM(Table1[[#This Row],[TOQ1]:[TOQ3]])</f>
        <v>0</v>
      </c>
      <c r="FF210" s="237"/>
      <c r="FG210" s="237"/>
      <c r="FH210" s="237"/>
      <c r="FI210" s="232">
        <f>SUM(Table1[[#This Row],[OFundQ1]:[OFundQ3]])</f>
        <v>0</v>
      </c>
      <c r="FJ210" s="239">
        <f>(Table1[[#This Row],[SubTot]]-Table1[[#This Row],[SubFee]])+(Table1[[#This Row],[UnsubTot]]-Table1[[#This Row],[UnsubFee]])+(Table1[[#This Row],[PLUSTot]]-Table1[[#This Row],[PLUSFee]])+Table1[[#This Row],[PrivTot]]+Table1[[#This Row],[TOTot]]+Table1[[#This Row],[OFundTot]]</f>
        <v>1978.76</v>
      </c>
      <c r="FK210" s="125">
        <f>Table1[[#This Row],[CostTot]]-Table1[[#This Row],[GiftTot]]</f>
        <v>39515</v>
      </c>
      <c r="FL210" s="130">
        <f>Table1[[#This Row],[NetNeed]]/(1-0.04248)</f>
        <v>39201.520594870075</v>
      </c>
      <c r="FM210" s="131">
        <f>Table1[[#This Row],[NetCost]]-Table1[[#This Row],[CashTot]]-(Table1[[#This Row],[SubTot]]-Table1[[#This Row],[SubFee]])-(Table1[[#This Row],[UnsubTot]]-Table1[[#This Row],[UnsubFee]])-(Table1[[#This Row],[PLUSTot]]-Table1[[#This Row],[PLUSFee]])-Table1[[#This Row],[PrivTot]]-Table1[[#This Row],[TOTot]]-Table1[[#This Row],[OFundTot]]</f>
        <v>37536.239999999998</v>
      </c>
      <c r="FN210" s="156"/>
      <c r="FO210" s="113"/>
      <c r="FP210" s="113"/>
    </row>
    <row r="211" spans="1:172" ht="15" x14ac:dyDescent="0.25">
      <c r="A211" s="158">
        <v>197800</v>
      </c>
      <c r="B211" s="160" t="str">
        <f>VLOOKUP(Table1[[#This Row],[SyStudentId]],SSR!$A$2:$CC$4982,4,FALSE)</f>
        <v>Williams</v>
      </c>
      <c r="C211" s="160" t="str">
        <f>VLOOKUP(Table1[[#This Row],[SyStudentId]],SSR!$A$2:$CC$4982,5,FALSE)</f>
        <v>Mearah</v>
      </c>
      <c r="D211" s="160" t="str">
        <f>VLOOKUP(Table1[[#This Row],[SyStudentId]],SSR!$A$2:$CC$4982,6,FALSE)</f>
        <v>Williams, Mearah</v>
      </c>
      <c r="E211" s="113" t="str">
        <f>CONCATENATE(Table1[[#This Row],[FirstName]]," ",Table1[[#This Row],[LastName]])</f>
        <v>Mearah Williams</v>
      </c>
      <c r="F211" s="158"/>
      <c r="G211" s="114"/>
      <c r="H211" s="114"/>
      <c r="I211" s="114"/>
      <c r="J211" s="163"/>
      <c r="K211" s="164"/>
      <c r="L211" s="158" t="str">
        <f>IFERROR(VLOOKUP(Table1[[#This Row],[SyStudentId]],ISIR!$A$2:$X$4999,11,FALSE),"")</f>
        <v/>
      </c>
      <c r="M211" s="160" t="str">
        <f>VLOOKUP(Table1[[#This Row],[SyStudentId]],SSR!$A$2:$CC$4982,7,FALSE)</f>
        <v>iamahiddenpotato@gmail.com</v>
      </c>
      <c r="N211" s="160" t="str">
        <f>VLOOKUP(Table1[[#This Row],[SyStudentId]],SSR!$A$2:$CC$4982,8,FALSE)</f>
        <v>1849 N Josey Ln Apt G</v>
      </c>
      <c r="O211" s="160" t="str">
        <f>VLOOKUP(Table1[[#This Row],[SyStudentId]],SSR!$A$2:$CC$4982,9,FALSE)</f>
        <v>Carrollton</v>
      </c>
      <c r="P211" s="160" t="str">
        <f>VLOOKUP(Table1[[#This Row],[SyStudentId]],SSR!$A$2:$CC$4982,10,FALSE)</f>
        <v>TX</v>
      </c>
      <c r="Q211" s="165" t="str">
        <f>VLOOKUP(Table1[[#This Row],[SyStudentId]],SSR!$A$2:$CC$4982,11,FALSE)</f>
        <v xml:space="preserve">75006     </v>
      </c>
      <c r="R211" s="166">
        <f>VLOOKUP(Table1[[#This Row],[SyStudentId]],SSR!$A$2:$CC$4982,15,FALSE)</f>
        <v>3.72</v>
      </c>
      <c r="S211" s="167">
        <f>VLOOKUP(Table1[[#This Row],[SyStudentId]],SSR!$A$2:$CC$4982,22,FALSE)</f>
        <v>44109</v>
      </c>
      <c r="T211" s="160" t="str">
        <f>VLOOKUP(Table1[[#This Row],[SyStudentId]],SSR!$A$2:$CC$4982,24,FALSE)</f>
        <v>JT</v>
      </c>
      <c r="U211" s="160" t="str">
        <f>IF(VLOOKUP(Table1[[#This Row],[SyStudentId]],SSR!$A$2:$CC$4982,26,FALSE)=0,"Not Selected",VLOOKUP(Table1[[#This Row],[SyStudentId]],SSR!$A$2:$CC$4982,26,FALSE))</f>
        <v>Female</v>
      </c>
      <c r="V211" s="160" t="str">
        <f>VLOOKUP(Table1[[#This Row],[SyStudentId]],SSR!$A$2:$CC$4982,27,FALSE)</f>
        <v xml:space="preserve">HS2020  </v>
      </c>
      <c r="W211" s="160" t="str">
        <f>VLOOKUP(LEFT(Table1[[#This Row],[LastName]],1),Alpha!$A$1:$B$26,2,FALSE)</f>
        <v>Maureen Ranks</v>
      </c>
      <c r="X211" s="268" t="str">
        <f>VLOOKUP(Table1[[#This Row],[FAA]],Alpha!$B$1:$D$26,2,FALSE)</f>
        <v>mranks@neumont.edu</v>
      </c>
      <c r="Y211" s="160">
        <f>VLOOKUP(Table1[[#This Row],[FAA]],Alpha!$B$1:$D$26,3,FALSE)</f>
        <v>8883022894</v>
      </c>
      <c r="Z211" s="160" t="str">
        <f>VLOOKUP(Table1[[#This Row],[SyStudentId]],SSR!$A$2:$CC$4982,30,FALSE)</f>
        <v>16-Accepted</v>
      </c>
      <c r="AA211" s="160" t="str">
        <f>IF(VLOOKUP(Table1[[#This Row],[SyStudentId]],SSR!$A$2:$CC$4982,36,FALSE)="Bachelor of Science","BS Computer Science","Check Program")</f>
        <v>BS Computer Science</v>
      </c>
      <c r="AB211" s="160">
        <f>VLOOKUP(Table1[[#This Row],[SyStudentId]],SSR!$A$2:$CC$4982,37,FALSE)</f>
        <v>0</v>
      </c>
      <c r="AC211" s="160" t="str">
        <f>VLOOKUP(Table1[[#This Row],[SyStudentId]],SSR!$A$2:$CC$4982,42,FALSE)</f>
        <v xml:space="preserve">1000    </v>
      </c>
      <c r="AD211" s="160" t="str">
        <f>VLOOKUP(Table1[[#This Row],[SyStudentId]],SSR!$A$2:$CC$4982,46,FALSE)</f>
        <v>110</v>
      </c>
      <c r="AE211" s="160" t="str">
        <f>VLOOKUP(Table1[[#This Row],[SyStudentId]],SSR!$A$2:$CC$4982,65,FALSE)</f>
        <v>II</v>
      </c>
      <c r="AF211"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2</v>
      </c>
      <c r="AG211" s="160" t="str">
        <f>VLOOKUP(Table1[[#This Row],[SyStudentId]],SSR!$A$2:$CC$4982,66,FALSE)</f>
        <v>July-October</v>
      </c>
      <c r="AH211" s="160" t="str">
        <f>IFERROR(VLOOKUP(Table1[[#This Row],[SyStudentId]],ISIR!$A$2:$X$1999,7,FALSE),"")</f>
        <v/>
      </c>
      <c r="AI211" s="170" t="str">
        <f>IF(Table1[[#This Row],[EFCRaw]]="","",IF(Table1[[#This Row],[EFCRaw]]="No EFC","No EFC",_xlfn.NUMBERVALUE(Table1[[#This Row],[EFCRaw]])))</f>
        <v/>
      </c>
      <c r="AJ211" s="167" t="str">
        <f>IFERROR(VLOOKUP(Table1[[#This Row],[SyStudentId]],ISIR!$A$2:$X$4999,19,FALSE),"")</f>
        <v/>
      </c>
      <c r="AK211" s="160" t="str">
        <f>IFERROR(VLOOKUP(Table1[[#This Row],[SyStudentId]],ISIR!$A$2:$X$4999,8,FALSE),"")</f>
        <v/>
      </c>
      <c r="AL211" s="171" t="str">
        <f>IF(Table1[[#This Row],[VerReq]]="N","n/a","")</f>
        <v/>
      </c>
      <c r="AM211" s="122"/>
      <c r="AN211" s="122"/>
      <c r="AO211" s="122"/>
      <c r="AP211" s="122"/>
      <c r="AQ211" s="122"/>
      <c r="AR211" s="122"/>
      <c r="AS211" s="122"/>
      <c r="AT211" s="122"/>
      <c r="AU211" s="122"/>
      <c r="AV211" s="122"/>
      <c r="AW211" s="122"/>
      <c r="AX211" s="122"/>
      <c r="AY211" s="122"/>
      <c r="AZ211" s="122"/>
      <c r="BA211" s="122"/>
      <c r="BB211" s="122"/>
      <c r="BC211" s="148"/>
      <c r="BD211" s="140" t="str">
        <f>IF(Table1[[#This Row],[VerReq]]="N","x","")</f>
        <v/>
      </c>
      <c r="BE211" s="140" t="str">
        <f>IF(Table1[[#This Row],[VerReq]]="N","x","")</f>
        <v/>
      </c>
      <c r="BF211" s="140" t="str">
        <f>IF(Table1[[#This Row],[VerReq]]="N","x","")</f>
        <v/>
      </c>
      <c r="BG211" s="140" t="str">
        <f>IF(Table1[[#This Row],[VerReq]]="N","x","")</f>
        <v/>
      </c>
      <c r="BH211" s="140" t="str">
        <f>IF(Table1[[#This Row],[VerReq]]="N","x","")</f>
        <v/>
      </c>
      <c r="BI211" s="140" t="str">
        <f>IF(Table1[[#This Row],[VerReq]]="N","x","")</f>
        <v/>
      </c>
      <c r="BJ211" s="181">
        <f>1-((COUNTBLANK(Table1[[#This Row],[ALESent]:[TaxTran]]))/(COUNT(Table1[[#This Row],[ALESent]:[TaxTran]])+COUNTBLANK(Table1[[#This Row],[ALESent]:[TaxTran]])))</f>
        <v>0</v>
      </c>
      <c r="BK211" s="216">
        <f>IF(VLOOKUP(Table1[[#This Row],[SyStudentId]],SSR!$A$2:$CC$4982,22,FALSE)=44109,44109,"Check Program")</f>
        <v>44109</v>
      </c>
      <c r="BL211" s="216">
        <f>IF(Table1[[#This Row],[AYStart]]=44109,44356,"Check Program")</f>
        <v>44356</v>
      </c>
      <c r="BM211" s="219">
        <v>8505</v>
      </c>
      <c r="BN211" s="219">
        <v>8505</v>
      </c>
      <c r="BO211" s="219">
        <v>8505</v>
      </c>
      <c r="BP211" s="220">
        <f t="shared" si="9"/>
        <v>25515</v>
      </c>
      <c r="BQ211" s="221">
        <v>3300</v>
      </c>
      <c r="BR211" s="219">
        <v>400</v>
      </c>
      <c r="BS211" s="219">
        <v>400</v>
      </c>
      <c r="BT211" s="222">
        <f t="shared" si="10"/>
        <v>4100</v>
      </c>
      <c r="BU211" s="219">
        <v>2100</v>
      </c>
      <c r="BV211" s="219">
        <v>2100</v>
      </c>
      <c r="BW211" s="219">
        <v>2100</v>
      </c>
      <c r="BX211" s="222">
        <f t="shared" si="11"/>
        <v>6300</v>
      </c>
      <c r="BY211" s="269">
        <v>1200</v>
      </c>
      <c r="BZ211" s="269">
        <v>1200</v>
      </c>
      <c r="CA211" s="269">
        <v>1200</v>
      </c>
      <c r="CB211" s="222">
        <f>SUM(Table1[[#This Row],[LEQ1]:[LEQ3]])</f>
        <v>3600</v>
      </c>
      <c r="CC211" s="276">
        <v>0</v>
      </c>
      <c r="CD211" s="276">
        <v>0</v>
      </c>
      <c r="CE211" s="276">
        <v>0</v>
      </c>
      <c r="CF211" s="222">
        <f>SUM(Table1[[#This Row],[OthCostQ1]:[OthCostQ3]])</f>
        <v>0</v>
      </c>
      <c r="CG211" s="222">
        <f>(Table1[[#This Row],[T&amp;FTot]]+Table1[[#This Row],[B&amp;STot]]+Table1[[#This Row],[HousTot]]+Table1[[#This Row],[LETot]]+Table1[[#This Row],[OthCostTot]])</f>
        <v>39515</v>
      </c>
      <c r="CH211" s="253">
        <v>0</v>
      </c>
      <c r="CI211" s="253">
        <v>0</v>
      </c>
      <c r="CJ211" s="253">
        <v>0</v>
      </c>
      <c r="CK211" s="254">
        <f>SUM(Table1[[#This Row],[SEOGQ1]:[SEOGQ3]])</f>
        <v>0</v>
      </c>
      <c r="CL211" s="253">
        <f>IFERROR(ROUNDUP(Table1[[#This Row],[PellTot]]/3,0),0)</f>
        <v>0</v>
      </c>
      <c r="CM211" s="253">
        <f>IFERROR(ROUND(Table1[[#This Row],[PellTot]]/3,0),0)</f>
        <v>0</v>
      </c>
      <c r="CN211" s="253">
        <f>IFERROR(ROUNDDOWN(Table1[[#This Row],[PellTot]]/3,0),0)</f>
        <v>0</v>
      </c>
      <c r="CO211" s="254">
        <f>IFERROR(LOOKUP(Table1[EFC],Pell_Table[#Data],Pell_Table[Pell Amt]),0)</f>
        <v>0</v>
      </c>
      <c r="CP211" s="253">
        <f>Table1[[#This Row],[AccessTot]]/3</f>
        <v>0</v>
      </c>
      <c r="CQ211" s="253">
        <f>Table1[[#This Row],[AccessTot]]/3</f>
        <v>0</v>
      </c>
      <c r="CR211" s="253">
        <f>Table1[[#This Row],[AccessTot]]/3</f>
        <v>0</v>
      </c>
      <c r="CS211" s="254">
        <f>IF(Table1[[#This Row],[PellTot]]&gt;0,1500,0)</f>
        <v>0</v>
      </c>
      <c r="CT211" s="253">
        <f>Table1[[#This Row],[AchiTot]]/3</f>
        <v>1500</v>
      </c>
      <c r="CU211" s="253">
        <f>Table1[[#This Row],[AchiTot]]/3</f>
        <v>1500</v>
      </c>
      <c r="CV211" s="253">
        <f>Table1[[#This Row],[AchiTot]]/3</f>
        <v>1500</v>
      </c>
      <c r="CW211" s="255">
        <f>IF(Table1[[#This Row],[Rank]]="","",IF(Table1[[#This Row],[Rank]]=1,5100,IF(Table1[[#This Row],[Rank]]=2,4500,IF(Table1[[#This Row],[Rank]]=3,3900,IF(Table1[[#This Row],[Rank]]=4,3750,IF(Table1[[#This Row],[Rank]]=5,3000,IF(Table1[[#This Row],[Rank]]=6,2250,0)))))))</f>
        <v>4500</v>
      </c>
      <c r="CX211" s="253">
        <f>Table1[[#This Row],[UTTot]]/3</f>
        <v>0</v>
      </c>
      <c r="CY211" s="253">
        <f>Table1[[#This Row],[UTTot]]/3</f>
        <v>0</v>
      </c>
      <c r="CZ211" s="253">
        <f>Table1[[#This Row],[UTTot]]/3</f>
        <v>0</v>
      </c>
      <c r="DA211" s="254">
        <f>IF(Table1[[#This Row],[State]]="UT",9000,0)</f>
        <v>0</v>
      </c>
      <c r="DB211" s="253">
        <f>Table1[[#This Row],[WITTot]]/3</f>
        <v>1000</v>
      </c>
      <c r="DC211" s="253">
        <f>Table1[[#This Row],[WITTot]]/3</f>
        <v>1000</v>
      </c>
      <c r="DD211" s="253">
        <f>Table1[[#This Row],[WITTot]]/3</f>
        <v>1000</v>
      </c>
      <c r="DE211" s="254">
        <f>IF(Table1[[#This Row],[Gender]]="Female",3000,0)</f>
        <v>3000</v>
      </c>
      <c r="DF211" s="253">
        <f>Table1[[#This Row],[SerTot]]/3</f>
        <v>0</v>
      </c>
      <c r="DG211" s="253">
        <f>Table1[[#This Row],[SerTot]]/3</f>
        <v>0</v>
      </c>
      <c r="DH211" s="253">
        <f>Table1[[#This Row],[SerTot]]/3</f>
        <v>0</v>
      </c>
      <c r="DI211" s="255">
        <v>0</v>
      </c>
      <c r="DJ211" s="253">
        <f>IFERROR(ROUNDUP(Table1[[#This Row],[TranTot]]/3,0),0)</f>
        <v>0</v>
      </c>
      <c r="DK211" s="253">
        <f>IFERROR(ROUND(Table1[[#This Row],[TranTot]]/3,0),0)</f>
        <v>0</v>
      </c>
      <c r="DL211" s="253">
        <f>IFERROR(ROUNDDOWN(Table1[[#This Row],[TranTot]]/3,0),0)</f>
        <v>0</v>
      </c>
      <c r="DM211" s="255">
        <v>0</v>
      </c>
      <c r="DN211" s="253">
        <f>Table1[[#This Row],[MatTot]]/3</f>
        <v>0</v>
      </c>
      <c r="DO211" s="253">
        <f>Table1[[#This Row],[MatTot]]/3</f>
        <v>0</v>
      </c>
      <c r="DP211" s="253">
        <f>Table1[[#This Row],[MatTot]]/3</f>
        <v>0</v>
      </c>
      <c r="DQ211" s="255">
        <v>0</v>
      </c>
      <c r="DR211" s="253">
        <f>Table1[[#This Row],[OutTot]]/3</f>
        <v>0</v>
      </c>
      <c r="DS211" s="253">
        <f>Table1[[#This Row],[OutTot]]/3</f>
        <v>0</v>
      </c>
      <c r="DT211" s="253">
        <f>Table1[[#This Row],[OutTot]]/3</f>
        <v>0</v>
      </c>
      <c r="DU211" s="255">
        <v>0</v>
      </c>
      <c r="DV211" s="253">
        <v>0</v>
      </c>
      <c r="DW211" s="253">
        <v>0</v>
      </c>
      <c r="DX211" s="253">
        <v>0</v>
      </c>
      <c r="DY211" s="255">
        <f>SUM(Table1[[#This Row],[VAQ1]:[VAQ3]])</f>
        <v>0</v>
      </c>
      <c r="DZ211" s="253">
        <v>0</v>
      </c>
      <c r="EA211" s="253">
        <v>0</v>
      </c>
      <c r="EB211" s="253">
        <v>0</v>
      </c>
      <c r="EC211" s="278">
        <f>SUM(Table1[[#This Row],[OthGrantQ1]:[OthGrantQ3]])</f>
        <v>0</v>
      </c>
      <c r="ED211" s="264">
        <f>Table1[[#This Row],[SEOGTot]]+Table1[[#This Row],[PellTot]]+Table1[[#This Row],[AccessTot]]+Table1[[#This Row],[AchiTot]]+Table1[[#This Row],[UTTot]]+Table1[[#This Row],[WITTot]]+Table1[[#This Row],[SerTot]]+Table1[[#This Row],[TranTot]]+Table1[[#This Row],[MatTot]]+Table1[[#This Row],[OutTot]]+Table1[[#This Row],[VATot]]+Table1[[#This Row],[OthGrantTot]]</f>
        <v>7500</v>
      </c>
      <c r="EE211" s="298">
        <v>0</v>
      </c>
      <c r="EF211" s="227">
        <v>0</v>
      </c>
      <c r="EG211" s="227">
        <v>0</v>
      </c>
      <c r="EH211" s="228">
        <f>SUM(Table1[[#This Row],[CashQ1]]:Table1[[#This Row],[CashQ3]])</f>
        <v>0</v>
      </c>
      <c r="EI211" s="229">
        <f>ROUND((Table1[[#This Row],[SubTot]]/3)/1.01059,0)</f>
        <v>1154</v>
      </c>
      <c r="EJ211" s="230">
        <f>ROUND((Table1[[#This Row],[SubTot]]/3)/1.01059,0)</f>
        <v>1154</v>
      </c>
      <c r="EK211" s="230">
        <f>ROUNDUP((Table1[[#This Row],[SubTot]]/3)/1.01059,0)</f>
        <v>1155</v>
      </c>
      <c r="EL211" s="231">
        <v>3500</v>
      </c>
      <c r="EM211" s="233">
        <f>Table1[[#This Row],[SubTot]]*0.01059</f>
        <v>37.065000000000005</v>
      </c>
      <c r="EN211" s="230">
        <f>ROUND((Table1[[#This Row],[UnsubTot]]/3)/1.01062,0)</f>
        <v>660</v>
      </c>
      <c r="EO211" s="230">
        <f>ROUND((Table1[[#This Row],[UnsubTot]]/3)/1.01062,0)</f>
        <v>660</v>
      </c>
      <c r="EP211" s="230">
        <f>ROUNDDOWN((Table1[[#This Row],[UnsubTot]]/3)/1.01062,0)</f>
        <v>659</v>
      </c>
      <c r="EQ211" s="231">
        <f>IF(Table1[D/I]="I",6000,2000)</f>
        <v>2000</v>
      </c>
      <c r="ER211" s="233">
        <f>Table1[[#This Row],[UnsubTot]]*0.01059</f>
        <v>21.18</v>
      </c>
      <c r="ES211" s="230">
        <f>ROUND((Table1[[#This Row],[PLUSTot]]/3)/1.04236,0)</f>
        <v>0</v>
      </c>
      <c r="ET211" s="230">
        <f>ROUND((Table1[[#This Row],[PLUSTot]]/3)/1.04236,0)</f>
        <v>0</v>
      </c>
      <c r="EU211" s="230">
        <f>ROUND((Table1[[#This Row],[PLUSTot]]/3)/1.04236,0)</f>
        <v>0</v>
      </c>
      <c r="EV211" s="231">
        <v>0</v>
      </c>
      <c r="EW211" s="236">
        <f>Table1[[#This Row],[PLUSTot]]*0.04236</f>
        <v>0</v>
      </c>
      <c r="EX211" s="227"/>
      <c r="EY211" s="227"/>
      <c r="EZ211" s="227"/>
      <c r="FA211" s="228">
        <v>0</v>
      </c>
      <c r="FB211" s="227"/>
      <c r="FC211" s="227"/>
      <c r="FD211" s="227"/>
      <c r="FE211" s="228">
        <f>SUM(Table1[[#This Row],[TOQ1]:[TOQ3]])</f>
        <v>0</v>
      </c>
      <c r="FF211" s="227"/>
      <c r="FG211" s="227"/>
      <c r="FH211" s="227"/>
      <c r="FI211" s="228">
        <f>SUM(Table1[[#This Row],[OFundQ1]:[OFundQ3]])</f>
        <v>0</v>
      </c>
      <c r="FJ211" s="236">
        <f>(Table1[[#This Row],[SubTot]]-Table1[[#This Row],[SubFee]])+(Table1[[#This Row],[UnsubTot]]-Table1[[#This Row],[UnsubFee]])+(Table1[[#This Row],[PLUSTot]]-Table1[[#This Row],[PLUSFee]])+Table1[[#This Row],[PrivTot]]+Table1[[#This Row],[TOTot]]+Table1[[#This Row],[OFundTot]]</f>
        <v>5441.7550000000001</v>
      </c>
      <c r="FK211" s="159">
        <f>Table1[[#This Row],[CostTot]]-Table1[[#This Row],[GiftTot]]</f>
        <v>32015</v>
      </c>
      <c r="FL211" s="174">
        <f>Table1[[#This Row],[NetNeed]]/(1-0.04236)</f>
        <v>27748.679044317276</v>
      </c>
      <c r="FM211" s="176">
        <f>Table1[[#This Row],[NetCost]]-Table1[[#This Row],[CashTot]]-(Table1[[#This Row],[SubTot]]-Table1[[#This Row],[SubFee]])-(Table1[[#This Row],[UnsubTot]]-Table1[[#This Row],[UnsubFee]])-(Table1[[#This Row],[PLUSTot]]-Table1[[#This Row],[PLUSFee]])-Table1[[#This Row],[PrivTot]]-Table1[[#This Row],[TOTot]]-Table1[[#This Row],[OFundTot]]</f>
        <v>26573.244999999999</v>
      </c>
      <c r="FN211" s="217"/>
      <c r="FO211" s="162"/>
      <c r="FP211" s="162"/>
    </row>
    <row r="212" spans="1:172" ht="15" x14ac:dyDescent="0.25">
      <c r="A212" s="160">
        <v>196275</v>
      </c>
      <c r="B212" s="160" t="str">
        <f>VLOOKUP(Table1[[#This Row],[SyStudentId]],SSR!$A$2:$CC$4982,4,FALSE)</f>
        <v>Williams</v>
      </c>
      <c r="C212" s="160" t="str">
        <f>VLOOKUP(Table1[[#This Row],[SyStudentId]],SSR!$A$2:$CC$4982,5,FALSE)</f>
        <v>Shaquan</v>
      </c>
      <c r="D212" s="160" t="str">
        <f>VLOOKUP(Table1[[#This Row],[SyStudentId]],SSR!$A$2:$CC$4982,6,FALSE)</f>
        <v>Williams, Shaquan</v>
      </c>
      <c r="E212" s="113" t="str">
        <f>CONCATENATE(Table1[[#This Row],[FirstName]]," ",Table1[[#This Row],[LastName]])</f>
        <v>Shaquan Williams</v>
      </c>
      <c r="F212" s="158"/>
      <c r="G212" s="114"/>
      <c r="H212" s="114"/>
      <c r="I212" s="114"/>
      <c r="J212" s="163"/>
      <c r="K212" s="164"/>
      <c r="L212" s="158" t="str">
        <f>IFERROR(VLOOKUP(Table1[[#This Row],[SyStudentId]],ISIR!$A$2:$X$4999,11,FALSE),"")</f>
        <v/>
      </c>
      <c r="M212" s="160" t="str">
        <f>VLOOKUP(Table1[[#This Row],[SyStudentId]],SSR!$A$2:$CC$4982,7,FALSE)</f>
        <v>Shaquanhackney12@gmail.com</v>
      </c>
      <c r="N212" s="160" t="str">
        <f>VLOOKUP(Table1[[#This Row],[SyStudentId]],SSR!$A$2:$CC$4982,8,FALSE)</f>
        <v>4105 Amber Stone Way</v>
      </c>
      <c r="O212" s="160" t="str">
        <f>VLOOKUP(Table1[[#This Row],[SyStudentId]],SSR!$A$2:$CC$4982,9,FALSE)</f>
        <v>Durham</v>
      </c>
      <c r="P212" s="304" t="str">
        <f>VLOOKUP(Table1[[#This Row],[SyStudentId]],SSR!$A$2:$CC$4982,10,FALSE)</f>
        <v>NC</v>
      </c>
      <c r="Q212" s="165" t="str">
        <f>VLOOKUP(Table1[[#This Row],[SyStudentId]],SSR!$A$2:$CC$4982,11,FALSE)</f>
        <v xml:space="preserve">23704     </v>
      </c>
      <c r="R212" s="166">
        <f>VLOOKUP(Table1[[#This Row],[SyStudentId]],SSR!$A$2:$CC$4982,15,FALSE)</f>
        <v>2.875</v>
      </c>
      <c r="S212" s="167">
        <f>VLOOKUP(Table1[[#This Row],[SyStudentId]],SSR!$A$2:$CC$4982,22,FALSE)</f>
        <v>44109</v>
      </c>
      <c r="T212" s="160" t="str">
        <f>VLOOKUP(Table1[[#This Row],[SyStudentId]],SSR!$A$2:$CC$4982,24,FALSE)</f>
        <v>JT</v>
      </c>
      <c r="U212" s="160" t="str">
        <f>IF(VLOOKUP(Table1[[#This Row],[SyStudentId]],SSR!$A$2:$CC$4982,26,FALSE)=0,"Not Selected",VLOOKUP(Table1[[#This Row],[SyStudentId]],SSR!$A$2:$CC$4982,26,FALSE))</f>
        <v>Male</v>
      </c>
      <c r="V212" s="160" t="str">
        <f>VLOOKUP(Table1[[#This Row],[SyStudentId]],SSR!$A$2:$CC$4982,27,FALSE)</f>
        <v xml:space="preserve">HS2020  </v>
      </c>
      <c r="W212" s="160" t="str">
        <f>VLOOKUP(LEFT(Table1[[#This Row],[LastName]],1),Alpha!$A$1:$B$26,2,FALSE)</f>
        <v>Maureen Ranks</v>
      </c>
      <c r="X212" s="268" t="str">
        <f>VLOOKUP(Table1[[#This Row],[FAA]],Alpha!$B$1:$D$26,2,FALSE)</f>
        <v>mranks@neumont.edu</v>
      </c>
      <c r="Y212" s="160">
        <f>VLOOKUP(Table1[[#This Row],[FAA]],Alpha!$B$1:$D$26,3,FALSE)</f>
        <v>8883022894</v>
      </c>
      <c r="Z212" s="160" t="str">
        <f>VLOOKUP(Table1[[#This Row],[SyStudentId]],SSR!$A$2:$CC$4982,30,FALSE)</f>
        <v>16-Accepted</v>
      </c>
      <c r="AA212" s="160" t="str">
        <f>IF(VLOOKUP(Table1[[#This Row],[SyStudentId]],SSR!$A$2:$CC$4982,36,FALSE)="Bachelor of Science","BS Computer Science","Check Program")</f>
        <v>BS Computer Science</v>
      </c>
      <c r="AB212" s="160" t="str">
        <f>VLOOKUP(Table1[[#This Row],[SyStudentId]],SSR!$A$2:$CC$4982,37,FALSE)</f>
        <v xml:space="preserve">14      </v>
      </c>
      <c r="AC212" s="160">
        <f>VLOOKUP(Table1[[#This Row],[SyStudentId]],SSR!$A$2:$CC$4982,42,FALSE)</f>
        <v>0</v>
      </c>
      <c r="AD212" s="160" t="str">
        <f>VLOOKUP(Table1[[#This Row],[SyStudentId]],SSR!$A$2:$CC$4982,46,FALSE)</f>
        <v>83</v>
      </c>
      <c r="AE212" s="160" t="str">
        <f>VLOOKUP(Table1[[#This Row],[SyStudentId]],SSR!$A$2:$CC$4982,65,FALSE)</f>
        <v>X</v>
      </c>
      <c r="AF212"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10</v>
      </c>
      <c r="AG212" s="160" t="str">
        <f>VLOOKUP(Table1[[#This Row],[SyStudentId]],SSR!$A$2:$CC$4982,66,FALSE)</f>
        <v>July-October</v>
      </c>
      <c r="AH212" s="160" t="str">
        <f>IFERROR(VLOOKUP(Table1[[#This Row],[SyStudentId]],ISIR!$A$2:$X$1999,7,FALSE),"")</f>
        <v/>
      </c>
      <c r="AI212" s="170" t="str">
        <f>IF(Table1[[#This Row],[EFCRaw]]="","",IF(Table1[[#This Row],[EFCRaw]]="No EFC","No EFC",_xlfn.NUMBERVALUE(Table1[[#This Row],[EFCRaw]])))</f>
        <v/>
      </c>
      <c r="AJ212" s="167" t="str">
        <f>IFERROR(VLOOKUP(Table1[[#This Row],[SyStudentId]],ISIR!$A$2:$X$4999,19,FALSE),"")</f>
        <v/>
      </c>
      <c r="AK212" s="160" t="str">
        <f>IFERROR(VLOOKUP(Table1[[#This Row],[SyStudentId]],ISIR!$A$2:$X$4999,8,FALSE),"")</f>
        <v/>
      </c>
      <c r="AL212" s="171" t="str">
        <f>IF(Table1[[#This Row],[VerReq]]="N","n/a","")</f>
        <v/>
      </c>
      <c r="AM212" s="122"/>
      <c r="AN212" s="122"/>
      <c r="AO212" s="122"/>
      <c r="AP212" s="122"/>
      <c r="AQ212" s="122"/>
      <c r="AR212" s="122"/>
      <c r="AS212" s="122"/>
      <c r="AT212" s="122"/>
      <c r="AU212" s="122"/>
      <c r="AV212" s="122"/>
      <c r="AW212" s="122"/>
      <c r="AX212" s="122"/>
      <c r="AY212" s="122"/>
      <c r="AZ212" s="122"/>
      <c r="BA212" s="122"/>
      <c r="BB212" s="122"/>
      <c r="BC212" s="148"/>
      <c r="BD212" s="140" t="str">
        <f>IF(Table1[[#This Row],[VerReq]]="N","x","")</f>
        <v/>
      </c>
      <c r="BE212" s="140" t="str">
        <f>IF(Table1[[#This Row],[VerReq]]="N","x","")</f>
        <v/>
      </c>
      <c r="BF212" s="140" t="str">
        <f>IF(Table1[[#This Row],[VerReq]]="N","x","")</f>
        <v/>
      </c>
      <c r="BG212" s="140" t="str">
        <f>IF(Table1[[#This Row],[VerReq]]="N","x","")</f>
        <v/>
      </c>
      <c r="BH212" s="140" t="str">
        <f>IF(Table1[[#This Row],[VerReq]]="N","x","")</f>
        <v/>
      </c>
      <c r="BI212" s="140" t="str">
        <f>IF(Table1[[#This Row],[VerReq]]="N","x","")</f>
        <v/>
      </c>
      <c r="BJ212" s="181">
        <f>1-((COUNTBLANK(Table1[[#This Row],[ALESent]:[TaxTran]]))/(COUNT(Table1[[#This Row],[ALESent]:[TaxTran]])+COUNTBLANK(Table1[[#This Row],[ALESent]:[TaxTran]])))</f>
        <v>0</v>
      </c>
      <c r="BK212" s="216">
        <f>IF(VLOOKUP(Table1[[#This Row],[SyStudentId]],SSR!$A$2:$CC$4982,22,FALSE)=44109,44109,"Check Program")</f>
        <v>44109</v>
      </c>
      <c r="BL212" s="216">
        <f>IF(Table1[[#This Row],[AYStart]]=44109,44356,"Check Program")</f>
        <v>44356</v>
      </c>
      <c r="BM212" s="219">
        <v>8505</v>
      </c>
      <c r="BN212" s="219">
        <v>8505</v>
      </c>
      <c r="BO212" s="219">
        <v>8505</v>
      </c>
      <c r="BP212" s="220">
        <f t="shared" si="9"/>
        <v>25515</v>
      </c>
      <c r="BQ212" s="221">
        <v>3300</v>
      </c>
      <c r="BR212" s="219">
        <v>400</v>
      </c>
      <c r="BS212" s="219">
        <v>400</v>
      </c>
      <c r="BT212" s="222">
        <f t="shared" si="10"/>
        <v>4100</v>
      </c>
      <c r="BU212" s="219">
        <v>2100</v>
      </c>
      <c r="BV212" s="219">
        <v>2100</v>
      </c>
      <c r="BW212" s="219">
        <v>2100</v>
      </c>
      <c r="BX212" s="222">
        <f t="shared" si="11"/>
        <v>6300</v>
      </c>
      <c r="BY212" s="269">
        <v>1200</v>
      </c>
      <c r="BZ212" s="269">
        <v>1200</v>
      </c>
      <c r="CA212" s="269">
        <v>1200</v>
      </c>
      <c r="CB212" s="222">
        <f>SUM(Table1[[#This Row],[LEQ1]:[LEQ3]])</f>
        <v>3600</v>
      </c>
      <c r="CC212" s="276">
        <v>0</v>
      </c>
      <c r="CD212" s="276">
        <v>0</v>
      </c>
      <c r="CE212" s="276">
        <v>0</v>
      </c>
      <c r="CF212" s="222">
        <f>SUM(Table1[[#This Row],[OthCostQ1]:[OthCostQ3]])</f>
        <v>0</v>
      </c>
      <c r="CG212" s="222">
        <f>(Table1[[#This Row],[T&amp;FTot]]+Table1[[#This Row],[B&amp;STot]]+Table1[[#This Row],[HousTot]]+Table1[[#This Row],[LETot]]+Table1[[#This Row],[OthCostTot]])</f>
        <v>39515</v>
      </c>
      <c r="CH212" s="253">
        <v>0</v>
      </c>
      <c r="CI212" s="253">
        <v>0</v>
      </c>
      <c r="CJ212" s="253">
        <v>0</v>
      </c>
      <c r="CK212" s="254">
        <f>SUM(Table1[[#This Row],[SEOGQ1]:[SEOGQ3]])</f>
        <v>0</v>
      </c>
      <c r="CL212" s="253">
        <f>IFERROR(ROUNDUP(Table1[[#This Row],[PellTot]]/3,0),0)</f>
        <v>0</v>
      </c>
      <c r="CM212" s="253">
        <f>IFERROR(ROUND(Table1[[#This Row],[PellTot]]/3,0),0)</f>
        <v>0</v>
      </c>
      <c r="CN212" s="253">
        <f>IFERROR(ROUNDDOWN(Table1[[#This Row],[PellTot]]/3,0),0)</f>
        <v>0</v>
      </c>
      <c r="CO212" s="254">
        <f>IFERROR(LOOKUP(Table1[EFC],Pell_Table[#Data],Pell_Table[Pell Amt]),0)</f>
        <v>0</v>
      </c>
      <c r="CP212" s="253">
        <f>Table1[[#This Row],[AccessTot]]/3</f>
        <v>0</v>
      </c>
      <c r="CQ212" s="253">
        <f>Table1[[#This Row],[AccessTot]]/3</f>
        <v>0</v>
      </c>
      <c r="CR212" s="253">
        <f>Table1[[#This Row],[AccessTot]]/3</f>
        <v>0</v>
      </c>
      <c r="CS212" s="254">
        <f>IF(Table1[[#This Row],[PellTot]]&gt;0,1500,0)</f>
        <v>0</v>
      </c>
      <c r="CT212" s="253">
        <f>Table1[[#This Row],[AchiTot]]/3</f>
        <v>0</v>
      </c>
      <c r="CU212" s="253">
        <f>Table1[[#This Row],[AchiTot]]/3</f>
        <v>0</v>
      </c>
      <c r="CV212" s="253">
        <f>Table1[[#This Row],[AchiTot]]/3</f>
        <v>0</v>
      </c>
      <c r="CW212" s="255">
        <f>IF(Table1[[#This Row],[Rank]]="","",IF(Table1[[#This Row],[Rank]]=1,5100,IF(Table1[[#This Row],[Rank]]=2,4500,IF(Table1[[#This Row],[Rank]]=3,3900,IF(Table1[[#This Row],[Rank]]=4,3750,IF(Table1[[#This Row],[Rank]]=5,3000,IF(Table1[[#This Row],[Rank]]=6,2250,0)))))))</f>
        <v>0</v>
      </c>
      <c r="CX212" s="253">
        <f>Table1[[#This Row],[UTTot]]/3</f>
        <v>0</v>
      </c>
      <c r="CY212" s="253">
        <f>Table1[[#This Row],[UTTot]]/3</f>
        <v>0</v>
      </c>
      <c r="CZ212" s="253">
        <f>Table1[[#This Row],[UTTot]]/3</f>
        <v>0</v>
      </c>
      <c r="DA212" s="254">
        <f>IF(Table1[[#This Row],[State]]="UT",9000,0)</f>
        <v>0</v>
      </c>
      <c r="DB212" s="253">
        <f>Table1[[#This Row],[WITTot]]/3</f>
        <v>0</v>
      </c>
      <c r="DC212" s="253">
        <f>Table1[[#This Row],[WITTot]]/3</f>
        <v>0</v>
      </c>
      <c r="DD212" s="253">
        <f>Table1[[#This Row],[WITTot]]/3</f>
        <v>0</v>
      </c>
      <c r="DE212" s="254">
        <f>IF(Table1[[#This Row],[Gender]]="Female",3000,0)</f>
        <v>0</v>
      </c>
      <c r="DF212" s="253">
        <f>Table1[[#This Row],[SerTot]]/3</f>
        <v>0</v>
      </c>
      <c r="DG212" s="253">
        <f>Table1[[#This Row],[SerTot]]/3</f>
        <v>0</v>
      </c>
      <c r="DH212" s="253">
        <f>Table1[[#This Row],[SerTot]]/3</f>
        <v>0</v>
      </c>
      <c r="DI212" s="255">
        <v>0</v>
      </c>
      <c r="DJ212" s="253">
        <f>IFERROR(ROUNDUP(Table1[[#This Row],[TranTot]]/3,0),0)</f>
        <v>0</v>
      </c>
      <c r="DK212" s="253">
        <f>IFERROR(ROUND(Table1[[#This Row],[TranTot]]/3,0),0)</f>
        <v>0</v>
      </c>
      <c r="DL212" s="253">
        <f>IFERROR(ROUNDDOWN(Table1[[#This Row],[TranTot]]/3,0),0)</f>
        <v>0</v>
      </c>
      <c r="DM212" s="255">
        <v>0</v>
      </c>
      <c r="DN212" s="253">
        <f>Table1[[#This Row],[MatTot]]/3</f>
        <v>0</v>
      </c>
      <c r="DO212" s="253">
        <f>Table1[[#This Row],[MatTot]]/3</f>
        <v>0</v>
      </c>
      <c r="DP212" s="253">
        <f>Table1[[#This Row],[MatTot]]/3</f>
        <v>0</v>
      </c>
      <c r="DQ212" s="255">
        <v>0</v>
      </c>
      <c r="DR212" s="253">
        <f>Table1[[#This Row],[OutTot]]/3</f>
        <v>0</v>
      </c>
      <c r="DS212" s="253">
        <f>Table1[[#This Row],[OutTot]]/3</f>
        <v>0</v>
      </c>
      <c r="DT212" s="253">
        <f>Table1[[#This Row],[OutTot]]/3</f>
        <v>0</v>
      </c>
      <c r="DU212" s="255">
        <v>0</v>
      </c>
      <c r="DV212" s="253">
        <v>0</v>
      </c>
      <c r="DW212" s="253">
        <v>0</v>
      </c>
      <c r="DX212" s="253">
        <v>0</v>
      </c>
      <c r="DY212" s="255">
        <f>SUM(Table1[[#This Row],[VAQ1]:[VAQ3]])</f>
        <v>0</v>
      </c>
      <c r="DZ212" s="253">
        <v>0</v>
      </c>
      <c r="EA212" s="253">
        <v>0</v>
      </c>
      <c r="EB212" s="253">
        <v>0</v>
      </c>
      <c r="EC212" s="278">
        <f>SUM(Table1[[#This Row],[OthGrantQ1]:[OthGrantQ3]])</f>
        <v>0</v>
      </c>
      <c r="ED212" s="264">
        <f>Table1[[#This Row],[SEOGTot]]+Table1[[#This Row],[PellTot]]+Table1[[#This Row],[AccessTot]]+Table1[[#This Row],[AchiTot]]+Table1[[#This Row],[UTTot]]+Table1[[#This Row],[WITTot]]+Table1[[#This Row],[SerTot]]+Table1[[#This Row],[TranTot]]+Table1[[#This Row],[MatTot]]+Table1[[#This Row],[OutTot]]+Table1[[#This Row],[VATot]]+Table1[[#This Row],[OthGrantTot]]</f>
        <v>0</v>
      </c>
      <c r="EE212" s="298">
        <v>0</v>
      </c>
      <c r="EF212" s="227">
        <v>0</v>
      </c>
      <c r="EG212" s="227">
        <v>0</v>
      </c>
      <c r="EH212" s="228">
        <f>SUM(Table1[[#This Row],[CashQ1]]:Table1[[#This Row],[CashQ3]])</f>
        <v>0</v>
      </c>
      <c r="EI212" s="229">
        <f>ROUND((Table1[[#This Row],[SubTot]]/3)/1.01059,0)</f>
        <v>1154</v>
      </c>
      <c r="EJ212" s="230">
        <f>ROUND((Table1[[#This Row],[SubTot]]/3)/1.01059,0)</f>
        <v>1154</v>
      </c>
      <c r="EK212" s="230">
        <f>ROUNDUP((Table1[[#This Row],[SubTot]]/3)/1.01059,0)</f>
        <v>1155</v>
      </c>
      <c r="EL212" s="231">
        <v>3500</v>
      </c>
      <c r="EM212" s="233">
        <f>Table1[[#This Row],[SubTot]]*0.01059</f>
        <v>37.065000000000005</v>
      </c>
      <c r="EN212" s="230">
        <f>ROUND((Table1[[#This Row],[UnsubTot]]/3)/1.01062,0)</f>
        <v>660</v>
      </c>
      <c r="EO212" s="230">
        <f>ROUND((Table1[[#This Row],[UnsubTot]]/3)/1.01062,0)</f>
        <v>660</v>
      </c>
      <c r="EP212" s="230">
        <f>ROUNDDOWN((Table1[[#This Row],[UnsubTot]]/3)/1.01062,0)</f>
        <v>659</v>
      </c>
      <c r="EQ212" s="231">
        <f>IF(Table1[D/I]="I",6000,2000)</f>
        <v>2000</v>
      </c>
      <c r="ER212" s="233">
        <f>Table1[[#This Row],[UnsubTot]]*0.01059</f>
        <v>21.18</v>
      </c>
      <c r="ES212" s="230">
        <f>ROUND((Table1[[#This Row],[PLUSTot]]/3)/1.04236,0)</f>
        <v>0</v>
      </c>
      <c r="ET212" s="230">
        <f>ROUND((Table1[[#This Row],[PLUSTot]]/3)/1.04236,0)</f>
        <v>0</v>
      </c>
      <c r="EU212" s="230">
        <f>ROUND((Table1[[#This Row],[PLUSTot]]/3)/1.04236,0)</f>
        <v>0</v>
      </c>
      <c r="EV212" s="231">
        <v>0</v>
      </c>
      <c r="EW212" s="236">
        <f>Table1[[#This Row],[PLUSTot]]*0.04236</f>
        <v>0</v>
      </c>
      <c r="EX212" s="227"/>
      <c r="EY212" s="227"/>
      <c r="EZ212" s="227"/>
      <c r="FA212" s="228">
        <f>SUM(Table1[[#This Row],[PrivQ1]:[PrivQ3]])</f>
        <v>0</v>
      </c>
      <c r="FB212" s="227"/>
      <c r="FC212" s="227"/>
      <c r="FD212" s="227"/>
      <c r="FE212" s="228">
        <f>SUM(Table1[[#This Row],[TOQ1]:[TOQ3]])</f>
        <v>0</v>
      </c>
      <c r="FF212" s="227"/>
      <c r="FG212" s="227"/>
      <c r="FH212" s="227"/>
      <c r="FI212" s="228">
        <f>SUM(Table1[[#This Row],[OFundQ1]:[OFundQ3]])</f>
        <v>0</v>
      </c>
      <c r="FJ212" s="236">
        <f>(Table1[[#This Row],[SubTot]]-Table1[[#This Row],[SubFee]])+(Table1[[#This Row],[UnsubTot]]-Table1[[#This Row],[UnsubFee]])+(Table1[[#This Row],[PLUSTot]]-Table1[[#This Row],[PLUSFee]])+Table1[[#This Row],[PrivTot]]+Table1[[#This Row],[TOTot]]+Table1[[#This Row],[OFundTot]]</f>
        <v>5441.7550000000001</v>
      </c>
      <c r="FK212" s="159">
        <f>Table1[[#This Row],[CostTot]]-Table1[[#This Row],[GiftTot]]</f>
        <v>39515</v>
      </c>
      <c r="FL212" s="174">
        <f>Table1[[#This Row],[NetNeed]]/(1-0.04236)</f>
        <v>35580.43210392214</v>
      </c>
      <c r="FM212" s="176">
        <f>Table1[[#This Row],[NetCost]]-Table1[[#This Row],[CashTot]]-(Table1[[#This Row],[SubTot]]-Table1[[#This Row],[SubFee]])-(Table1[[#This Row],[UnsubTot]]-Table1[[#This Row],[UnsubFee]])-(Table1[[#This Row],[PLUSTot]]-Table1[[#This Row],[PLUSFee]])-Table1[[#This Row],[PrivTot]]-Table1[[#This Row],[TOTot]]-Table1[[#This Row],[OFundTot]]</f>
        <v>34073.245000000003</v>
      </c>
      <c r="FN212" s="217"/>
      <c r="FO212" s="162"/>
      <c r="FP212" s="162"/>
    </row>
    <row r="213" spans="1:172" ht="15" x14ac:dyDescent="0.25">
      <c r="A213" s="158">
        <v>195666</v>
      </c>
      <c r="B213" s="160" t="str">
        <f>VLOOKUP(Table1[[#This Row],[SyStudentId]],SSR!$A$2:$CC$4982,4,FALSE)</f>
        <v>Wilson</v>
      </c>
      <c r="C213" s="160" t="str">
        <f>VLOOKUP(Table1[[#This Row],[SyStudentId]],SSR!$A$2:$CC$4982,5,FALSE)</f>
        <v>Alexander</v>
      </c>
      <c r="D213" s="160" t="str">
        <f>VLOOKUP(Table1[[#This Row],[SyStudentId]],SSR!$A$2:$CC$4982,6,FALSE)</f>
        <v>Wilson, Alexander</v>
      </c>
      <c r="E213" s="113" t="str">
        <f>CONCATENATE(Table1[[#This Row],[FirstName]]," ",Table1[[#This Row],[LastName]])</f>
        <v>Alexander Wilson</v>
      </c>
      <c r="F213" s="158">
        <v>1</v>
      </c>
      <c r="G213" s="114"/>
      <c r="H213" s="114"/>
      <c r="I213" s="114">
        <v>43795</v>
      </c>
      <c r="J213" s="163"/>
      <c r="K213" s="164"/>
      <c r="L213" s="158" t="str">
        <f>IFERROR(VLOOKUP(Table1[[#This Row],[SyStudentId]],ISIR!$A$2:$X$4999,11,FALSE),"")</f>
        <v>D</v>
      </c>
      <c r="M213" s="160" t="str">
        <f>VLOOKUP(Table1[[#This Row],[SyStudentId]],SSR!$A$2:$CC$4982,7,FALSE)</f>
        <v>alexwilson919@gmail.com</v>
      </c>
      <c r="N213" s="160" t="str">
        <f>VLOOKUP(Table1[[#This Row],[SyStudentId]],SSR!$A$2:$CC$4982,8,FALSE)</f>
        <v>640 Meadowbrook Lane</v>
      </c>
      <c r="O213" s="160" t="str">
        <f>VLOOKUP(Table1[[#This Row],[SyStudentId]],SSR!$A$2:$CC$4982,9,FALSE)</f>
        <v>Lake Zurich</v>
      </c>
      <c r="P213" s="294" t="str">
        <f>VLOOKUP(Table1[[#This Row],[SyStudentId]],SSR!$A$2:$CC$4982,10,FALSE)</f>
        <v>IL</v>
      </c>
      <c r="Q213" s="165" t="str">
        <f>VLOOKUP(Table1[[#This Row],[SyStudentId]],SSR!$A$2:$CC$4982,11,FALSE)</f>
        <v xml:space="preserve">60047     </v>
      </c>
      <c r="R213" s="166">
        <f>VLOOKUP(Table1[[#This Row],[SyStudentId]],SSR!$A$2:$CC$4982,15,FALSE)</f>
        <v>3.2</v>
      </c>
      <c r="S213" s="167">
        <f>VLOOKUP(Table1[[#This Row],[SyStudentId]],SSR!$A$2:$CC$4982,22,FALSE)</f>
        <v>44109</v>
      </c>
      <c r="T213" s="160" t="str">
        <f>VLOOKUP(Table1[[#This Row],[SyStudentId]],SSR!$A$2:$CC$4982,24,FALSE)</f>
        <v>GM</v>
      </c>
      <c r="U213" s="160" t="str">
        <f>IF(VLOOKUP(Table1[[#This Row],[SyStudentId]],SSR!$A$2:$CC$4982,26,FALSE)=0,"Not Selected",VLOOKUP(Table1[[#This Row],[SyStudentId]],SSR!$A$2:$CC$4982,26,FALSE))</f>
        <v>Male</v>
      </c>
      <c r="V213" s="160" t="str">
        <f>VLOOKUP(Table1[[#This Row],[SyStudentId]],SSR!$A$2:$CC$4982,27,FALSE)</f>
        <v xml:space="preserve">HS2020  </v>
      </c>
      <c r="W213" s="160" t="str">
        <f>VLOOKUP(LEFT(Table1[[#This Row],[LastName]],1),Alpha!$A$1:$B$26,2,FALSE)</f>
        <v>Maureen Ranks</v>
      </c>
      <c r="X213" s="268" t="str">
        <f>VLOOKUP(Table1[[#This Row],[FAA]],Alpha!$B$1:$D$26,2,FALSE)</f>
        <v>mranks@neumont.edu</v>
      </c>
      <c r="Y213" s="160">
        <f>VLOOKUP(Table1[[#This Row],[FAA]],Alpha!$B$1:$D$26,3,FALSE)</f>
        <v>8883022894</v>
      </c>
      <c r="Z213" s="160" t="str">
        <f>VLOOKUP(Table1[[#This Row],[SyStudentId]],SSR!$A$2:$CC$4982,30,FALSE)</f>
        <v>16-Accepted</v>
      </c>
      <c r="AA213" s="160" t="str">
        <f>IF(VLOOKUP(Table1[[#This Row],[SyStudentId]],SSR!$A$2:$CC$4982,36,FALSE)="Bachelor of Science","BS Computer Science","Check Program")</f>
        <v>BS Computer Science</v>
      </c>
      <c r="AB213" s="160" t="str">
        <f>VLOOKUP(Table1[[#This Row],[SyStudentId]],SSR!$A$2:$CC$4982,37,FALSE)</f>
        <v xml:space="preserve">25      </v>
      </c>
      <c r="AC213" s="160">
        <f>VLOOKUP(Table1[[#This Row],[SyStudentId]],SSR!$A$2:$CC$4982,42,FALSE)</f>
        <v>0</v>
      </c>
      <c r="AD213" s="160" t="str">
        <f>VLOOKUP(Table1[[#This Row],[SyStudentId]],SSR!$A$2:$CC$4982,46,FALSE)</f>
        <v>108</v>
      </c>
      <c r="AE213" s="160" t="str">
        <f>VLOOKUP(Table1[[#This Row],[SyStudentId]],SSR!$A$2:$CC$4982,65,FALSE)</f>
        <v>III</v>
      </c>
      <c r="AF213"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213" s="160" t="str">
        <f>VLOOKUP(Table1[[#This Row],[SyStudentId]],SSR!$A$2:$CC$4982,66,FALSE)</f>
        <v>July-October</v>
      </c>
      <c r="AH213" s="160" t="str">
        <f>IFERROR(VLOOKUP(Table1[[#This Row],[SyStudentId]],ISIR!$A$2:$X$1999,7,FALSE),"")</f>
        <v>030464</v>
      </c>
      <c r="AI213" s="170">
        <f>IF(Table1[[#This Row],[EFCRaw]]="","",IF(Table1[[#This Row],[EFCRaw]]="No EFC","No EFC",_xlfn.NUMBERVALUE(Table1[[#This Row],[EFCRaw]])))</f>
        <v>30464</v>
      </c>
      <c r="AJ213" s="167">
        <f>IFERROR(VLOOKUP(Table1[[#This Row],[SyStudentId]],ISIR!$A$2:$X$4999,19,FALSE),"")</f>
        <v>43774</v>
      </c>
      <c r="AK213" s="160" t="str">
        <f>IFERROR(VLOOKUP(Table1[[#This Row],[SyStudentId]],ISIR!$A$2:$X$4999,8,FALSE),"")</f>
        <v>N</v>
      </c>
      <c r="AL213" s="178" t="str">
        <f>IF(Table1[[#This Row],[VerReq]]="N","n/a","")</f>
        <v>n/a</v>
      </c>
      <c r="AM213" s="122"/>
      <c r="AN213" s="122"/>
      <c r="AO213" s="122"/>
      <c r="AP213" s="122"/>
      <c r="AQ213" s="122"/>
      <c r="AR213" s="122"/>
      <c r="AS213" s="122"/>
      <c r="AT213" s="122"/>
      <c r="AU213" s="122"/>
      <c r="AV213" s="122"/>
      <c r="AW213" s="122"/>
      <c r="AX213" s="122"/>
      <c r="AY213" s="122"/>
      <c r="AZ213" s="122"/>
      <c r="BA213" s="122"/>
      <c r="BB213" s="122"/>
      <c r="BC213" s="148"/>
      <c r="BD213" s="140" t="str">
        <f>IF(Table1[[#This Row],[VerReq]]="N","x","")</f>
        <v>x</v>
      </c>
      <c r="BE213" s="140" t="str">
        <f>IF(Table1[[#This Row],[VerReq]]="N","x","")</f>
        <v>x</v>
      </c>
      <c r="BF213" s="140" t="str">
        <f>IF(Table1[[#This Row],[VerReq]]="N","x","")</f>
        <v>x</v>
      </c>
      <c r="BG213" s="140" t="str">
        <f>IF(Table1[[#This Row],[VerReq]]="N","x","")</f>
        <v>x</v>
      </c>
      <c r="BH213" s="140" t="str">
        <f>IF(Table1[[#This Row],[VerReq]]="N","x","")</f>
        <v>x</v>
      </c>
      <c r="BI213" s="140" t="str">
        <f>IF(Table1[[#This Row],[VerReq]]="N","x","")</f>
        <v>x</v>
      </c>
      <c r="BJ213" s="181">
        <f>1-((COUNTBLANK(Table1[[#This Row],[ALESent]:[TaxTran]]))/(COUNT(Table1[[#This Row],[ALESent]:[TaxTran]])+COUNTBLANK(Table1[[#This Row],[ALESent]:[TaxTran]])))</f>
        <v>0</v>
      </c>
      <c r="BK213" s="216">
        <f>IF(VLOOKUP(Table1[[#This Row],[SyStudentId]],SSR!$A$2:$CC$4982,22,FALSE)=44109,44109,"Check Program")</f>
        <v>44109</v>
      </c>
      <c r="BL213" s="216">
        <f>IF(Table1[[#This Row],[AYStart]]=44109,44356,"Check Program")</f>
        <v>44356</v>
      </c>
      <c r="BM213" s="219">
        <v>8505</v>
      </c>
      <c r="BN213" s="219">
        <v>8505</v>
      </c>
      <c r="BO213" s="219">
        <v>8505</v>
      </c>
      <c r="BP213" s="220">
        <f t="shared" si="9"/>
        <v>25515</v>
      </c>
      <c r="BQ213" s="221">
        <v>3300</v>
      </c>
      <c r="BR213" s="219">
        <v>400</v>
      </c>
      <c r="BS213" s="219">
        <v>400</v>
      </c>
      <c r="BT213" s="222">
        <f t="shared" si="10"/>
        <v>4100</v>
      </c>
      <c r="BU213" s="219">
        <v>2100</v>
      </c>
      <c r="BV213" s="219">
        <v>2100</v>
      </c>
      <c r="BW213" s="219">
        <v>2100</v>
      </c>
      <c r="BX213" s="222">
        <f t="shared" si="11"/>
        <v>6300</v>
      </c>
      <c r="BY213" s="269">
        <v>1200</v>
      </c>
      <c r="BZ213" s="269">
        <v>1200</v>
      </c>
      <c r="CA213" s="269">
        <v>1200</v>
      </c>
      <c r="CB213" s="222">
        <f>SUM(Table1[[#This Row],[LEQ1]:[LEQ3]])</f>
        <v>3600</v>
      </c>
      <c r="CC213" s="276">
        <v>0</v>
      </c>
      <c r="CD213" s="276">
        <v>0</v>
      </c>
      <c r="CE213" s="276">
        <v>0</v>
      </c>
      <c r="CF213" s="222">
        <f>SUM(Table1[[#This Row],[OthCostQ1]:[OthCostQ3]])</f>
        <v>0</v>
      </c>
      <c r="CG213" s="222">
        <f>(Table1[[#This Row],[T&amp;FTot]]+Table1[[#This Row],[B&amp;STot]]+Table1[[#This Row],[HousTot]]+Table1[[#This Row],[LETot]]+Table1[[#This Row],[OthCostTot]])</f>
        <v>39515</v>
      </c>
      <c r="CH213" s="253">
        <v>0</v>
      </c>
      <c r="CI213" s="253">
        <v>0</v>
      </c>
      <c r="CJ213" s="253">
        <v>0</v>
      </c>
      <c r="CK213" s="254">
        <f>SUM(Table1[[#This Row],[SEOGQ1]:[SEOGQ3]])</f>
        <v>0</v>
      </c>
      <c r="CL213" s="253">
        <f>IFERROR(ROUNDUP(Table1[[#This Row],[PellTot]]/3,0),0)</f>
        <v>0</v>
      </c>
      <c r="CM213" s="253">
        <f>IFERROR(ROUND(Table1[[#This Row],[PellTot]]/3,0),0)</f>
        <v>0</v>
      </c>
      <c r="CN213" s="253">
        <f>IFERROR(ROUNDDOWN(Table1[[#This Row],[PellTot]]/3,0),0)</f>
        <v>0</v>
      </c>
      <c r="CO213" s="254">
        <f>IFERROR(LOOKUP(Table1[EFC],Pell_Table[#Data],Pell_Table[Pell Amt]),0)</f>
        <v>0</v>
      </c>
      <c r="CP213" s="253">
        <f>Table1[[#This Row],[AccessTot]]/3</f>
        <v>0</v>
      </c>
      <c r="CQ213" s="253">
        <f>Table1[[#This Row],[AccessTot]]/3</f>
        <v>0</v>
      </c>
      <c r="CR213" s="253">
        <f>Table1[[#This Row],[AccessTot]]/3</f>
        <v>0</v>
      </c>
      <c r="CS213" s="254">
        <f>IF(Table1[[#This Row],[PellTot]]&gt;0,1500,0)</f>
        <v>0</v>
      </c>
      <c r="CT213" s="253">
        <f>Table1[[#This Row],[AchiTot]]/3</f>
        <v>1300</v>
      </c>
      <c r="CU213" s="253">
        <f>Table1[[#This Row],[AchiTot]]/3</f>
        <v>1300</v>
      </c>
      <c r="CV213" s="253">
        <f>Table1[[#This Row],[AchiTot]]/3</f>
        <v>1300</v>
      </c>
      <c r="CW213" s="255">
        <f>IF(Table1[[#This Row],[Rank]]="","",IF(Table1[[#This Row],[Rank]]=1,5100,IF(Table1[[#This Row],[Rank]]=2,4500,IF(Table1[[#This Row],[Rank]]=3,3900,IF(Table1[[#This Row],[Rank]]=4,3750,IF(Table1[[#This Row],[Rank]]=5,3000,IF(Table1[[#This Row],[Rank]]=6,2250,0)))))))</f>
        <v>3900</v>
      </c>
      <c r="CX213" s="253">
        <f>Table1[[#This Row],[UTTot]]/3</f>
        <v>0</v>
      </c>
      <c r="CY213" s="253">
        <f>Table1[[#This Row],[UTTot]]/3</f>
        <v>0</v>
      </c>
      <c r="CZ213" s="253">
        <f>Table1[[#This Row],[UTTot]]/3</f>
        <v>0</v>
      </c>
      <c r="DA213" s="254">
        <f>IF(Table1[[#This Row],[State]]="UT",9000,0)</f>
        <v>0</v>
      </c>
      <c r="DB213" s="253">
        <f>Table1[[#This Row],[WITTot]]/3</f>
        <v>0</v>
      </c>
      <c r="DC213" s="253">
        <f>Table1[[#This Row],[WITTot]]/3</f>
        <v>0</v>
      </c>
      <c r="DD213" s="253">
        <f>Table1[[#This Row],[WITTot]]/3</f>
        <v>0</v>
      </c>
      <c r="DE213" s="254">
        <f>IF(Table1[[#This Row],[Gender]]="Female",3000,0)</f>
        <v>0</v>
      </c>
      <c r="DF213" s="253">
        <f>Table1[[#This Row],[SerTot]]/3</f>
        <v>0</v>
      </c>
      <c r="DG213" s="253">
        <f>Table1[[#This Row],[SerTot]]/3</f>
        <v>0</v>
      </c>
      <c r="DH213" s="253">
        <f>Table1[[#This Row],[SerTot]]/3</f>
        <v>0</v>
      </c>
      <c r="DI213" s="255">
        <v>0</v>
      </c>
      <c r="DJ213" s="253">
        <f>IFERROR(ROUNDUP(Table1[[#This Row],[TranTot]]/3,0),0)</f>
        <v>0</v>
      </c>
      <c r="DK213" s="253">
        <f>IFERROR(ROUND(Table1[[#This Row],[TranTot]]/3,0),0)</f>
        <v>0</v>
      </c>
      <c r="DL213" s="253">
        <f>IFERROR(ROUNDDOWN(Table1[[#This Row],[TranTot]]/3,0),0)</f>
        <v>0</v>
      </c>
      <c r="DM213" s="255">
        <v>0</v>
      </c>
      <c r="DN213" s="253">
        <f>Table1[[#This Row],[MatTot]]/3</f>
        <v>0</v>
      </c>
      <c r="DO213" s="253">
        <f>Table1[[#This Row],[MatTot]]/3</f>
        <v>0</v>
      </c>
      <c r="DP213" s="253">
        <f>Table1[[#This Row],[MatTot]]/3</f>
        <v>0</v>
      </c>
      <c r="DQ213" s="255">
        <v>0</v>
      </c>
      <c r="DR213" s="253">
        <f>Table1[[#This Row],[OutTot]]/3</f>
        <v>0</v>
      </c>
      <c r="DS213" s="253">
        <f>Table1[[#This Row],[OutTot]]/3</f>
        <v>0</v>
      </c>
      <c r="DT213" s="253">
        <f>Table1[[#This Row],[OutTot]]/3</f>
        <v>0</v>
      </c>
      <c r="DU213" s="255">
        <v>0</v>
      </c>
      <c r="DV213" s="253">
        <v>0</v>
      </c>
      <c r="DW213" s="253">
        <v>0</v>
      </c>
      <c r="DX213" s="253">
        <v>0</v>
      </c>
      <c r="DY213" s="255">
        <f>SUM(Table1[[#This Row],[VAQ1]:[VAQ3]])</f>
        <v>0</v>
      </c>
      <c r="DZ213" s="253">
        <v>0</v>
      </c>
      <c r="EA213" s="253">
        <v>0</v>
      </c>
      <c r="EB213" s="253">
        <v>0</v>
      </c>
      <c r="EC213" s="278">
        <f>SUM(Table1[[#This Row],[OthGrantQ1]:[OthGrantQ3]])</f>
        <v>0</v>
      </c>
      <c r="ED213" s="264">
        <f>Table1[[#This Row],[SEOGTot]]+Table1[[#This Row],[PellTot]]+Table1[[#This Row],[AccessTot]]+Table1[[#This Row],[AchiTot]]+Table1[[#This Row],[UTTot]]+Table1[[#This Row],[WITTot]]+Table1[[#This Row],[SerTot]]+Table1[[#This Row],[TranTot]]+Table1[[#This Row],[MatTot]]+Table1[[#This Row],[OutTot]]+Table1[[#This Row],[VATot]]+Table1[[#This Row],[OthGrantTot]]</f>
        <v>3900</v>
      </c>
      <c r="EE213" s="298">
        <v>0</v>
      </c>
      <c r="EF213" s="227">
        <v>0</v>
      </c>
      <c r="EG213" s="227">
        <v>0</v>
      </c>
      <c r="EH213" s="228">
        <f>SUM(Table1[[#This Row],[CashQ1]]:Table1[[#This Row],[CashQ3]])</f>
        <v>0</v>
      </c>
      <c r="EI213" s="229">
        <f>ROUND((Table1[[#This Row],[SubTot]]/3)/1.01059,0)</f>
        <v>1154</v>
      </c>
      <c r="EJ213" s="230">
        <f>ROUND((Table1[[#This Row],[SubTot]]/3)/1.01059,0)</f>
        <v>1154</v>
      </c>
      <c r="EK213" s="230">
        <f>ROUNDUP((Table1[[#This Row],[SubTot]]/3)/1.01059,0)</f>
        <v>1155</v>
      </c>
      <c r="EL213" s="231">
        <v>3500</v>
      </c>
      <c r="EM213" s="233">
        <f>Table1[[#This Row],[SubTot]]*0.01059</f>
        <v>37.065000000000005</v>
      </c>
      <c r="EN213" s="230">
        <f>ROUND((Table1[[#This Row],[UnsubTot]]/3)/1.01062,0)</f>
        <v>660</v>
      </c>
      <c r="EO213" s="230">
        <f>ROUND((Table1[[#This Row],[UnsubTot]]/3)/1.01062,0)</f>
        <v>660</v>
      </c>
      <c r="EP213" s="230">
        <f>ROUNDDOWN((Table1[[#This Row],[UnsubTot]]/3)/1.01062,0)</f>
        <v>659</v>
      </c>
      <c r="EQ213" s="231">
        <f>IF(Table1[D/I]="I",6000,2000)</f>
        <v>2000</v>
      </c>
      <c r="ER213" s="233">
        <f>Table1[[#This Row],[UnsubTot]]*0.01059</f>
        <v>21.18</v>
      </c>
      <c r="ES213" s="230">
        <f>ROUND((Table1[[#This Row],[PLUSTot]]/3)/1.04236,0)</f>
        <v>0</v>
      </c>
      <c r="ET213" s="230">
        <f>ROUND((Table1[[#This Row],[PLUSTot]]/3)/1.04236,0)</f>
        <v>0</v>
      </c>
      <c r="EU213" s="230">
        <f>ROUND((Table1[[#This Row],[PLUSTot]]/3)/1.04236,0)</f>
        <v>0</v>
      </c>
      <c r="EV213" s="231">
        <v>0</v>
      </c>
      <c r="EW213" s="236">
        <f>Table1[[#This Row],[PLUSTot]]*0.04236</f>
        <v>0</v>
      </c>
      <c r="EX213" s="227"/>
      <c r="EY213" s="227"/>
      <c r="EZ213" s="227"/>
      <c r="FA213" s="228">
        <f>SUM(Table1[[#This Row],[PrivQ1]:[PrivQ3]])</f>
        <v>0</v>
      </c>
      <c r="FB213" s="227"/>
      <c r="FC213" s="227"/>
      <c r="FD213" s="227"/>
      <c r="FE213" s="228">
        <f>SUM(Table1[[#This Row],[TOQ1]:[TOQ3]])</f>
        <v>0</v>
      </c>
      <c r="FF213" s="227"/>
      <c r="FG213" s="227"/>
      <c r="FH213" s="227"/>
      <c r="FI213" s="228">
        <f>SUM(Table1[[#This Row],[OFundQ1]:[OFundQ3]])</f>
        <v>0</v>
      </c>
      <c r="FJ213" s="236">
        <f>(Table1[[#This Row],[SubTot]]-Table1[[#This Row],[SubFee]])+(Table1[[#This Row],[UnsubTot]]-Table1[[#This Row],[UnsubFee]])+(Table1[[#This Row],[PLUSTot]]-Table1[[#This Row],[PLUSFee]])+Table1[[#This Row],[PrivTot]]+Table1[[#This Row],[TOTot]]+Table1[[#This Row],[OFundTot]]</f>
        <v>5441.7550000000001</v>
      </c>
      <c r="FK213" s="159">
        <f>Table1[[#This Row],[CostTot]]-Table1[[#This Row],[GiftTot]]</f>
        <v>35615</v>
      </c>
      <c r="FL213" s="174">
        <f>Table1[[#This Row],[NetNeed]]/(1-0.04236)</f>
        <v>31507.920512927612</v>
      </c>
      <c r="FM213" s="176">
        <f>Table1[[#This Row],[NetCost]]-Table1[[#This Row],[CashTot]]-(Table1[[#This Row],[SubTot]]-Table1[[#This Row],[SubFee]])-(Table1[[#This Row],[UnsubTot]]-Table1[[#This Row],[UnsubFee]])-(Table1[[#This Row],[PLUSTot]]-Table1[[#This Row],[PLUSFee]])-Table1[[#This Row],[PrivTot]]-Table1[[#This Row],[TOTot]]-Table1[[#This Row],[OFundTot]]</f>
        <v>30173.244999999999</v>
      </c>
      <c r="FN213" s="217"/>
      <c r="FO213" s="162"/>
      <c r="FP213" s="162"/>
    </row>
    <row r="214" spans="1:172" ht="15" x14ac:dyDescent="0.25">
      <c r="A214" s="158">
        <v>194321</v>
      </c>
      <c r="B214" s="160" t="str">
        <f>VLOOKUP(Table1[[#This Row],[SyStudentId]],SSR!$A$2:$CC$4982,4,FALSE)</f>
        <v>Winegar</v>
      </c>
      <c r="C214" s="160" t="str">
        <f>VLOOKUP(Table1[[#This Row],[SyStudentId]],SSR!$A$2:$CC$4982,5,FALSE)</f>
        <v>Alivia</v>
      </c>
      <c r="D214" s="160" t="str">
        <f>VLOOKUP(Table1[[#This Row],[SyStudentId]],SSR!$A$2:$CC$4982,6,FALSE)</f>
        <v>Winegar, Alivia</v>
      </c>
      <c r="E214" s="113" t="str">
        <f>CONCATENATE(Table1[[#This Row],[FirstName]]," ",Table1[[#This Row],[LastName]])</f>
        <v>Alivia Winegar</v>
      </c>
      <c r="F214" s="158">
        <v>1</v>
      </c>
      <c r="G214" s="114"/>
      <c r="H214" s="114"/>
      <c r="I214" s="114">
        <v>43801</v>
      </c>
      <c r="J214" s="163"/>
      <c r="K214" s="164"/>
      <c r="L214" s="158" t="str">
        <f>IFERROR(VLOOKUP(Table1[[#This Row],[SyStudentId]],ISIR!$A$2:$X$4999,11,FALSE),"")</f>
        <v>X</v>
      </c>
      <c r="M214" s="160" t="str">
        <f>VLOOKUP(Table1[[#This Row],[SyStudentId]],SSR!$A$2:$CC$4982,7,FALSE)</f>
        <v>raewinegar@gmail.com</v>
      </c>
      <c r="N214" s="160" t="str">
        <f>VLOOKUP(Table1[[#This Row],[SyStudentId]],SSR!$A$2:$CC$4982,8,FALSE)</f>
        <v>878 South West Redview Drive</v>
      </c>
      <c r="O214" s="160" t="str">
        <f>VLOOKUP(Table1[[#This Row],[SyStudentId]],SSR!$A$2:$CC$4982,9,FALSE)</f>
        <v>Monroe</v>
      </c>
      <c r="P214" s="160" t="str">
        <f>VLOOKUP(Table1[[#This Row],[SyStudentId]],SSR!$A$2:$CC$4982,10,FALSE)</f>
        <v>UT</v>
      </c>
      <c r="Q214" s="165" t="str">
        <f>VLOOKUP(Table1[[#This Row],[SyStudentId]],SSR!$A$2:$CC$4982,11,FALSE)</f>
        <v xml:space="preserve">84754     </v>
      </c>
      <c r="R214" s="166">
        <f>VLOOKUP(Table1[[#This Row],[SyStudentId]],SSR!$A$2:$CC$4982,15,FALSE)</f>
        <v>3.9590000000000001</v>
      </c>
      <c r="S214" s="167">
        <f>VLOOKUP(Table1[[#This Row],[SyStudentId]],SSR!$A$2:$CC$4982,22,FALSE)</f>
        <v>44109</v>
      </c>
      <c r="T214" s="160" t="str">
        <f>VLOOKUP(Table1[[#This Row],[SyStudentId]],SSR!$A$2:$CC$4982,24,FALSE)</f>
        <v>MR</v>
      </c>
      <c r="U214" s="160" t="str">
        <f>IF(VLOOKUP(Table1[[#This Row],[SyStudentId]],SSR!$A$2:$CC$4982,26,FALSE)=0,"Not Selected",VLOOKUP(Table1[[#This Row],[SyStudentId]],SSR!$A$2:$CC$4982,26,FALSE))</f>
        <v>Female</v>
      </c>
      <c r="V214" s="160" t="str">
        <f>VLOOKUP(Table1[[#This Row],[SyStudentId]],SSR!$A$2:$CC$4982,27,FALSE)</f>
        <v xml:space="preserve">HS2020  </v>
      </c>
      <c r="W214" s="160" t="str">
        <f>VLOOKUP(LEFT(Table1[[#This Row],[LastName]],1),Alpha!$A$1:$B$26,2,FALSE)</f>
        <v>Maureen Ranks</v>
      </c>
      <c r="X214" s="268" t="str">
        <f>VLOOKUP(Table1[[#This Row],[FAA]],Alpha!$B$1:$D$26,2,FALSE)</f>
        <v>mranks@neumont.edu</v>
      </c>
      <c r="Y214" s="160">
        <f>VLOOKUP(Table1[[#This Row],[FAA]],Alpha!$B$1:$D$26,3,FALSE)</f>
        <v>8883022894</v>
      </c>
      <c r="Z214" s="160" t="str">
        <f>VLOOKUP(Table1[[#This Row],[SyStudentId]],SSR!$A$2:$CC$4982,30,FALSE)</f>
        <v>16-Accepted</v>
      </c>
      <c r="AA214" s="160" t="str">
        <f>IF(VLOOKUP(Table1[[#This Row],[SyStudentId]],SSR!$A$2:$CC$4982,36,FALSE)="Bachelor of Science","BS Computer Science","Check Program")</f>
        <v>BS Computer Science</v>
      </c>
      <c r="AB214" s="160" t="str">
        <f>VLOOKUP(Table1[[#This Row],[SyStudentId]],SSR!$A$2:$CC$4982,37,FALSE)</f>
        <v xml:space="preserve">21      </v>
      </c>
      <c r="AC214" s="160">
        <f>VLOOKUP(Table1[[#This Row],[SyStudentId]],SSR!$A$2:$CC$4982,42,FALSE)</f>
        <v>0</v>
      </c>
      <c r="AD214" s="160" t="str">
        <f>VLOOKUP(Table1[[#This Row],[SyStudentId]],SSR!$A$2:$CC$4982,46,FALSE)</f>
        <v>115</v>
      </c>
      <c r="AE214" s="160" t="str">
        <f>VLOOKUP(Table1[[#This Row],[SyStudentId]],SSR!$A$2:$CC$4982,65,FALSE)</f>
        <v>I</v>
      </c>
      <c r="AF214"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214" s="160" t="str">
        <f>VLOOKUP(Table1[[#This Row],[SyStudentId]],SSR!$A$2:$CC$4982,66,FALSE)</f>
        <v>July-October</v>
      </c>
      <c r="AH214" s="160">
        <f>IFERROR(VLOOKUP(Table1[[#This Row],[SyStudentId]],ISIR!$A$2:$X$1999,7,FALSE),"")</f>
        <v>0</v>
      </c>
      <c r="AI214" s="170">
        <f>IF(Table1[[#This Row],[EFCRaw]]="","",IF(Table1[[#This Row],[EFCRaw]]="No EFC","No EFC",_xlfn.NUMBERVALUE(Table1[[#This Row],[EFCRaw]])))</f>
        <v>0</v>
      </c>
      <c r="AJ214" s="167">
        <f>IFERROR(VLOOKUP(Table1[[#This Row],[SyStudentId]],ISIR!$A$2:$X$4999,19,FALSE),"")</f>
        <v>43776</v>
      </c>
      <c r="AK214" s="160" t="str">
        <f>IFERROR(VLOOKUP(Table1[[#This Row],[SyStudentId]],ISIR!$A$2:$X$4999,8,FALSE),"")</f>
        <v>N</v>
      </c>
      <c r="AL214" s="171" t="str">
        <f>IF(Table1[[#This Row],[VerReq]]="N","n/a","")</f>
        <v>n/a</v>
      </c>
      <c r="AM214" s="122"/>
      <c r="AN214" s="122"/>
      <c r="AO214" s="122"/>
      <c r="AP214" s="122"/>
      <c r="AQ214" s="122"/>
      <c r="AR214" s="122"/>
      <c r="AS214" s="122"/>
      <c r="AT214" s="122"/>
      <c r="AU214" s="122"/>
      <c r="AV214" s="122"/>
      <c r="AW214" s="122"/>
      <c r="AX214" s="122"/>
      <c r="AY214" s="122"/>
      <c r="AZ214" s="122"/>
      <c r="BA214" s="122"/>
      <c r="BB214" s="122"/>
      <c r="BC214" s="148"/>
      <c r="BD214" s="140" t="str">
        <f>IF(Table1[[#This Row],[VerReq]]="N","x","")</f>
        <v>x</v>
      </c>
      <c r="BE214" s="140" t="str">
        <f>IF(Table1[[#This Row],[VerReq]]="N","x","")</f>
        <v>x</v>
      </c>
      <c r="BF214" s="140" t="str">
        <f>IF(Table1[[#This Row],[VerReq]]="N","x","")</f>
        <v>x</v>
      </c>
      <c r="BG214" s="140" t="str">
        <f>IF(Table1[[#This Row],[VerReq]]="N","x","")</f>
        <v>x</v>
      </c>
      <c r="BH214" s="140" t="str">
        <f>IF(Table1[[#This Row],[VerReq]]="N","x","")</f>
        <v>x</v>
      </c>
      <c r="BI214" s="140" t="str">
        <f>IF(Table1[[#This Row],[VerReq]]="N","x","")</f>
        <v>x</v>
      </c>
      <c r="BJ214" s="181">
        <f>1-((COUNTBLANK(Table1[[#This Row],[ALESent]:[TaxTran]]))/(COUNT(Table1[[#This Row],[ALESent]:[TaxTran]])+COUNTBLANK(Table1[[#This Row],[ALESent]:[TaxTran]])))</f>
        <v>0</v>
      </c>
      <c r="BK214" s="216">
        <f>IF(VLOOKUP(Table1[[#This Row],[SyStudentId]],SSR!$A$2:$CC$4982,22,FALSE)=44109,44109,"Check Program")</f>
        <v>44109</v>
      </c>
      <c r="BL214" s="216">
        <f>IF(Table1[[#This Row],[AYStart]]=44109,44356,"Check Program")</f>
        <v>44356</v>
      </c>
      <c r="BM214" s="219">
        <v>8505</v>
      </c>
      <c r="BN214" s="219">
        <v>8505</v>
      </c>
      <c r="BO214" s="219">
        <v>8505</v>
      </c>
      <c r="BP214" s="220">
        <f t="shared" si="9"/>
        <v>25515</v>
      </c>
      <c r="BQ214" s="221">
        <v>3300</v>
      </c>
      <c r="BR214" s="219">
        <v>400</v>
      </c>
      <c r="BS214" s="219">
        <v>400</v>
      </c>
      <c r="BT214" s="222">
        <f t="shared" si="10"/>
        <v>4100</v>
      </c>
      <c r="BU214" s="219">
        <v>2100</v>
      </c>
      <c r="BV214" s="219">
        <v>2100</v>
      </c>
      <c r="BW214" s="219">
        <v>2100</v>
      </c>
      <c r="BX214" s="222">
        <f t="shared" si="11"/>
        <v>6300</v>
      </c>
      <c r="BY214" s="269">
        <v>1200</v>
      </c>
      <c r="BZ214" s="269">
        <v>1200</v>
      </c>
      <c r="CA214" s="269">
        <v>1200</v>
      </c>
      <c r="CB214" s="222">
        <f>SUM(Table1[[#This Row],[LEQ1]:[LEQ3]])</f>
        <v>3600</v>
      </c>
      <c r="CC214" s="276">
        <v>0</v>
      </c>
      <c r="CD214" s="276">
        <v>0</v>
      </c>
      <c r="CE214" s="276">
        <v>0</v>
      </c>
      <c r="CF214" s="222">
        <f>SUM(Table1[[#This Row],[OthCostQ1]:[OthCostQ3]])</f>
        <v>0</v>
      </c>
      <c r="CG214" s="222">
        <f>(Table1[[#This Row],[T&amp;FTot]]+Table1[[#This Row],[B&amp;STot]]+Table1[[#This Row],[HousTot]]+Table1[[#This Row],[LETot]]+Table1[[#This Row],[OthCostTot]])</f>
        <v>39515</v>
      </c>
      <c r="CH214" s="253">
        <v>0</v>
      </c>
      <c r="CI214" s="253">
        <v>0</v>
      </c>
      <c r="CJ214" s="253">
        <v>0</v>
      </c>
      <c r="CK214" s="254">
        <f>SUM(Table1[[#This Row],[SEOGQ1]:[SEOGQ3]])</f>
        <v>0</v>
      </c>
      <c r="CL214" s="253">
        <f>IFERROR(ROUNDUP(Table1[[#This Row],[PellTot]]/3,0),0)</f>
        <v>2065</v>
      </c>
      <c r="CM214" s="253">
        <f>IFERROR(ROUND(Table1[[#This Row],[PellTot]]/3,0),0)</f>
        <v>2065</v>
      </c>
      <c r="CN214" s="253">
        <f>IFERROR(ROUNDDOWN(Table1[[#This Row],[PellTot]]/3,0),0)</f>
        <v>2065</v>
      </c>
      <c r="CO214" s="254">
        <f>IFERROR(LOOKUP(Table1[EFC],Pell_Table[#Data],Pell_Table[Pell Amt]),0)</f>
        <v>6195</v>
      </c>
      <c r="CP214" s="253">
        <f>Table1[[#This Row],[AccessTot]]/3</f>
        <v>500</v>
      </c>
      <c r="CQ214" s="253">
        <f>Table1[[#This Row],[AccessTot]]/3</f>
        <v>500</v>
      </c>
      <c r="CR214" s="253">
        <f>Table1[[#This Row],[AccessTot]]/3</f>
        <v>500</v>
      </c>
      <c r="CS214" s="254">
        <f>IF(Table1[[#This Row],[PellTot]]&gt;0,1500,0)</f>
        <v>1500</v>
      </c>
      <c r="CT214" s="253">
        <f>Table1[[#This Row],[AchiTot]]/3</f>
        <v>1700</v>
      </c>
      <c r="CU214" s="253">
        <f>Table1[[#This Row],[AchiTot]]/3</f>
        <v>1700</v>
      </c>
      <c r="CV214" s="253">
        <f>Table1[[#This Row],[AchiTot]]/3</f>
        <v>1700</v>
      </c>
      <c r="CW214" s="255">
        <f>IF(Table1[[#This Row],[Rank]]="","",IF(Table1[[#This Row],[Rank]]=1,5100,IF(Table1[[#This Row],[Rank]]=2,4500,IF(Table1[[#This Row],[Rank]]=3,3900,IF(Table1[[#This Row],[Rank]]=4,3750,IF(Table1[[#This Row],[Rank]]=5,3000,IF(Table1[[#This Row],[Rank]]=6,2250,0)))))))</f>
        <v>5100</v>
      </c>
      <c r="CX214" s="253">
        <f>Table1[[#This Row],[UTTot]]/3</f>
        <v>3000</v>
      </c>
      <c r="CY214" s="253">
        <f>Table1[[#This Row],[UTTot]]/3</f>
        <v>3000</v>
      </c>
      <c r="CZ214" s="253">
        <f>Table1[[#This Row],[UTTot]]/3</f>
        <v>3000</v>
      </c>
      <c r="DA214" s="254">
        <f>IF(Table1[[#This Row],[State]]="UT",9000,0)</f>
        <v>9000</v>
      </c>
      <c r="DB214" s="253">
        <f>Table1[[#This Row],[WITTot]]/3</f>
        <v>1000</v>
      </c>
      <c r="DC214" s="253">
        <f>Table1[[#This Row],[WITTot]]/3</f>
        <v>1000</v>
      </c>
      <c r="DD214" s="253">
        <f>Table1[[#This Row],[WITTot]]/3</f>
        <v>1000</v>
      </c>
      <c r="DE214" s="254">
        <f>IF(Table1[[#This Row],[Gender]]="Female",3000,0)</f>
        <v>3000</v>
      </c>
      <c r="DF214" s="253">
        <f>Table1[[#This Row],[SerTot]]/3</f>
        <v>0</v>
      </c>
      <c r="DG214" s="253">
        <f>Table1[[#This Row],[SerTot]]/3</f>
        <v>0</v>
      </c>
      <c r="DH214" s="253">
        <f>Table1[[#This Row],[SerTot]]/3</f>
        <v>0</v>
      </c>
      <c r="DI214" s="255">
        <v>0</v>
      </c>
      <c r="DJ214" s="253">
        <f>IFERROR(ROUNDUP(Table1[[#This Row],[TranTot]]/3,0),0)</f>
        <v>0</v>
      </c>
      <c r="DK214" s="253">
        <f>IFERROR(ROUND(Table1[[#This Row],[TranTot]]/3,0),0)</f>
        <v>0</v>
      </c>
      <c r="DL214" s="253">
        <f>IFERROR(ROUNDDOWN(Table1[[#This Row],[TranTot]]/3,0),0)</f>
        <v>0</v>
      </c>
      <c r="DM214" s="255">
        <v>0</v>
      </c>
      <c r="DN214" s="253">
        <f>Table1[[#This Row],[MatTot]]/3</f>
        <v>0</v>
      </c>
      <c r="DO214" s="253">
        <f>Table1[[#This Row],[MatTot]]/3</f>
        <v>0</v>
      </c>
      <c r="DP214" s="253">
        <f>Table1[[#This Row],[MatTot]]/3</f>
        <v>0</v>
      </c>
      <c r="DQ214" s="255">
        <v>0</v>
      </c>
      <c r="DR214" s="253">
        <f>Table1[[#This Row],[OutTot]]/3</f>
        <v>0</v>
      </c>
      <c r="DS214" s="253">
        <f>Table1[[#This Row],[OutTot]]/3</f>
        <v>0</v>
      </c>
      <c r="DT214" s="253">
        <f>Table1[[#This Row],[OutTot]]/3</f>
        <v>0</v>
      </c>
      <c r="DU214" s="255">
        <v>0</v>
      </c>
      <c r="DV214" s="253">
        <v>0</v>
      </c>
      <c r="DW214" s="253">
        <v>0</v>
      </c>
      <c r="DX214" s="253">
        <v>0</v>
      </c>
      <c r="DY214" s="255">
        <f>SUM(Table1[[#This Row],[VAQ1]:[VAQ3]])</f>
        <v>0</v>
      </c>
      <c r="DZ214" s="253">
        <v>0</v>
      </c>
      <c r="EA214" s="253">
        <v>0</v>
      </c>
      <c r="EB214" s="253">
        <v>0</v>
      </c>
      <c r="EC214" s="278">
        <f>SUM(Table1[[#This Row],[OthGrantQ1]:[OthGrantQ3]])</f>
        <v>0</v>
      </c>
      <c r="ED214" s="264">
        <f>Table1[[#This Row],[SEOGTot]]+Table1[[#This Row],[PellTot]]+Table1[[#This Row],[AccessTot]]+Table1[[#This Row],[AchiTot]]+Table1[[#This Row],[UTTot]]+Table1[[#This Row],[WITTot]]+Table1[[#This Row],[SerTot]]+Table1[[#This Row],[TranTot]]+Table1[[#This Row],[MatTot]]+Table1[[#This Row],[OutTot]]+Table1[[#This Row],[VATot]]+Table1[[#This Row],[OthGrantTot]]</f>
        <v>24795</v>
      </c>
      <c r="EE214" s="298">
        <v>0</v>
      </c>
      <c r="EF214" s="227">
        <v>0</v>
      </c>
      <c r="EG214" s="227">
        <v>0</v>
      </c>
      <c r="EH214" s="228">
        <f>SUM(Table1[[#This Row],[CashQ1]]:Table1[[#This Row],[CashQ3]])</f>
        <v>0</v>
      </c>
      <c r="EI214" s="229">
        <f>ROUND((Table1[[#This Row],[SubTot]]/3)/1.01059,0)</f>
        <v>1154</v>
      </c>
      <c r="EJ214" s="230">
        <f>ROUND((Table1[[#This Row],[SubTot]]/3)/1.01059,0)</f>
        <v>1154</v>
      </c>
      <c r="EK214" s="230">
        <f>ROUNDUP((Table1[[#This Row],[SubTot]]/3)/1.01059,0)</f>
        <v>1155</v>
      </c>
      <c r="EL214" s="231">
        <v>3500</v>
      </c>
      <c r="EM214" s="233">
        <f>Table1[[#This Row],[SubTot]]*0.01059</f>
        <v>37.065000000000005</v>
      </c>
      <c r="EN214" s="230">
        <f>ROUND((Table1[[#This Row],[UnsubTot]]/3)/1.01062,0)</f>
        <v>660</v>
      </c>
      <c r="EO214" s="230">
        <f>ROUND((Table1[[#This Row],[UnsubTot]]/3)/1.01062,0)</f>
        <v>660</v>
      </c>
      <c r="EP214" s="230">
        <f>ROUNDDOWN((Table1[[#This Row],[UnsubTot]]/3)/1.01062,0)</f>
        <v>659</v>
      </c>
      <c r="EQ214" s="231">
        <f>IF(Table1[D/I]="I",6000,2000)</f>
        <v>2000</v>
      </c>
      <c r="ER214" s="233">
        <f>Table1[[#This Row],[UnsubTot]]*0.01059</f>
        <v>21.18</v>
      </c>
      <c r="ES214" s="230">
        <f>ROUND((Table1[[#This Row],[PLUSTot]]/3)/1.04236,0)</f>
        <v>0</v>
      </c>
      <c r="ET214" s="230">
        <f>ROUND((Table1[[#This Row],[PLUSTot]]/3)/1.04236,0)</f>
        <v>0</v>
      </c>
      <c r="EU214" s="230">
        <f>ROUND((Table1[[#This Row],[PLUSTot]]/3)/1.04236,0)</f>
        <v>0</v>
      </c>
      <c r="EV214" s="231">
        <v>0</v>
      </c>
      <c r="EW214" s="236">
        <f>Table1[[#This Row],[PLUSTot]]*0.04236</f>
        <v>0</v>
      </c>
      <c r="EX214" s="227"/>
      <c r="EY214" s="227"/>
      <c r="EZ214" s="227"/>
      <c r="FA214" s="228">
        <f>SUM(Table1[[#This Row],[PrivQ1]:[PrivQ3]])</f>
        <v>0</v>
      </c>
      <c r="FB214" s="227"/>
      <c r="FC214" s="227"/>
      <c r="FD214" s="227"/>
      <c r="FE214" s="228">
        <f>SUM(Table1[[#This Row],[TOQ1]:[TOQ3]])</f>
        <v>0</v>
      </c>
      <c r="FF214" s="227"/>
      <c r="FG214" s="227"/>
      <c r="FH214" s="227"/>
      <c r="FI214" s="228">
        <f>SUM(Table1[[#This Row],[OFundQ1]:[OFundQ3]])</f>
        <v>0</v>
      </c>
      <c r="FJ214" s="236">
        <f>(Table1[[#This Row],[SubTot]]-Table1[[#This Row],[SubFee]])+(Table1[[#This Row],[UnsubTot]]-Table1[[#This Row],[UnsubFee]])+(Table1[[#This Row],[PLUSTot]]-Table1[[#This Row],[PLUSFee]])+Table1[[#This Row],[PrivTot]]+Table1[[#This Row],[TOTot]]+Table1[[#This Row],[OFundTot]]</f>
        <v>5441.7550000000001</v>
      </c>
      <c r="FK214" s="159">
        <f>Table1[[#This Row],[CostTot]]-Table1[[#This Row],[GiftTot]]</f>
        <v>14720</v>
      </c>
      <c r="FL214" s="174">
        <f>Table1[[#This Row],[NetNeed]]/(1-0.04236)</f>
        <v>9688.6564888684679</v>
      </c>
      <c r="FM214" s="176">
        <f>Table1[[#This Row],[NetCost]]-Table1[[#This Row],[CashTot]]-(Table1[[#This Row],[SubTot]]-Table1[[#This Row],[SubFee]])-(Table1[[#This Row],[UnsubTot]]-Table1[[#This Row],[UnsubFee]])-(Table1[[#This Row],[PLUSTot]]-Table1[[#This Row],[PLUSFee]])-Table1[[#This Row],[PrivTot]]-Table1[[#This Row],[TOTot]]-Table1[[#This Row],[OFundTot]]</f>
        <v>9278.2450000000008</v>
      </c>
      <c r="FN214" s="217"/>
      <c r="FO214" s="162"/>
      <c r="FP214" s="162"/>
    </row>
    <row r="215" spans="1:172" ht="15" x14ac:dyDescent="0.25">
      <c r="A215" s="158">
        <v>198391</v>
      </c>
      <c r="B215" s="160" t="str">
        <f>VLOOKUP(Table1[[#This Row],[SyStudentId]],SSR!$A$2:$CC$4982,4,FALSE)</f>
        <v>Winters</v>
      </c>
      <c r="C215" s="160" t="str">
        <f>VLOOKUP(Table1[[#This Row],[SyStudentId]],SSR!$A$2:$CC$4982,5,FALSE)</f>
        <v>Dylan</v>
      </c>
      <c r="D215" s="160" t="str">
        <f>VLOOKUP(Table1[[#This Row],[SyStudentId]],SSR!$A$2:$CC$4982,6,FALSE)</f>
        <v>Winters, Dylan</v>
      </c>
      <c r="E215" s="113" t="str">
        <f>CONCATENATE(Table1[[#This Row],[FirstName]]," ",Table1[[#This Row],[LastName]])</f>
        <v>Dylan Winters</v>
      </c>
      <c r="F215" s="158"/>
      <c r="G215" s="114"/>
      <c r="H215" s="114"/>
      <c r="I215" s="114"/>
      <c r="J215" s="163"/>
      <c r="K215" s="164"/>
      <c r="L215" s="158" t="str">
        <f>IFERROR(VLOOKUP(Table1[[#This Row],[SyStudentId]],ISIR!$A$2:$X$4999,11,FALSE),"")</f>
        <v>D</v>
      </c>
      <c r="M215" s="160" t="str">
        <f>VLOOKUP(Table1[[#This Row],[SyStudentId]],SSR!$A$2:$CC$4982,7,FALSE)</f>
        <v>Jo3MC0y@gmail.com</v>
      </c>
      <c r="N215" s="160" t="str">
        <f>VLOOKUP(Table1[[#This Row],[SyStudentId]],SSR!$A$2:$CC$4982,8,FALSE)</f>
        <v>7779 N Artesiano Rd</v>
      </c>
      <c r="O215" s="160" t="str">
        <f>VLOOKUP(Table1[[#This Row],[SyStudentId]],SSR!$A$2:$CC$4982,9,FALSE)</f>
        <v>Tucson</v>
      </c>
      <c r="P215" s="295" t="str">
        <f>VLOOKUP(Table1[[#This Row],[SyStudentId]],SSR!$A$2:$CC$4982,10,FALSE)</f>
        <v>AZ</v>
      </c>
      <c r="Q215" s="165" t="str">
        <f>VLOOKUP(Table1[[#This Row],[SyStudentId]],SSR!$A$2:$CC$4982,11,FALSE)</f>
        <v xml:space="preserve">85743     </v>
      </c>
      <c r="R215" s="166">
        <f>VLOOKUP(Table1[[#This Row],[SyStudentId]],SSR!$A$2:$CC$4982,15,FALSE)</f>
        <v>2.9615</v>
      </c>
      <c r="S215" s="167">
        <f>VLOOKUP(Table1[[#This Row],[SyStudentId]],SSR!$A$2:$CC$4982,22,FALSE)</f>
        <v>44109</v>
      </c>
      <c r="T215" s="160" t="str">
        <f>VLOOKUP(Table1[[#This Row],[SyStudentId]],SSR!$A$2:$CC$4982,24,FALSE)</f>
        <v>JT</v>
      </c>
      <c r="U215" s="160" t="str">
        <f>IF(VLOOKUP(Table1[[#This Row],[SyStudentId]],SSR!$A$2:$CC$4982,26,FALSE)=0,"Not Selected",VLOOKUP(Table1[[#This Row],[SyStudentId]],SSR!$A$2:$CC$4982,26,FALSE))</f>
        <v>Male</v>
      </c>
      <c r="V215" s="160" t="str">
        <f>VLOOKUP(Table1[[#This Row],[SyStudentId]],SSR!$A$2:$CC$4982,27,FALSE)</f>
        <v xml:space="preserve">HS2020  </v>
      </c>
      <c r="W215" s="160" t="str">
        <f>VLOOKUP(LEFT(Table1[[#This Row],[LastName]],1),Alpha!$A$1:$B$26,2,FALSE)</f>
        <v>Maureen Ranks</v>
      </c>
      <c r="X215" s="268" t="str">
        <f>VLOOKUP(Table1[[#This Row],[FAA]],Alpha!$B$1:$D$26,2,FALSE)</f>
        <v>mranks@neumont.edu</v>
      </c>
      <c r="Y215" s="160">
        <f>VLOOKUP(Table1[[#This Row],[FAA]],Alpha!$B$1:$D$26,3,FALSE)</f>
        <v>8883022894</v>
      </c>
      <c r="Z215" s="160" t="str">
        <f>VLOOKUP(Table1[[#This Row],[SyStudentId]],SSR!$A$2:$CC$4982,30,FALSE)</f>
        <v>16-Accepted</v>
      </c>
      <c r="AA215" s="160" t="str">
        <f>IF(VLOOKUP(Table1[[#This Row],[SyStudentId]],SSR!$A$2:$CC$4982,36,FALSE)="Bachelor of Science","BS Computer Science","Check Program")</f>
        <v>BS Computer Science</v>
      </c>
      <c r="AB215" s="160">
        <f>VLOOKUP(Table1[[#This Row],[SyStudentId]],SSR!$A$2:$CC$4982,37,FALSE)</f>
        <v>0</v>
      </c>
      <c r="AC215" s="160">
        <f>VLOOKUP(Table1[[#This Row],[SyStudentId]],SSR!$A$2:$CC$4982,42,FALSE)</f>
        <v>0</v>
      </c>
      <c r="AD215" s="160" t="str">
        <f>VLOOKUP(Table1[[#This Row],[SyStudentId]],SSR!$A$2:$CC$4982,46,FALSE)</f>
        <v>0</v>
      </c>
      <c r="AE215" s="160" t="str">
        <f>VLOOKUP(Table1[[#This Row],[SyStudentId]],SSR!$A$2:$CC$4982,65,FALSE)</f>
        <v>IX</v>
      </c>
      <c r="AF215"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215" s="160" t="str">
        <f>VLOOKUP(Table1[[#This Row],[SyStudentId]],SSR!$A$2:$CC$4982,66,FALSE)</f>
        <v>July-October</v>
      </c>
      <c r="AH215" s="160" t="str">
        <f>IFERROR(VLOOKUP(Table1[[#This Row],[SyStudentId]],ISIR!$A$2:$X$1999,7,FALSE),"")</f>
        <v>000000</v>
      </c>
      <c r="AI215" s="170">
        <f>IF(Table1[[#This Row],[EFCRaw]]="","",IF(Table1[[#This Row],[EFCRaw]]="No EFC","No EFC",_xlfn.NUMBERVALUE(Table1[[#This Row],[EFCRaw]])))</f>
        <v>0</v>
      </c>
      <c r="AJ215" s="167">
        <f>IFERROR(VLOOKUP(Table1[[#This Row],[SyStudentId]],ISIR!$A$2:$X$4999,19,FALSE),"")</f>
        <v>43783</v>
      </c>
      <c r="AK215" s="160" t="str">
        <f>IFERROR(VLOOKUP(Table1[[#This Row],[SyStudentId]],ISIR!$A$2:$X$4999,8,FALSE),"")</f>
        <v>N</v>
      </c>
      <c r="AL215" s="171" t="str">
        <f>IF(Table1[[#This Row],[VerReq]]="N","n/a","")</f>
        <v>n/a</v>
      </c>
      <c r="AM215" s="122"/>
      <c r="AN215" s="122"/>
      <c r="AO215" s="122"/>
      <c r="AP215" s="122"/>
      <c r="AQ215" s="122"/>
      <c r="AR215" s="122"/>
      <c r="AS215" s="122"/>
      <c r="AT215" s="122"/>
      <c r="AU215" s="122"/>
      <c r="AV215" s="122"/>
      <c r="AW215" s="122"/>
      <c r="AX215" s="122"/>
      <c r="AY215" s="122"/>
      <c r="AZ215" s="122"/>
      <c r="BA215" s="122"/>
      <c r="BB215" s="122"/>
      <c r="BC215" s="148"/>
      <c r="BD215" s="140" t="str">
        <f>IF(Table1[[#This Row],[VerReq]]="N","x","")</f>
        <v>x</v>
      </c>
      <c r="BE215" s="140" t="str">
        <f>IF(Table1[[#This Row],[VerReq]]="N","x","")</f>
        <v>x</v>
      </c>
      <c r="BF215" s="140" t="str">
        <f>IF(Table1[[#This Row],[VerReq]]="N","x","")</f>
        <v>x</v>
      </c>
      <c r="BG215" s="140" t="str">
        <f>IF(Table1[[#This Row],[VerReq]]="N","x","")</f>
        <v>x</v>
      </c>
      <c r="BH215" s="140" t="str">
        <f>IF(Table1[[#This Row],[VerReq]]="N","x","")</f>
        <v>x</v>
      </c>
      <c r="BI215" s="140" t="str">
        <f>IF(Table1[[#This Row],[VerReq]]="N","x","")</f>
        <v>x</v>
      </c>
      <c r="BJ215" s="181">
        <f>1-((COUNTBLANK(Table1[[#This Row],[ALESent]:[TaxTran]]))/(COUNT(Table1[[#This Row],[ALESent]:[TaxTran]])+COUNTBLANK(Table1[[#This Row],[ALESent]:[TaxTran]])))</f>
        <v>0</v>
      </c>
      <c r="BK215" s="216">
        <f>IF(VLOOKUP(Table1[[#This Row],[SyStudentId]],SSR!$A$2:$CC$4982,22,FALSE)=44109,44109,"Check Program")</f>
        <v>44109</v>
      </c>
      <c r="BL215" s="216">
        <f>IF(Table1[[#This Row],[AYStart]]=44109,44356,"Check Program")</f>
        <v>44356</v>
      </c>
      <c r="BM215" s="219">
        <v>8505</v>
      </c>
      <c r="BN215" s="219">
        <v>8505</v>
      </c>
      <c r="BO215" s="219">
        <v>8505</v>
      </c>
      <c r="BP215" s="220">
        <f t="shared" si="9"/>
        <v>25515</v>
      </c>
      <c r="BQ215" s="221">
        <v>3300</v>
      </c>
      <c r="BR215" s="219">
        <v>400</v>
      </c>
      <c r="BS215" s="219">
        <v>400</v>
      </c>
      <c r="BT215" s="222">
        <f t="shared" si="10"/>
        <v>4100</v>
      </c>
      <c r="BU215" s="219">
        <v>2100</v>
      </c>
      <c r="BV215" s="219">
        <v>2100</v>
      </c>
      <c r="BW215" s="219">
        <v>2100</v>
      </c>
      <c r="BX215" s="222">
        <f t="shared" si="11"/>
        <v>6300</v>
      </c>
      <c r="BY215" s="269">
        <v>1200</v>
      </c>
      <c r="BZ215" s="269">
        <v>1200</v>
      </c>
      <c r="CA215" s="269">
        <v>1200</v>
      </c>
      <c r="CB215" s="222">
        <f>SUM(Table1[[#This Row],[LEQ1]:[LEQ3]])</f>
        <v>3600</v>
      </c>
      <c r="CC215" s="276">
        <v>0</v>
      </c>
      <c r="CD215" s="276">
        <v>0</v>
      </c>
      <c r="CE215" s="276">
        <v>0</v>
      </c>
      <c r="CF215" s="222">
        <f>SUM(Table1[[#This Row],[OthCostQ1]:[OthCostQ3]])</f>
        <v>0</v>
      </c>
      <c r="CG215" s="222">
        <f>(Table1[[#This Row],[T&amp;FTot]]+Table1[[#This Row],[B&amp;STot]]+Table1[[#This Row],[HousTot]]+Table1[[#This Row],[LETot]]+Table1[[#This Row],[OthCostTot]])</f>
        <v>39515</v>
      </c>
      <c r="CH215" s="253">
        <v>0</v>
      </c>
      <c r="CI215" s="253">
        <v>0</v>
      </c>
      <c r="CJ215" s="253">
        <v>0</v>
      </c>
      <c r="CK215" s="254">
        <f>SUM(Table1[[#This Row],[SEOGQ1]:[SEOGQ3]])</f>
        <v>0</v>
      </c>
      <c r="CL215" s="253">
        <f>IFERROR(ROUNDUP(Table1[[#This Row],[PellTot]]/3,0),0)</f>
        <v>2065</v>
      </c>
      <c r="CM215" s="253">
        <f>IFERROR(ROUND(Table1[[#This Row],[PellTot]]/3,0),0)</f>
        <v>2065</v>
      </c>
      <c r="CN215" s="253">
        <f>IFERROR(ROUNDDOWN(Table1[[#This Row],[PellTot]]/3,0),0)</f>
        <v>2065</v>
      </c>
      <c r="CO215" s="254">
        <f>IFERROR(LOOKUP(Table1[EFC],Pell_Table[#Data],Pell_Table[Pell Amt]),0)</f>
        <v>6195</v>
      </c>
      <c r="CP215" s="253">
        <f>Table1[[#This Row],[AccessTot]]/3</f>
        <v>500</v>
      </c>
      <c r="CQ215" s="253">
        <f>Table1[[#This Row],[AccessTot]]/3</f>
        <v>500</v>
      </c>
      <c r="CR215" s="253">
        <f>Table1[[#This Row],[AccessTot]]/3</f>
        <v>500</v>
      </c>
      <c r="CS215" s="254">
        <f>IF(Table1[[#This Row],[PellTot]]&gt;0,1500,0)</f>
        <v>1500</v>
      </c>
      <c r="CT215" s="253">
        <f>Table1[[#This Row],[AchiTot]]/3</f>
        <v>0</v>
      </c>
      <c r="CU215" s="253">
        <f>Table1[[#This Row],[AchiTot]]/3</f>
        <v>0</v>
      </c>
      <c r="CV215" s="253">
        <f>Table1[[#This Row],[AchiTot]]/3</f>
        <v>0</v>
      </c>
      <c r="CW215" s="255">
        <f>IF(Table1[[#This Row],[Rank]]="","",IF(Table1[[#This Row],[Rank]]=1,5100,IF(Table1[[#This Row],[Rank]]=2,4500,IF(Table1[[#This Row],[Rank]]=3,3900,IF(Table1[[#This Row],[Rank]]=4,3750,IF(Table1[[#This Row],[Rank]]=5,3000,IF(Table1[[#This Row],[Rank]]=6,2250,0)))))))</f>
        <v>0</v>
      </c>
      <c r="CX215" s="253">
        <f>Table1[[#This Row],[UTTot]]/3</f>
        <v>0</v>
      </c>
      <c r="CY215" s="253">
        <f>Table1[[#This Row],[UTTot]]/3</f>
        <v>0</v>
      </c>
      <c r="CZ215" s="253">
        <f>Table1[[#This Row],[UTTot]]/3</f>
        <v>0</v>
      </c>
      <c r="DA215" s="254">
        <f>IF(Table1[[#This Row],[State]]="UT",9000,0)</f>
        <v>0</v>
      </c>
      <c r="DB215" s="253">
        <f>Table1[[#This Row],[WITTot]]/3</f>
        <v>0</v>
      </c>
      <c r="DC215" s="253">
        <f>Table1[[#This Row],[WITTot]]/3</f>
        <v>0</v>
      </c>
      <c r="DD215" s="253">
        <f>Table1[[#This Row],[WITTot]]/3</f>
        <v>0</v>
      </c>
      <c r="DE215" s="254">
        <f>IF(Table1[[#This Row],[Gender]]="Female",3000,0)</f>
        <v>0</v>
      </c>
      <c r="DF215" s="253">
        <f>Table1[[#This Row],[SerTot]]/3</f>
        <v>0</v>
      </c>
      <c r="DG215" s="253">
        <f>Table1[[#This Row],[SerTot]]/3</f>
        <v>0</v>
      </c>
      <c r="DH215" s="253">
        <f>Table1[[#This Row],[SerTot]]/3</f>
        <v>0</v>
      </c>
      <c r="DI215" s="255">
        <v>0</v>
      </c>
      <c r="DJ215" s="253">
        <f>IFERROR(ROUNDUP(Table1[[#This Row],[TranTot]]/3,0),0)</f>
        <v>0</v>
      </c>
      <c r="DK215" s="253">
        <f>IFERROR(ROUND(Table1[[#This Row],[TranTot]]/3,0),0)</f>
        <v>0</v>
      </c>
      <c r="DL215" s="253">
        <f>IFERROR(ROUNDDOWN(Table1[[#This Row],[TranTot]]/3,0),0)</f>
        <v>0</v>
      </c>
      <c r="DM215" s="255">
        <v>0</v>
      </c>
      <c r="DN215" s="253">
        <f>Table1[[#This Row],[MatTot]]/3</f>
        <v>0</v>
      </c>
      <c r="DO215" s="253">
        <f>Table1[[#This Row],[MatTot]]/3</f>
        <v>0</v>
      </c>
      <c r="DP215" s="253">
        <f>Table1[[#This Row],[MatTot]]/3</f>
        <v>0</v>
      </c>
      <c r="DQ215" s="255">
        <v>0</v>
      </c>
      <c r="DR215" s="253">
        <f>Table1[[#This Row],[OutTot]]/3</f>
        <v>0</v>
      </c>
      <c r="DS215" s="253">
        <f>Table1[[#This Row],[OutTot]]/3</f>
        <v>0</v>
      </c>
      <c r="DT215" s="253">
        <f>Table1[[#This Row],[OutTot]]/3</f>
        <v>0</v>
      </c>
      <c r="DU215" s="255">
        <v>0</v>
      </c>
      <c r="DV215" s="253">
        <v>0</v>
      </c>
      <c r="DW215" s="253">
        <v>0</v>
      </c>
      <c r="DX215" s="253">
        <v>0</v>
      </c>
      <c r="DY215" s="255">
        <f>SUM(Table1[[#This Row],[VAQ1]:[VAQ3]])</f>
        <v>0</v>
      </c>
      <c r="DZ215" s="253">
        <v>0</v>
      </c>
      <c r="EA215" s="253">
        <v>0</v>
      </c>
      <c r="EB215" s="253">
        <v>0</v>
      </c>
      <c r="EC215" s="278">
        <f>SUM(Table1[[#This Row],[OthGrantQ1]:[OthGrantQ3]])</f>
        <v>0</v>
      </c>
      <c r="ED215" s="264">
        <f>Table1[[#This Row],[SEOGTot]]+Table1[[#This Row],[PellTot]]+Table1[[#This Row],[AccessTot]]+Table1[[#This Row],[AchiTot]]+Table1[[#This Row],[UTTot]]+Table1[[#This Row],[WITTot]]+Table1[[#This Row],[SerTot]]+Table1[[#This Row],[TranTot]]+Table1[[#This Row],[MatTot]]+Table1[[#This Row],[OutTot]]+Table1[[#This Row],[VATot]]+Table1[[#This Row],[OthGrantTot]]</f>
        <v>7695</v>
      </c>
      <c r="EE215" s="298">
        <v>0</v>
      </c>
      <c r="EF215" s="227">
        <v>0</v>
      </c>
      <c r="EG215" s="227">
        <v>0</v>
      </c>
      <c r="EH215" s="228">
        <f>SUM(Table1[[#This Row],[CashQ1]]:Table1[[#This Row],[CashQ3]])</f>
        <v>0</v>
      </c>
      <c r="EI215" s="229">
        <f>ROUND((Table1[[#This Row],[SubTot]]/3)/1.01059,0)</f>
        <v>1154</v>
      </c>
      <c r="EJ215" s="230">
        <f>ROUND((Table1[[#This Row],[SubTot]]/3)/1.01059,0)</f>
        <v>1154</v>
      </c>
      <c r="EK215" s="230">
        <f>ROUNDUP((Table1[[#This Row],[SubTot]]/3)/1.01059,0)</f>
        <v>1155</v>
      </c>
      <c r="EL215" s="231">
        <v>3500</v>
      </c>
      <c r="EM215" s="233">
        <f>Table1[[#This Row],[SubTot]]*0.01059</f>
        <v>37.065000000000005</v>
      </c>
      <c r="EN215" s="230">
        <f>ROUND((Table1[[#This Row],[UnsubTot]]/3)/1.01062,0)</f>
        <v>660</v>
      </c>
      <c r="EO215" s="230">
        <f>ROUND((Table1[[#This Row],[UnsubTot]]/3)/1.01062,0)</f>
        <v>660</v>
      </c>
      <c r="EP215" s="230">
        <f>ROUNDDOWN((Table1[[#This Row],[UnsubTot]]/3)/1.01062,0)</f>
        <v>659</v>
      </c>
      <c r="EQ215" s="231">
        <f>IF(Table1[D/I]="I",6000,2000)</f>
        <v>2000</v>
      </c>
      <c r="ER215" s="233">
        <f>Table1[[#This Row],[UnsubTot]]*0.01059</f>
        <v>21.18</v>
      </c>
      <c r="ES215" s="230">
        <f>ROUND((Table1[[#This Row],[PLUSTot]]/3)/1.04236,0)</f>
        <v>0</v>
      </c>
      <c r="ET215" s="230">
        <f>ROUND((Table1[[#This Row],[PLUSTot]]/3)/1.04236,0)</f>
        <v>0</v>
      </c>
      <c r="EU215" s="230">
        <f>ROUND((Table1[[#This Row],[PLUSTot]]/3)/1.04236,0)</f>
        <v>0</v>
      </c>
      <c r="EV215" s="231">
        <v>0</v>
      </c>
      <c r="EW215" s="236">
        <f>Table1[[#This Row],[PLUSTot]]*0.04236</f>
        <v>0</v>
      </c>
      <c r="EX215" s="227"/>
      <c r="EY215" s="227"/>
      <c r="EZ215" s="227"/>
      <c r="FA215" s="228">
        <f>SUM(Table1[[#This Row],[PrivQ1]:[PrivQ3]])</f>
        <v>0</v>
      </c>
      <c r="FB215" s="227"/>
      <c r="FC215" s="227"/>
      <c r="FD215" s="227"/>
      <c r="FE215" s="228">
        <f>SUM(Table1[[#This Row],[TOQ1]:[TOQ3]])</f>
        <v>0</v>
      </c>
      <c r="FF215" s="227"/>
      <c r="FG215" s="227"/>
      <c r="FH215" s="227"/>
      <c r="FI215" s="228">
        <f>SUM(Table1[[#This Row],[OFundQ1]:[OFundQ3]])</f>
        <v>0</v>
      </c>
      <c r="FJ215" s="236">
        <f>(Table1[[#This Row],[SubTot]]-Table1[[#This Row],[SubFee]])+(Table1[[#This Row],[UnsubTot]]-Table1[[#This Row],[UnsubFee]])+(Table1[[#This Row],[PLUSTot]]-Table1[[#This Row],[PLUSFee]])+Table1[[#This Row],[PrivTot]]+Table1[[#This Row],[TOTot]]+Table1[[#This Row],[OFundTot]]</f>
        <v>5441.7550000000001</v>
      </c>
      <c r="FK215" s="159">
        <f>Table1[[#This Row],[CostTot]]-Table1[[#This Row],[GiftTot]]</f>
        <v>31820</v>
      </c>
      <c r="FL215" s="174">
        <f>Table1[[#This Row],[NetNeed]]/(1-0.04236)</f>
        <v>27545.053464767552</v>
      </c>
      <c r="FM215" s="176">
        <f>Table1[[#This Row],[NetCost]]-Table1[[#This Row],[CashTot]]-(Table1[[#This Row],[SubTot]]-Table1[[#This Row],[SubFee]])-(Table1[[#This Row],[UnsubTot]]-Table1[[#This Row],[UnsubFee]])-(Table1[[#This Row],[PLUSTot]]-Table1[[#This Row],[PLUSFee]])-Table1[[#This Row],[PrivTot]]-Table1[[#This Row],[TOTot]]-Table1[[#This Row],[OFundTot]]</f>
        <v>26378.244999999999</v>
      </c>
      <c r="FN215" s="217"/>
      <c r="FO215" s="162"/>
      <c r="FP215" s="162"/>
    </row>
    <row r="216" spans="1:172" ht="15" x14ac:dyDescent="0.25">
      <c r="A216" s="316">
        <v>196148</v>
      </c>
      <c r="B216" s="113" t="str">
        <f>VLOOKUP(Table1[[#This Row],[SyStudentId]],SSR!$A$2:$CC$4982,4,FALSE)</f>
        <v>Wishon</v>
      </c>
      <c r="C216" s="113" t="str">
        <f>VLOOKUP(Table1[[#This Row],[SyStudentId]],SSR!$A$2:$CC$4982,5,FALSE)</f>
        <v>Hannah</v>
      </c>
      <c r="D216" s="113" t="str">
        <f>VLOOKUP(Table1[[#This Row],[SyStudentId]],SSR!$A$2:$CC$4982,6,FALSE)</f>
        <v>Wishon, Hannah</v>
      </c>
      <c r="E216" s="113" t="str">
        <f>CONCATENATE(Table1[[#This Row],[FirstName]]," ",Table1[[#This Row],[LastName]])</f>
        <v>Hannah Wishon</v>
      </c>
      <c r="F216" s="112"/>
      <c r="G216" s="114"/>
      <c r="H216" s="114"/>
      <c r="I216" s="114"/>
      <c r="J216" s="115"/>
      <c r="K216" s="116"/>
      <c r="L216" s="112" t="str">
        <f>IFERROR(VLOOKUP(Table1[[#This Row],[SyStudentId]],ISIR!$A$2:$X$999,11,FALSE),"")</f>
        <v>D</v>
      </c>
      <c r="M216" s="113" t="str">
        <f>VLOOKUP(Table1[[#This Row],[SyStudentId]],SSR!$A$2:$CC$4982,7,FALSE)</f>
        <v>hannahwishon@gmail.com</v>
      </c>
      <c r="N216" s="113" t="str">
        <f>VLOOKUP(Table1[[#This Row],[SyStudentId]],SSR!$A$2:$CC$4982,8,FALSE)</f>
        <v>806 Roundtop Court, APT 1B</v>
      </c>
      <c r="O216" s="113" t="str">
        <f>VLOOKUP(Table1[[#This Row],[SyStudentId]],SSR!$A$2:$CC$4982,9,FALSE)</f>
        <v>Lutherville</v>
      </c>
      <c r="P216" s="303" t="str">
        <f>VLOOKUP(Table1[[#This Row],[SyStudentId]],SSR!$A$2:$CC$4982,10,FALSE)</f>
        <v>MD</v>
      </c>
      <c r="Q216" s="117" t="str">
        <f>VLOOKUP(Table1[[#This Row],[SyStudentId]],SSR!$A$2:$CC$4982,11,FALSE)</f>
        <v xml:space="preserve">21093     </v>
      </c>
      <c r="R216" s="118">
        <f>VLOOKUP(Table1[[#This Row],[SyStudentId]],SSR!$A$2:$CC$4982,15,FALSE)</f>
        <v>3.08</v>
      </c>
      <c r="S216" s="119">
        <f>VLOOKUP(Table1[[#This Row],[SyStudentId]],SSR!$A$2:$CC$4982,22,FALSE)</f>
        <v>44109</v>
      </c>
      <c r="T216" s="113" t="str">
        <f>VLOOKUP(Table1[[#This Row],[SyStudentId]],SSR!$A$2:$CC$4982,24,FALSE)</f>
        <v>JT</v>
      </c>
      <c r="U216" s="113" t="str">
        <f>IF(VLOOKUP(Table1[[#This Row],[SyStudentId]],SSR!$A$2:$CC$4982,26,FALSE)=0,"Not Selected",VLOOKUP(Table1[[#This Row],[SyStudentId]],SSR!$A$2:$CC$4982,26,FALSE))</f>
        <v>Female</v>
      </c>
      <c r="V216" s="113" t="str">
        <f>VLOOKUP(Table1[[#This Row],[SyStudentId]],SSR!$A$2:$CC$4982,27,FALSE)</f>
        <v xml:space="preserve">HS2020  </v>
      </c>
      <c r="W216" s="113" t="str">
        <f>VLOOKUP(LEFT(Table1[[#This Row],[LastName]],1),Alpha!$A$1:$B$26,2,FALSE)</f>
        <v>Maureen Ranks</v>
      </c>
      <c r="X216" s="149" t="str">
        <f>VLOOKUP(Table1[[#This Row],[FAA]],Alpha!$B$1:$D$26,2,FALSE)</f>
        <v>mranks@neumont.edu</v>
      </c>
      <c r="Y216" s="113">
        <f>VLOOKUP(Table1[[#This Row],[FAA]],Alpha!$B$1:$D$26,3,FALSE)</f>
        <v>8883022894</v>
      </c>
      <c r="Z216" s="113" t="str">
        <f>VLOOKUP(Table1[[#This Row],[SyStudentId]],SSR!$A$2:$CC$4982,30,FALSE)</f>
        <v>16-Accepted</v>
      </c>
      <c r="AA216" s="113" t="str">
        <f>IF(VLOOKUP(Table1[[#This Row],[SyStudentId]],SSR!$A$2:$CC$4982,36,FALSE)="Bachelor of Science","BS Computer Science","Check Program")</f>
        <v>BS Computer Science</v>
      </c>
      <c r="AB216" s="113">
        <f>VLOOKUP(Table1[[#This Row],[SyStudentId]],SSR!$A$2:$CC$4982,37,FALSE)</f>
        <v>0</v>
      </c>
      <c r="AC216" s="113" t="str">
        <f>VLOOKUP(Table1[[#This Row],[SyStudentId]],SSR!$A$2:$CC$4982,42,FALSE)</f>
        <v xml:space="preserve">1320    </v>
      </c>
      <c r="AD216" s="113" t="str">
        <f>VLOOKUP(Table1[[#This Row],[SyStudentId]],SSR!$A$2:$CC$4982,46,FALSE)</f>
        <v>113</v>
      </c>
      <c r="AE216" s="113" t="str">
        <f>VLOOKUP(Table1[[#This Row],[SyStudentId]],SSR!$A$2:$CC$4982,65,FALSE)</f>
        <v>I</v>
      </c>
      <c r="AF216"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216" s="113" t="str">
        <f>VLOOKUP(Table1[[#This Row],[SyStudentId]],SSR!$A$2:$CC$4982,66,FALSE)</f>
        <v>October</v>
      </c>
      <c r="AH216" s="113" t="str">
        <f>IFERROR(VLOOKUP(Table1[[#This Row],[SyStudentId]],ISIR!$A$2:$X$999,7,FALSE),"")</f>
        <v>002295</v>
      </c>
      <c r="AI216" s="121">
        <f>IF(Table1[[#This Row],[EFCRaw]]="","",IF(Table1[[#This Row],[EFCRaw]]="No EFC","No EFC",_xlfn.NUMBERVALUE(Table1[[#This Row],[EFCRaw]])))</f>
        <v>2295</v>
      </c>
      <c r="AJ216" s="119">
        <f>IFERROR(VLOOKUP(Table1[[#This Row],[SyStudentId]],ISIR!$A$2:$X$4999,19,FALSE),"")</f>
        <v>43774</v>
      </c>
      <c r="AK216" s="113" t="str">
        <f>IFERROR(VLOOKUP(Table1[[#This Row],[SyStudentId]],ISIR!$A$2:$X$4999,8,FALSE),"")</f>
        <v>Y</v>
      </c>
      <c r="AL216" s="132" t="str">
        <f>IF(Table1[[#This Row],[VerReq]]="N","n/a","")</f>
        <v/>
      </c>
      <c r="AM216" s="122"/>
      <c r="AN216" s="122"/>
      <c r="AO216" s="122"/>
      <c r="AP216" s="122"/>
      <c r="AQ216" s="122"/>
      <c r="AR216" s="122"/>
      <c r="AS216" s="122"/>
      <c r="AT216" s="122"/>
      <c r="AU216" s="122"/>
      <c r="AV216" s="122"/>
      <c r="AW216" s="122"/>
      <c r="AX216" s="122"/>
      <c r="AY216" s="122"/>
      <c r="AZ216" s="122"/>
      <c r="BA216" s="122"/>
      <c r="BB216" s="122"/>
      <c r="BC216" s="148"/>
      <c r="BD216" s="140" t="str">
        <f>IF(Table1[[#This Row],[VerReq]]="N","x","")</f>
        <v/>
      </c>
      <c r="BE216" s="140" t="str">
        <f>IF(Table1[[#This Row],[VerReq]]="N","x","")</f>
        <v/>
      </c>
      <c r="BF216" s="140" t="str">
        <f>IF(Table1[[#This Row],[VerReq]]="N","x","")</f>
        <v/>
      </c>
      <c r="BG216" s="140" t="str">
        <f>IF(Table1[[#This Row],[VerReq]]="N","x","")</f>
        <v/>
      </c>
      <c r="BH216" s="140" t="str">
        <f>IF(Table1[[#This Row],[VerReq]]="N","x","")</f>
        <v/>
      </c>
      <c r="BI216" s="140" t="str">
        <f>IF(Table1[[#This Row],[VerReq]]="N","x","")</f>
        <v/>
      </c>
      <c r="BJ216" s="123">
        <f>1-((COUNTBLANK(Table1[[#This Row],[ALESent]:[TaxTran]]))/(COUNT(Table1[[#This Row],[ALESent]:[TaxTran]])+COUNTBLANK(Table1[[#This Row],[ALESent]:[TaxTran]])))</f>
        <v>0</v>
      </c>
      <c r="BK216" s="150">
        <f>IF(VLOOKUP(Table1[[#This Row],[SyStudentId]],SSR!$A$2:$CC$4982,22,FALSE)=44109,44109,"Check Program")</f>
        <v>44109</v>
      </c>
      <c r="BL216" s="150">
        <f>IF(Table1[[#This Row],[AYStart]]=44109,44356,"Check Program")</f>
        <v>44356</v>
      </c>
      <c r="BM216" s="219">
        <v>8505</v>
      </c>
      <c r="BN216" s="219">
        <v>8505</v>
      </c>
      <c r="BO216" s="219">
        <v>8505</v>
      </c>
      <c r="BP216" s="220">
        <f t="shared" si="9"/>
        <v>25515</v>
      </c>
      <c r="BQ216" s="221">
        <v>3300</v>
      </c>
      <c r="BR216" s="219">
        <v>400</v>
      </c>
      <c r="BS216" s="219">
        <v>400</v>
      </c>
      <c r="BT216" s="220">
        <f t="shared" si="10"/>
        <v>4100</v>
      </c>
      <c r="BU216" s="219">
        <v>2100</v>
      </c>
      <c r="BV216" s="219">
        <v>2100</v>
      </c>
      <c r="BW216" s="219">
        <v>2100</v>
      </c>
      <c r="BX216" s="220">
        <f t="shared" si="11"/>
        <v>6300</v>
      </c>
      <c r="BY216" s="269">
        <v>1200</v>
      </c>
      <c r="BZ216" s="269">
        <v>1200</v>
      </c>
      <c r="CA216" s="269">
        <v>1200</v>
      </c>
      <c r="CB216" s="220">
        <f>SUM(Table1[[#This Row],[LEQ1]:[LEQ3]])</f>
        <v>3600</v>
      </c>
      <c r="CC216" s="269"/>
      <c r="CD216" s="269"/>
      <c r="CE216" s="269"/>
      <c r="CF216" s="220">
        <f>SUM(Table1[[#This Row],[OthCostQ1]:[OthCostQ3]])</f>
        <v>0</v>
      </c>
      <c r="CG216" s="220">
        <f>(Table1[[#This Row],[T&amp;FTot]]+Table1[[#This Row],[B&amp;STot]]+Table1[[#This Row],[HousTot]]+Table1[[#This Row],[LETot]]+Table1[[#This Row],[OthCostTot]])</f>
        <v>39515</v>
      </c>
      <c r="CH216" s="250"/>
      <c r="CI216" s="250"/>
      <c r="CJ216" s="250"/>
      <c r="CK216" s="251">
        <f>SUM(Table1[[#This Row],[SEOGQ1]:[SEOGQ3]])</f>
        <v>0</v>
      </c>
      <c r="CL216" s="250">
        <f>IFERROR(ROUNDUP(Table1[[#This Row],[PellTot]]/3,0),0)</f>
        <v>1315</v>
      </c>
      <c r="CM216" s="250">
        <f>IFERROR(ROUND(Table1[[#This Row],[PellTot]]/3,0),0)</f>
        <v>1315</v>
      </c>
      <c r="CN216" s="250">
        <f>IFERROR(ROUNDDOWN(Table1[[#This Row],[PellTot]]/3,0),0)</f>
        <v>1315</v>
      </c>
      <c r="CO216" s="251">
        <f>IFERROR(LOOKUP(Table1[EFC],Pell_Table[#Data],Pell_Table[Pell Amt]),0)</f>
        <v>3945</v>
      </c>
      <c r="CP216" s="250">
        <f>Table1[[#This Row],[AccessTot]]/3</f>
        <v>500</v>
      </c>
      <c r="CQ216" s="250">
        <f>Table1[[#This Row],[AccessTot]]/3</f>
        <v>500</v>
      </c>
      <c r="CR216" s="250">
        <f>Table1[[#This Row],[AccessTot]]/3</f>
        <v>500</v>
      </c>
      <c r="CS216" s="251">
        <f>IF(Table1[[#This Row],[PellTot]]&gt;0,1500,0)</f>
        <v>1500</v>
      </c>
      <c r="CT216" s="250">
        <f>Table1[[#This Row],[AchiTot]]/3</f>
        <v>1700</v>
      </c>
      <c r="CU216" s="250">
        <f>Table1[[#This Row],[AchiTot]]/3</f>
        <v>1700</v>
      </c>
      <c r="CV216" s="250">
        <f>Table1[[#This Row],[AchiTot]]/3</f>
        <v>1700</v>
      </c>
      <c r="CW216" s="252">
        <f>IF(Table1[[#This Row],[Rank]]="","",IF(Table1[[#This Row],[Rank]]=1,5100,IF(Table1[[#This Row],[Rank]]=2,4500,IF(Table1[[#This Row],[Rank]]=3,3900,IF(Table1[[#This Row],[Rank]]=4,3750,IF(Table1[[#This Row],[Rank]]=5,3000,IF(Table1[[#This Row],[Rank]]=6,2250,0)))))))</f>
        <v>5100</v>
      </c>
      <c r="CX216" s="250">
        <f>Table1[[#This Row],[UTTot]]/3</f>
        <v>0</v>
      </c>
      <c r="CY216" s="250">
        <f>Table1[[#This Row],[UTTot]]/3</f>
        <v>0</v>
      </c>
      <c r="CZ216" s="250">
        <f>Table1[[#This Row],[UTTot]]/3</f>
        <v>0</v>
      </c>
      <c r="DA216" s="251">
        <f>IF(Table1[[#This Row],[State]]="UT",9000,0)</f>
        <v>0</v>
      </c>
      <c r="DB216" s="250">
        <f>Table1[[#This Row],[WITTot]]/3</f>
        <v>1000</v>
      </c>
      <c r="DC216" s="250">
        <f>Table1[[#This Row],[WITTot]]/3</f>
        <v>1000</v>
      </c>
      <c r="DD216" s="250">
        <f>Table1[[#This Row],[WITTot]]/3</f>
        <v>1000</v>
      </c>
      <c r="DE216" s="251">
        <f>IF(Table1[[#This Row],[Gender]]="Female",3000,0)</f>
        <v>3000</v>
      </c>
      <c r="DF216" s="250">
        <f>Table1[[#This Row],[SerTot]]/3</f>
        <v>0</v>
      </c>
      <c r="DG216" s="250">
        <f>Table1[[#This Row],[SerTot]]/3</f>
        <v>0</v>
      </c>
      <c r="DH216" s="250">
        <f>Table1[[#This Row],[SerTot]]/3</f>
        <v>0</v>
      </c>
      <c r="DI216" s="252"/>
      <c r="DJ216" s="250"/>
      <c r="DK216" s="250"/>
      <c r="DL216" s="250"/>
      <c r="DM216" s="252"/>
      <c r="DN216" s="250">
        <f>Table1[[#This Row],[MatTot]]/3</f>
        <v>0</v>
      </c>
      <c r="DO216" s="250">
        <f>Table1[[#This Row],[MatTot]]/3</f>
        <v>0</v>
      </c>
      <c r="DP216" s="250">
        <f>Table1[[#This Row],[MatTot]]/3</f>
        <v>0</v>
      </c>
      <c r="DQ216" s="252"/>
      <c r="DR216" s="250">
        <f>Table1[[#This Row],[OutTot]]/3</f>
        <v>0</v>
      </c>
      <c r="DS216" s="250">
        <f>Table1[[#This Row],[OutTot]]/3</f>
        <v>0</v>
      </c>
      <c r="DT216" s="250">
        <f>Table1[[#This Row],[OutTot]]/3</f>
        <v>0</v>
      </c>
      <c r="DU216" s="252"/>
      <c r="DV216" s="250"/>
      <c r="DW216" s="250"/>
      <c r="DX216" s="250"/>
      <c r="DY216" s="252">
        <f>SUM(Table1[[#This Row],[VAQ1]:[VAQ3]])</f>
        <v>0</v>
      </c>
      <c r="DZ216" s="250"/>
      <c r="EA216" s="250"/>
      <c r="EB216" s="250"/>
      <c r="EC216" s="270">
        <f>SUM(Table1[[#This Row],[OthGrantQ1]:[OthGrantQ3]])</f>
        <v>0</v>
      </c>
      <c r="ED216" s="263">
        <f>Table1[[#This Row],[SEOGTot]]+Table1[[#This Row],[PellTot]]+Table1[[#This Row],[AccessTot]]+Table1[[#This Row],[AchiTot]]+Table1[[#This Row],[UTTot]]+Table1[[#This Row],[WITTot]]+Table1[[#This Row],[SerTot]]+Table1[[#This Row],[TranTot]]+Table1[[#This Row],[MatTot]]+Table1[[#This Row],[OutTot]]+Table1[[#This Row],[VATot]]+Table1[[#This Row],[OthGrantTot]]</f>
        <v>13545</v>
      </c>
      <c r="EE216" s="282"/>
      <c r="EF216" s="237"/>
      <c r="EG216" s="237"/>
      <c r="EH216" s="232">
        <f>SUM(Table1[[#This Row],[CashQ1]]:Table1[[#This Row],[CashQ3]])</f>
        <v>0</v>
      </c>
      <c r="EI216" s="271">
        <f>ROUND((Table1[[#This Row],[SubTot]]/3)/1.01059,0)</f>
        <v>0</v>
      </c>
      <c r="EJ216" s="234">
        <f>ROUND((Table1[[#This Row],[SubTot]]/3)/1.01059,0)</f>
        <v>0</v>
      </c>
      <c r="EK216" s="234">
        <f>ROUNDUP((Table1[[#This Row],[SubTot]]/3)/1.01059,0)</f>
        <v>0</v>
      </c>
      <c r="EL216" s="235"/>
      <c r="EM216" s="240">
        <f>Table1[[#This Row],[SubTot]]*0.01059</f>
        <v>0</v>
      </c>
      <c r="EN216" s="234">
        <f>ROUND((Table1[[#This Row],[UnsubTot]]/3)/1.01062,0)</f>
        <v>660</v>
      </c>
      <c r="EO216" s="234">
        <f>ROUND((Table1[[#This Row],[UnsubTot]]/3)/1.01062,0)</f>
        <v>660</v>
      </c>
      <c r="EP216" s="234">
        <f>ROUNDDOWN((Table1[[#This Row],[UnsubTot]]/3)/1.01062,0)</f>
        <v>659</v>
      </c>
      <c r="EQ216" s="235">
        <f>IF(Table1[D/I]="I",6000,2000)</f>
        <v>2000</v>
      </c>
      <c r="ER216" s="240">
        <f>Table1[[#This Row],[UnsubTot]]*0.01062</f>
        <v>21.24</v>
      </c>
      <c r="ES216" s="234">
        <f>ROUND((Table1[[#This Row],[PLUSTot]]/3)/1.04248,0)</f>
        <v>0</v>
      </c>
      <c r="ET216" s="234">
        <f>ROUND((Table1[[#This Row],[PLUSTot]]/3)/1.04248,0)</f>
        <v>0</v>
      </c>
      <c r="EU216" s="234">
        <f>ROUND((Table1[[#This Row],[PLUSTot]]/3)/1.04248,0)</f>
        <v>0</v>
      </c>
      <c r="EV216" s="235"/>
      <c r="EW216" s="239">
        <f>Table1[[#This Row],[PLUSTot]]*0.04248</f>
        <v>0</v>
      </c>
      <c r="EX216" s="237"/>
      <c r="EY216" s="237"/>
      <c r="EZ216" s="237"/>
      <c r="FA216" s="232">
        <f>SUM(Table1[[#This Row],[PrivQ1]:[PrivQ3]])</f>
        <v>0</v>
      </c>
      <c r="FB216" s="237"/>
      <c r="FC216" s="237"/>
      <c r="FD216" s="237"/>
      <c r="FE216" s="232">
        <f>SUM(Table1[[#This Row],[TOQ1]:[TOQ3]])</f>
        <v>0</v>
      </c>
      <c r="FF216" s="237"/>
      <c r="FG216" s="237"/>
      <c r="FH216" s="237"/>
      <c r="FI216" s="232">
        <f>SUM(Table1[[#This Row],[OFundQ1]:[OFundQ3]])</f>
        <v>0</v>
      </c>
      <c r="FJ216" s="239">
        <f>(Table1[[#This Row],[SubTot]]-Table1[[#This Row],[SubFee]])+(Table1[[#This Row],[UnsubTot]]-Table1[[#This Row],[UnsubFee]])+(Table1[[#This Row],[PLUSTot]]-Table1[[#This Row],[PLUSFee]])+Table1[[#This Row],[PrivTot]]+Table1[[#This Row],[TOTot]]+Table1[[#This Row],[OFundTot]]</f>
        <v>1978.76</v>
      </c>
      <c r="FK216" s="125">
        <f>Table1[[#This Row],[CostTot]]-Table1[[#This Row],[GiftTot]]</f>
        <v>25970</v>
      </c>
      <c r="FL216" s="130">
        <f>Table1[[#This Row],[NetNeed]]/(1-0.04248)</f>
        <v>25055.601971760381</v>
      </c>
      <c r="FM216" s="131">
        <f>Table1[[#This Row],[NetCost]]-Table1[[#This Row],[CashTot]]-(Table1[[#This Row],[SubTot]]-Table1[[#This Row],[SubFee]])-(Table1[[#This Row],[UnsubTot]]-Table1[[#This Row],[UnsubFee]])-(Table1[[#This Row],[PLUSTot]]-Table1[[#This Row],[PLUSFee]])-Table1[[#This Row],[PrivTot]]-Table1[[#This Row],[TOTot]]-Table1[[#This Row],[OFundTot]]</f>
        <v>23991.24</v>
      </c>
      <c r="FN216" s="156"/>
      <c r="FO216" s="113"/>
      <c r="FP216" s="113"/>
    </row>
    <row r="217" spans="1:172" ht="15" x14ac:dyDescent="0.25">
      <c r="A217" s="160">
        <v>197755</v>
      </c>
      <c r="B217" s="160" t="str">
        <f>VLOOKUP(Table1[[#This Row],[SyStudentId]],SSR!$A$2:$CC$4982,4,FALSE)</f>
        <v>Worley</v>
      </c>
      <c r="C217" s="160" t="str">
        <f>VLOOKUP(Table1[[#This Row],[SyStudentId]],SSR!$A$2:$CC$4982,5,FALSE)</f>
        <v>Alexander</v>
      </c>
      <c r="D217" s="160" t="str">
        <f>VLOOKUP(Table1[[#This Row],[SyStudentId]],SSR!$A$2:$CC$4982,6,FALSE)</f>
        <v>Worley, Alexander</v>
      </c>
      <c r="E217" s="113" t="str">
        <f>CONCATENATE(Table1[[#This Row],[FirstName]]," ",Table1[[#This Row],[LastName]])</f>
        <v>Alexander Worley</v>
      </c>
      <c r="F217" s="158"/>
      <c r="G217" s="114"/>
      <c r="H217" s="114"/>
      <c r="I217" s="114"/>
      <c r="J217" s="163"/>
      <c r="K217" s="164"/>
      <c r="L217" s="158" t="str">
        <f>IFERROR(VLOOKUP(Table1[[#This Row],[SyStudentId]],ISIR!$A$2:$X$4999,11,FALSE),"")</f>
        <v>D</v>
      </c>
      <c r="M217" s="160" t="str">
        <f>VLOOKUP(Table1[[#This Row],[SyStudentId]],SSR!$A$2:$CC$4982,7,FALSE)</f>
        <v>aworley7501@gmail.com</v>
      </c>
      <c r="N217" s="160" t="str">
        <f>VLOOKUP(Table1[[#This Row],[SyStudentId]],SSR!$A$2:$CC$4982,8,FALSE)</f>
        <v>2336 Ranburn Drive</v>
      </c>
      <c r="O217" s="160" t="str">
        <f>VLOOKUP(Table1[[#This Row],[SyStudentId]],SSR!$A$2:$CC$4982,9,FALSE)</f>
        <v>Gary</v>
      </c>
      <c r="P217" s="294" t="str">
        <f>VLOOKUP(Table1[[#This Row],[SyStudentId]],SSR!$A$2:$CC$4982,10,FALSE)</f>
        <v>IN</v>
      </c>
      <c r="Q217" s="165" t="str">
        <f>VLOOKUP(Table1[[#This Row],[SyStudentId]],SSR!$A$2:$CC$4982,11,FALSE)</f>
        <v xml:space="preserve">46408     </v>
      </c>
      <c r="R217" s="166">
        <f>VLOOKUP(Table1[[#This Row],[SyStudentId]],SSR!$A$2:$CC$4982,15,FALSE)</f>
        <v>3.92</v>
      </c>
      <c r="S217" s="167">
        <f>VLOOKUP(Table1[[#This Row],[SyStudentId]],SSR!$A$2:$CC$4982,22,FALSE)</f>
        <v>44109</v>
      </c>
      <c r="T217" s="160" t="str">
        <f>VLOOKUP(Table1[[#This Row],[SyStudentId]],SSR!$A$2:$CC$4982,24,FALSE)</f>
        <v>JT</v>
      </c>
      <c r="U217" s="160" t="str">
        <f>IF(VLOOKUP(Table1[[#This Row],[SyStudentId]],SSR!$A$2:$CC$4982,26,FALSE)=0,"Not Selected",VLOOKUP(Table1[[#This Row],[SyStudentId]],SSR!$A$2:$CC$4982,26,FALSE))</f>
        <v>Male</v>
      </c>
      <c r="V217" s="160" t="str">
        <f>VLOOKUP(Table1[[#This Row],[SyStudentId]],SSR!$A$2:$CC$4982,27,FALSE)</f>
        <v xml:space="preserve">HS2020  </v>
      </c>
      <c r="W217" s="160" t="str">
        <f>VLOOKUP(LEFT(Table1[[#This Row],[LastName]],1),Alpha!$A$1:$B$26,2,FALSE)</f>
        <v>Maureen Ranks</v>
      </c>
      <c r="X217" s="268" t="str">
        <f>VLOOKUP(Table1[[#This Row],[FAA]],Alpha!$B$1:$D$26,2,FALSE)</f>
        <v>mranks@neumont.edu</v>
      </c>
      <c r="Y217" s="160">
        <f>VLOOKUP(Table1[[#This Row],[FAA]],Alpha!$B$1:$D$26,3,FALSE)</f>
        <v>8883022894</v>
      </c>
      <c r="Z217" s="160" t="str">
        <f>VLOOKUP(Table1[[#This Row],[SyStudentId]],SSR!$A$2:$CC$4982,30,FALSE)</f>
        <v>16-Accepted</v>
      </c>
      <c r="AA217" s="160" t="str">
        <f>IF(VLOOKUP(Table1[[#This Row],[SyStudentId]],SSR!$A$2:$CC$4982,36,FALSE)="Bachelor of Science","BS Computer Science","Check Program")</f>
        <v>BS Computer Science</v>
      </c>
      <c r="AB217" s="160">
        <f>VLOOKUP(Table1[[#This Row],[SyStudentId]],SSR!$A$2:$CC$4982,37,FALSE)</f>
        <v>0</v>
      </c>
      <c r="AC217" s="160" t="str">
        <f>VLOOKUP(Table1[[#This Row],[SyStudentId]],SSR!$A$2:$CC$4982,42,FALSE)</f>
        <v xml:space="preserve">970     </v>
      </c>
      <c r="AD217" s="160" t="str">
        <f>VLOOKUP(Table1[[#This Row],[SyStudentId]],SSR!$A$2:$CC$4982,46,FALSE)</f>
        <v>111</v>
      </c>
      <c r="AE217" s="160" t="str">
        <f>VLOOKUP(Table1[[#This Row],[SyStudentId]],SSR!$A$2:$CC$4982,65,FALSE)</f>
        <v>I</v>
      </c>
      <c r="AF217"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217" s="160" t="str">
        <f>VLOOKUP(Table1[[#This Row],[SyStudentId]],SSR!$A$2:$CC$4982,66,FALSE)</f>
        <v>July-October</v>
      </c>
      <c r="AH217" s="160" t="str">
        <f>IFERROR(VLOOKUP(Table1[[#This Row],[SyStudentId]],ISIR!$A$2:$X$1999,7,FALSE),"")</f>
        <v>029820</v>
      </c>
      <c r="AI217" s="170">
        <f>IF(Table1[[#This Row],[EFCRaw]]="","",IF(Table1[[#This Row],[EFCRaw]]="No EFC","No EFC",_xlfn.NUMBERVALUE(Table1[[#This Row],[EFCRaw]])))</f>
        <v>29820</v>
      </c>
      <c r="AJ217" s="167">
        <f>IFERROR(VLOOKUP(Table1[[#This Row],[SyStudentId]],ISIR!$A$2:$X$4999,19,FALSE),"")</f>
        <v>43774</v>
      </c>
      <c r="AK217" s="160" t="str">
        <f>IFERROR(VLOOKUP(Table1[[#This Row],[SyStudentId]],ISIR!$A$2:$X$4999,8,FALSE),"")</f>
        <v>N</v>
      </c>
      <c r="AL217" s="178" t="str">
        <f>IF(Table1[[#This Row],[VerReq]]="N","n/a","")</f>
        <v>n/a</v>
      </c>
      <c r="AM217" s="122"/>
      <c r="AN217" s="122"/>
      <c r="AO217" s="122"/>
      <c r="AP217" s="122"/>
      <c r="AQ217" s="122"/>
      <c r="AR217" s="122"/>
      <c r="AS217" s="122"/>
      <c r="AT217" s="122"/>
      <c r="AU217" s="122"/>
      <c r="AV217" s="122"/>
      <c r="AW217" s="122"/>
      <c r="AX217" s="122"/>
      <c r="AY217" s="122"/>
      <c r="AZ217" s="122"/>
      <c r="BA217" s="122"/>
      <c r="BB217" s="122"/>
      <c r="BC217" s="148"/>
      <c r="BD217" s="140" t="str">
        <f>IF(Table1[[#This Row],[VerReq]]="N","x","")</f>
        <v>x</v>
      </c>
      <c r="BE217" s="140" t="str">
        <f>IF(Table1[[#This Row],[VerReq]]="N","x","")</f>
        <v>x</v>
      </c>
      <c r="BF217" s="140" t="str">
        <f>IF(Table1[[#This Row],[VerReq]]="N","x","")</f>
        <v>x</v>
      </c>
      <c r="BG217" s="140" t="str">
        <f>IF(Table1[[#This Row],[VerReq]]="N","x","")</f>
        <v>x</v>
      </c>
      <c r="BH217" s="140" t="str">
        <f>IF(Table1[[#This Row],[VerReq]]="N","x","")</f>
        <v>x</v>
      </c>
      <c r="BI217" s="140" t="str">
        <f>IF(Table1[[#This Row],[VerReq]]="N","x","")</f>
        <v>x</v>
      </c>
      <c r="BJ217" s="181">
        <f>1-((COUNTBLANK(Table1[[#This Row],[ALESent]:[TaxTran]]))/(COUNT(Table1[[#This Row],[ALESent]:[TaxTran]])+COUNTBLANK(Table1[[#This Row],[ALESent]:[TaxTran]])))</f>
        <v>0</v>
      </c>
      <c r="BK217" s="216">
        <f>IF(VLOOKUP(Table1[[#This Row],[SyStudentId]],SSR!$A$2:$CC$4982,22,FALSE)=44109,44109,"Check Program")</f>
        <v>44109</v>
      </c>
      <c r="BL217" s="216">
        <f>IF(Table1[[#This Row],[AYStart]]=44109,44356,"Check Program")</f>
        <v>44356</v>
      </c>
      <c r="BM217" s="219">
        <v>8505</v>
      </c>
      <c r="BN217" s="219">
        <v>8505</v>
      </c>
      <c r="BO217" s="219">
        <v>8505</v>
      </c>
      <c r="BP217" s="220">
        <f t="shared" si="9"/>
        <v>25515</v>
      </c>
      <c r="BQ217" s="221">
        <v>3300</v>
      </c>
      <c r="BR217" s="219">
        <v>400</v>
      </c>
      <c r="BS217" s="219">
        <v>400</v>
      </c>
      <c r="BT217" s="222">
        <f t="shared" si="10"/>
        <v>4100</v>
      </c>
      <c r="BU217" s="219">
        <v>2100</v>
      </c>
      <c r="BV217" s="219">
        <v>2100</v>
      </c>
      <c r="BW217" s="219">
        <v>2100</v>
      </c>
      <c r="BX217" s="222">
        <f t="shared" si="11"/>
        <v>6300</v>
      </c>
      <c r="BY217" s="269">
        <v>1200</v>
      </c>
      <c r="BZ217" s="269">
        <v>1200</v>
      </c>
      <c r="CA217" s="269">
        <v>1200</v>
      </c>
      <c r="CB217" s="222">
        <f>SUM(Table1[[#This Row],[LEQ1]:[LEQ3]])</f>
        <v>3600</v>
      </c>
      <c r="CC217" s="276">
        <v>0</v>
      </c>
      <c r="CD217" s="276">
        <v>0</v>
      </c>
      <c r="CE217" s="276">
        <v>0</v>
      </c>
      <c r="CF217" s="222">
        <f>SUM(Table1[[#This Row],[OthCostQ1]:[OthCostQ3]])</f>
        <v>0</v>
      </c>
      <c r="CG217" s="222">
        <f>(Table1[[#This Row],[T&amp;FTot]]+Table1[[#This Row],[B&amp;STot]]+Table1[[#This Row],[HousTot]]+Table1[[#This Row],[LETot]]+Table1[[#This Row],[OthCostTot]])</f>
        <v>39515</v>
      </c>
      <c r="CH217" s="253">
        <v>0</v>
      </c>
      <c r="CI217" s="253">
        <v>0</v>
      </c>
      <c r="CJ217" s="253">
        <v>0</v>
      </c>
      <c r="CK217" s="254">
        <f>SUM(Table1[[#This Row],[SEOGQ1]:[SEOGQ3]])</f>
        <v>0</v>
      </c>
      <c r="CL217" s="253">
        <f>IFERROR(ROUNDUP(Table1[[#This Row],[PellTot]]/3,0),0)</f>
        <v>0</v>
      </c>
      <c r="CM217" s="253">
        <f>IFERROR(ROUND(Table1[[#This Row],[PellTot]]/3,0),0)</f>
        <v>0</v>
      </c>
      <c r="CN217" s="253">
        <f>IFERROR(ROUNDDOWN(Table1[[#This Row],[PellTot]]/3,0),0)</f>
        <v>0</v>
      </c>
      <c r="CO217" s="254">
        <f>IFERROR(LOOKUP(Table1[EFC],Pell_Table[#Data],Pell_Table[Pell Amt]),0)</f>
        <v>0</v>
      </c>
      <c r="CP217" s="253">
        <f>Table1[[#This Row],[AccessTot]]/3</f>
        <v>0</v>
      </c>
      <c r="CQ217" s="253">
        <f>Table1[[#This Row],[AccessTot]]/3</f>
        <v>0</v>
      </c>
      <c r="CR217" s="253">
        <f>Table1[[#This Row],[AccessTot]]/3</f>
        <v>0</v>
      </c>
      <c r="CS217" s="254">
        <f>IF(Table1[[#This Row],[PellTot]]&gt;0,1500,0)</f>
        <v>0</v>
      </c>
      <c r="CT217" s="253">
        <f>Table1[[#This Row],[AchiTot]]/3</f>
        <v>1700</v>
      </c>
      <c r="CU217" s="253">
        <f>Table1[[#This Row],[AchiTot]]/3</f>
        <v>1700</v>
      </c>
      <c r="CV217" s="253">
        <f>Table1[[#This Row],[AchiTot]]/3</f>
        <v>1700</v>
      </c>
      <c r="CW217" s="255">
        <f>IF(Table1[[#This Row],[Rank]]="","",IF(Table1[[#This Row],[Rank]]=1,5100,IF(Table1[[#This Row],[Rank]]=2,4500,IF(Table1[[#This Row],[Rank]]=3,3900,IF(Table1[[#This Row],[Rank]]=4,3750,IF(Table1[[#This Row],[Rank]]=5,3000,IF(Table1[[#This Row],[Rank]]=6,2250,0)))))))</f>
        <v>5100</v>
      </c>
      <c r="CX217" s="253">
        <f>Table1[[#This Row],[UTTot]]/3</f>
        <v>0</v>
      </c>
      <c r="CY217" s="253">
        <f>Table1[[#This Row],[UTTot]]/3</f>
        <v>0</v>
      </c>
      <c r="CZ217" s="253">
        <f>Table1[[#This Row],[UTTot]]/3</f>
        <v>0</v>
      </c>
      <c r="DA217" s="254">
        <f>IF(Table1[[#This Row],[State]]="UT",9000,0)</f>
        <v>0</v>
      </c>
      <c r="DB217" s="253">
        <f>Table1[[#This Row],[WITTot]]/3</f>
        <v>0</v>
      </c>
      <c r="DC217" s="253">
        <f>Table1[[#This Row],[WITTot]]/3</f>
        <v>0</v>
      </c>
      <c r="DD217" s="253">
        <f>Table1[[#This Row],[WITTot]]/3</f>
        <v>0</v>
      </c>
      <c r="DE217" s="254">
        <f>IF(Table1[[#This Row],[Gender]]="Female",3000,0)</f>
        <v>0</v>
      </c>
      <c r="DF217" s="253">
        <f>Table1[[#This Row],[SerTot]]/3</f>
        <v>0</v>
      </c>
      <c r="DG217" s="253">
        <f>Table1[[#This Row],[SerTot]]/3</f>
        <v>0</v>
      </c>
      <c r="DH217" s="253">
        <f>Table1[[#This Row],[SerTot]]/3</f>
        <v>0</v>
      </c>
      <c r="DI217" s="255">
        <v>0</v>
      </c>
      <c r="DJ217" s="253">
        <f>IFERROR(ROUNDUP(Table1[[#This Row],[TranTot]]/3,0),0)</f>
        <v>0</v>
      </c>
      <c r="DK217" s="253">
        <f>IFERROR(ROUND(Table1[[#This Row],[TranTot]]/3,0),0)</f>
        <v>0</v>
      </c>
      <c r="DL217" s="253">
        <f>IFERROR(ROUNDDOWN(Table1[[#This Row],[TranTot]]/3,0),0)</f>
        <v>0</v>
      </c>
      <c r="DM217" s="255">
        <v>0</v>
      </c>
      <c r="DN217" s="253">
        <f>Table1[[#This Row],[MatTot]]/3</f>
        <v>0</v>
      </c>
      <c r="DO217" s="253">
        <f>Table1[[#This Row],[MatTot]]/3</f>
        <v>0</v>
      </c>
      <c r="DP217" s="253">
        <f>Table1[[#This Row],[MatTot]]/3</f>
        <v>0</v>
      </c>
      <c r="DQ217" s="255">
        <v>0</v>
      </c>
      <c r="DR217" s="253">
        <f>Table1[[#This Row],[OutTot]]/3</f>
        <v>0</v>
      </c>
      <c r="DS217" s="253">
        <f>Table1[[#This Row],[OutTot]]/3</f>
        <v>0</v>
      </c>
      <c r="DT217" s="253">
        <f>Table1[[#This Row],[OutTot]]/3</f>
        <v>0</v>
      </c>
      <c r="DU217" s="255">
        <v>0</v>
      </c>
      <c r="DV217" s="253">
        <v>0</v>
      </c>
      <c r="DW217" s="253">
        <v>0</v>
      </c>
      <c r="DX217" s="253">
        <v>0</v>
      </c>
      <c r="DY217" s="255">
        <f>SUM(Table1[[#This Row],[VAQ1]:[VAQ3]])</f>
        <v>0</v>
      </c>
      <c r="DZ217" s="253">
        <v>0</v>
      </c>
      <c r="EA217" s="253">
        <v>0</v>
      </c>
      <c r="EB217" s="253">
        <v>0</v>
      </c>
      <c r="EC217" s="278">
        <f>SUM(Table1[[#This Row],[OthGrantQ1]:[OthGrantQ3]])</f>
        <v>0</v>
      </c>
      <c r="ED217" s="264">
        <f>Table1[[#This Row],[SEOGTot]]+Table1[[#This Row],[PellTot]]+Table1[[#This Row],[AccessTot]]+Table1[[#This Row],[AchiTot]]+Table1[[#This Row],[UTTot]]+Table1[[#This Row],[WITTot]]+Table1[[#This Row],[SerTot]]+Table1[[#This Row],[TranTot]]+Table1[[#This Row],[MatTot]]+Table1[[#This Row],[OutTot]]+Table1[[#This Row],[VATot]]+Table1[[#This Row],[OthGrantTot]]</f>
        <v>5100</v>
      </c>
      <c r="EE217" s="298">
        <v>0</v>
      </c>
      <c r="EF217" s="227">
        <v>0</v>
      </c>
      <c r="EG217" s="227">
        <v>0</v>
      </c>
      <c r="EH217" s="228">
        <f>SUM(Table1[[#This Row],[CashQ1]]:Table1[[#This Row],[CashQ3]])</f>
        <v>0</v>
      </c>
      <c r="EI217" s="229">
        <f>ROUND((Table1[[#This Row],[SubTot]]/3)/1.01059,0)</f>
        <v>1154</v>
      </c>
      <c r="EJ217" s="230">
        <f>ROUND((Table1[[#This Row],[SubTot]]/3)/1.01059,0)</f>
        <v>1154</v>
      </c>
      <c r="EK217" s="230">
        <f>ROUNDUP((Table1[[#This Row],[SubTot]]/3)/1.01059,0)</f>
        <v>1155</v>
      </c>
      <c r="EL217" s="231">
        <v>3500</v>
      </c>
      <c r="EM217" s="233">
        <f>Table1[[#This Row],[SubTot]]*0.01059</f>
        <v>37.065000000000005</v>
      </c>
      <c r="EN217" s="230">
        <f>ROUND((Table1[[#This Row],[UnsubTot]]/3)/1.01062,0)</f>
        <v>660</v>
      </c>
      <c r="EO217" s="230">
        <f>ROUND((Table1[[#This Row],[UnsubTot]]/3)/1.01062,0)</f>
        <v>660</v>
      </c>
      <c r="EP217" s="230">
        <f>ROUNDDOWN((Table1[[#This Row],[UnsubTot]]/3)/1.01062,0)</f>
        <v>659</v>
      </c>
      <c r="EQ217" s="231">
        <f>IF(Table1[D/I]="I",6000,2000)</f>
        <v>2000</v>
      </c>
      <c r="ER217" s="233">
        <f>Table1[[#This Row],[UnsubTot]]*0.01059</f>
        <v>21.18</v>
      </c>
      <c r="ES217" s="230">
        <f>ROUND((Table1[[#This Row],[PLUSTot]]/3)/1.04236,0)</f>
        <v>0</v>
      </c>
      <c r="ET217" s="230">
        <f>ROUND((Table1[[#This Row],[PLUSTot]]/3)/1.04236,0)</f>
        <v>0</v>
      </c>
      <c r="EU217" s="230">
        <f>ROUND((Table1[[#This Row],[PLUSTot]]/3)/1.04236,0)</f>
        <v>0</v>
      </c>
      <c r="EV217" s="231">
        <v>0</v>
      </c>
      <c r="EW217" s="236">
        <f>Table1[[#This Row],[PLUSTot]]*0.04236</f>
        <v>0</v>
      </c>
      <c r="EX217" s="227"/>
      <c r="EY217" s="227"/>
      <c r="EZ217" s="227"/>
      <c r="FA217" s="228">
        <f>SUM(Table1[[#This Row],[PrivQ1]:[PrivQ3]])</f>
        <v>0</v>
      </c>
      <c r="FB217" s="227"/>
      <c r="FC217" s="227"/>
      <c r="FD217" s="227"/>
      <c r="FE217" s="228">
        <f>SUM(Table1[[#This Row],[TOQ1]:[TOQ3]])</f>
        <v>0</v>
      </c>
      <c r="FF217" s="227"/>
      <c r="FG217" s="227"/>
      <c r="FH217" s="227"/>
      <c r="FI217" s="228">
        <f>SUM(Table1[[#This Row],[OFundQ1]:[OFundQ3]])</f>
        <v>0</v>
      </c>
      <c r="FJ217" s="236">
        <f>(Table1[[#This Row],[SubTot]]-Table1[[#This Row],[SubFee]])+(Table1[[#This Row],[UnsubTot]]-Table1[[#This Row],[UnsubFee]])+(Table1[[#This Row],[PLUSTot]]-Table1[[#This Row],[PLUSFee]])+Table1[[#This Row],[PrivTot]]+Table1[[#This Row],[TOTot]]+Table1[[#This Row],[OFundTot]]</f>
        <v>5441.7550000000001</v>
      </c>
      <c r="FK217" s="159">
        <f>Table1[[#This Row],[CostTot]]-Table1[[#This Row],[GiftTot]]</f>
        <v>34415</v>
      </c>
      <c r="FL217" s="174">
        <f>Table1[[#This Row],[NetNeed]]/(1-0.04236)</f>
        <v>30254.840023390832</v>
      </c>
      <c r="FM217" s="176">
        <f>Table1[[#This Row],[NetCost]]-Table1[[#This Row],[CashTot]]-(Table1[[#This Row],[SubTot]]-Table1[[#This Row],[SubFee]])-(Table1[[#This Row],[UnsubTot]]-Table1[[#This Row],[UnsubFee]])-(Table1[[#This Row],[PLUSTot]]-Table1[[#This Row],[PLUSFee]])-Table1[[#This Row],[PrivTot]]-Table1[[#This Row],[TOTot]]-Table1[[#This Row],[OFundTot]]</f>
        <v>28973.244999999999</v>
      </c>
      <c r="FN217" s="217"/>
      <c r="FO217" s="162"/>
      <c r="FP217" s="162"/>
    </row>
    <row r="218" spans="1:172" ht="15" x14ac:dyDescent="0.25">
      <c r="A218" s="329">
        <v>198269</v>
      </c>
      <c r="B218" s="113" t="str">
        <f>VLOOKUP(Table1[[#This Row],[SyStudentId]],SSR!$A$2:$CC$4982,4,FALSE)</f>
        <v>Wright</v>
      </c>
      <c r="C218" s="113" t="str">
        <f>VLOOKUP(Table1[[#This Row],[SyStudentId]],SSR!$A$2:$CC$4982,5,FALSE)</f>
        <v>Sara</v>
      </c>
      <c r="D218" s="113" t="str">
        <f>VLOOKUP(Table1[[#This Row],[SyStudentId]],SSR!$A$2:$CC$4982,6,FALSE)</f>
        <v>Wright, Sara</v>
      </c>
      <c r="E218" s="113" t="str">
        <f>CONCATENATE(Table1[[#This Row],[FirstName]]," ",Table1[[#This Row],[LastName]])</f>
        <v>Sara Wright</v>
      </c>
      <c r="F218" s="112"/>
      <c r="G218" s="114"/>
      <c r="H218" s="114"/>
      <c r="I218" s="114"/>
      <c r="J218" s="115"/>
      <c r="K218" s="116"/>
      <c r="L218" s="112" t="str">
        <f>IFERROR(VLOOKUP(Table1[[#This Row],[SyStudentId]],ISIR!$A$2:$X$999,11,FALSE),"")</f>
        <v/>
      </c>
      <c r="M218" s="113" t="str">
        <f>VLOOKUP(Table1[[#This Row],[SyStudentId]],SSR!$A$2:$CC$4982,7,FALSE)</f>
        <v>Nightmare2414@gmail.com</v>
      </c>
      <c r="N218" s="113" t="str">
        <f>VLOOKUP(Table1[[#This Row],[SyStudentId]],SSR!$A$2:$CC$4982,8,FALSE)</f>
        <v>1298 East 900 South</v>
      </c>
      <c r="O218" s="113" t="str">
        <f>VLOOKUP(Table1[[#This Row],[SyStudentId]],SSR!$A$2:$CC$4982,9,FALSE)</f>
        <v>Provo</v>
      </c>
      <c r="P218" s="113" t="str">
        <f>VLOOKUP(Table1[[#This Row],[SyStudentId]],SSR!$A$2:$CC$4982,10,FALSE)</f>
        <v>UT</v>
      </c>
      <c r="Q218" s="117" t="str">
        <f>VLOOKUP(Table1[[#This Row],[SyStudentId]],SSR!$A$2:$CC$4982,11,FALSE)</f>
        <v xml:space="preserve">84606     </v>
      </c>
      <c r="R218" s="118">
        <f>VLOOKUP(Table1[[#This Row],[SyStudentId]],SSR!$A$2:$CC$4982,15,FALSE)</f>
        <v>2.5299999999999998</v>
      </c>
      <c r="S218" s="119">
        <f>VLOOKUP(Table1[[#This Row],[SyStudentId]],SSR!$A$2:$CC$4982,22,FALSE)</f>
        <v>44109</v>
      </c>
      <c r="T218" s="113" t="str">
        <f>VLOOKUP(Table1[[#This Row],[SyStudentId]],SSR!$A$2:$CC$4982,24,FALSE)</f>
        <v>MR</v>
      </c>
      <c r="U218" s="113" t="str">
        <f>IF(VLOOKUP(Table1[[#This Row],[SyStudentId]],SSR!$A$2:$CC$4982,26,FALSE)=0,"Not Selected",VLOOKUP(Table1[[#This Row],[SyStudentId]],SSR!$A$2:$CC$4982,26,FALSE))</f>
        <v>Female</v>
      </c>
      <c r="V218" s="113" t="str">
        <f>VLOOKUP(Table1[[#This Row],[SyStudentId]],SSR!$A$2:$CC$4982,27,FALSE)</f>
        <v xml:space="preserve">HS2020  </v>
      </c>
      <c r="W218" s="113" t="str">
        <f>VLOOKUP(LEFT(Table1[[#This Row],[LastName]],1),Alpha!$A$1:$B$26,2,FALSE)</f>
        <v>Maureen Ranks</v>
      </c>
      <c r="X218" s="149" t="str">
        <f>VLOOKUP(Table1[[#This Row],[FAA]],Alpha!$B$1:$D$26,2,FALSE)</f>
        <v>mranks@neumont.edu</v>
      </c>
      <c r="Y218" s="113">
        <f>VLOOKUP(Table1[[#This Row],[FAA]],Alpha!$B$1:$D$26,3,FALSE)</f>
        <v>8883022894</v>
      </c>
      <c r="Z218" s="113" t="str">
        <f>VLOOKUP(Table1[[#This Row],[SyStudentId]],SSR!$A$2:$CC$4982,30,FALSE)</f>
        <v>16-Accepted</v>
      </c>
      <c r="AA218" s="113" t="str">
        <f>IF(VLOOKUP(Table1[[#This Row],[SyStudentId]],SSR!$A$2:$CC$4982,36,FALSE)="Bachelor of Science","BS Computer Science","Check Program")</f>
        <v>BS Computer Science</v>
      </c>
      <c r="AB218" s="113" t="str">
        <f>VLOOKUP(Table1[[#This Row],[SyStudentId]],SSR!$A$2:$CC$4982,37,FALSE)</f>
        <v xml:space="preserve">16      </v>
      </c>
      <c r="AC218" s="113">
        <f>VLOOKUP(Table1[[#This Row],[SyStudentId]],SSR!$A$2:$CC$4982,42,FALSE)</f>
        <v>0</v>
      </c>
      <c r="AD218" s="113" t="str">
        <f>VLOOKUP(Table1[[#This Row],[SyStudentId]],SSR!$A$2:$CC$4982,46,FALSE)</f>
        <v>80</v>
      </c>
      <c r="AE218" s="113" t="str">
        <f>VLOOKUP(Table1[[#This Row],[SyStudentId]],SSR!$A$2:$CC$4982,65,FALSE)</f>
        <v>IX</v>
      </c>
      <c r="AF218"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218" s="113" t="str">
        <f>VLOOKUP(Table1[[#This Row],[SyStudentId]],SSR!$A$2:$CC$4982,66,FALSE)</f>
        <v>October</v>
      </c>
      <c r="AH218" s="113" t="str">
        <f>IFERROR(VLOOKUP(Table1[[#This Row],[SyStudentId]],ISIR!$A$2:$X$999,7,FALSE),"")</f>
        <v/>
      </c>
      <c r="AI218" s="121" t="str">
        <f>IF(Table1[[#This Row],[EFCRaw]]="","",IF(Table1[[#This Row],[EFCRaw]]="No EFC","No EFC",_xlfn.NUMBERVALUE(Table1[[#This Row],[EFCRaw]])))</f>
        <v/>
      </c>
      <c r="AJ218" s="119" t="str">
        <f>IFERROR(VLOOKUP(Table1[[#This Row],[SyStudentId]],ISIR!$A$2:$X$4999,19,FALSE),"")</f>
        <v/>
      </c>
      <c r="AK218" s="113" t="str">
        <f>IFERROR(VLOOKUP(Table1[[#This Row],[SyStudentId]],ISIR!$A$2:$X$4999,8,FALSE),"")</f>
        <v/>
      </c>
      <c r="AL218" s="132" t="str">
        <f>IF(Table1[[#This Row],[VerReq]]="N","n/a","")</f>
        <v/>
      </c>
      <c r="AM218" s="122"/>
      <c r="AN218" s="122"/>
      <c r="AO218" s="122"/>
      <c r="AP218" s="122"/>
      <c r="AQ218" s="122"/>
      <c r="AR218" s="122"/>
      <c r="AS218" s="122"/>
      <c r="AT218" s="122"/>
      <c r="AU218" s="122"/>
      <c r="AV218" s="122"/>
      <c r="AW218" s="122"/>
      <c r="AX218" s="122"/>
      <c r="AY218" s="122"/>
      <c r="AZ218" s="122"/>
      <c r="BA218" s="122"/>
      <c r="BB218" s="122"/>
      <c r="BC218" s="148"/>
      <c r="BD218" s="140" t="str">
        <f>IF(Table1[[#This Row],[VerReq]]="N","x","")</f>
        <v/>
      </c>
      <c r="BE218" s="140" t="str">
        <f>IF(Table1[[#This Row],[VerReq]]="N","x","")</f>
        <v/>
      </c>
      <c r="BF218" s="140" t="str">
        <f>IF(Table1[[#This Row],[VerReq]]="N","x","")</f>
        <v/>
      </c>
      <c r="BG218" s="140" t="str">
        <f>IF(Table1[[#This Row],[VerReq]]="N","x","")</f>
        <v/>
      </c>
      <c r="BH218" s="140" t="str">
        <f>IF(Table1[[#This Row],[VerReq]]="N","x","")</f>
        <v/>
      </c>
      <c r="BI218" s="140" t="str">
        <f>IF(Table1[[#This Row],[VerReq]]="N","x","")</f>
        <v/>
      </c>
      <c r="BJ218" s="123">
        <f>1-((COUNTBLANK(Table1[[#This Row],[ALESent]:[TaxTran]]))/(COUNT(Table1[[#This Row],[ALESent]:[TaxTran]])+COUNTBLANK(Table1[[#This Row],[ALESent]:[TaxTran]])))</f>
        <v>0</v>
      </c>
      <c r="BK218" s="150">
        <f>IF(VLOOKUP(Table1[[#This Row],[SyStudentId]],SSR!$A$2:$CC$4982,22,FALSE)=44109,44109,"Check Program")</f>
        <v>44109</v>
      </c>
      <c r="BL218" s="150">
        <f>IF(Table1[[#This Row],[AYStart]]=44109,44356,"Check Program")</f>
        <v>44356</v>
      </c>
      <c r="BM218" s="219">
        <v>8505</v>
      </c>
      <c r="BN218" s="219">
        <v>8505</v>
      </c>
      <c r="BO218" s="219">
        <v>8505</v>
      </c>
      <c r="BP218" s="220">
        <f t="shared" si="9"/>
        <v>25515</v>
      </c>
      <c r="BQ218" s="221">
        <v>3300</v>
      </c>
      <c r="BR218" s="219">
        <v>400</v>
      </c>
      <c r="BS218" s="219">
        <v>400</v>
      </c>
      <c r="BT218" s="220">
        <f t="shared" si="10"/>
        <v>4100</v>
      </c>
      <c r="BU218" s="219">
        <v>2100</v>
      </c>
      <c r="BV218" s="219">
        <v>2100</v>
      </c>
      <c r="BW218" s="219">
        <v>2100</v>
      </c>
      <c r="BX218" s="220">
        <f t="shared" si="11"/>
        <v>6300</v>
      </c>
      <c r="BY218" s="269">
        <v>1200</v>
      </c>
      <c r="BZ218" s="269">
        <v>1200</v>
      </c>
      <c r="CA218" s="269">
        <v>1200</v>
      </c>
      <c r="CB218" s="220">
        <f>SUM(Table1[[#This Row],[LEQ1]:[LEQ3]])</f>
        <v>3600</v>
      </c>
      <c r="CC218" s="269"/>
      <c r="CD218" s="269"/>
      <c r="CE218" s="269"/>
      <c r="CF218" s="220">
        <f>SUM(Table1[[#This Row],[OthCostQ1]:[OthCostQ3]])</f>
        <v>0</v>
      </c>
      <c r="CG218" s="220">
        <f>(Table1[[#This Row],[T&amp;FTot]]+Table1[[#This Row],[B&amp;STot]]+Table1[[#This Row],[HousTot]]+Table1[[#This Row],[LETot]]+Table1[[#This Row],[OthCostTot]])</f>
        <v>39515</v>
      </c>
      <c r="CH218" s="250"/>
      <c r="CI218" s="250"/>
      <c r="CJ218" s="250"/>
      <c r="CK218" s="251">
        <f>SUM(Table1[[#This Row],[SEOGQ1]:[SEOGQ3]])</f>
        <v>0</v>
      </c>
      <c r="CL218" s="250">
        <f>IFERROR(ROUNDUP(Table1[[#This Row],[PellTot]]/3,0),0)</f>
        <v>0</v>
      </c>
      <c r="CM218" s="250">
        <f>IFERROR(ROUND(Table1[[#This Row],[PellTot]]/3,0),0)</f>
        <v>0</v>
      </c>
      <c r="CN218" s="250">
        <f>IFERROR(ROUNDDOWN(Table1[[#This Row],[PellTot]]/3,0),0)</f>
        <v>0</v>
      </c>
      <c r="CO218" s="251">
        <f>IFERROR(LOOKUP(Table1[EFC],Pell_Table[#Data],Pell_Table[Pell Amt]),0)</f>
        <v>0</v>
      </c>
      <c r="CP218" s="250">
        <f>Table1[[#This Row],[AccessTot]]/3</f>
        <v>0</v>
      </c>
      <c r="CQ218" s="250">
        <f>Table1[[#This Row],[AccessTot]]/3</f>
        <v>0</v>
      </c>
      <c r="CR218" s="250">
        <f>Table1[[#This Row],[AccessTot]]/3</f>
        <v>0</v>
      </c>
      <c r="CS218" s="251">
        <f>IF(Table1[[#This Row],[PellTot]]&gt;0,1500,0)</f>
        <v>0</v>
      </c>
      <c r="CT218" s="250">
        <f>Table1[[#This Row],[AchiTot]]/3</f>
        <v>0</v>
      </c>
      <c r="CU218" s="250">
        <f>Table1[[#This Row],[AchiTot]]/3</f>
        <v>0</v>
      </c>
      <c r="CV218" s="250">
        <f>Table1[[#This Row],[AchiTot]]/3</f>
        <v>0</v>
      </c>
      <c r="CW218" s="252">
        <f>IF(Table1[[#This Row],[Rank]]="","",IF(Table1[[#This Row],[Rank]]=1,5100,IF(Table1[[#This Row],[Rank]]=2,4500,IF(Table1[[#This Row],[Rank]]=3,3900,IF(Table1[[#This Row],[Rank]]=4,3750,IF(Table1[[#This Row],[Rank]]=5,3000,IF(Table1[[#This Row],[Rank]]=6,2250,0)))))))</f>
        <v>0</v>
      </c>
      <c r="CX218" s="250">
        <f>Table1[[#This Row],[UTTot]]/3</f>
        <v>3000</v>
      </c>
      <c r="CY218" s="250">
        <f>Table1[[#This Row],[UTTot]]/3</f>
        <v>3000</v>
      </c>
      <c r="CZ218" s="250">
        <f>Table1[[#This Row],[UTTot]]/3</f>
        <v>3000</v>
      </c>
      <c r="DA218" s="251">
        <f>IF(Table1[[#This Row],[State]]="UT",9000,0)</f>
        <v>9000</v>
      </c>
      <c r="DB218" s="250">
        <f>Table1[[#This Row],[WITTot]]/3</f>
        <v>1000</v>
      </c>
      <c r="DC218" s="250">
        <f>Table1[[#This Row],[WITTot]]/3</f>
        <v>1000</v>
      </c>
      <c r="DD218" s="250">
        <f>Table1[[#This Row],[WITTot]]/3</f>
        <v>1000</v>
      </c>
      <c r="DE218" s="251">
        <f>IF(Table1[[#This Row],[Gender]]="Female",3000,0)</f>
        <v>3000</v>
      </c>
      <c r="DF218" s="250">
        <f>Table1[[#This Row],[SerTot]]/3</f>
        <v>0</v>
      </c>
      <c r="DG218" s="250">
        <f>Table1[[#This Row],[SerTot]]/3</f>
        <v>0</v>
      </c>
      <c r="DH218" s="250">
        <f>Table1[[#This Row],[SerTot]]/3</f>
        <v>0</v>
      </c>
      <c r="DI218" s="252"/>
      <c r="DJ218" s="250"/>
      <c r="DK218" s="250"/>
      <c r="DL218" s="250"/>
      <c r="DM218" s="252"/>
      <c r="DN218" s="250">
        <f>Table1[[#This Row],[MatTot]]/3</f>
        <v>0</v>
      </c>
      <c r="DO218" s="250">
        <f>Table1[[#This Row],[MatTot]]/3</f>
        <v>0</v>
      </c>
      <c r="DP218" s="250">
        <f>Table1[[#This Row],[MatTot]]/3</f>
        <v>0</v>
      </c>
      <c r="DQ218" s="252"/>
      <c r="DR218" s="250">
        <f>Table1[[#This Row],[OutTot]]/3</f>
        <v>0</v>
      </c>
      <c r="DS218" s="250">
        <f>Table1[[#This Row],[OutTot]]/3</f>
        <v>0</v>
      </c>
      <c r="DT218" s="250">
        <f>Table1[[#This Row],[OutTot]]/3</f>
        <v>0</v>
      </c>
      <c r="DU218" s="252"/>
      <c r="DV218" s="250"/>
      <c r="DW218" s="250"/>
      <c r="DX218" s="250"/>
      <c r="DY218" s="252">
        <f>SUM(Table1[[#This Row],[VAQ1]:[VAQ3]])</f>
        <v>0</v>
      </c>
      <c r="DZ218" s="250"/>
      <c r="EA218" s="250"/>
      <c r="EB218" s="250"/>
      <c r="EC218" s="270">
        <f>SUM(Table1[[#This Row],[OthGrantQ1]:[OthGrantQ3]])</f>
        <v>0</v>
      </c>
      <c r="ED218" s="263">
        <f>Table1[[#This Row],[SEOGTot]]+Table1[[#This Row],[PellTot]]+Table1[[#This Row],[AccessTot]]+Table1[[#This Row],[AchiTot]]+Table1[[#This Row],[UTTot]]+Table1[[#This Row],[WITTot]]+Table1[[#This Row],[SerTot]]+Table1[[#This Row],[TranTot]]+Table1[[#This Row],[MatTot]]+Table1[[#This Row],[OutTot]]+Table1[[#This Row],[VATot]]+Table1[[#This Row],[OthGrantTot]]</f>
        <v>12000</v>
      </c>
      <c r="EE218" s="282"/>
      <c r="EF218" s="237"/>
      <c r="EG218" s="237"/>
      <c r="EH218" s="232">
        <f>SUM(Table1[[#This Row],[CashQ1]]:Table1[[#This Row],[CashQ3]])</f>
        <v>0</v>
      </c>
      <c r="EI218" s="271">
        <f>ROUND((Table1[[#This Row],[SubTot]]/3)/1.01059,0)</f>
        <v>0</v>
      </c>
      <c r="EJ218" s="234">
        <f>ROUND((Table1[[#This Row],[SubTot]]/3)/1.01059,0)</f>
        <v>0</v>
      </c>
      <c r="EK218" s="234">
        <f>ROUNDUP((Table1[[#This Row],[SubTot]]/3)/1.01059,0)</f>
        <v>0</v>
      </c>
      <c r="EL218" s="235"/>
      <c r="EM218" s="240">
        <f>Table1[[#This Row],[SubTot]]*0.01059</f>
        <v>0</v>
      </c>
      <c r="EN218" s="234">
        <f>ROUND((Table1[[#This Row],[UnsubTot]]/3)/1.01062,0)</f>
        <v>660</v>
      </c>
      <c r="EO218" s="234">
        <f>ROUND((Table1[[#This Row],[UnsubTot]]/3)/1.01062,0)</f>
        <v>660</v>
      </c>
      <c r="EP218" s="234">
        <f>ROUNDDOWN((Table1[[#This Row],[UnsubTot]]/3)/1.01062,0)</f>
        <v>659</v>
      </c>
      <c r="EQ218" s="235">
        <f>IF(Table1[D/I]="I",6000,2000)</f>
        <v>2000</v>
      </c>
      <c r="ER218" s="240">
        <f>Table1[[#This Row],[UnsubTot]]*0.01062</f>
        <v>21.24</v>
      </c>
      <c r="ES218" s="234">
        <f>ROUND((Table1[[#This Row],[PLUSTot]]/3)/1.04248,0)</f>
        <v>0</v>
      </c>
      <c r="ET218" s="234">
        <f>ROUND((Table1[[#This Row],[PLUSTot]]/3)/1.04248,0)</f>
        <v>0</v>
      </c>
      <c r="EU218" s="234">
        <f>ROUND((Table1[[#This Row],[PLUSTot]]/3)/1.04248,0)</f>
        <v>0</v>
      </c>
      <c r="EV218" s="235"/>
      <c r="EW218" s="239">
        <f>Table1[[#This Row],[PLUSTot]]*0.04248</f>
        <v>0</v>
      </c>
      <c r="EX218" s="237"/>
      <c r="EY218" s="237"/>
      <c r="EZ218" s="237"/>
      <c r="FA218" s="232">
        <f>SUM(Table1[[#This Row],[PrivQ1]:[PrivQ3]])</f>
        <v>0</v>
      </c>
      <c r="FB218" s="237"/>
      <c r="FC218" s="237"/>
      <c r="FD218" s="237"/>
      <c r="FE218" s="232">
        <f>SUM(Table1[[#This Row],[TOQ1]:[TOQ3]])</f>
        <v>0</v>
      </c>
      <c r="FF218" s="237"/>
      <c r="FG218" s="237"/>
      <c r="FH218" s="237"/>
      <c r="FI218" s="232">
        <f>SUM(Table1[[#This Row],[OFundQ1]:[OFundQ3]])</f>
        <v>0</v>
      </c>
      <c r="FJ218" s="239">
        <f>(Table1[[#This Row],[SubTot]]-Table1[[#This Row],[SubFee]])+(Table1[[#This Row],[UnsubTot]]-Table1[[#This Row],[UnsubFee]])+(Table1[[#This Row],[PLUSTot]]-Table1[[#This Row],[PLUSFee]])+Table1[[#This Row],[PrivTot]]+Table1[[#This Row],[TOTot]]+Table1[[#This Row],[OFundTot]]</f>
        <v>1978.76</v>
      </c>
      <c r="FK218" s="125">
        <f>Table1[[#This Row],[CostTot]]-Table1[[#This Row],[GiftTot]]</f>
        <v>27515</v>
      </c>
      <c r="FL218" s="130">
        <f>Table1[[#This Row],[NetNeed]]/(1-0.04248)</f>
        <v>26669.145292004345</v>
      </c>
      <c r="FM218" s="131">
        <f>Table1[[#This Row],[NetCost]]-Table1[[#This Row],[CashTot]]-(Table1[[#This Row],[SubTot]]-Table1[[#This Row],[SubFee]])-(Table1[[#This Row],[UnsubTot]]-Table1[[#This Row],[UnsubFee]])-(Table1[[#This Row],[PLUSTot]]-Table1[[#This Row],[PLUSFee]])-Table1[[#This Row],[PrivTot]]-Table1[[#This Row],[TOTot]]-Table1[[#This Row],[OFundTot]]</f>
        <v>25536.240000000002</v>
      </c>
      <c r="FN218" s="156"/>
      <c r="FO218" s="113"/>
      <c r="FP218" s="113"/>
    </row>
    <row r="219" spans="1:172" ht="15" x14ac:dyDescent="0.25">
      <c r="A219" s="158">
        <v>197532</v>
      </c>
      <c r="B219" s="160" t="str">
        <f>VLOOKUP(Table1[[#This Row],[SyStudentId]],SSR!$A$2:$CC$4982,4,FALSE)</f>
        <v>Xiao</v>
      </c>
      <c r="C219" s="160" t="str">
        <f>VLOOKUP(Table1[[#This Row],[SyStudentId]],SSR!$A$2:$CC$4982,5,FALSE)</f>
        <v>Kelly</v>
      </c>
      <c r="D219" s="160" t="str">
        <f>VLOOKUP(Table1[[#This Row],[SyStudentId]],SSR!$A$2:$CC$4982,6,FALSE)</f>
        <v>Xiao, Kelly</v>
      </c>
      <c r="E219" s="113" t="str">
        <f>CONCATENATE(Table1[[#This Row],[FirstName]]," ",Table1[[#This Row],[LastName]])</f>
        <v>Kelly Xiao</v>
      </c>
      <c r="F219" s="158">
        <v>1</v>
      </c>
      <c r="G219" s="114">
        <v>43787</v>
      </c>
      <c r="H219" s="114">
        <v>43787</v>
      </c>
      <c r="I219" s="114">
        <v>43787</v>
      </c>
      <c r="J219" s="163" t="s">
        <v>5364</v>
      </c>
      <c r="K219" s="164"/>
      <c r="L219" s="158" t="str">
        <f>IFERROR(VLOOKUP(Table1[[#This Row],[SyStudentId]],ISIR!$A$2:$X$4999,11,FALSE),"")</f>
        <v>D</v>
      </c>
      <c r="M219" s="160" t="str">
        <f>VLOOKUP(Table1[[#This Row],[SyStudentId]],SSR!$A$2:$CC$4982,7,FALSE)</f>
        <v>Xiaokelly02@gmail.com</v>
      </c>
      <c r="N219" s="160" t="str">
        <f>VLOOKUP(Table1[[#This Row],[SyStudentId]],SSR!$A$2:$CC$4982,8,FALSE)</f>
        <v>1241 Artesa dr</v>
      </c>
      <c r="O219" s="160" t="str">
        <f>VLOOKUP(Table1[[#This Row],[SyStudentId]],SSR!$A$2:$CC$4982,9,FALSE)</f>
        <v>Marrero</v>
      </c>
      <c r="P219" s="294" t="str">
        <f>VLOOKUP(Table1[[#This Row],[SyStudentId]],SSR!$A$2:$CC$4982,10,FALSE)</f>
        <v>LA</v>
      </c>
      <c r="Q219" s="165" t="str">
        <f>VLOOKUP(Table1[[#This Row],[SyStudentId]],SSR!$A$2:$CC$4982,11,FALSE)</f>
        <v xml:space="preserve">70072     </v>
      </c>
      <c r="R219" s="166">
        <f>VLOOKUP(Table1[[#This Row],[SyStudentId]],SSR!$A$2:$CC$4982,15,FALSE)</f>
        <v>3.61</v>
      </c>
      <c r="S219" s="167">
        <f>VLOOKUP(Table1[[#This Row],[SyStudentId]],SSR!$A$2:$CC$4982,22,FALSE)</f>
        <v>44109</v>
      </c>
      <c r="T219" s="160" t="str">
        <f>VLOOKUP(Table1[[#This Row],[SyStudentId]],SSR!$A$2:$CC$4982,24,FALSE)</f>
        <v>MN</v>
      </c>
      <c r="U219" s="160" t="str">
        <f>IF(VLOOKUP(Table1[[#This Row],[SyStudentId]],SSR!$A$2:$CC$4982,26,FALSE)=0,"Not Selected",VLOOKUP(Table1[[#This Row],[SyStudentId]],SSR!$A$2:$CC$4982,26,FALSE))</f>
        <v>Female</v>
      </c>
      <c r="V219" s="160" t="str">
        <f>VLOOKUP(Table1[[#This Row],[SyStudentId]],SSR!$A$2:$CC$4982,27,FALSE)</f>
        <v xml:space="preserve">HS2020  </v>
      </c>
      <c r="W219" s="160" t="str">
        <f>VLOOKUP(LEFT(Table1[[#This Row],[LastName]],1),Alpha!$A$1:$B$26,2,FALSE)</f>
        <v>Maureen Ranks</v>
      </c>
      <c r="X219" s="268" t="str">
        <f>VLOOKUP(Table1[[#This Row],[FAA]],Alpha!$B$1:$D$26,2,FALSE)</f>
        <v>mranks@neumont.edu</v>
      </c>
      <c r="Y219" s="160">
        <f>VLOOKUP(Table1[[#This Row],[FAA]],Alpha!$B$1:$D$26,3,FALSE)</f>
        <v>8883022894</v>
      </c>
      <c r="Z219" s="160" t="str">
        <f>VLOOKUP(Table1[[#This Row],[SyStudentId]],SSR!$A$2:$CC$4982,30,FALSE)</f>
        <v>16-Accepted</v>
      </c>
      <c r="AA219" s="160" t="str">
        <f>IF(VLOOKUP(Table1[[#This Row],[SyStudentId]],SSR!$A$2:$CC$4982,36,FALSE)="Bachelor of Science","BS Computer Science","Check Program")</f>
        <v>BS Computer Science</v>
      </c>
      <c r="AB219" s="160" t="str">
        <f>VLOOKUP(Table1[[#This Row],[SyStudentId]],SSR!$A$2:$CC$4982,37,FALSE)</f>
        <v xml:space="preserve">23      </v>
      </c>
      <c r="AC219" s="160">
        <f>VLOOKUP(Table1[[#This Row],[SyStudentId]],SSR!$A$2:$CC$4982,42,FALSE)</f>
        <v>0</v>
      </c>
      <c r="AD219" s="160" t="str">
        <f>VLOOKUP(Table1[[#This Row],[SyStudentId]],SSR!$A$2:$CC$4982,46,FALSE)</f>
        <v>110</v>
      </c>
      <c r="AE219" s="160" t="str">
        <f>VLOOKUP(Table1[[#This Row],[SyStudentId]],SSR!$A$2:$CC$4982,65,FALSE)</f>
        <v>I</v>
      </c>
      <c r="AF219"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219" s="160" t="str">
        <f>VLOOKUP(Table1[[#This Row],[SyStudentId]],SSR!$A$2:$CC$4982,66,FALSE)</f>
        <v>July-October</v>
      </c>
      <c r="AH219" s="160" t="str">
        <f>IFERROR(VLOOKUP(Table1[[#This Row],[SyStudentId]],ISIR!$A$2:$X$1999,7,FALSE),"")</f>
        <v>000000</v>
      </c>
      <c r="AI219" s="170">
        <f>IF(Table1[[#This Row],[EFCRaw]]="","",IF(Table1[[#This Row],[EFCRaw]]="No EFC","No EFC",_xlfn.NUMBERVALUE(Table1[[#This Row],[EFCRaw]])))</f>
        <v>0</v>
      </c>
      <c r="AJ219" s="167">
        <f>IFERROR(VLOOKUP(Table1[[#This Row],[SyStudentId]],ISIR!$A$2:$X$4999,19,FALSE),"")</f>
        <v>43776</v>
      </c>
      <c r="AK219" s="160" t="str">
        <f>IFERROR(VLOOKUP(Table1[[#This Row],[SyStudentId]],ISIR!$A$2:$X$4999,8,FALSE),"")</f>
        <v>Y</v>
      </c>
      <c r="AL219" s="178" t="str">
        <f>IF(Table1[[#This Row],[VerReq]]="N","n/a","")</f>
        <v/>
      </c>
      <c r="AM219" s="122"/>
      <c r="AN219" s="122"/>
      <c r="AO219" s="122"/>
      <c r="AP219" s="122"/>
      <c r="AQ219" s="122"/>
      <c r="AR219" s="122"/>
      <c r="AS219" s="122"/>
      <c r="AT219" s="122"/>
      <c r="AU219" s="122"/>
      <c r="AV219" s="122"/>
      <c r="AW219" s="122"/>
      <c r="AX219" s="122"/>
      <c r="AY219" s="122"/>
      <c r="AZ219" s="122"/>
      <c r="BA219" s="122"/>
      <c r="BB219" s="122"/>
      <c r="BC219" s="148"/>
      <c r="BD219" s="140" t="str">
        <f>IF(Table1[[#This Row],[VerReq]]="N","x","")</f>
        <v/>
      </c>
      <c r="BE219" s="140" t="str">
        <f>IF(Table1[[#This Row],[VerReq]]="N","x","")</f>
        <v/>
      </c>
      <c r="BF219" s="140" t="str">
        <f>IF(Table1[[#This Row],[VerReq]]="N","x","")</f>
        <v/>
      </c>
      <c r="BG219" s="140" t="str">
        <f>IF(Table1[[#This Row],[VerReq]]="N","x","")</f>
        <v/>
      </c>
      <c r="BH219" s="140" t="str">
        <f>IF(Table1[[#This Row],[VerReq]]="N","x","")</f>
        <v/>
      </c>
      <c r="BI219" s="140" t="str">
        <f>IF(Table1[[#This Row],[VerReq]]="N","x","")</f>
        <v/>
      </c>
      <c r="BJ219" s="181">
        <f>1-((COUNTBLANK(Table1[[#This Row],[ALESent]:[TaxTran]]))/(COUNT(Table1[[#This Row],[ALESent]:[TaxTran]])+COUNTBLANK(Table1[[#This Row],[ALESent]:[TaxTran]])))</f>
        <v>0</v>
      </c>
      <c r="BK219" s="216">
        <f>IF(VLOOKUP(Table1[[#This Row],[SyStudentId]],SSR!$A$2:$CC$4982,22,FALSE)=44109,44109,"Check Program")</f>
        <v>44109</v>
      </c>
      <c r="BL219" s="216">
        <f>IF(Table1[[#This Row],[AYStart]]=44109,44356,"Check Program")</f>
        <v>44356</v>
      </c>
      <c r="BM219" s="219">
        <v>8505</v>
      </c>
      <c r="BN219" s="219">
        <v>8505</v>
      </c>
      <c r="BO219" s="219">
        <v>8505</v>
      </c>
      <c r="BP219" s="220">
        <f t="shared" si="9"/>
        <v>25515</v>
      </c>
      <c r="BQ219" s="221">
        <v>3300</v>
      </c>
      <c r="BR219" s="219">
        <v>400</v>
      </c>
      <c r="BS219" s="219">
        <v>400</v>
      </c>
      <c r="BT219" s="222">
        <f t="shared" si="10"/>
        <v>4100</v>
      </c>
      <c r="BU219" s="219">
        <v>2100</v>
      </c>
      <c r="BV219" s="219">
        <v>2100</v>
      </c>
      <c r="BW219" s="219">
        <v>2100</v>
      </c>
      <c r="BX219" s="222">
        <f t="shared" si="11"/>
        <v>6300</v>
      </c>
      <c r="BY219" s="269">
        <v>1200</v>
      </c>
      <c r="BZ219" s="269">
        <v>1200</v>
      </c>
      <c r="CA219" s="269">
        <v>1200</v>
      </c>
      <c r="CB219" s="222">
        <f>SUM(Table1[[#This Row],[LEQ1]:[LEQ3]])</f>
        <v>3600</v>
      </c>
      <c r="CC219" s="276">
        <v>0</v>
      </c>
      <c r="CD219" s="276">
        <v>0</v>
      </c>
      <c r="CE219" s="276">
        <v>0</v>
      </c>
      <c r="CF219" s="222">
        <f>SUM(Table1[[#This Row],[OthCostQ1]:[OthCostQ3]])</f>
        <v>0</v>
      </c>
      <c r="CG219" s="222">
        <f>(Table1[[#This Row],[T&amp;FTot]]+Table1[[#This Row],[B&amp;STot]]+Table1[[#This Row],[HousTot]]+Table1[[#This Row],[LETot]]+Table1[[#This Row],[OthCostTot]])</f>
        <v>39515</v>
      </c>
      <c r="CH219" s="253">
        <v>0</v>
      </c>
      <c r="CI219" s="253">
        <v>0</v>
      </c>
      <c r="CJ219" s="253">
        <v>0</v>
      </c>
      <c r="CK219" s="254">
        <f>SUM(Table1[[#This Row],[SEOGQ1]:[SEOGQ3]])</f>
        <v>0</v>
      </c>
      <c r="CL219" s="253">
        <f>IFERROR(ROUNDUP(Table1[[#This Row],[PellTot]]/3,0),0)</f>
        <v>2065</v>
      </c>
      <c r="CM219" s="253">
        <f>IFERROR(ROUND(Table1[[#This Row],[PellTot]]/3,0),0)</f>
        <v>2065</v>
      </c>
      <c r="CN219" s="253">
        <f>IFERROR(ROUNDDOWN(Table1[[#This Row],[PellTot]]/3,0),0)</f>
        <v>2065</v>
      </c>
      <c r="CO219" s="254">
        <f>IFERROR(LOOKUP(Table1[EFC],Pell_Table[#Data],Pell_Table[Pell Amt]),0)</f>
        <v>6195</v>
      </c>
      <c r="CP219" s="253">
        <f>Table1[[#This Row],[AccessTot]]/3</f>
        <v>500</v>
      </c>
      <c r="CQ219" s="253">
        <f>Table1[[#This Row],[AccessTot]]/3</f>
        <v>500</v>
      </c>
      <c r="CR219" s="253">
        <f>Table1[[#This Row],[AccessTot]]/3</f>
        <v>500</v>
      </c>
      <c r="CS219" s="254">
        <f>IF(Table1[[#This Row],[PellTot]]&gt;0,1500,0)</f>
        <v>1500</v>
      </c>
      <c r="CT219" s="253">
        <f>Table1[[#This Row],[AchiTot]]/3</f>
        <v>1700</v>
      </c>
      <c r="CU219" s="253">
        <f>Table1[[#This Row],[AchiTot]]/3</f>
        <v>1700</v>
      </c>
      <c r="CV219" s="253">
        <f>Table1[[#This Row],[AchiTot]]/3</f>
        <v>1700</v>
      </c>
      <c r="CW219" s="255">
        <f>IF(Table1[[#This Row],[Rank]]="","",IF(Table1[[#This Row],[Rank]]=1,5100,IF(Table1[[#This Row],[Rank]]=2,4500,IF(Table1[[#This Row],[Rank]]=3,3900,IF(Table1[[#This Row],[Rank]]=4,3750,IF(Table1[[#This Row],[Rank]]=5,3000,IF(Table1[[#This Row],[Rank]]=6,2250,0)))))))</f>
        <v>5100</v>
      </c>
      <c r="CX219" s="253">
        <f>Table1[[#This Row],[UTTot]]/3</f>
        <v>0</v>
      </c>
      <c r="CY219" s="253">
        <f>Table1[[#This Row],[UTTot]]/3</f>
        <v>0</v>
      </c>
      <c r="CZ219" s="253">
        <f>Table1[[#This Row],[UTTot]]/3</f>
        <v>0</v>
      </c>
      <c r="DA219" s="254">
        <f>IF(Table1[[#This Row],[State]]="UT",9000,0)</f>
        <v>0</v>
      </c>
      <c r="DB219" s="253">
        <f>Table1[[#This Row],[WITTot]]/3</f>
        <v>1000</v>
      </c>
      <c r="DC219" s="253">
        <f>Table1[[#This Row],[WITTot]]/3</f>
        <v>1000</v>
      </c>
      <c r="DD219" s="253">
        <f>Table1[[#This Row],[WITTot]]/3</f>
        <v>1000</v>
      </c>
      <c r="DE219" s="254">
        <f>IF(Table1[[#This Row],[Gender]]="Female",3000,0)</f>
        <v>3000</v>
      </c>
      <c r="DF219" s="253">
        <f>Table1[[#This Row],[SerTot]]/3</f>
        <v>0</v>
      </c>
      <c r="DG219" s="253">
        <f>Table1[[#This Row],[SerTot]]/3</f>
        <v>0</v>
      </c>
      <c r="DH219" s="253">
        <f>Table1[[#This Row],[SerTot]]/3</f>
        <v>0</v>
      </c>
      <c r="DI219" s="255">
        <v>0</v>
      </c>
      <c r="DJ219" s="253">
        <f>IFERROR(ROUNDUP(Table1[[#This Row],[TranTot]]/3,0),0)</f>
        <v>0</v>
      </c>
      <c r="DK219" s="253">
        <f>IFERROR(ROUND(Table1[[#This Row],[TranTot]]/3,0),0)</f>
        <v>0</v>
      </c>
      <c r="DL219" s="253">
        <f>IFERROR(ROUNDDOWN(Table1[[#This Row],[TranTot]]/3,0),0)</f>
        <v>0</v>
      </c>
      <c r="DM219" s="255">
        <v>0</v>
      </c>
      <c r="DN219" s="253">
        <f>Table1[[#This Row],[MatTot]]/3</f>
        <v>0</v>
      </c>
      <c r="DO219" s="253">
        <f>Table1[[#This Row],[MatTot]]/3</f>
        <v>0</v>
      </c>
      <c r="DP219" s="253">
        <f>Table1[[#This Row],[MatTot]]/3</f>
        <v>0</v>
      </c>
      <c r="DQ219" s="255">
        <v>0</v>
      </c>
      <c r="DR219" s="253">
        <f>Table1[[#This Row],[OutTot]]/3</f>
        <v>0</v>
      </c>
      <c r="DS219" s="253">
        <f>Table1[[#This Row],[OutTot]]/3</f>
        <v>0</v>
      </c>
      <c r="DT219" s="253">
        <f>Table1[[#This Row],[OutTot]]/3</f>
        <v>0</v>
      </c>
      <c r="DU219" s="255">
        <v>0</v>
      </c>
      <c r="DV219" s="253">
        <v>0</v>
      </c>
      <c r="DW219" s="253">
        <v>0</v>
      </c>
      <c r="DX219" s="253">
        <v>0</v>
      </c>
      <c r="DY219" s="255">
        <f>SUM(Table1[[#This Row],[VAQ1]:[VAQ3]])</f>
        <v>0</v>
      </c>
      <c r="DZ219" s="253">
        <v>0</v>
      </c>
      <c r="EA219" s="253">
        <v>0</v>
      </c>
      <c r="EB219" s="253">
        <v>0</v>
      </c>
      <c r="EC219" s="278">
        <f>SUM(Table1[[#This Row],[OthGrantQ1]:[OthGrantQ3]])</f>
        <v>0</v>
      </c>
      <c r="ED219" s="264">
        <f>Table1[[#This Row],[SEOGTot]]+Table1[[#This Row],[PellTot]]+Table1[[#This Row],[AccessTot]]+Table1[[#This Row],[AchiTot]]+Table1[[#This Row],[UTTot]]+Table1[[#This Row],[WITTot]]+Table1[[#This Row],[SerTot]]+Table1[[#This Row],[TranTot]]+Table1[[#This Row],[MatTot]]+Table1[[#This Row],[OutTot]]+Table1[[#This Row],[VATot]]+Table1[[#This Row],[OthGrantTot]]</f>
        <v>15795</v>
      </c>
      <c r="EE219" s="298">
        <v>0</v>
      </c>
      <c r="EF219" s="227">
        <v>0</v>
      </c>
      <c r="EG219" s="227">
        <v>0</v>
      </c>
      <c r="EH219" s="228">
        <f>SUM(Table1[[#This Row],[CashQ1]]:Table1[[#This Row],[CashQ3]])</f>
        <v>0</v>
      </c>
      <c r="EI219" s="229">
        <f>ROUND((Table1[[#This Row],[SubTot]]/3)/1.01059,0)</f>
        <v>1154</v>
      </c>
      <c r="EJ219" s="230">
        <f>ROUND((Table1[[#This Row],[SubTot]]/3)/1.01059,0)</f>
        <v>1154</v>
      </c>
      <c r="EK219" s="230">
        <f>ROUNDUP((Table1[[#This Row],[SubTot]]/3)/1.01059,0)</f>
        <v>1155</v>
      </c>
      <c r="EL219" s="231">
        <v>3500</v>
      </c>
      <c r="EM219" s="233">
        <f>Table1[[#This Row],[SubTot]]*0.01059</f>
        <v>37.065000000000005</v>
      </c>
      <c r="EN219" s="230">
        <f>ROUND((Table1[[#This Row],[UnsubTot]]/3)/1.01062,0)</f>
        <v>660</v>
      </c>
      <c r="EO219" s="230">
        <f>ROUND((Table1[[#This Row],[UnsubTot]]/3)/1.01062,0)</f>
        <v>660</v>
      </c>
      <c r="EP219" s="230">
        <f>ROUNDDOWN((Table1[[#This Row],[UnsubTot]]/3)/1.01062,0)</f>
        <v>659</v>
      </c>
      <c r="EQ219" s="231">
        <f>IF(Table1[D/I]="I",6000,2000)</f>
        <v>2000</v>
      </c>
      <c r="ER219" s="233">
        <f>Table1[[#This Row],[UnsubTot]]*0.01059</f>
        <v>21.18</v>
      </c>
      <c r="ES219" s="230">
        <f>ROUND((Table1[[#This Row],[PLUSTot]]/3)/1.04236,0)</f>
        <v>0</v>
      </c>
      <c r="ET219" s="230">
        <f>ROUND((Table1[[#This Row],[PLUSTot]]/3)/1.04236,0)</f>
        <v>0</v>
      </c>
      <c r="EU219" s="230">
        <f>ROUND((Table1[[#This Row],[PLUSTot]]/3)/1.04236,0)</f>
        <v>0</v>
      </c>
      <c r="EV219" s="231">
        <v>0</v>
      </c>
      <c r="EW219" s="236">
        <f>Table1[[#This Row],[PLUSTot]]*0.04236</f>
        <v>0</v>
      </c>
      <c r="EX219" s="227"/>
      <c r="EY219" s="227"/>
      <c r="EZ219" s="227"/>
      <c r="FA219" s="228">
        <f>SUM(Table1[[#This Row],[PrivQ1]:[PrivQ3]])</f>
        <v>0</v>
      </c>
      <c r="FB219" s="227"/>
      <c r="FC219" s="227"/>
      <c r="FD219" s="227"/>
      <c r="FE219" s="228">
        <f>SUM(Table1[[#This Row],[TOQ1]:[TOQ3]])</f>
        <v>0</v>
      </c>
      <c r="FF219" s="227"/>
      <c r="FG219" s="227"/>
      <c r="FH219" s="227"/>
      <c r="FI219" s="228">
        <f>SUM(Table1[[#This Row],[OFundQ1]:[OFundQ3]])</f>
        <v>0</v>
      </c>
      <c r="FJ219" s="236">
        <f>(Table1[[#This Row],[SubTot]]-Table1[[#This Row],[SubFee]])+(Table1[[#This Row],[UnsubTot]]-Table1[[#This Row],[UnsubFee]])+(Table1[[#This Row],[PLUSTot]]-Table1[[#This Row],[PLUSFee]])+Table1[[#This Row],[PrivTot]]+Table1[[#This Row],[TOTot]]+Table1[[#This Row],[OFundTot]]</f>
        <v>5441.7550000000001</v>
      </c>
      <c r="FK219" s="159">
        <f>Table1[[#This Row],[CostTot]]-Table1[[#This Row],[GiftTot]]</f>
        <v>23720</v>
      </c>
      <c r="FL219" s="174">
        <f>Table1[[#This Row],[NetNeed]]/(1-0.04236)</f>
        <v>19086.7601603943</v>
      </c>
      <c r="FM219" s="176">
        <f>Table1[[#This Row],[NetCost]]-Table1[[#This Row],[CashTot]]-(Table1[[#This Row],[SubTot]]-Table1[[#This Row],[SubFee]])-(Table1[[#This Row],[UnsubTot]]-Table1[[#This Row],[UnsubFee]])-(Table1[[#This Row],[PLUSTot]]-Table1[[#This Row],[PLUSFee]])-Table1[[#This Row],[PrivTot]]-Table1[[#This Row],[TOTot]]-Table1[[#This Row],[OFundTot]]</f>
        <v>18278.244999999999</v>
      </c>
      <c r="FN219" s="217"/>
      <c r="FO219" s="162"/>
      <c r="FP219" s="162"/>
    </row>
    <row r="220" spans="1:172" ht="15" x14ac:dyDescent="0.25">
      <c r="A220" s="158">
        <v>196271</v>
      </c>
      <c r="B220" s="160" t="str">
        <f>VLOOKUP(Table1[[#This Row],[SyStudentId]],SSR!$A$2:$CC$4982,4,FALSE)</f>
        <v>Young</v>
      </c>
      <c r="C220" s="160" t="str">
        <f>VLOOKUP(Table1[[#This Row],[SyStudentId]],SSR!$A$2:$CC$4982,5,FALSE)</f>
        <v>Corey</v>
      </c>
      <c r="D220" s="160" t="str">
        <f>VLOOKUP(Table1[[#This Row],[SyStudentId]],SSR!$A$2:$CC$4982,6,FALSE)</f>
        <v>Young, Corey</v>
      </c>
      <c r="E220" s="113" t="str">
        <f>CONCATENATE(Table1[[#This Row],[FirstName]]," ",Table1[[#This Row],[LastName]])</f>
        <v>Corey Young</v>
      </c>
      <c r="F220" s="158"/>
      <c r="G220" s="114"/>
      <c r="H220" s="114"/>
      <c r="I220" s="114"/>
      <c r="J220" s="163"/>
      <c r="K220" s="164"/>
      <c r="L220" s="158" t="str">
        <f>IFERROR(VLOOKUP(Table1[[#This Row],[SyStudentId]],ISIR!$A$2:$X$4999,11,FALSE),"")</f>
        <v/>
      </c>
      <c r="M220" s="160" t="str">
        <f>VLOOKUP(Table1[[#This Row],[SyStudentId]],SSR!$A$2:$CC$4982,7,FALSE)</f>
        <v>coreyyoung794@gmail.com</v>
      </c>
      <c r="N220" s="160" t="str">
        <f>VLOOKUP(Table1[[#This Row],[SyStudentId]],SSR!$A$2:$CC$4982,8,FALSE)</f>
        <v>4111 Amherst Lane</v>
      </c>
      <c r="O220" s="160" t="str">
        <f>VLOOKUP(Table1[[#This Row],[SyStudentId]],SSR!$A$2:$CC$4982,9,FALSE)</f>
        <v>Rockford</v>
      </c>
      <c r="P220" s="160" t="str">
        <f>VLOOKUP(Table1[[#This Row],[SyStudentId]],SSR!$A$2:$CC$4982,10,FALSE)</f>
        <v>IL</v>
      </c>
      <c r="Q220" s="165" t="str">
        <f>VLOOKUP(Table1[[#This Row],[SyStudentId]],SSR!$A$2:$CC$4982,11,FALSE)</f>
        <v xml:space="preserve">61109     </v>
      </c>
      <c r="R220" s="166">
        <f>VLOOKUP(Table1[[#This Row],[SyStudentId]],SSR!$A$2:$CC$4982,15,FALSE)</f>
        <v>2.14</v>
      </c>
      <c r="S220" s="167">
        <f>VLOOKUP(Table1[[#This Row],[SyStudentId]],SSR!$A$2:$CC$4982,22,FALSE)</f>
        <v>44109</v>
      </c>
      <c r="T220" s="160" t="str">
        <f>VLOOKUP(Table1[[#This Row],[SyStudentId]],SSR!$A$2:$CC$4982,24,FALSE)</f>
        <v>JT</v>
      </c>
      <c r="U220" s="160" t="str">
        <f>IF(VLOOKUP(Table1[[#This Row],[SyStudentId]],SSR!$A$2:$CC$4982,26,FALSE)=0,"Not Selected",VLOOKUP(Table1[[#This Row],[SyStudentId]],SSR!$A$2:$CC$4982,26,FALSE))</f>
        <v>Male</v>
      </c>
      <c r="V220" s="160" t="str">
        <f>VLOOKUP(Table1[[#This Row],[SyStudentId]],SSR!$A$2:$CC$4982,27,FALSE)</f>
        <v xml:space="preserve">HS2020  </v>
      </c>
      <c r="W220" s="160" t="str">
        <f>VLOOKUP(LEFT(Table1[[#This Row],[LastName]],1),Alpha!$A$1:$B$26,2,FALSE)</f>
        <v>Maureen Ranks</v>
      </c>
      <c r="X220" s="268" t="str">
        <f>VLOOKUP(Table1[[#This Row],[FAA]],Alpha!$B$1:$D$26,2,FALSE)</f>
        <v>mranks@neumont.edu</v>
      </c>
      <c r="Y220" s="160">
        <f>VLOOKUP(Table1[[#This Row],[FAA]],Alpha!$B$1:$D$26,3,FALSE)</f>
        <v>8883022894</v>
      </c>
      <c r="Z220" s="160" t="str">
        <f>VLOOKUP(Table1[[#This Row],[SyStudentId]],SSR!$A$2:$CC$4982,30,FALSE)</f>
        <v>16-Accepted</v>
      </c>
      <c r="AA220" s="160" t="str">
        <f>IF(VLOOKUP(Table1[[#This Row],[SyStudentId]],SSR!$A$2:$CC$4982,36,FALSE)="Bachelor of Science","BS Computer Science","Check Program")</f>
        <v>BS Computer Science</v>
      </c>
      <c r="AB220" s="160">
        <f>VLOOKUP(Table1[[#This Row],[SyStudentId]],SSR!$A$2:$CC$4982,37,FALSE)</f>
        <v>0</v>
      </c>
      <c r="AC220" s="160" t="str">
        <f>VLOOKUP(Table1[[#This Row],[SyStudentId]],SSR!$A$2:$CC$4982,42,FALSE)</f>
        <v xml:space="preserve">960     </v>
      </c>
      <c r="AD220" s="160" t="str">
        <f>VLOOKUP(Table1[[#This Row],[SyStudentId]],SSR!$A$2:$CC$4982,46,FALSE)</f>
        <v>79</v>
      </c>
      <c r="AE220" s="160" t="str">
        <f>VLOOKUP(Table1[[#This Row],[SyStudentId]],SSR!$A$2:$CC$4982,65,FALSE)</f>
        <v>X</v>
      </c>
      <c r="AF220"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10</v>
      </c>
      <c r="AG220" s="160" t="str">
        <f>VLOOKUP(Table1[[#This Row],[SyStudentId]],SSR!$A$2:$CC$4982,66,FALSE)</f>
        <v>July-October</v>
      </c>
      <c r="AH220" s="160" t="str">
        <f>IFERROR(VLOOKUP(Table1[[#This Row],[SyStudentId]],ISIR!$A$2:$X$1999,7,FALSE),"")</f>
        <v/>
      </c>
      <c r="AI220" s="170" t="str">
        <f>IF(Table1[[#This Row],[EFCRaw]]="","",IF(Table1[[#This Row],[EFCRaw]]="No EFC","No EFC",_xlfn.NUMBERVALUE(Table1[[#This Row],[EFCRaw]])))</f>
        <v/>
      </c>
      <c r="AJ220" s="167" t="str">
        <f>IFERROR(VLOOKUP(Table1[[#This Row],[SyStudentId]],ISIR!$A$2:$X$4999,19,FALSE),"")</f>
        <v/>
      </c>
      <c r="AK220" s="160" t="str">
        <f>IFERROR(VLOOKUP(Table1[[#This Row],[SyStudentId]],ISIR!$A$2:$X$4999,8,FALSE),"")</f>
        <v/>
      </c>
      <c r="AL220" s="171" t="str">
        <f>IF(Table1[[#This Row],[VerReq]]="N","n/a","")</f>
        <v/>
      </c>
      <c r="AM220" s="122"/>
      <c r="AN220" s="122"/>
      <c r="AO220" s="122"/>
      <c r="AP220" s="122"/>
      <c r="AQ220" s="122"/>
      <c r="AR220" s="122"/>
      <c r="AS220" s="122"/>
      <c r="AT220" s="122"/>
      <c r="AU220" s="122"/>
      <c r="AV220" s="122"/>
      <c r="AW220" s="122"/>
      <c r="AX220" s="122"/>
      <c r="AY220" s="122"/>
      <c r="AZ220" s="122"/>
      <c r="BA220" s="122"/>
      <c r="BB220" s="122"/>
      <c r="BC220" s="148"/>
      <c r="BD220" s="140" t="str">
        <f>IF(Table1[[#This Row],[VerReq]]="N","x","")</f>
        <v/>
      </c>
      <c r="BE220" s="140" t="str">
        <f>IF(Table1[[#This Row],[VerReq]]="N","x","")</f>
        <v/>
      </c>
      <c r="BF220" s="140" t="str">
        <f>IF(Table1[[#This Row],[VerReq]]="N","x","")</f>
        <v/>
      </c>
      <c r="BG220" s="140" t="str">
        <f>IF(Table1[[#This Row],[VerReq]]="N","x","")</f>
        <v/>
      </c>
      <c r="BH220" s="140" t="str">
        <f>IF(Table1[[#This Row],[VerReq]]="N","x","")</f>
        <v/>
      </c>
      <c r="BI220" s="140" t="str">
        <f>IF(Table1[[#This Row],[VerReq]]="N","x","")</f>
        <v/>
      </c>
      <c r="BJ220" s="181">
        <f>1-((COUNTBLANK(Table1[[#This Row],[ALESent]:[TaxTran]]))/(COUNT(Table1[[#This Row],[ALESent]:[TaxTran]])+COUNTBLANK(Table1[[#This Row],[ALESent]:[TaxTran]])))</f>
        <v>0</v>
      </c>
      <c r="BK220" s="216">
        <f>IF(VLOOKUP(Table1[[#This Row],[SyStudentId]],SSR!$A$2:$CC$4982,22,FALSE)=44109,44109,"Check Program")</f>
        <v>44109</v>
      </c>
      <c r="BL220" s="216">
        <f>IF(Table1[[#This Row],[AYStart]]=44109,44356,"Check Program")</f>
        <v>44356</v>
      </c>
      <c r="BM220" s="219">
        <v>8505</v>
      </c>
      <c r="BN220" s="219">
        <v>8505</v>
      </c>
      <c r="BO220" s="219">
        <v>8505</v>
      </c>
      <c r="BP220" s="220">
        <f t="shared" si="9"/>
        <v>25515</v>
      </c>
      <c r="BQ220" s="221">
        <v>3300</v>
      </c>
      <c r="BR220" s="219">
        <v>400</v>
      </c>
      <c r="BS220" s="219">
        <v>400</v>
      </c>
      <c r="BT220" s="222">
        <f t="shared" si="10"/>
        <v>4100</v>
      </c>
      <c r="BU220" s="219">
        <v>2100</v>
      </c>
      <c r="BV220" s="219">
        <v>2100</v>
      </c>
      <c r="BW220" s="219">
        <v>2100</v>
      </c>
      <c r="BX220" s="222">
        <f t="shared" si="11"/>
        <v>6300</v>
      </c>
      <c r="BY220" s="269">
        <v>1200</v>
      </c>
      <c r="BZ220" s="269">
        <v>1200</v>
      </c>
      <c r="CA220" s="269">
        <v>1200</v>
      </c>
      <c r="CB220" s="222">
        <f>SUM(Table1[[#This Row],[LEQ1]:[LEQ3]])</f>
        <v>3600</v>
      </c>
      <c r="CC220" s="276">
        <v>0</v>
      </c>
      <c r="CD220" s="276">
        <v>0</v>
      </c>
      <c r="CE220" s="276">
        <v>0</v>
      </c>
      <c r="CF220" s="222">
        <f>SUM(Table1[[#This Row],[OthCostQ1]:[OthCostQ3]])</f>
        <v>0</v>
      </c>
      <c r="CG220" s="222">
        <f>(Table1[[#This Row],[T&amp;FTot]]+Table1[[#This Row],[B&amp;STot]]+Table1[[#This Row],[HousTot]]+Table1[[#This Row],[LETot]]+Table1[[#This Row],[OthCostTot]])</f>
        <v>39515</v>
      </c>
      <c r="CH220" s="253">
        <v>0</v>
      </c>
      <c r="CI220" s="253">
        <v>0</v>
      </c>
      <c r="CJ220" s="253">
        <v>0</v>
      </c>
      <c r="CK220" s="254">
        <f>SUM(Table1[[#This Row],[SEOGQ1]:[SEOGQ3]])</f>
        <v>0</v>
      </c>
      <c r="CL220" s="253">
        <f>IFERROR(ROUNDUP(Table1[[#This Row],[PellTot]]/3,0),0)</f>
        <v>0</v>
      </c>
      <c r="CM220" s="253">
        <f>IFERROR(ROUND(Table1[[#This Row],[PellTot]]/3,0),0)</f>
        <v>0</v>
      </c>
      <c r="CN220" s="253">
        <f>IFERROR(ROUNDDOWN(Table1[[#This Row],[PellTot]]/3,0),0)</f>
        <v>0</v>
      </c>
      <c r="CO220" s="254">
        <f>IFERROR(LOOKUP(Table1[EFC],Pell_Table[#Data],Pell_Table[Pell Amt]),0)</f>
        <v>0</v>
      </c>
      <c r="CP220" s="253">
        <f>Table1[[#This Row],[AccessTot]]/3</f>
        <v>0</v>
      </c>
      <c r="CQ220" s="253">
        <f>Table1[[#This Row],[AccessTot]]/3</f>
        <v>0</v>
      </c>
      <c r="CR220" s="253">
        <f>Table1[[#This Row],[AccessTot]]/3</f>
        <v>0</v>
      </c>
      <c r="CS220" s="254">
        <f>IF(Table1[[#This Row],[PellTot]]&gt;0,1500,0)</f>
        <v>0</v>
      </c>
      <c r="CT220" s="253">
        <f>Table1[[#This Row],[AchiTot]]/3</f>
        <v>0</v>
      </c>
      <c r="CU220" s="253">
        <f>Table1[[#This Row],[AchiTot]]/3</f>
        <v>0</v>
      </c>
      <c r="CV220" s="253">
        <f>Table1[[#This Row],[AchiTot]]/3</f>
        <v>0</v>
      </c>
      <c r="CW220" s="255">
        <f>IF(Table1[[#This Row],[Rank]]="","",IF(Table1[[#This Row],[Rank]]=1,5100,IF(Table1[[#This Row],[Rank]]=2,4500,IF(Table1[[#This Row],[Rank]]=3,3900,IF(Table1[[#This Row],[Rank]]=4,3750,IF(Table1[[#This Row],[Rank]]=5,3000,IF(Table1[[#This Row],[Rank]]=6,2250,0)))))))</f>
        <v>0</v>
      </c>
      <c r="CX220" s="253">
        <f>Table1[[#This Row],[UTTot]]/3</f>
        <v>0</v>
      </c>
      <c r="CY220" s="253">
        <f>Table1[[#This Row],[UTTot]]/3</f>
        <v>0</v>
      </c>
      <c r="CZ220" s="253">
        <f>Table1[[#This Row],[UTTot]]/3</f>
        <v>0</v>
      </c>
      <c r="DA220" s="254">
        <f>IF(Table1[[#This Row],[State]]="UT",9000,0)</f>
        <v>0</v>
      </c>
      <c r="DB220" s="253">
        <f>Table1[[#This Row],[WITTot]]/3</f>
        <v>0</v>
      </c>
      <c r="DC220" s="253">
        <f>Table1[[#This Row],[WITTot]]/3</f>
        <v>0</v>
      </c>
      <c r="DD220" s="253">
        <f>Table1[[#This Row],[WITTot]]/3</f>
        <v>0</v>
      </c>
      <c r="DE220" s="254">
        <f>IF(Table1[[#This Row],[Gender]]="Female",3000,0)</f>
        <v>0</v>
      </c>
      <c r="DF220" s="253">
        <f>Table1[[#This Row],[SerTot]]/3</f>
        <v>0</v>
      </c>
      <c r="DG220" s="253">
        <f>Table1[[#This Row],[SerTot]]/3</f>
        <v>0</v>
      </c>
      <c r="DH220" s="253">
        <f>Table1[[#This Row],[SerTot]]/3</f>
        <v>0</v>
      </c>
      <c r="DI220" s="255">
        <v>0</v>
      </c>
      <c r="DJ220" s="253">
        <f>IFERROR(ROUNDUP(Table1[[#This Row],[TranTot]]/3,0),0)</f>
        <v>0</v>
      </c>
      <c r="DK220" s="253">
        <f>IFERROR(ROUND(Table1[[#This Row],[TranTot]]/3,0),0)</f>
        <v>0</v>
      </c>
      <c r="DL220" s="253">
        <f>IFERROR(ROUNDDOWN(Table1[[#This Row],[TranTot]]/3,0),0)</f>
        <v>0</v>
      </c>
      <c r="DM220" s="255">
        <v>0</v>
      </c>
      <c r="DN220" s="253">
        <f>Table1[[#This Row],[MatTot]]/3</f>
        <v>0</v>
      </c>
      <c r="DO220" s="253">
        <f>Table1[[#This Row],[MatTot]]/3</f>
        <v>0</v>
      </c>
      <c r="DP220" s="253">
        <f>Table1[[#This Row],[MatTot]]/3</f>
        <v>0</v>
      </c>
      <c r="DQ220" s="255">
        <v>0</v>
      </c>
      <c r="DR220" s="253">
        <f>Table1[[#This Row],[OutTot]]/3</f>
        <v>0</v>
      </c>
      <c r="DS220" s="253">
        <f>Table1[[#This Row],[OutTot]]/3</f>
        <v>0</v>
      </c>
      <c r="DT220" s="253">
        <f>Table1[[#This Row],[OutTot]]/3</f>
        <v>0</v>
      </c>
      <c r="DU220" s="255">
        <v>0</v>
      </c>
      <c r="DV220" s="253">
        <v>0</v>
      </c>
      <c r="DW220" s="253">
        <v>0</v>
      </c>
      <c r="DX220" s="253">
        <v>0</v>
      </c>
      <c r="DY220" s="255">
        <f>SUM(Table1[[#This Row],[VAQ1]:[VAQ3]])</f>
        <v>0</v>
      </c>
      <c r="DZ220" s="253">
        <v>0</v>
      </c>
      <c r="EA220" s="253">
        <v>0</v>
      </c>
      <c r="EB220" s="253">
        <v>0</v>
      </c>
      <c r="EC220" s="278">
        <f>SUM(Table1[[#This Row],[OthGrantQ1]:[OthGrantQ3]])</f>
        <v>0</v>
      </c>
      <c r="ED220" s="264">
        <f>Table1[[#This Row],[SEOGTot]]+Table1[[#This Row],[PellTot]]+Table1[[#This Row],[AccessTot]]+Table1[[#This Row],[AchiTot]]+Table1[[#This Row],[UTTot]]+Table1[[#This Row],[WITTot]]+Table1[[#This Row],[SerTot]]+Table1[[#This Row],[TranTot]]+Table1[[#This Row],[MatTot]]+Table1[[#This Row],[OutTot]]+Table1[[#This Row],[VATot]]+Table1[[#This Row],[OthGrantTot]]</f>
        <v>0</v>
      </c>
      <c r="EE220" s="298">
        <v>0</v>
      </c>
      <c r="EF220" s="227">
        <v>0</v>
      </c>
      <c r="EG220" s="227">
        <v>0</v>
      </c>
      <c r="EH220" s="228">
        <f>SUM(Table1[[#This Row],[CashQ1]]:Table1[[#This Row],[CashQ3]])</f>
        <v>0</v>
      </c>
      <c r="EI220" s="229">
        <f>ROUND((Table1[[#This Row],[SubTot]]/3)/1.01059,0)</f>
        <v>1154</v>
      </c>
      <c r="EJ220" s="230">
        <f>ROUND((Table1[[#This Row],[SubTot]]/3)/1.01059,0)</f>
        <v>1154</v>
      </c>
      <c r="EK220" s="230">
        <f>ROUNDUP((Table1[[#This Row],[SubTot]]/3)/1.01059,0)</f>
        <v>1155</v>
      </c>
      <c r="EL220" s="231">
        <v>3500</v>
      </c>
      <c r="EM220" s="233">
        <f>Table1[[#This Row],[SubTot]]*0.01059</f>
        <v>37.065000000000005</v>
      </c>
      <c r="EN220" s="230">
        <f>ROUND((Table1[[#This Row],[UnsubTot]]/3)/1.01062,0)</f>
        <v>660</v>
      </c>
      <c r="EO220" s="230">
        <f>ROUND((Table1[[#This Row],[UnsubTot]]/3)/1.01062,0)</f>
        <v>660</v>
      </c>
      <c r="EP220" s="230">
        <f>ROUNDDOWN((Table1[[#This Row],[UnsubTot]]/3)/1.01062,0)</f>
        <v>659</v>
      </c>
      <c r="EQ220" s="231">
        <f>IF(Table1[D/I]="I",6000,2000)</f>
        <v>2000</v>
      </c>
      <c r="ER220" s="233">
        <f>Table1[[#This Row],[UnsubTot]]*0.01059</f>
        <v>21.18</v>
      </c>
      <c r="ES220" s="230">
        <f>ROUND((Table1[[#This Row],[PLUSTot]]/3)/1.04236,0)</f>
        <v>0</v>
      </c>
      <c r="ET220" s="230">
        <f>ROUND((Table1[[#This Row],[PLUSTot]]/3)/1.04236,0)</f>
        <v>0</v>
      </c>
      <c r="EU220" s="230">
        <f>ROUND((Table1[[#This Row],[PLUSTot]]/3)/1.04236,0)</f>
        <v>0</v>
      </c>
      <c r="EV220" s="231">
        <v>0</v>
      </c>
      <c r="EW220" s="236">
        <f>Table1[[#This Row],[PLUSTot]]*0.04236</f>
        <v>0</v>
      </c>
      <c r="EX220" s="227"/>
      <c r="EY220" s="227"/>
      <c r="EZ220" s="227"/>
      <c r="FA220" s="228">
        <f>SUM(Table1[[#This Row],[PrivQ1]:[PrivQ3]])</f>
        <v>0</v>
      </c>
      <c r="FB220" s="227"/>
      <c r="FC220" s="227"/>
      <c r="FD220" s="227"/>
      <c r="FE220" s="228">
        <f>SUM(Table1[[#This Row],[TOQ1]:[TOQ3]])</f>
        <v>0</v>
      </c>
      <c r="FF220" s="227"/>
      <c r="FG220" s="227"/>
      <c r="FH220" s="227"/>
      <c r="FI220" s="228">
        <f>SUM(Table1[[#This Row],[OFundQ1]:[OFundQ3]])</f>
        <v>0</v>
      </c>
      <c r="FJ220" s="236">
        <f>(Table1[[#This Row],[SubTot]]-Table1[[#This Row],[SubFee]])+(Table1[[#This Row],[UnsubTot]]-Table1[[#This Row],[UnsubFee]])+(Table1[[#This Row],[PLUSTot]]-Table1[[#This Row],[PLUSFee]])+Table1[[#This Row],[PrivTot]]+Table1[[#This Row],[TOTot]]+Table1[[#This Row],[OFundTot]]</f>
        <v>5441.7550000000001</v>
      </c>
      <c r="FK220" s="159">
        <f>Table1[[#This Row],[CostTot]]-Table1[[#This Row],[GiftTot]]</f>
        <v>39515</v>
      </c>
      <c r="FL220" s="174">
        <f>Table1[[#This Row],[NetNeed]]/(1-0.04236)</f>
        <v>35580.43210392214</v>
      </c>
      <c r="FM220" s="176">
        <f>Table1[[#This Row],[NetCost]]-Table1[[#This Row],[CashTot]]-(Table1[[#This Row],[SubTot]]-Table1[[#This Row],[SubFee]])-(Table1[[#This Row],[UnsubTot]]-Table1[[#This Row],[UnsubFee]])-(Table1[[#This Row],[PLUSTot]]-Table1[[#This Row],[PLUSFee]])-Table1[[#This Row],[PrivTot]]-Table1[[#This Row],[TOTot]]-Table1[[#This Row],[OFundTot]]</f>
        <v>34073.245000000003</v>
      </c>
      <c r="FN220" s="217"/>
      <c r="FO220" s="162"/>
      <c r="FP220" s="162"/>
    </row>
    <row r="221" spans="1:172" ht="15" x14ac:dyDescent="0.25">
      <c r="A221" s="158">
        <v>197450</v>
      </c>
      <c r="B221" s="160" t="str">
        <f>VLOOKUP(Table1[[#This Row],[SyStudentId]],SSR!$A$2:$CC$4982,4,FALSE)</f>
        <v>Yudiche</v>
      </c>
      <c r="C221" s="160" t="str">
        <f>VLOOKUP(Table1[[#This Row],[SyStudentId]],SSR!$A$2:$CC$4982,5,FALSE)</f>
        <v>Andy</v>
      </c>
      <c r="D221" s="160" t="str">
        <f>VLOOKUP(Table1[[#This Row],[SyStudentId]],SSR!$A$2:$CC$4982,6,FALSE)</f>
        <v>Yudiche, Andy</v>
      </c>
      <c r="E221" s="113" t="str">
        <f>CONCATENATE(Table1[[#This Row],[FirstName]]," ",Table1[[#This Row],[LastName]])</f>
        <v>Andy Yudiche</v>
      </c>
      <c r="F221" s="158">
        <v>1</v>
      </c>
      <c r="G221" s="114">
        <v>43776</v>
      </c>
      <c r="H221" s="114">
        <v>43776</v>
      </c>
      <c r="I221" s="114">
        <v>43776</v>
      </c>
      <c r="J221" s="163"/>
      <c r="K221" s="164" t="s">
        <v>605</v>
      </c>
      <c r="L221" s="158" t="str">
        <f>IFERROR(VLOOKUP(Table1[[#This Row],[SyStudentId]],ISIR!$A$2:$X$4999,11,FALSE),"")</f>
        <v>D</v>
      </c>
      <c r="M221" s="160" t="str">
        <f>VLOOKUP(Table1[[#This Row],[SyStudentId]],SSR!$A$2:$CC$4982,7,FALSE)</f>
        <v>andyyudiche@gmail.com</v>
      </c>
      <c r="N221" s="160" t="str">
        <f>VLOOKUP(Table1[[#This Row],[SyStudentId]],SSR!$A$2:$CC$4982,8,FALSE)</f>
        <v>827 Paradise Road</v>
      </c>
      <c r="O221" s="160" t="str">
        <f>VLOOKUP(Table1[[#This Row],[SyStudentId]],SSR!$A$2:$CC$4982,9,FALSE)</f>
        <v>Baytown</v>
      </c>
      <c r="P221" s="294" t="str">
        <f>VLOOKUP(Table1[[#This Row],[SyStudentId]],SSR!$A$2:$CC$4982,10,FALSE)</f>
        <v>TX</v>
      </c>
      <c r="Q221" s="165" t="str">
        <f>VLOOKUP(Table1[[#This Row],[SyStudentId]],SSR!$A$2:$CC$4982,11,FALSE)</f>
        <v xml:space="preserve">77521     </v>
      </c>
      <c r="R221" s="166">
        <f>VLOOKUP(Table1[[#This Row],[SyStudentId]],SSR!$A$2:$CC$4982,15,FALSE)</f>
        <v>3.4119999999999999</v>
      </c>
      <c r="S221" s="167">
        <f>VLOOKUP(Table1[[#This Row],[SyStudentId]],SSR!$A$2:$CC$4982,22,FALSE)</f>
        <v>44109</v>
      </c>
      <c r="T221" s="160" t="str">
        <f>VLOOKUP(Table1[[#This Row],[SyStudentId]],SSR!$A$2:$CC$4982,24,FALSE)</f>
        <v>JT</v>
      </c>
      <c r="U221" s="160" t="str">
        <f>IF(VLOOKUP(Table1[[#This Row],[SyStudentId]],SSR!$A$2:$CC$4982,26,FALSE)=0,"Not Selected",VLOOKUP(Table1[[#This Row],[SyStudentId]],SSR!$A$2:$CC$4982,26,FALSE))</f>
        <v>Male</v>
      </c>
      <c r="V221" s="160" t="str">
        <f>VLOOKUP(Table1[[#This Row],[SyStudentId]],SSR!$A$2:$CC$4982,27,FALSE)</f>
        <v xml:space="preserve">HS2020  </v>
      </c>
      <c r="W221" s="160" t="str">
        <f>VLOOKUP(LEFT(Table1[[#This Row],[LastName]],1),Alpha!$A$1:$B$26,2,FALSE)</f>
        <v>Maureen Ranks</v>
      </c>
      <c r="X221" s="268" t="str">
        <f>VLOOKUP(Table1[[#This Row],[FAA]],Alpha!$B$1:$D$26,2,FALSE)</f>
        <v>mranks@neumont.edu</v>
      </c>
      <c r="Y221" s="160">
        <f>VLOOKUP(Table1[[#This Row],[FAA]],Alpha!$B$1:$D$26,3,FALSE)</f>
        <v>8883022894</v>
      </c>
      <c r="Z221" s="160" t="str">
        <f>VLOOKUP(Table1[[#This Row],[SyStudentId]],SSR!$A$2:$CC$4982,30,FALSE)</f>
        <v>16-Accepted</v>
      </c>
      <c r="AA221" s="160" t="str">
        <f>IF(VLOOKUP(Table1[[#This Row],[SyStudentId]],SSR!$A$2:$CC$4982,36,FALSE)="Bachelor of Science","BS Computer Science","Check Program")</f>
        <v>BS Computer Science</v>
      </c>
      <c r="AB221" s="160" t="str">
        <f>VLOOKUP(Table1[[#This Row],[SyStudentId]],SSR!$A$2:$CC$4982,37,FALSE)</f>
        <v xml:space="preserve">29      </v>
      </c>
      <c r="AC221" s="160">
        <f>VLOOKUP(Table1[[#This Row],[SyStudentId]],SSR!$A$2:$CC$4982,42,FALSE)</f>
        <v>0</v>
      </c>
      <c r="AD221" s="160" t="str">
        <f>VLOOKUP(Table1[[#This Row],[SyStudentId]],SSR!$A$2:$CC$4982,46,FALSE)</f>
        <v>119</v>
      </c>
      <c r="AE221" s="160" t="str">
        <f>VLOOKUP(Table1[[#This Row],[SyStudentId]],SSR!$A$2:$CC$4982,65,FALSE)</f>
        <v>I</v>
      </c>
      <c r="AF221"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221" s="160" t="str">
        <f>VLOOKUP(Table1[[#This Row],[SyStudentId]],SSR!$A$2:$CC$4982,66,FALSE)</f>
        <v>July-October</v>
      </c>
      <c r="AH221" s="160" t="str">
        <f>IFERROR(VLOOKUP(Table1[[#This Row],[SyStudentId]],ISIR!$A$2:$X$1999,7,FALSE),"")</f>
        <v>004320</v>
      </c>
      <c r="AI221" s="170">
        <f>IF(Table1[[#This Row],[EFCRaw]]="","",IF(Table1[[#This Row],[EFCRaw]]="No EFC","No EFC",_xlfn.NUMBERVALUE(Table1[[#This Row],[EFCRaw]])))</f>
        <v>4320</v>
      </c>
      <c r="AJ221" s="167">
        <f>IFERROR(VLOOKUP(Table1[[#This Row],[SyStudentId]],ISIR!$A$2:$X$4999,19,FALSE),"")</f>
        <v>43790</v>
      </c>
      <c r="AK221" s="160" t="str">
        <f>IFERROR(VLOOKUP(Table1[[#This Row],[SyStudentId]],ISIR!$A$2:$X$4999,8,FALSE),"")</f>
        <v>Y</v>
      </c>
      <c r="AL221" s="178" t="str">
        <f>IF(Table1[[#This Row],[VerReq]]="N","n/a","")</f>
        <v/>
      </c>
      <c r="AM221" s="122"/>
      <c r="AN221" s="122"/>
      <c r="AO221" s="122">
        <v>43757</v>
      </c>
      <c r="AP221" s="122">
        <v>43760</v>
      </c>
      <c r="AQ221" s="122">
        <v>43760</v>
      </c>
      <c r="AR221" s="122"/>
      <c r="AS221" s="122"/>
      <c r="AT221" s="122"/>
      <c r="AU221" s="122"/>
      <c r="AV221" s="122"/>
      <c r="AW221" s="122"/>
      <c r="AX221" s="122"/>
      <c r="AY221" s="122"/>
      <c r="AZ221" s="122"/>
      <c r="BA221" s="122"/>
      <c r="BB221" s="122"/>
      <c r="BC221" s="148"/>
      <c r="BD221" s="140" t="str">
        <f>IF(Table1[[#This Row],[VerReq]]="N","x","")</f>
        <v/>
      </c>
      <c r="BE221" s="140" t="str">
        <f>IF(Table1[[#This Row],[VerReq]]="N","x","")</f>
        <v/>
      </c>
      <c r="BF221" s="140" t="str">
        <f>IF(Table1[[#This Row],[VerReq]]="N","x","")</f>
        <v/>
      </c>
      <c r="BG221" s="140" t="str">
        <f>IF(Table1[[#This Row],[VerReq]]="N","x","")</f>
        <v/>
      </c>
      <c r="BH221" s="140" t="str">
        <f>IF(Table1[[#This Row],[VerReq]]="N","x","")</f>
        <v/>
      </c>
      <c r="BI221" s="140" t="str">
        <f>IF(Table1[[#This Row],[VerReq]]="N","x","")</f>
        <v/>
      </c>
      <c r="BJ221" s="181">
        <f>1-((COUNTBLANK(Table1[[#This Row],[ALESent]:[TaxTran]]))/(COUNT(Table1[[#This Row],[ALESent]:[TaxTran]])+COUNTBLANK(Table1[[#This Row],[ALESent]:[TaxTran]])))</f>
        <v>0.13043478260869568</v>
      </c>
      <c r="BK221" s="216">
        <f>IF(VLOOKUP(Table1[[#This Row],[SyStudentId]],SSR!$A$2:$CC$4982,22,FALSE)=44109,44109,"Check Program")</f>
        <v>44109</v>
      </c>
      <c r="BL221" s="216">
        <f>IF(Table1[[#This Row],[AYStart]]=44109,44356,"Check Program")</f>
        <v>44356</v>
      </c>
      <c r="BM221" s="219">
        <v>8505</v>
      </c>
      <c r="BN221" s="219">
        <v>8505</v>
      </c>
      <c r="BO221" s="219">
        <v>8505</v>
      </c>
      <c r="BP221" s="220">
        <f t="shared" si="9"/>
        <v>25515</v>
      </c>
      <c r="BQ221" s="221">
        <v>3300</v>
      </c>
      <c r="BR221" s="219">
        <v>400</v>
      </c>
      <c r="BS221" s="219">
        <v>400</v>
      </c>
      <c r="BT221" s="222">
        <f t="shared" si="10"/>
        <v>4100</v>
      </c>
      <c r="BU221" s="219">
        <v>2100</v>
      </c>
      <c r="BV221" s="219">
        <v>2100</v>
      </c>
      <c r="BW221" s="219">
        <v>2100</v>
      </c>
      <c r="BX221" s="222">
        <f t="shared" si="11"/>
        <v>6300</v>
      </c>
      <c r="BY221" s="269">
        <v>1200</v>
      </c>
      <c r="BZ221" s="269">
        <v>1200</v>
      </c>
      <c r="CA221" s="269">
        <v>1200</v>
      </c>
      <c r="CB221" s="222">
        <f>SUM(Table1[[#This Row],[LEQ1]:[LEQ3]])</f>
        <v>3600</v>
      </c>
      <c r="CC221" s="276">
        <v>0</v>
      </c>
      <c r="CD221" s="276">
        <v>0</v>
      </c>
      <c r="CE221" s="276">
        <v>0</v>
      </c>
      <c r="CF221" s="222">
        <f>SUM(Table1[[#This Row],[OthCostQ1]:[OthCostQ3]])</f>
        <v>0</v>
      </c>
      <c r="CG221" s="222">
        <f>(Table1[[#This Row],[T&amp;FTot]]+Table1[[#This Row],[B&amp;STot]]+Table1[[#This Row],[HousTot]]+Table1[[#This Row],[LETot]]+Table1[[#This Row],[OthCostTot]])</f>
        <v>39515</v>
      </c>
      <c r="CH221" s="253">
        <v>0</v>
      </c>
      <c r="CI221" s="253">
        <v>0</v>
      </c>
      <c r="CJ221" s="253">
        <v>0</v>
      </c>
      <c r="CK221" s="254">
        <f>SUM(Table1[[#This Row],[SEOGQ1]:[SEOGQ3]])</f>
        <v>0</v>
      </c>
      <c r="CL221" s="253">
        <f>IFERROR(ROUNDUP(Table1[[#This Row],[PellTot]]/3,0),0)</f>
        <v>615</v>
      </c>
      <c r="CM221" s="253">
        <f>IFERROR(ROUND(Table1[[#This Row],[PellTot]]/3,0),0)</f>
        <v>615</v>
      </c>
      <c r="CN221" s="253">
        <f>IFERROR(ROUNDDOWN(Table1[[#This Row],[PellTot]]/3,0),0)</f>
        <v>615</v>
      </c>
      <c r="CO221" s="254">
        <f>IFERROR(LOOKUP(Table1[EFC],Pell_Table[#Data],Pell_Table[Pell Amt]),0)</f>
        <v>1845</v>
      </c>
      <c r="CP221" s="253">
        <f>Table1[[#This Row],[AccessTot]]/3</f>
        <v>500</v>
      </c>
      <c r="CQ221" s="253">
        <f>Table1[[#This Row],[AccessTot]]/3</f>
        <v>500</v>
      </c>
      <c r="CR221" s="253">
        <f>Table1[[#This Row],[AccessTot]]/3</f>
        <v>500</v>
      </c>
      <c r="CS221" s="254">
        <f>IF(Table1[[#This Row],[PellTot]]&gt;0,1500,0)</f>
        <v>1500</v>
      </c>
      <c r="CT221" s="253">
        <f>Table1[[#This Row],[AchiTot]]/3</f>
        <v>1700</v>
      </c>
      <c r="CU221" s="253">
        <f>Table1[[#This Row],[AchiTot]]/3</f>
        <v>1700</v>
      </c>
      <c r="CV221" s="253">
        <f>Table1[[#This Row],[AchiTot]]/3</f>
        <v>1700</v>
      </c>
      <c r="CW221" s="255">
        <f>IF(Table1[[#This Row],[Rank]]="","",IF(Table1[[#This Row],[Rank]]=1,5100,IF(Table1[[#This Row],[Rank]]=2,4500,IF(Table1[[#This Row],[Rank]]=3,3900,IF(Table1[[#This Row],[Rank]]=4,3750,IF(Table1[[#This Row],[Rank]]=5,3000,IF(Table1[[#This Row],[Rank]]=6,2250,0)))))))</f>
        <v>5100</v>
      </c>
      <c r="CX221" s="253">
        <f>Table1[[#This Row],[UTTot]]/3</f>
        <v>0</v>
      </c>
      <c r="CY221" s="253">
        <f>Table1[[#This Row],[UTTot]]/3</f>
        <v>0</v>
      </c>
      <c r="CZ221" s="253">
        <f>Table1[[#This Row],[UTTot]]/3</f>
        <v>0</v>
      </c>
      <c r="DA221" s="254">
        <f>IF(Table1[[#This Row],[State]]="UT",9000,0)</f>
        <v>0</v>
      </c>
      <c r="DB221" s="253">
        <f>Table1[[#This Row],[WITTot]]/3</f>
        <v>0</v>
      </c>
      <c r="DC221" s="253">
        <f>Table1[[#This Row],[WITTot]]/3</f>
        <v>0</v>
      </c>
      <c r="DD221" s="253">
        <f>Table1[[#This Row],[WITTot]]/3</f>
        <v>0</v>
      </c>
      <c r="DE221" s="254">
        <f>IF(Table1[[#This Row],[Gender]]="Female",3000,0)</f>
        <v>0</v>
      </c>
      <c r="DF221" s="253">
        <f>Table1[[#This Row],[SerTot]]/3</f>
        <v>0</v>
      </c>
      <c r="DG221" s="253">
        <f>Table1[[#This Row],[SerTot]]/3</f>
        <v>0</v>
      </c>
      <c r="DH221" s="253">
        <f>Table1[[#This Row],[SerTot]]/3</f>
        <v>0</v>
      </c>
      <c r="DI221" s="255">
        <v>0</v>
      </c>
      <c r="DJ221" s="253">
        <f>IFERROR(ROUNDUP(Table1[[#This Row],[TranTot]]/3,0),0)</f>
        <v>0</v>
      </c>
      <c r="DK221" s="253">
        <f>IFERROR(ROUND(Table1[[#This Row],[TranTot]]/3,0),0)</f>
        <v>0</v>
      </c>
      <c r="DL221" s="253">
        <f>IFERROR(ROUNDDOWN(Table1[[#This Row],[TranTot]]/3,0),0)</f>
        <v>0</v>
      </c>
      <c r="DM221" s="255">
        <v>0</v>
      </c>
      <c r="DN221" s="253">
        <f>Table1[[#This Row],[MatTot]]/3</f>
        <v>0</v>
      </c>
      <c r="DO221" s="253">
        <f>Table1[[#This Row],[MatTot]]/3</f>
        <v>0</v>
      </c>
      <c r="DP221" s="253">
        <f>Table1[[#This Row],[MatTot]]/3</f>
        <v>0</v>
      </c>
      <c r="DQ221" s="255">
        <v>0</v>
      </c>
      <c r="DR221" s="253">
        <f>Table1[[#This Row],[OutTot]]/3</f>
        <v>0</v>
      </c>
      <c r="DS221" s="253">
        <f>Table1[[#This Row],[OutTot]]/3</f>
        <v>0</v>
      </c>
      <c r="DT221" s="253">
        <f>Table1[[#This Row],[OutTot]]/3</f>
        <v>0</v>
      </c>
      <c r="DU221" s="255">
        <v>0</v>
      </c>
      <c r="DV221" s="253">
        <v>0</v>
      </c>
      <c r="DW221" s="253">
        <v>0</v>
      </c>
      <c r="DX221" s="253">
        <v>0</v>
      </c>
      <c r="DY221" s="255">
        <f>SUM(Table1[[#This Row],[VAQ1]:[VAQ3]])</f>
        <v>0</v>
      </c>
      <c r="DZ221" s="253">
        <v>0</v>
      </c>
      <c r="EA221" s="253">
        <v>0</v>
      </c>
      <c r="EB221" s="253">
        <v>0</v>
      </c>
      <c r="EC221" s="278">
        <f>SUM(Table1[[#This Row],[OthGrantQ1]:[OthGrantQ3]])</f>
        <v>0</v>
      </c>
      <c r="ED221" s="264">
        <f>Table1[[#This Row],[SEOGTot]]+Table1[[#This Row],[PellTot]]+Table1[[#This Row],[AccessTot]]+Table1[[#This Row],[AchiTot]]+Table1[[#This Row],[UTTot]]+Table1[[#This Row],[WITTot]]+Table1[[#This Row],[SerTot]]+Table1[[#This Row],[TranTot]]+Table1[[#This Row],[MatTot]]+Table1[[#This Row],[OutTot]]+Table1[[#This Row],[VATot]]+Table1[[#This Row],[OthGrantTot]]</f>
        <v>8445</v>
      </c>
      <c r="EE221" s="298">
        <v>0</v>
      </c>
      <c r="EF221" s="227">
        <v>0</v>
      </c>
      <c r="EG221" s="227">
        <v>0</v>
      </c>
      <c r="EH221" s="228">
        <f>SUM(Table1[[#This Row],[CashQ1]]:Table1[[#This Row],[CashQ3]])</f>
        <v>0</v>
      </c>
      <c r="EI221" s="229">
        <f>ROUND((Table1[[#This Row],[SubTot]]/3)/1.01059,0)</f>
        <v>1154</v>
      </c>
      <c r="EJ221" s="230">
        <f>ROUND((Table1[[#This Row],[SubTot]]/3)/1.01059,0)</f>
        <v>1154</v>
      </c>
      <c r="EK221" s="230">
        <f>ROUNDUP((Table1[[#This Row],[SubTot]]/3)/1.01059,0)</f>
        <v>1155</v>
      </c>
      <c r="EL221" s="231">
        <v>3500</v>
      </c>
      <c r="EM221" s="233">
        <f>Table1[[#This Row],[SubTot]]*0.01059</f>
        <v>37.065000000000005</v>
      </c>
      <c r="EN221" s="230">
        <f>ROUND((Table1[[#This Row],[UnsubTot]]/3)/1.01062,0)</f>
        <v>660</v>
      </c>
      <c r="EO221" s="230">
        <f>ROUND((Table1[[#This Row],[UnsubTot]]/3)/1.01062,0)</f>
        <v>660</v>
      </c>
      <c r="EP221" s="230">
        <f>ROUNDDOWN((Table1[[#This Row],[UnsubTot]]/3)/1.01062,0)</f>
        <v>659</v>
      </c>
      <c r="EQ221" s="231">
        <f>IF(Table1[D/I]="I",6000,2000)</f>
        <v>2000</v>
      </c>
      <c r="ER221" s="233">
        <f>Table1[[#This Row],[UnsubTot]]*0.01059</f>
        <v>21.18</v>
      </c>
      <c r="ES221" s="230">
        <f>ROUND((Table1[[#This Row],[PLUSTot]]/3)/1.04236,0)</f>
        <v>0</v>
      </c>
      <c r="ET221" s="230">
        <f>ROUND((Table1[[#This Row],[PLUSTot]]/3)/1.04236,0)</f>
        <v>0</v>
      </c>
      <c r="EU221" s="230">
        <f>ROUND((Table1[[#This Row],[PLUSTot]]/3)/1.04236,0)</f>
        <v>0</v>
      </c>
      <c r="EV221" s="231">
        <v>0</v>
      </c>
      <c r="EW221" s="236">
        <f>Table1[[#This Row],[PLUSTot]]*0.04236</f>
        <v>0</v>
      </c>
      <c r="EX221" s="227"/>
      <c r="EY221" s="227"/>
      <c r="EZ221" s="227"/>
      <c r="FA221" s="228">
        <f>SUM(Table1[[#This Row],[PrivQ1]:[PrivQ3]])</f>
        <v>0</v>
      </c>
      <c r="FB221" s="227"/>
      <c r="FC221" s="227"/>
      <c r="FD221" s="227"/>
      <c r="FE221" s="228">
        <f>SUM(Table1[[#This Row],[TOQ1]:[TOQ3]])</f>
        <v>0</v>
      </c>
      <c r="FF221" s="227"/>
      <c r="FG221" s="227"/>
      <c r="FH221" s="227"/>
      <c r="FI221" s="228">
        <f>SUM(Table1[[#This Row],[OFundQ1]:[OFundQ3]])</f>
        <v>0</v>
      </c>
      <c r="FJ221" s="236">
        <f>(Table1[[#This Row],[SubTot]]-Table1[[#This Row],[SubFee]])+(Table1[[#This Row],[UnsubTot]]-Table1[[#This Row],[UnsubFee]])+(Table1[[#This Row],[PLUSTot]]-Table1[[#This Row],[PLUSFee]])+Table1[[#This Row],[PrivTot]]+Table1[[#This Row],[TOTot]]+Table1[[#This Row],[OFundTot]]</f>
        <v>5441.7550000000001</v>
      </c>
      <c r="FK221" s="159">
        <f>Table1[[#This Row],[CostTot]]-Table1[[#This Row],[GiftTot]]</f>
        <v>31070</v>
      </c>
      <c r="FL221" s="174">
        <f>Table1[[#This Row],[NetNeed]]/(1-0.04236)</f>
        <v>26761.878158807063</v>
      </c>
      <c r="FM221" s="176">
        <f>Table1[[#This Row],[NetCost]]-Table1[[#This Row],[CashTot]]-(Table1[[#This Row],[SubTot]]-Table1[[#This Row],[SubFee]])-(Table1[[#This Row],[UnsubTot]]-Table1[[#This Row],[UnsubFee]])-(Table1[[#This Row],[PLUSTot]]-Table1[[#This Row],[PLUSFee]])-Table1[[#This Row],[PrivTot]]-Table1[[#This Row],[TOTot]]-Table1[[#This Row],[OFundTot]]</f>
        <v>25628.244999999999</v>
      </c>
      <c r="FN221" s="217"/>
      <c r="FO221" s="162"/>
      <c r="FP221" s="162"/>
    </row>
    <row r="222" spans="1:172" ht="15" x14ac:dyDescent="0.25">
      <c r="A222" s="158">
        <v>196332</v>
      </c>
      <c r="B222" s="160" t="str">
        <f>VLOOKUP(Table1[[#This Row],[SyStudentId]],SSR!$A$2:$CC$4982,4,FALSE)</f>
        <v>Zacarias</v>
      </c>
      <c r="C222" s="160" t="str">
        <f>VLOOKUP(Table1[[#This Row],[SyStudentId]],SSR!$A$2:$CC$4982,5,FALSE)</f>
        <v>Williams</v>
      </c>
      <c r="D222" s="160" t="str">
        <f>VLOOKUP(Table1[[#This Row],[SyStudentId]],SSR!$A$2:$CC$4982,6,FALSE)</f>
        <v>Zacarias, Williams</v>
      </c>
      <c r="E222" s="113" t="str">
        <f>CONCATENATE(Table1[[#This Row],[FirstName]]," ",Table1[[#This Row],[LastName]])</f>
        <v>Williams Zacarias</v>
      </c>
      <c r="F222" s="158"/>
      <c r="G222" s="114"/>
      <c r="H222" s="114"/>
      <c r="I222" s="114"/>
      <c r="J222" s="163"/>
      <c r="K222" s="164"/>
      <c r="L222" s="158" t="str">
        <f>IFERROR(VLOOKUP(Table1[[#This Row],[SyStudentId]],ISIR!$A$2:$X$4999,11,FALSE),"")</f>
        <v>D</v>
      </c>
      <c r="M222" s="160" t="str">
        <f>VLOOKUP(Table1[[#This Row],[SyStudentId]],SSR!$A$2:$CC$4982,7,FALSE)</f>
        <v>zacariaswilliams47@gmail.com</v>
      </c>
      <c r="N222" s="160" t="str">
        <f>VLOOKUP(Table1[[#This Row],[SyStudentId]],SSR!$A$2:$CC$4982,8,FALSE)</f>
        <v>8711 W. Flower St.</v>
      </c>
      <c r="O222" s="160" t="str">
        <f>VLOOKUP(Table1[[#This Row],[SyStudentId]],SSR!$A$2:$CC$4982,9,FALSE)</f>
        <v>Phoenix</v>
      </c>
      <c r="P222" s="295" t="str">
        <f>VLOOKUP(Table1[[#This Row],[SyStudentId]],SSR!$A$2:$CC$4982,10,FALSE)</f>
        <v>AZ</v>
      </c>
      <c r="Q222" s="165" t="str">
        <f>VLOOKUP(Table1[[#This Row],[SyStudentId]],SSR!$A$2:$CC$4982,11,FALSE)</f>
        <v xml:space="preserve">85037     </v>
      </c>
      <c r="R222" s="166">
        <f>VLOOKUP(Table1[[#This Row],[SyStudentId]],SSR!$A$2:$CC$4982,15,FALSE)</f>
        <v>2.444</v>
      </c>
      <c r="S222" s="167">
        <f>VLOOKUP(Table1[[#This Row],[SyStudentId]],SSR!$A$2:$CC$4982,22,FALSE)</f>
        <v>44109</v>
      </c>
      <c r="T222" s="160" t="str">
        <f>VLOOKUP(Table1[[#This Row],[SyStudentId]],SSR!$A$2:$CC$4982,24,FALSE)</f>
        <v>MN</v>
      </c>
      <c r="U222" s="160" t="str">
        <f>IF(VLOOKUP(Table1[[#This Row],[SyStudentId]],SSR!$A$2:$CC$4982,26,FALSE)=0,"Not Selected",VLOOKUP(Table1[[#This Row],[SyStudentId]],SSR!$A$2:$CC$4982,26,FALSE))</f>
        <v>Male</v>
      </c>
      <c r="V222" s="160" t="str">
        <f>VLOOKUP(Table1[[#This Row],[SyStudentId]],SSR!$A$2:$CC$4982,27,FALSE)</f>
        <v xml:space="preserve">HS2020  </v>
      </c>
      <c r="W222" s="160" t="str">
        <f>VLOOKUP(LEFT(Table1[[#This Row],[LastName]],1),Alpha!$A$1:$B$26,2,FALSE)</f>
        <v>Maureen Ranks</v>
      </c>
      <c r="X222" s="268" t="str">
        <f>VLOOKUP(Table1[[#This Row],[FAA]],Alpha!$B$1:$D$26,2,FALSE)</f>
        <v>mranks@neumont.edu</v>
      </c>
      <c r="Y222" s="160">
        <f>VLOOKUP(Table1[[#This Row],[FAA]],Alpha!$B$1:$D$26,3,FALSE)</f>
        <v>8883022894</v>
      </c>
      <c r="Z222" s="160" t="str">
        <f>VLOOKUP(Table1[[#This Row],[SyStudentId]],SSR!$A$2:$CC$4982,30,FALSE)</f>
        <v>16-Accepted</v>
      </c>
      <c r="AA222" s="160" t="str">
        <f>IF(VLOOKUP(Table1[[#This Row],[SyStudentId]],SSR!$A$2:$CC$4982,36,FALSE)="Bachelor of Science","BS Computer Science","Check Program")</f>
        <v>BS Computer Science</v>
      </c>
      <c r="AB222" s="160" t="str">
        <f>VLOOKUP(Table1[[#This Row],[SyStudentId]],SSR!$A$2:$CC$4982,37,FALSE)</f>
        <v xml:space="preserve">22      </v>
      </c>
      <c r="AC222" s="160">
        <f>VLOOKUP(Table1[[#This Row],[SyStudentId]],SSR!$A$2:$CC$4982,42,FALSE)</f>
        <v>0</v>
      </c>
      <c r="AD222" s="160" t="str">
        <f>VLOOKUP(Table1[[#This Row],[SyStudentId]],SSR!$A$2:$CC$4982,46,FALSE)</f>
        <v>89</v>
      </c>
      <c r="AE222" s="160" t="str">
        <f>VLOOKUP(Table1[[#This Row],[SyStudentId]],SSR!$A$2:$CC$4982,65,FALSE)</f>
        <v>VI</v>
      </c>
      <c r="AF222" s="169">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6</v>
      </c>
      <c r="AG222" s="160" t="str">
        <f>VLOOKUP(Table1[[#This Row],[SyStudentId]],SSR!$A$2:$CC$4982,66,FALSE)</f>
        <v>July-October</v>
      </c>
      <c r="AH222" s="160" t="str">
        <f>IFERROR(VLOOKUP(Table1[[#This Row],[SyStudentId]],ISIR!$A$2:$X$1999,7,FALSE),"")</f>
        <v>006135</v>
      </c>
      <c r="AI222" s="170">
        <f>IF(Table1[[#This Row],[EFCRaw]]="","",IF(Table1[[#This Row],[EFCRaw]]="No EFC","No EFC",_xlfn.NUMBERVALUE(Table1[[#This Row],[EFCRaw]])))</f>
        <v>6135</v>
      </c>
      <c r="AJ222" s="167">
        <f>IFERROR(VLOOKUP(Table1[[#This Row],[SyStudentId]],ISIR!$A$2:$X$4999,19,FALSE),"")</f>
        <v>43776</v>
      </c>
      <c r="AK222" s="160" t="str">
        <f>IFERROR(VLOOKUP(Table1[[#This Row],[SyStudentId]],ISIR!$A$2:$X$4999,8,FALSE),"")</f>
        <v>N</v>
      </c>
      <c r="AL222" s="171" t="str">
        <f>IF(Table1[[#This Row],[VerReq]]="N","n/a","")</f>
        <v>n/a</v>
      </c>
      <c r="AM222" s="122"/>
      <c r="AN222" s="122"/>
      <c r="AO222" s="122"/>
      <c r="AP222" s="122"/>
      <c r="AQ222" s="122"/>
      <c r="AR222" s="122"/>
      <c r="AS222" s="122"/>
      <c r="AT222" s="122"/>
      <c r="AU222" s="122"/>
      <c r="AV222" s="122"/>
      <c r="AW222" s="122"/>
      <c r="AX222" s="122"/>
      <c r="AY222" s="122"/>
      <c r="AZ222" s="122"/>
      <c r="BA222" s="122"/>
      <c r="BB222" s="122"/>
      <c r="BC222" s="148"/>
      <c r="BD222" s="140" t="str">
        <f>IF(Table1[[#This Row],[VerReq]]="N","x","")</f>
        <v>x</v>
      </c>
      <c r="BE222" s="140" t="str">
        <f>IF(Table1[[#This Row],[VerReq]]="N","x","")</f>
        <v>x</v>
      </c>
      <c r="BF222" s="140" t="str">
        <f>IF(Table1[[#This Row],[VerReq]]="N","x","")</f>
        <v>x</v>
      </c>
      <c r="BG222" s="140" t="str">
        <f>IF(Table1[[#This Row],[VerReq]]="N","x","")</f>
        <v>x</v>
      </c>
      <c r="BH222" s="140" t="str">
        <f>IF(Table1[[#This Row],[VerReq]]="N","x","")</f>
        <v>x</v>
      </c>
      <c r="BI222" s="140" t="str">
        <f>IF(Table1[[#This Row],[VerReq]]="N","x","")</f>
        <v>x</v>
      </c>
      <c r="BJ222" s="181">
        <f>1-((COUNTBLANK(Table1[[#This Row],[ALESent]:[TaxTran]]))/(COUNT(Table1[[#This Row],[ALESent]:[TaxTran]])+COUNTBLANK(Table1[[#This Row],[ALESent]:[TaxTran]])))</f>
        <v>0</v>
      </c>
      <c r="BK222" s="216">
        <f>IF(VLOOKUP(Table1[[#This Row],[SyStudentId]],SSR!$A$2:$CC$4982,22,FALSE)=44109,44109,"Check Program")</f>
        <v>44109</v>
      </c>
      <c r="BL222" s="216">
        <f>IF(Table1[[#This Row],[AYStart]]=44109,44356,"Check Program")</f>
        <v>44356</v>
      </c>
      <c r="BM222" s="219">
        <v>8505</v>
      </c>
      <c r="BN222" s="219">
        <v>8505</v>
      </c>
      <c r="BO222" s="219">
        <v>8505</v>
      </c>
      <c r="BP222" s="220">
        <f t="shared" si="9"/>
        <v>25515</v>
      </c>
      <c r="BQ222" s="221">
        <v>3300</v>
      </c>
      <c r="BR222" s="219">
        <v>400</v>
      </c>
      <c r="BS222" s="219">
        <v>400</v>
      </c>
      <c r="BT222" s="222">
        <f t="shared" si="10"/>
        <v>4100</v>
      </c>
      <c r="BU222" s="219">
        <v>2100</v>
      </c>
      <c r="BV222" s="219">
        <v>2100</v>
      </c>
      <c r="BW222" s="219">
        <v>2100</v>
      </c>
      <c r="BX222" s="222">
        <f t="shared" si="11"/>
        <v>6300</v>
      </c>
      <c r="BY222" s="269">
        <v>1200</v>
      </c>
      <c r="BZ222" s="269">
        <v>1200</v>
      </c>
      <c r="CA222" s="269">
        <v>1200</v>
      </c>
      <c r="CB222" s="222">
        <f>SUM(Table1[[#This Row],[LEQ1]:[LEQ3]])</f>
        <v>3600</v>
      </c>
      <c r="CC222" s="276">
        <v>0</v>
      </c>
      <c r="CD222" s="276">
        <v>0</v>
      </c>
      <c r="CE222" s="276">
        <v>0</v>
      </c>
      <c r="CF222" s="222">
        <f>SUM(Table1[[#This Row],[OthCostQ1]:[OthCostQ3]])</f>
        <v>0</v>
      </c>
      <c r="CG222" s="222">
        <f>(Table1[[#This Row],[T&amp;FTot]]+Table1[[#This Row],[B&amp;STot]]+Table1[[#This Row],[HousTot]]+Table1[[#This Row],[LETot]]+Table1[[#This Row],[OthCostTot]])</f>
        <v>39515</v>
      </c>
      <c r="CH222" s="253">
        <v>0</v>
      </c>
      <c r="CI222" s="253">
        <v>0</v>
      </c>
      <c r="CJ222" s="253">
        <v>0</v>
      </c>
      <c r="CK222" s="254">
        <f>SUM(Table1[[#This Row],[SEOGQ1]:[SEOGQ3]])</f>
        <v>0</v>
      </c>
      <c r="CL222" s="253">
        <f>IFERROR(ROUNDUP(Table1[[#This Row],[PellTot]]/3,0),0)</f>
        <v>0</v>
      </c>
      <c r="CM222" s="253">
        <f>IFERROR(ROUND(Table1[[#This Row],[PellTot]]/3,0),0)</f>
        <v>0</v>
      </c>
      <c r="CN222" s="253">
        <f>IFERROR(ROUNDDOWN(Table1[[#This Row],[PellTot]]/3,0),0)</f>
        <v>0</v>
      </c>
      <c r="CO222" s="254">
        <f>IFERROR(LOOKUP(Table1[EFC],Pell_Table[#Data],Pell_Table[Pell Amt]),0)</f>
        <v>0</v>
      </c>
      <c r="CP222" s="253">
        <f>Table1[[#This Row],[AccessTot]]/3</f>
        <v>0</v>
      </c>
      <c r="CQ222" s="253">
        <f>Table1[[#This Row],[AccessTot]]/3</f>
        <v>0</v>
      </c>
      <c r="CR222" s="253">
        <f>Table1[[#This Row],[AccessTot]]/3</f>
        <v>0</v>
      </c>
      <c r="CS222" s="254">
        <f>IF(Table1[[#This Row],[PellTot]]&gt;0,1500,0)</f>
        <v>0</v>
      </c>
      <c r="CT222" s="253">
        <f>Table1[[#This Row],[AchiTot]]/3</f>
        <v>750</v>
      </c>
      <c r="CU222" s="253">
        <f>Table1[[#This Row],[AchiTot]]/3</f>
        <v>750</v>
      </c>
      <c r="CV222" s="253">
        <f>Table1[[#This Row],[AchiTot]]/3</f>
        <v>750</v>
      </c>
      <c r="CW222" s="255">
        <f>IF(Table1[[#This Row],[Rank]]="","",IF(Table1[[#This Row],[Rank]]=1,5100,IF(Table1[[#This Row],[Rank]]=2,4500,IF(Table1[[#This Row],[Rank]]=3,3900,IF(Table1[[#This Row],[Rank]]=4,3750,IF(Table1[[#This Row],[Rank]]=5,3000,IF(Table1[[#This Row],[Rank]]=6,2250,0)))))))</f>
        <v>2250</v>
      </c>
      <c r="CX222" s="253">
        <f>Table1[[#This Row],[UTTot]]/3</f>
        <v>0</v>
      </c>
      <c r="CY222" s="253">
        <f>Table1[[#This Row],[UTTot]]/3</f>
        <v>0</v>
      </c>
      <c r="CZ222" s="253">
        <f>Table1[[#This Row],[UTTot]]/3</f>
        <v>0</v>
      </c>
      <c r="DA222" s="254">
        <f>IF(Table1[[#This Row],[State]]="UT",9000,0)</f>
        <v>0</v>
      </c>
      <c r="DB222" s="253">
        <f>Table1[[#This Row],[WITTot]]/3</f>
        <v>0</v>
      </c>
      <c r="DC222" s="253">
        <f>Table1[[#This Row],[WITTot]]/3</f>
        <v>0</v>
      </c>
      <c r="DD222" s="253">
        <f>Table1[[#This Row],[WITTot]]/3</f>
        <v>0</v>
      </c>
      <c r="DE222" s="254">
        <f>IF(Table1[[#This Row],[Gender]]="Female",3000,0)</f>
        <v>0</v>
      </c>
      <c r="DF222" s="253">
        <f>Table1[[#This Row],[SerTot]]/3</f>
        <v>0</v>
      </c>
      <c r="DG222" s="253">
        <f>Table1[[#This Row],[SerTot]]/3</f>
        <v>0</v>
      </c>
      <c r="DH222" s="253">
        <f>Table1[[#This Row],[SerTot]]/3</f>
        <v>0</v>
      </c>
      <c r="DI222" s="255">
        <v>0</v>
      </c>
      <c r="DJ222" s="253">
        <f>IFERROR(ROUNDUP(Table1[[#This Row],[TranTot]]/3,0),0)</f>
        <v>0</v>
      </c>
      <c r="DK222" s="253">
        <f>IFERROR(ROUND(Table1[[#This Row],[TranTot]]/3,0),0)</f>
        <v>0</v>
      </c>
      <c r="DL222" s="253">
        <f>IFERROR(ROUNDDOWN(Table1[[#This Row],[TranTot]]/3,0),0)</f>
        <v>0</v>
      </c>
      <c r="DM222" s="255">
        <v>0</v>
      </c>
      <c r="DN222" s="253">
        <f>Table1[[#This Row],[MatTot]]/3</f>
        <v>0</v>
      </c>
      <c r="DO222" s="253">
        <f>Table1[[#This Row],[MatTot]]/3</f>
        <v>0</v>
      </c>
      <c r="DP222" s="253">
        <f>Table1[[#This Row],[MatTot]]/3</f>
        <v>0</v>
      </c>
      <c r="DQ222" s="255">
        <v>0</v>
      </c>
      <c r="DR222" s="253">
        <f>Table1[[#This Row],[OutTot]]/3</f>
        <v>0</v>
      </c>
      <c r="DS222" s="253">
        <f>Table1[[#This Row],[OutTot]]/3</f>
        <v>0</v>
      </c>
      <c r="DT222" s="253">
        <f>Table1[[#This Row],[OutTot]]/3</f>
        <v>0</v>
      </c>
      <c r="DU222" s="255">
        <v>0</v>
      </c>
      <c r="DV222" s="253">
        <v>0</v>
      </c>
      <c r="DW222" s="253">
        <v>0</v>
      </c>
      <c r="DX222" s="253">
        <v>0</v>
      </c>
      <c r="DY222" s="255">
        <f>SUM(Table1[[#This Row],[VAQ1]:[VAQ3]])</f>
        <v>0</v>
      </c>
      <c r="DZ222" s="253">
        <v>0</v>
      </c>
      <c r="EA222" s="253">
        <v>0</v>
      </c>
      <c r="EB222" s="253">
        <v>0</v>
      </c>
      <c r="EC222" s="278">
        <f>SUM(Table1[[#This Row],[OthGrantQ1]:[OthGrantQ3]])</f>
        <v>0</v>
      </c>
      <c r="ED222" s="264">
        <f>Table1[[#This Row],[SEOGTot]]+Table1[[#This Row],[PellTot]]+Table1[[#This Row],[AccessTot]]+Table1[[#This Row],[AchiTot]]+Table1[[#This Row],[UTTot]]+Table1[[#This Row],[WITTot]]+Table1[[#This Row],[SerTot]]+Table1[[#This Row],[TranTot]]+Table1[[#This Row],[MatTot]]+Table1[[#This Row],[OutTot]]+Table1[[#This Row],[VATot]]+Table1[[#This Row],[OthGrantTot]]</f>
        <v>2250</v>
      </c>
      <c r="EE222" s="298">
        <v>0</v>
      </c>
      <c r="EF222" s="227">
        <v>0</v>
      </c>
      <c r="EG222" s="227">
        <v>0</v>
      </c>
      <c r="EH222" s="228">
        <f>SUM(Table1[[#This Row],[CashQ1]]:Table1[[#This Row],[CashQ3]])</f>
        <v>0</v>
      </c>
      <c r="EI222" s="229">
        <f>ROUND((Table1[[#This Row],[SubTot]]/3)/1.01059,0)</f>
        <v>1154</v>
      </c>
      <c r="EJ222" s="230">
        <f>ROUND((Table1[[#This Row],[SubTot]]/3)/1.01059,0)</f>
        <v>1154</v>
      </c>
      <c r="EK222" s="230">
        <f>ROUNDUP((Table1[[#This Row],[SubTot]]/3)/1.01059,0)</f>
        <v>1155</v>
      </c>
      <c r="EL222" s="231">
        <v>3500</v>
      </c>
      <c r="EM222" s="233">
        <f>Table1[[#This Row],[SubTot]]*0.01059</f>
        <v>37.065000000000005</v>
      </c>
      <c r="EN222" s="230">
        <f>ROUND((Table1[[#This Row],[UnsubTot]]/3)/1.01062,0)</f>
        <v>660</v>
      </c>
      <c r="EO222" s="230">
        <f>ROUND((Table1[[#This Row],[UnsubTot]]/3)/1.01062,0)</f>
        <v>660</v>
      </c>
      <c r="EP222" s="230">
        <f>ROUNDDOWN((Table1[[#This Row],[UnsubTot]]/3)/1.01062,0)</f>
        <v>659</v>
      </c>
      <c r="EQ222" s="231">
        <f>IF(Table1[D/I]="I",6000,2000)</f>
        <v>2000</v>
      </c>
      <c r="ER222" s="233">
        <f>Table1[[#This Row],[UnsubTot]]*0.01059</f>
        <v>21.18</v>
      </c>
      <c r="ES222" s="230">
        <f>ROUND((Table1[[#This Row],[PLUSTot]]/3)/1.04236,0)</f>
        <v>0</v>
      </c>
      <c r="ET222" s="230">
        <f>ROUND((Table1[[#This Row],[PLUSTot]]/3)/1.04236,0)</f>
        <v>0</v>
      </c>
      <c r="EU222" s="230">
        <f>ROUND((Table1[[#This Row],[PLUSTot]]/3)/1.04236,0)</f>
        <v>0</v>
      </c>
      <c r="EV222" s="231">
        <v>0</v>
      </c>
      <c r="EW222" s="236">
        <f>Table1[[#This Row],[PLUSTot]]*0.04236</f>
        <v>0</v>
      </c>
      <c r="EX222" s="227"/>
      <c r="EY222" s="227"/>
      <c r="EZ222" s="227"/>
      <c r="FA222" s="228">
        <f>SUM(Table1[[#This Row],[PrivQ1]:[PrivQ3]])</f>
        <v>0</v>
      </c>
      <c r="FB222" s="227"/>
      <c r="FC222" s="227"/>
      <c r="FD222" s="227"/>
      <c r="FE222" s="228">
        <f>SUM(Table1[[#This Row],[TOQ1]:[TOQ3]])</f>
        <v>0</v>
      </c>
      <c r="FF222" s="227"/>
      <c r="FG222" s="227"/>
      <c r="FH222" s="227"/>
      <c r="FI222" s="228">
        <f>SUM(Table1[[#This Row],[OFundQ1]:[OFundQ3]])</f>
        <v>0</v>
      </c>
      <c r="FJ222" s="236">
        <f>(Table1[[#This Row],[SubTot]]-Table1[[#This Row],[SubFee]])+(Table1[[#This Row],[UnsubTot]]-Table1[[#This Row],[UnsubFee]])+(Table1[[#This Row],[PLUSTot]]-Table1[[#This Row],[PLUSFee]])+Table1[[#This Row],[PrivTot]]+Table1[[#This Row],[TOTot]]+Table1[[#This Row],[OFundTot]]</f>
        <v>5441.7550000000001</v>
      </c>
      <c r="FK222" s="159">
        <f>Table1[[#This Row],[CostTot]]-Table1[[#This Row],[GiftTot]]</f>
        <v>37265</v>
      </c>
      <c r="FL222" s="174">
        <f>Table1[[#This Row],[NetNeed]]/(1-0.04236)</f>
        <v>33230.906186040687</v>
      </c>
      <c r="FM222" s="176">
        <f>Table1[[#This Row],[NetCost]]-Table1[[#This Row],[CashTot]]-(Table1[[#This Row],[SubTot]]-Table1[[#This Row],[SubFee]])-(Table1[[#This Row],[UnsubTot]]-Table1[[#This Row],[UnsubFee]])-(Table1[[#This Row],[PLUSTot]]-Table1[[#This Row],[PLUSFee]])-Table1[[#This Row],[PrivTot]]-Table1[[#This Row],[TOTot]]-Table1[[#This Row],[OFundTot]]</f>
        <v>31823.245000000003</v>
      </c>
      <c r="FN222" s="217"/>
      <c r="FO222" s="162"/>
      <c r="FP222" s="162"/>
    </row>
    <row r="223" spans="1:172" ht="15" x14ac:dyDescent="0.25">
      <c r="A223" s="157">
        <v>195937</v>
      </c>
      <c r="B223" s="113" t="str">
        <f>VLOOKUP(Table1[[#This Row],[SyStudentId]],SSR!$A$2:$CC$4982,4,FALSE)</f>
        <v>Zheng</v>
      </c>
      <c r="C223" s="113" t="str">
        <f>VLOOKUP(Table1[[#This Row],[SyStudentId]],SSR!$A$2:$CC$4982,5,FALSE)</f>
        <v>Addison</v>
      </c>
      <c r="D223" s="113" t="str">
        <f>VLOOKUP(Table1[[#This Row],[SyStudentId]],SSR!$A$2:$CC$4982,6,FALSE)</f>
        <v>Zheng, Addison</v>
      </c>
      <c r="E223" s="113" t="str">
        <f>CONCATENATE(Table1[[#This Row],[FirstName]]," ",Table1[[#This Row],[LastName]])</f>
        <v>Addison Zheng</v>
      </c>
      <c r="F223" s="112"/>
      <c r="G223" s="114"/>
      <c r="H223" s="114"/>
      <c r="I223" s="114"/>
      <c r="J223" s="115"/>
      <c r="K223" s="116"/>
      <c r="L223" s="112" t="str">
        <f>IFERROR(VLOOKUP(Table1[[#This Row],[SyStudentId]],ISIR!$A$2:$X$999,11,FALSE),"")</f>
        <v/>
      </c>
      <c r="M223" s="113" t="str">
        <f>VLOOKUP(Table1[[#This Row],[SyStudentId]],SSR!$A$2:$CC$4982,7,FALSE)</f>
        <v>addisonsubtract@gmail.com</v>
      </c>
      <c r="N223" s="113" t="str">
        <f>VLOOKUP(Table1[[#This Row],[SyStudentId]],SSR!$A$2:$CC$4982,8,FALSE)</f>
        <v>64 Magness Creek Dr</v>
      </c>
      <c r="O223" s="113" t="str">
        <f>VLOOKUP(Table1[[#This Row],[SyStudentId]],SSR!$A$2:$CC$4982,9,FALSE)</f>
        <v>Cabot</v>
      </c>
      <c r="P223" s="113" t="str">
        <f>VLOOKUP(Table1[[#This Row],[SyStudentId]],SSR!$A$2:$CC$4982,10,FALSE)</f>
        <v>AR</v>
      </c>
      <c r="Q223" s="117" t="str">
        <f>VLOOKUP(Table1[[#This Row],[SyStudentId]],SSR!$A$2:$CC$4982,11,FALSE)</f>
        <v xml:space="preserve">72023     </v>
      </c>
      <c r="R223" s="118">
        <f>VLOOKUP(Table1[[#This Row],[SyStudentId]],SSR!$A$2:$CC$4982,15,FALSE)</f>
        <v>3.6429</v>
      </c>
      <c r="S223" s="119">
        <f>VLOOKUP(Table1[[#This Row],[SyStudentId]],SSR!$A$2:$CC$4982,22,FALSE)</f>
        <v>44109</v>
      </c>
      <c r="T223" s="113" t="str">
        <f>VLOOKUP(Table1[[#This Row],[SyStudentId]],SSR!$A$2:$CC$4982,24,FALSE)</f>
        <v>JT</v>
      </c>
      <c r="U223" s="113" t="str">
        <f>IF(VLOOKUP(Table1[[#This Row],[SyStudentId]],SSR!$A$2:$CC$4982,26,FALSE)=0,"Not Selected",VLOOKUP(Table1[[#This Row],[SyStudentId]],SSR!$A$2:$CC$4982,26,FALSE))</f>
        <v>Male</v>
      </c>
      <c r="V223" s="113" t="str">
        <f>VLOOKUP(Table1[[#This Row],[SyStudentId]],SSR!$A$2:$CC$4982,27,FALSE)</f>
        <v xml:space="preserve">HS2020  </v>
      </c>
      <c r="W223" s="113" t="str">
        <f>VLOOKUP(LEFT(Table1[[#This Row],[LastName]],1),Alpha!$A$1:$B$26,2,FALSE)</f>
        <v>Maureen Ranks</v>
      </c>
      <c r="X223" s="268" t="str">
        <f>VLOOKUP(Table1[[#This Row],[FAA]],Alpha!$B$1:$D$26,2,FALSE)</f>
        <v>mranks@neumont.edu</v>
      </c>
      <c r="Y223" s="113">
        <f>VLOOKUP(Table1[[#This Row],[FAA]],Alpha!$B$1:$D$26,3,FALSE)</f>
        <v>8883022894</v>
      </c>
      <c r="Z223" s="113" t="str">
        <f>VLOOKUP(Table1[[#This Row],[SyStudentId]],SSR!$A$2:$CC$4982,30,FALSE)</f>
        <v>16-Accepted</v>
      </c>
      <c r="AA223" s="113" t="str">
        <f>IF(VLOOKUP(Table1[[#This Row],[SyStudentId]],SSR!$A$2:$CC$4982,36,FALSE)="Bachelor of Science","BS Computer Science","Check Program")</f>
        <v>BS Computer Science</v>
      </c>
      <c r="AB223" s="113" t="str">
        <f>VLOOKUP(Table1[[#This Row],[SyStudentId]],SSR!$A$2:$CC$4982,37,FALSE)</f>
        <v xml:space="preserve">27      </v>
      </c>
      <c r="AC223" s="113">
        <f>VLOOKUP(Table1[[#This Row],[SyStudentId]],SSR!$A$2:$CC$4982,42,FALSE)</f>
        <v>0</v>
      </c>
      <c r="AD223" s="113" t="str">
        <f>VLOOKUP(Table1[[#This Row],[SyStudentId]],SSR!$A$2:$CC$4982,46,FALSE)</f>
        <v>119</v>
      </c>
      <c r="AE223" s="113" t="str">
        <f>VLOOKUP(Table1[[#This Row],[SyStudentId]],SSR!$A$2:$CC$4982,65,FALSE)</f>
        <v>I</v>
      </c>
      <c r="AF22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223" s="113" t="str">
        <f>VLOOKUP(Table1[[#This Row],[SyStudentId]],SSR!$A$2:$CC$4982,66,FALSE)</f>
        <v>July-October</v>
      </c>
      <c r="AH223" s="113" t="str">
        <f>IFERROR(VLOOKUP(Table1[[#This Row],[SyStudentId]],ISIR!$A$2:$X$999,7,FALSE),"")</f>
        <v/>
      </c>
      <c r="AI223" s="121" t="str">
        <f>IF(Table1[[#This Row],[EFCRaw]]="","",IF(Table1[[#This Row],[EFCRaw]]="No EFC","No EFC",_xlfn.NUMBERVALUE(Table1[[#This Row],[EFCRaw]])))</f>
        <v/>
      </c>
      <c r="AJ223" s="119" t="str">
        <f>IFERROR(VLOOKUP(Table1[[#This Row],[SyStudentId]],ISIR!$A$2:$X$4999,19,FALSE),"")</f>
        <v/>
      </c>
      <c r="AK223" s="113" t="str">
        <f>IFERROR(VLOOKUP(Table1[[#This Row],[SyStudentId]],ISIR!$A$2:$X$4999,8,FALSE),"")</f>
        <v/>
      </c>
      <c r="AL223" s="132" t="str">
        <f>IF(Table1[[#This Row],[VerReq]]="N","n/a","")</f>
        <v/>
      </c>
      <c r="AM223" s="122"/>
      <c r="AN223" s="122"/>
      <c r="AO223" s="122"/>
      <c r="AP223" s="122"/>
      <c r="AQ223" s="122"/>
      <c r="AR223" s="122"/>
      <c r="AS223" s="122"/>
      <c r="AT223" s="122"/>
      <c r="AU223" s="122"/>
      <c r="AV223" s="122"/>
      <c r="AW223" s="122"/>
      <c r="AX223" s="122"/>
      <c r="AY223" s="122"/>
      <c r="AZ223" s="122"/>
      <c r="BA223" s="122"/>
      <c r="BB223" s="122"/>
      <c r="BC223" s="148"/>
      <c r="BD223" s="140" t="str">
        <f>IF(Table1[[#This Row],[VerReq]]="N","x","")</f>
        <v/>
      </c>
      <c r="BE223" s="140" t="str">
        <f>IF(Table1[[#This Row],[VerReq]]="N","x","")</f>
        <v/>
      </c>
      <c r="BF223" s="140" t="str">
        <f>IF(Table1[[#This Row],[VerReq]]="N","x","")</f>
        <v/>
      </c>
      <c r="BG223" s="140" t="str">
        <f>IF(Table1[[#This Row],[VerReq]]="N","x","")</f>
        <v/>
      </c>
      <c r="BH223" s="140" t="str">
        <f>IF(Table1[[#This Row],[VerReq]]="N","x","")</f>
        <v/>
      </c>
      <c r="BI223" s="140" t="str">
        <f>IF(Table1[[#This Row],[VerReq]]="N","x","")</f>
        <v/>
      </c>
      <c r="BJ223" s="123">
        <f>1-((COUNTBLANK(Table1[[#This Row],[ALESent]:[TaxTran]]))/(COUNT(Table1[[#This Row],[ALESent]:[TaxTran]])+COUNTBLANK(Table1[[#This Row],[ALESent]:[TaxTran]])))</f>
        <v>0</v>
      </c>
      <c r="BK223" s="150">
        <f>IF(VLOOKUP(Table1[[#This Row],[SyStudentId]],SSR!$A$2:$CC$4982,22,FALSE)=44109,44109,"Check Program")</f>
        <v>44109</v>
      </c>
      <c r="BL223" s="150">
        <f>IF(Table1[[#This Row],[AYStart]]=44109,44356,"Check Program")</f>
        <v>44356</v>
      </c>
      <c r="BM223" s="219">
        <v>8505</v>
      </c>
      <c r="BN223" s="219">
        <v>8505</v>
      </c>
      <c r="BO223" s="219">
        <v>8505</v>
      </c>
      <c r="BP223" s="220">
        <f t="shared" si="9"/>
        <v>25515</v>
      </c>
      <c r="BQ223" s="221">
        <v>3300</v>
      </c>
      <c r="BR223" s="219">
        <v>400</v>
      </c>
      <c r="BS223" s="219">
        <v>400</v>
      </c>
      <c r="BT223" s="220">
        <f t="shared" si="10"/>
        <v>4100</v>
      </c>
      <c r="BU223" s="219">
        <v>2100</v>
      </c>
      <c r="BV223" s="219">
        <v>2100</v>
      </c>
      <c r="BW223" s="219">
        <v>2100</v>
      </c>
      <c r="BX223" s="222">
        <f t="shared" si="11"/>
        <v>6300</v>
      </c>
      <c r="BY223" s="269">
        <v>1200</v>
      </c>
      <c r="BZ223" s="269">
        <v>1200</v>
      </c>
      <c r="CA223" s="269">
        <v>1200</v>
      </c>
      <c r="CB223" s="222">
        <f>SUM(Table1[[#This Row],[LEQ1]:[LEQ3]])</f>
        <v>3600</v>
      </c>
      <c r="CC223" s="276">
        <v>0</v>
      </c>
      <c r="CD223" s="276">
        <v>0</v>
      </c>
      <c r="CE223" s="276">
        <v>0</v>
      </c>
      <c r="CF223" s="222">
        <f>SUM(Table1[[#This Row],[OthCostQ1]:[OthCostQ3]])</f>
        <v>0</v>
      </c>
      <c r="CG223" s="220">
        <f>(Table1[[#This Row],[T&amp;FTot]]+Table1[[#This Row],[B&amp;STot]]+Table1[[#This Row],[HousTot]]+Table1[[#This Row],[LETot]]+Table1[[#This Row],[OthCostTot]])</f>
        <v>39515</v>
      </c>
      <c r="CH223" s="250"/>
      <c r="CI223" s="250"/>
      <c r="CJ223" s="250"/>
      <c r="CK223" s="251">
        <f>SUM(Table1[[#This Row],[SEOGQ1]:[SEOGQ3]])</f>
        <v>0</v>
      </c>
      <c r="CL223" s="250">
        <f>IFERROR(ROUNDUP(Table1[[#This Row],[PellTot]]/3,0),0)</f>
        <v>0</v>
      </c>
      <c r="CM223" s="250">
        <f>IFERROR(ROUND(Table1[[#This Row],[PellTot]]/3,0),0)</f>
        <v>0</v>
      </c>
      <c r="CN223" s="250">
        <f>IFERROR(ROUNDDOWN(Table1[[#This Row],[PellTot]]/3,0),0)</f>
        <v>0</v>
      </c>
      <c r="CO223" s="251">
        <f>IFERROR(LOOKUP(Table1[EFC],Pell_Table[#Data],Pell_Table[Pell Amt]),0)</f>
        <v>0</v>
      </c>
      <c r="CP223" s="250">
        <f>Table1[[#This Row],[AccessTot]]/3</f>
        <v>0</v>
      </c>
      <c r="CQ223" s="250">
        <f>Table1[[#This Row],[AccessTot]]/3</f>
        <v>0</v>
      </c>
      <c r="CR223" s="250">
        <f>Table1[[#This Row],[AccessTot]]/3</f>
        <v>0</v>
      </c>
      <c r="CS223" s="251">
        <f>IF(Table1[[#This Row],[PellTot]]&gt;0,1500,0)</f>
        <v>0</v>
      </c>
      <c r="CT223" s="250">
        <f>Table1[[#This Row],[AchiTot]]/3</f>
        <v>1700</v>
      </c>
      <c r="CU223" s="250">
        <f>Table1[[#This Row],[AchiTot]]/3</f>
        <v>1700</v>
      </c>
      <c r="CV223" s="250">
        <f>Table1[[#This Row],[AchiTot]]/3</f>
        <v>1700</v>
      </c>
      <c r="CW223" s="252">
        <f>IF(Table1[[#This Row],[Rank]]="","",IF(Table1[[#This Row],[Rank]]=1,5100,IF(Table1[[#This Row],[Rank]]=2,4500,IF(Table1[[#This Row],[Rank]]=3,3900,IF(Table1[[#This Row],[Rank]]=4,3750,IF(Table1[[#This Row],[Rank]]=5,3000,IF(Table1[[#This Row],[Rank]]=6,2250,0)))))))</f>
        <v>5100</v>
      </c>
      <c r="CX223" s="250">
        <f>Table1[[#This Row],[UTTot]]/3</f>
        <v>0</v>
      </c>
      <c r="CY223" s="250">
        <f>Table1[[#This Row],[UTTot]]/3</f>
        <v>0</v>
      </c>
      <c r="CZ223" s="250">
        <f>Table1[[#This Row],[UTTot]]/3</f>
        <v>0</v>
      </c>
      <c r="DA223" s="251">
        <f>IF(Table1[[#This Row],[State]]="UT",9000,0)</f>
        <v>0</v>
      </c>
      <c r="DB223" s="250">
        <f>Table1[[#This Row],[WITTot]]/3</f>
        <v>0</v>
      </c>
      <c r="DC223" s="250">
        <f>Table1[[#This Row],[WITTot]]/3</f>
        <v>0</v>
      </c>
      <c r="DD223" s="250">
        <f>Table1[[#This Row],[WITTot]]/3</f>
        <v>0</v>
      </c>
      <c r="DE223" s="251">
        <f>IF(Table1[[#This Row],[Gender]]="Female",3000,0)</f>
        <v>0</v>
      </c>
      <c r="DF223" s="250">
        <f>Table1[[#This Row],[SerTot]]/3</f>
        <v>1000</v>
      </c>
      <c r="DG223" s="250">
        <f>Table1[[#This Row],[SerTot]]/3</f>
        <v>1000</v>
      </c>
      <c r="DH223" s="250">
        <f>Table1[[#This Row],[SerTot]]/3</f>
        <v>1000</v>
      </c>
      <c r="DI223" s="252">
        <v>3000</v>
      </c>
      <c r="DJ223" s="250"/>
      <c r="DK223" s="250"/>
      <c r="DL223" s="250"/>
      <c r="DM223" s="252"/>
      <c r="DN223" s="250">
        <f>Table1[[#This Row],[MatTot]]/3</f>
        <v>0</v>
      </c>
      <c r="DO223" s="250">
        <f>Table1[[#This Row],[MatTot]]/3</f>
        <v>0</v>
      </c>
      <c r="DP223" s="250">
        <f>Table1[[#This Row],[MatTot]]/3</f>
        <v>0</v>
      </c>
      <c r="DQ223" s="252"/>
      <c r="DR223" s="250">
        <f>Table1[[#This Row],[OutTot]]/3</f>
        <v>0</v>
      </c>
      <c r="DS223" s="250">
        <f>Table1[[#This Row],[OutTot]]/3</f>
        <v>0</v>
      </c>
      <c r="DT223" s="250">
        <f>Table1[[#This Row],[OutTot]]/3</f>
        <v>0</v>
      </c>
      <c r="DU223" s="252">
        <v>0</v>
      </c>
      <c r="DV223" s="253">
        <v>0</v>
      </c>
      <c r="DW223" s="253">
        <v>0</v>
      </c>
      <c r="DX223" s="253">
        <v>0</v>
      </c>
      <c r="DY223" s="252">
        <f>SUM(Table1[[#This Row],[VAQ1]:[VAQ3]])</f>
        <v>0</v>
      </c>
      <c r="DZ223" s="253">
        <v>0</v>
      </c>
      <c r="EA223" s="253">
        <v>0</v>
      </c>
      <c r="EB223" s="253">
        <v>0</v>
      </c>
      <c r="EC223" s="278">
        <f>SUM(Table1[[#This Row],[OthGrantQ1]:[OthGrantQ3]])</f>
        <v>0</v>
      </c>
      <c r="ED223" s="263">
        <f>Table1[[#This Row],[SEOGTot]]+Table1[[#This Row],[PellTot]]+Table1[[#This Row],[AccessTot]]+Table1[[#This Row],[AchiTot]]+Table1[[#This Row],[UTTot]]+Table1[[#This Row],[WITTot]]+Table1[[#This Row],[SerTot]]+Table1[[#This Row],[TranTot]]+Table1[[#This Row],[MatTot]]+Table1[[#This Row],[OutTot]]+Table1[[#This Row],[VATot]]+Table1[[#This Row],[OthGrantTot]]</f>
        <v>8100</v>
      </c>
      <c r="EE223" s="298">
        <v>0</v>
      </c>
      <c r="EF223" s="227">
        <v>0</v>
      </c>
      <c r="EG223" s="227">
        <v>0</v>
      </c>
      <c r="EH223" s="228">
        <f>SUM(Table1[[#This Row],[CashQ1]]:Table1[[#This Row],[CashQ3]])</f>
        <v>0</v>
      </c>
      <c r="EI223" s="229">
        <f>ROUND((Table1[[#This Row],[SubTot]]/3)/1.01059,0)</f>
        <v>1154</v>
      </c>
      <c r="EJ223" s="230">
        <f>ROUND((Table1[[#This Row],[SubTot]]/3)/1.01059,0)</f>
        <v>1154</v>
      </c>
      <c r="EK223" s="230">
        <f>ROUNDUP((Table1[[#This Row],[SubTot]]/3)/1.01059,0)</f>
        <v>1155</v>
      </c>
      <c r="EL223" s="231">
        <v>3500</v>
      </c>
      <c r="EM223" s="233">
        <f>Table1[[#This Row],[SubTot]]*0.01059</f>
        <v>37.065000000000005</v>
      </c>
      <c r="EN223" s="230">
        <f>ROUND((Table1[[#This Row],[UnsubTot]]/3)/1.01062,0)</f>
        <v>660</v>
      </c>
      <c r="EO223" s="230">
        <f>ROUND((Table1[[#This Row],[UnsubTot]]/3)/1.01062,0)</f>
        <v>660</v>
      </c>
      <c r="EP223" s="230">
        <f>ROUNDDOWN((Table1[[#This Row],[UnsubTot]]/3)/1.01062,0)</f>
        <v>659</v>
      </c>
      <c r="EQ223" s="231">
        <f>IF(Table1[D/I]="I",6000,2000)</f>
        <v>2000</v>
      </c>
      <c r="ER223" s="233">
        <f>Table1[[#This Row],[UnsubTot]]*0.01059</f>
        <v>21.18</v>
      </c>
      <c r="ES223" s="234">
        <f>ROUND((Table1[[#This Row],[PLUSTot]]/3)/1.04248,0)</f>
        <v>0</v>
      </c>
      <c r="ET223" s="234">
        <f>ROUND((Table1[[#This Row],[PLUSTot]]/3)/1.04248,0)</f>
        <v>0</v>
      </c>
      <c r="EU223" s="234">
        <f>ROUND((Table1[[#This Row],[PLUSTot]]/3)/1.04248,0)</f>
        <v>0</v>
      </c>
      <c r="EV223" s="235">
        <v>0</v>
      </c>
      <c r="EW223" s="236">
        <f>Table1[[#This Row],[PLUSTot]]*0.04236</f>
        <v>0</v>
      </c>
      <c r="EX223" s="237"/>
      <c r="EY223" s="237"/>
      <c r="EZ223" s="237"/>
      <c r="FA223" s="232">
        <f>SUM(Table1[[#This Row],[PrivQ1]:[PrivQ3]])</f>
        <v>0</v>
      </c>
      <c r="FB223" s="237"/>
      <c r="FC223" s="237"/>
      <c r="FD223" s="237"/>
      <c r="FE223" s="232">
        <f>SUM(Table1[[#This Row],[TOQ1]:[TOQ3]])</f>
        <v>0</v>
      </c>
      <c r="FF223" s="237"/>
      <c r="FG223" s="237"/>
      <c r="FH223" s="237"/>
      <c r="FI223" s="232">
        <f>SUM(Table1[[#This Row],[OFundQ1]:[OFundQ3]])</f>
        <v>0</v>
      </c>
      <c r="FJ223" s="239">
        <f>(Table1[[#This Row],[SubTot]]-Table1[[#This Row],[SubFee]])+(Table1[[#This Row],[UnsubTot]]-Table1[[#This Row],[UnsubFee]])+(Table1[[#This Row],[PLUSTot]]-Table1[[#This Row],[PLUSFee]])+Table1[[#This Row],[PrivTot]]+Table1[[#This Row],[TOTot]]+Table1[[#This Row],[OFundTot]]</f>
        <v>5441.7550000000001</v>
      </c>
      <c r="FK223" s="125">
        <f>Table1[[#This Row],[CostTot]]-Table1[[#This Row],[GiftTot]]</f>
        <v>31415</v>
      </c>
      <c r="FL223" s="130">
        <f>Table1[[#This Row],[NetNeed]]/(1-0.04248)</f>
        <v>27125.537847773412</v>
      </c>
      <c r="FM223" s="131">
        <f>Table1[[#This Row],[NetCost]]-Table1[[#This Row],[CashTot]]-(Table1[[#This Row],[SubTot]]-Table1[[#This Row],[SubFee]])-(Table1[[#This Row],[UnsubTot]]-Table1[[#This Row],[UnsubFee]])-(Table1[[#This Row],[PLUSTot]]-Table1[[#This Row],[PLUSFee]])-Table1[[#This Row],[PrivTot]]-Table1[[#This Row],[TOTot]]-Table1[[#This Row],[OFundTot]]</f>
        <v>25973.244999999999</v>
      </c>
      <c r="FN223" s="156"/>
      <c r="FO223" s="113"/>
      <c r="FP223" s="162"/>
    </row>
    <row r="224" spans="1:172" ht="15" x14ac:dyDescent="0.25">
      <c r="A224" s="329">
        <v>199367</v>
      </c>
      <c r="B224" s="113" t="str">
        <f>VLOOKUP(Table1[[#This Row],[SyStudentId]],SSR!$A$2:$CC$4982,4,FALSE)</f>
        <v>zornak</v>
      </c>
      <c r="C224" s="113" t="str">
        <f>VLOOKUP(Table1[[#This Row],[SyStudentId]],SSR!$A$2:$CC$4982,5,FALSE)</f>
        <v>alyssa</v>
      </c>
      <c r="D224" s="113" t="str">
        <f>VLOOKUP(Table1[[#This Row],[SyStudentId]],SSR!$A$2:$CC$4982,6,FALSE)</f>
        <v>zornak, alyssa</v>
      </c>
      <c r="E224" s="113" t="str">
        <f>CONCATENATE(Table1[[#This Row],[FirstName]]," ",Table1[[#This Row],[LastName]])</f>
        <v>alyssa zornak</v>
      </c>
      <c r="F224" s="112"/>
      <c r="G224" s="114"/>
      <c r="H224" s="114"/>
      <c r="I224" s="114"/>
      <c r="J224" s="115" t="s">
        <v>6041</v>
      </c>
      <c r="K224" s="116"/>
      <c r="L224" s="112" t="str">
        <f>IFERROR(VLOOKUP(Table1[[#This Row],[SyStudentId]],ISIR!$A$2:$X$999,11,FALSE),"")</f>
        <v>D</v>
      </c>
      <c r="M224" s="113" t="str">
        <f>VLOOKUP(Table1[[#This Row],[SyStudentId]],SSR!$A$2:$CC$4982,7,FALSE)</f>
        <v>alyssazornak@gmail.com</v>
      </c>
      <c r="N224" s="113" t="str">
        <f>VLOOKUP(Table1[[#This Row],[SyStudentId]],SSR!$A$2:$CC$4982,8,FALSE)</f>
        <v>2204 LODGE FOREST DRIVE</v>
      </c>
      <c r="O224" s="113" t="str">
        <f>VLOOKUP(Table1[[#This Row],[SyStudentId]],SSR!$A$2:$CC$4982,9,FALSE)</f>
        <v>EDGEMERE</v>
      </c>
      <c r="P224" s="303" t="str">
        <f>VLOOKUP(Table1[[#This Row],[SyStudentId]],SSR!$A$2:$CC$4982,10,FALSE)</f>
        <v>MD</v>
      </c>
      <c r="Q224" s="117" t="str">
        <f>VLOOKUP(Table1[[#This Row],[SyStudentId]],SSR!$A$2:$CC$4982,11,FALSE)</f>
        <v xml:space="preserve">21219     </v>
      </c>
      <c r="R224" s="118">
        <f>VLOOKUP(Table1[[#This Row],[SyStudentId]],SSR!$A$2:$CC$4982,15,FALSE)</f>
        <v>2.92</v>
      </c>
      <c r="S224" s="119">
        <f>VLOOKUP(Table1[[#This Row],[SyStudentId]],SSR!$A$2:$CC$4982,22,FALSE)</f>
        <v>44109</v>
      </c>
      <c r="T224" s="113" t="str">
        <f>VLOOKUP(Table1[[#This Row],[SyStudentId]],SSR!$A$2:$CC$4982,24,FALSE)</f>
        <v>GM</v>
      </c>
      <c r="U224" s="113" t="str">
        <f>IF(VLOOKUP(Table1[[#This Row],[SyStudentId]],SSR!$A$2:$CC$4982,26,FALSE)=0,"Not Selected",VLOOKUP(Table1[[#This Row],[SyStudentId]],SSR!$A$2:$CC$4982,26,FALSE))</f>
        <v>Female</v>
      </c>
      <c r="V224" s="113" t="str">
        <f>VLOOKUP(Table1[[#This Row],[SyStudentId]],SSR!$A$2:$CC$4982,27,FALSE)</f>
        <v xml:space="preserve">HS2020  </v>
      </c>
      <c r="W224" s="113" t="str">
        <f>VLOOKUP(LEFT(Table1[[#This Row],[LastName]],1),Alpha!$A$1:$B$26,2,FALSE)</f>
        <v>Maureen Ranks</v>
      </c>
      <c r="X224" s="149" t="str">
        <f>VLOOKUP(Table1[[#This Row],[FAA]],Alpha!$B$1:$D$26,2,FALSE)</f>
        <v>mranks@neumont.edu</v>
      </c>
      <c r="Y224" s="113">
        <f>VLOOKUP(Table1[[#This Row],[FAA]],Alpha!$B$1:$D$26,3,FALSE)</f>
        <v>8883022894</v>
      </c>
      <c r="Z224" s="113" t="str">
        <f>VLOOKUP(Table1[[#This Row],[SyStudentId]],SSR!$A$2:$CC$4982,30,FALSE)</f>
        <v>16-Accepted</v>
      </c>
      <c r="AA224" s="113" t="str">
        <f>IF(VLOOKUP(Table1[[#This Row],[SyStudentId]],SSR!$A$2:$CC$4982,36,FALSE)="Bachelor of Science","BS Computer Science","Check Program")</f>
        <v>BS Computer Science</v>
      </c>
      <c r="AB224" s="113">
        <f>VLOOKUP(Table1[[#This Row],[SyStudentId]],SSR!$A$2:$CC$4982,37,FALSE)</f>
        <v>0</v>
      </c>
      <c r="AC224" s="113">
        <f>VLOOKUP(Table1[[#This Row],[SyStudentId]],SSR!$A$2:$CC$4982,42,FALSE)</f>
        <v>0</v>
      </c>
      <c r="AD224" s="113" t="str">
        <f>VLOOKUP(Table1[[#This Row],[SyStudentId]],SSR!$A$2:$CC$4982,46,FALSE)</f>
        <v>0</v>
      </c>
      <c r="AE224" s="113" t="str">
        <f>VLOOKUP(Table1[[#This Row],[SyStudentId]],SSR!$A$2:$CC$4982,65,FALSE)</f>
        <v>VI</v>
      </c>
      <c r="AF224"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6</v>
      </c>
      <c r="AG224" s="113" t="str">
        <f>VLOOKUP(Table1[[#This Row],[SyStudentId]],SSR!$A$2:$CC$4982,66,FALSE)</f>
        <v>November</v>
      </c>
      <c r="AH224" s="113" t="str">
        <f>IFERROR(VLOOKUP(Table1[[#This Row],[SyStudentId]],ISIR!$A$2:$X$999,7,FALSE),"")</f>
        <v>003997</v>
      </c>
      <c r="AI224" s="121">
        <f>IF(Table1[[#This Row],[EFCRaw]]="","",IF(Table1[[#This Row],[EFCRaw]]="No EFC","No EFC",_xlfn.NUMBERVALUE(Table1[[#This Row],[EFCRaw]])))</f>
        <v>3997</v>
      </c>
      <c r="AJ224" s="119">
        <f>IFERROR(VLOOKUP(Table1[[#This Row],[SyStudentId]],ISIR!$A$2:$X$4999,19,FALSE),"")</f>
        <v>43790</v>
      </c>
      <c r="AK224" s="113" t="str">
        <f>IFERROR(VLOOKUP(Table1[[#This Row],[SyStudentId]],ISIR!$A$2:$X$4999,8,FALSE),"")</f>
        <v>Y</v>
      </c>
      <c r="AL224" s="132" t="str">
        <f>IF(Table1[[#This Row],[VerReq]]="N","n/a","")</f>
        <v/>
      </c>
      <c r="AM224" s="122"/>
      <c r="AN224" s="122"/>
      <c r="AO224" s="122"/>
      <c r="AP224" s="122"/>
      <c r="AQ224" s="122"/>
      <c r="AR224" s="122"/>
      <c r="AS224" s="122"/>
      <c r="AT224" s="122"/>
      <c r="AU224" s="122"/>
      <c r="AV224" s="122"/>
      <c r="AW224" s="122"/>
      <c r="AX224" s="122"/>
      <c r="AY224" s="122"/>
      <c r="AZ224" s="122"/>
      <c r="BA224" s="122"/>
      <c r="BB224" s="122"/>
      <c r="BC224" s="148"/>
      <c r="BD224" s="140" t="str">
        <f>IF(Table1[[#This Row],[VerReq]]="N","x","")</f>
        <v/>
      </c>
      <c r="BE224" s="140" t="str">
        <f>IF(Table1[[#This Row],[VerReq]]="N","x","")</f>
        <v/>
      </c>
      <c r="BF224" s="140" t="str">
        <f>IF(Table1[[#This Row],[VerReq]]="N","x","")</f>
        <v/>
      </c>
      <c r="BG224" s="140" t="str">
        <f>IF(Table1[[#This Row],[VerReq]]="N","x","")</f>
        <v/>
      </c>
      <c r="BH224" s="140" t="str">
        <f>IF(Table1[[#This Row],[VerReq]]="N","x","")</f>
        <v/>
      </c>
      <c r="BI224" s="140" t="str">
        <f>IF(Table1[[#This Row],[VerReq]]="N","x","")</f>
        <v/>
      </c>
      <c r="BJ224" s="123">
        <f>1-((COUNTBLANK(Table1[[#This Row],[ALESent]:[TaxTran]]))/(COUNT(Table1[[#This Row],[ALESent]:[TaxTran]])+COUNTBLANK(Table1[[#This Row],[ALESent]:[TaxTran]])))</f>
        <v>0</v>
      </c>
      <c r="BK224" s="150">
        <f>IF(VLOOKUP(Table1[[#This Row],[SyStudentId]],SSR!$A$2:$CC$4982,22,FALSE)=44109,44109,"Check Program")</f>
        <v>44109</v>
      </c>
      <c r="BL224" s="150">
        <f>IF(Table1[[#This Row],[AYStart]]=44109,44356,"Check Program")</f>
        <v>44356</v>
      </c>
      <c r="BM224" s="219"/>
      <c r="BN224" s="219"/>
      <c r="BO224" s="219"/>
      <c r="BP224" s="220">
        <f t="shared" si="9"/>
        <v>0</v>
      </c>
      <c r="BQ224" s="221"/>
      <c r="BR224" s="219"/>
      <c r="BS224" s="219"/>
      <c r="BT224" s="220">
        <f t="shared" si="10"/>
        <v>0</v>
      </c>
      <c r="BU224" s="219"/>
      <c r="BV224" s="219"/>
      <c r="BW224" s="219"/>
      <c r="BX224" s="220">
        <f t="shared" si="11"/>
        <v>0</v>
      </c>
      <c r="BY224" s="269"/>
      <c r="BZ224" s="269"/>
      <c r="CA224" s="269"/>
      <c r="CB224" s="220">
        <f>SUM(Table1[[#This Row],[LEQ1]:[LEQ3]])</f>
        <v>0</v>
      </c>
      <c r="CC224" s="269"/>
      <c r="CD224" s="269"/>
      <c r="CE224" s="269"/>
      <c r="CF224" s="220">
        <f>SUM(Table1[[#This Row],[OthCostQ1]:[OthCostQ3]])</f>
        <v>0</v>
      </c>
      <c r="CG224" s="220">
        <f>(Table1[[#This Row],[T&amp;FTot]]+Table1[[#This Row],[B&amp;STot]]+Table1[[#This Row],[HousTot]]+Table1[[#This Row],[LETot]]+Table1[[#This Row],[OthCostTot]])</f>
        <v>0</v>
      </c>
      <c r="CH224" s="250"/>
      <c r="CI224" s="250"/>
      <c r="CJ224" s="250"/>
      <c r="CK224" s="251">
        <f>SUM(Table1[[#This Row],[SEOGQ1]:[SEOGQ3]])</f>
        <v>0</v>
      </c>
      <c r="CL224" s="250">
        <f>IFERROR(ROUNDUP(Table1[[#This Row],[PellTot]]/3,0),0)</f>
        <v>749</v>
      </c>
      <c r="CM224" s="250">
        <f>IFERROR(ROUND(Table1[[#This Row],[PellTot]]/3,0),0)</f>
        <v>748</v>
      </c>
      <c r="CN224" s="250">
        <f>IFERROR(ROUNDDOWN(Table1[[#This Row],[PellTot]]/3,0),0)</f>
        <v>748</v>
      </c>
      <c r="CO224" s="251">
        <f>IFERROR(LOOKUP(Table1[EFC],Pell_Table[#Data],Pell_Table[Pell Amt]),0)</f>
        <v>2245</v>
      </c>
      <c r="CP224" s="250">
        <f>Table1[[#This Row],[AccessTot]]/3</f>
        <v>500</v>
      </c>
      <c r="CQ224" s="250">
        <f>Table1[[#This Row],[AccessTot]]/3</f>
        <v>500</v>
      </c>
      <c r="CR224" s="250">
        <f>Table1[[#This Row],[AccessTot]]/3</f>
        <v>500</v>
      </c>
      <c r="CS224" s="251">
        <f>IF(Table1[[#This Row],[PellTot]]&gt;0,1500,0)</f>
        <v>1500</v>
      </c>
      <c r="CT224" s="250">
        <f>Table1[[#This Row],[AchiTot]]/3</f>
        <v>750</v>
      </c>
      <c r="CU224" s="250">
        <f>Table1[[#This Row],[AchiTot]]/3</f>
        <v>750</v>
      </c>
      <c r="CV224" s="250">
        <f>Table1[[#This Row],[AchiTot]]/3</f>
        <v>750</v>
      </c>
      <c r="CW224" s="252">
        <f>IF(Table1[[#This Row],[Rank]]="","",IF(Table1[[#This Row],[Rank]]=1,5100,IF(Table1[[#This Row],[Rank]]=2,4500,IF(Table1[[#This Row],[Rank]]=3,3900,IF(Table1[[#This Row],[Rank]]=4,3750,IF(Table1[[#This Row],[Rank]]=5,3000,IF(Table1[[#This Row],[Rank]]=6,2250,0)))))))</f>
        <v>2250</v>
      </c>
      <c r="CX224" s="250">
        <f>Table1[[#This Row],[UTTot]]/3</f>
        <v>0</v>
      </c>
      <c r="CY224" s="250">
        <f>Table1[[#This Row],[UTTot]]/3</f>
        <v>0</v>
      </c>
      <c r="CZ224" s="250">
        <f>Table1[[#This Row],[UTTot]]/3</f>
        <v>0</v>
      </c>
      <c r="DA224" s="251">
        <f>IF(Table1[[#This Row],[State]]="UT",9000,0)</f>
        <v>0</v>
      </c>
      <c r="DB224" s="250">
        <f>Table1[[#This Row],[WITTot]]/3</f>
        <v>1000</v>
      </c>
      <c r="DC224" s="250">
        <f>Table1[[#This Row],[WITTot]]/3</f>
        <v>1000</v>
      </c>
      <c r="DD224" s="250">
        <f>Table1[[#This Row],[WITTot]]/3</f>
        <v>1000</v>
      </c>
      <c r="DE224" s="251">
        <f>IF(Table1[[#This Row],[Gender]]="Female",3000,0)</f>
        <v>3000</v>
      </c>
      <c r="DF224" s="250">
        <f>Table1[[#This Row],[SerTot]]/3</f>
        <v>0</v>
      </c>
      <c r="DG224" s="250">
        <f>Table1[[#This Row],[SerTot]]/3</f>
        <v>0</v>
      </c>
      <c r="DH224" s="250">
        <f>Table1[[#This Row],[SerTot]]/3</f>
        <v>0</v>
      </c>
      <c r="DI224" s="252"/>
      <c r="DJ224" s="250"/>
      <c r="DK224" s="250"/>
      <c r="DL224" s="250"/>
      <c r="DM224" s="252"/>
      <c r="DN224" s="250">
        <f>Table1[[#This Row],[MatTot]]/3</f>
        <v>0</v>
      </c>
      <c r="DO224" s="250">
        <f>Table1[[#This Row],[MatTot]]/3</f>
        <v>0</v>
      </c>
      <c r="DP224" s="250">
        <f>Table1[[#This Row],[MatTot]]/3</f>
        <v>0</v>
      </c>
      <c r="DQ224" s="252"/>
      <c r="DR224" s="250">
        <f>Table1[[#This Row],[OutTot]]/3</f>
        <v>0</v>
      </c>
      <c r="DS224" s="250">
        <f>Table1[[#This Row],[OutTot]]/3</f>
        <v>0</v>
      </c>
      <c r="DT224" s="250">
        <f>Table1[[#This Row],[OutTot]]/3</f>
        <v>0</v>
      </c>
      <c r="DU224" s="252"/>
      <c r="DV224" s="250"/>
      <c r="DW224" s="250"/>
      <c r="DX224" s="250"/>
      <c r="DY224" s="252">
        <f>SUM(Table1[[#This Row],[VAQ1]:[VAQ3]])</f>
        <v>0</v>
      </c>
      <c r="DZ224" s="250"/>
      <c r="EA224" s="250"/>
      <c r="EB224" s="250"/>
      <c r="EC224" s="270">
        <f>SUM(Table1[[#This Row],[OthGrantQ1]:[OthGrantQ3]])</f>
        <v>0</v>
      </c>
      <c r="ED224" s="263">
        <f>Table1[[#This Row],[SEOGTot]]+Table1[[#This Row],[PellTot]]+Table1[[#This Row],[AccessTot]]+Table1[[#This Row],[AchiTot]]+Table1[[#This Row],[UTTot]]+Table1[[#This Row],[WITTot]]+Table1[[#This Row],[SerTot]]+Table1[[#This Row],[TranTot]]+Table1[[#This Row],[MatTot]]+Table1[[#This Row],[OutTot]]+Table1[[#This Row],[VATot]]+Table1[[#This Row],[OthGrantTot]]</f>
        <v>8995</v>
      </c>
      <c r="EE224" s="282"/>
      <c r="EF224" s="237"/>
      <c r="EG224" s="237"/>
      <c r="EH224" s="232">
        <f>SUM(Table1[[#This Row],[CashQ1]]:Table1[[#This Row],[CashQ3]])</f>
        <v>0</v>
      </c>
      <c r="EI224" s="271">
        <f>ROUND((Table1[[#This Row],[SubTot]]/3)/1.01059,0)</f>
        <v>0</v>
      </c>
      <c r="EJ224" s="234">
        <f>ROUND((Table1[[#This Row],[SubTot]]/3)/1.01059,0)</f>
        <v>0</v>
      </c>
      <c r="EK224" s="234">
        <f>ROUNDUP((Table1[[#This Row],[SubTot]]/3)/1.01059,0)</f>
        <v>0</v>
      </c>
      <c r="EL224" s="235"/>
      <c r="EM224" s="240">
        <f>Table1[[#This Row],[SubTot]]*0.01059</f>
        <v>0</v>
      </c>
      <c r="EN224" s="234">
        <f>ROUND((Table1[[#This Row],[UnsubTot]]/3)/1.01062,0)</f>
        <v>660</v>
      </c>
      <c r="EO224" s="234">
        <f>ROUND((Table1[[#This Row],[UnsubTot]]/3)/1.01062,0)</f>
        <v>660</v>
      </c>
      <c r="EP224" s="234">
        <f>ROUNDDOWN((Table1[[#This Row],[UnsubTot]]/3)/1.01062,0)</f>
        <v>659</v>
      </c>
      <c r="EQ224" s="235">
        <f>IF(Table1[D/I]="I",6000,2000)</f>
        <v>2000</v>
      </c>
      <c r="ER224" s="240">
        <f>Table1[[#This Row],[UnsubTot]]*0.01062</f>
        <v>21.24</v>
      </c>
      <c r="ES224" s="234">
        <f>ROUND((Table1[[#This Row],[PLUSTot]]/3)/1.04248,0)</f>
        <v>0</v>
      </c>
      <c r="ET224" s="234">
        <f>ROUND((Table1[[#This Row],[PLUSTot]]/3)/1.04248,0)</f>
        <v>0</v>
      </c>
      <c r="EU224" s="234">
        <f>ROUND((Table1[[#This Row],[PLUSTot]]/3)/1.04248,0)</f>
        <v>0</v>
      </c>
      <c r="EV224" s="235"/>
      <c r="EW224" s="239">
        <f>Table1[[#This Row],[PLUSTot]]*0.04248</f>
        <v>0</v>
      </c>
      <c r="EX224" s="237"/>
      <c r="EY224" s="237"/>
      <c r="EZ224" s="237"/>
      <c r="FA224" s="232">
        <f>SUM(Table1[[#This Row],[PrivQ1]:[PrivQ3]])</f>
        <v>0</v>
      </c>
      <c r="FB224" s="237"/>
      <c r="FC224" s="237"/>
      <c r="FD224" s="237"/>
      <c r="FE224" s="232">
        <f>SUM(Table1[[#This Row],[TOQ1]:[TOQ3]])</f>
        <v>0</v>
      </c>
      <c r="FF224" s="237"/>
      <c r="FG224" s="237"/>
      <c r="FH224" s="237"/>
      <c r="FI224" s="232">
        <f>SUM(Table1[[#This Row],[OFundQ1]:[OFundQ3]])</f>
        <v>0</v>
      </c>
      <c r="FJ224" s="239">
        <f>(Table1[[#This Row],[SubTot]]-Table1[[#This Row],[SubFee]])+(Table1[[#This Row],[UnsubTot]]-Table1[[#This Row],[UnsubFee]])+(Table1[[#This Row],[PLUSTot]]-Table1[[#This Row],[PLUSFee]])+Table1[[#This Row],[PrivTot]]+Table1[[#This Row],[TOTot]]+Table1[[#This Row],[OFundTot]]</f>
        <v>1978.76</v>
      </c>
      <c r="FK224" s="125">
        <f>Table1[[#This Row],[CostTot]]-Table1[[#This Row],[GiftTot]]</f>
        <v>-8995</v>
      </c>
      <c r="FL224" s="130">
        <f>Table1[[#This Row],[NetNeed]]/(1-0.04248)</f>
        <v>-11460.606566964658</v>
      </c>
      <c r="FM224" s="131">
        <f>Table1[[#This Row],[NetCost]]-Table1[[#This Row],[CashTot]]-(Table1[[#This Row],[SubTot]]-Table1[[#This Row],[SubFee]])-(Table1[[#This Row],[UnsubTot]]-Table1[[#This Row],[UnsubFee]])-(Table1[[#This Row],[PLUSTot]]-Table1[[#This Row],[PLUSFee]])-Table1[[#This Row],[PrivTot]]-Table1[[#This Row],[TOTot]]-Table1[[#This Row],[OFundTot]]</f>
        <v>-10973.76</v>
      </c>
      <c r="FN224" s="156"/>
      <c r="FO224" s="113"/>
      <c r="FP224" s="113"/>
    </row>
    <row r="225" spans="1:172" ht="15" x14ac:dyDescent="0.25">
      <c r="A225" s="329">
        <v>192098</v>
      </c>
      <c r="B225" s="113" t="str">
        <f>VLOOKUP(Table1[[#This Row],[SyStudentId]],SSR!$A$2:$CC$4982,4,FALSE)</f>
        <v>Mann</v>
      </c>
      <c r="C225" s="113" t="str">
        <f>VLOOKUP(Table1[[#This Row],[SyStudentId]],SSR!$A$2:$CC$4982,5,FALSE)</f>
        <v>Brandon</v>
      </c>
      <c r="D225" s="113" t="str">
        <f>VLOOKUP(Table1[[#This Row],[SyStudentId]],SSR!$A$2:$CC$4982,6,FALSE)</f>
        <v>Mann, Brandon</v>
      </c>
      <c r="E225" s="113" t="str">
        <f>CONCATENATE(Table1[[#This Row],[FirstName]]," ",Table1[[#This Row],[LastName]])</f>
        <v>Brandon Mann</v>
      </c>
      <c r="F225" s="112"/>
      <c r="G225" s="114"/>
      <c r="H225" s="114"/>
      <c r="I225" s="114"/>
      <c r="J225" s="115"/>
      <c r="K225" s="116"/>
      <c r="L225" s="112" t="str">
        <f>IFERROR(VLOOKUP(Table1[[#This Row],[SyStudentId]],ISIR!$A$2:$X$999,11,FALSE),"")</f>
        <v>D</v>
      </c>
      <c r="M225" s="113" t="str">
        <f>VLOOKUP(Table1[[#This Row],[SyStudentId]],SSR!$A$2:$CC$4982,7,FALSE)</f>
        <v>blmann2002@gmail.com</v>
      </c>
      <c r="N225" s="113" t="str">
        <f>VLOOKUP(Table1[[#This Row],[SyStudentId]],SSR!$A$2:$CC$4982,8,FALSE)</f>
        <v>3254 MALCOLM ISLAND STREET</v>
      </c>
      <c r="O225" s="113" t="str">
        <f>VLOOKUP(Table1[[#This Row],[SyStudentId]],SSR!$A$2:$CC$4982,9,FALSE)</f>
        <v>WEST SACRAMENTO</v>
      </c>
      <c r="P225" s="113" t="str">
        <f>VLOOKUP(Table1[[#This Row],[SyStudentId]],SSR!$A$2:$CC$4982,10,FALSE)</f>
        <v>CA</v>
      </c>
      <c r="Q225" s="117" t="str">
        <f>VLOOKUP(Table1[[#This Row],[SyStudentId]],SSR!$A$2:$CC$4982,11,FALSE)</f>
        <v xml:space="preserve">95691     </v>
      </c>
      <c r="R225" s="118">
        <f>VLOOKUP(Table1[[#This Row],[SyStudentId]],SSR!$A$2:$CC$4982,15,FALSE)</f>
        <v>3.9487000000000001</v>
      </c>
      <c r="S225" s="119">
        <f>VLOOKUP(Table1[[#This Row],[SyStudentId]],SSR!$A$2:$CC$4982,22,FALSE)</f>
        <v>44109</v>
      </c>
      <c r="T225" s="113" t="str">
        <f>VLOOKUP(Table1[[#This Row],[SyStudentId]],SSR!$A$2:$CC$4982,24,FALSE)</f>
        <v>JT</v>
      </c>
      <c r="U225" s="113" t="str">
        <f>IF(VLOOKUP(Table1[[#This Row],[SyStudentId]],SSR!$A$2:$CC$4982,26,FALSE)=0,"Not Selected",VLOOKUP(Table1[[#This Row],[SyStudentId]],SSR!$A$2:$CC$4982,26,FALSE))</f>
        <v>Male</v>
      </c>
      <c r="V225" s="113" t="str">
        <f>VLOOKUP(Table1[[#This Row],[SyStudentId]],SSR!$A$2:$CC$4982,27,FALSE)</f>
        <v xml:space="preserve">HS2020  </v>
      </c>
      <c r="W225" s="113" t="str">
        <f>VLOOKUP(LEFT(Table1[[#This Row],[LastName]],1),Alpha!$A$1:$B$26,2,FALSE)</f>
        <v>Maureen Ranks</v>
      </c>
      <c r="X225" s="149" t="str">
        <f>VLOOKUP(Table1[[#This Row],[FAA]],Alpha!$B$1:$D$26,2,FALSE)</f>
        <v>mranks@neumont.edu</v>
      </c>
      <c r="Y225" s="113">
        <f>VLOOKUP(Table1[[#This Row],[FAA]],Alpha!$B$1:$D$26,3,FALSE)</f>
        <v>8883022894</v>
      </c>
      <c r="Z225" s="113" t="str">
        <f>VLOOKUP(Table1[[#This Row],[SyStudentId]],SSR!$A$2:$CC$4982,30,FALSE)</f>
        <v>16-Accepted</v>
      </c>
      <c r="AA225" s="113" t="str">
        <f>IF(VLOOKUP(Table1[[#This Row],[SyStudentId]],SSR!$A$2:$CC$4982,36,FALSE)="Bachelor of Science","BS Computer Science","Check Program")</f>
        <v>BS Computer Science</v>
      </c>
      <c r="AB225" s="113">
        <f>VLOOKUP(Table1[[#This Row],[SyStudentId]],SSR!$A$2:$CC$4982,37,FALSE)</f>
        <v>0</v>
      </c>
      <c r="AC225" s="113" t="str">
        <f>VLOOKUP(Table1[[#This Row],[SyStudentId]],SSR!$A$2:$CC$4982,42,FALSE)</f>
        <v xml:space="preserve">1460    </v>
      </c>
      <c r="AD225" s="113" t="str">
        <f>VLOOKUP(Table1[[#This Row],[SyStudentId]],SSR!$A$2:$CC$4982,46,FALSE)</f>
        <v>136</v>
      </c>
      <c r="AE225" s="113" t="str">
        <f>VLOOKUP(Table1[[#This Row],[SyStudentId]],SSR!$A$2:$CC$4982,65,FALSE)</f>
        <v>I</v>
      </c>
      <c r="AF225"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225" s="113" t="str">
        <f>VLOOKUP(Table1[[#This Row],[SyStudentId]],SSR!$A$2:$CC$4982,66,FALSE)</f>
        <v>December</v>
      </c>
      <c r="AH225" s="113" t="str">
        <f>IFERROR(VLOOKUP(Table1[[#This Row],[SyStudentId]],ISIR!$A$2:$X$999,7,FALSE),"")</f>
        <v>034703</v>
      </c>
      <c r="AI225" s="121">
        <f>IF(Table1[[#This Row],[EFCRaw]]="","",IF(Table1[[#This Row],[EFCRaw]]="No EFC","No EFC",_xlfn.NUMBERVALUE(Table1[[#This Row],[EFCRaw]])))</f>
        <v>34703</v>
      </c>
      <c r="AJ225" s="119">
        <f>IFERROR(VLOOKUP(Table1[[#This Row],[SyStudentId]],ISIR!$A$2:$X$4999,19,FALSE),"")</f>
        <v>43776</v>
      </c>
      <c r="AK225" s="113" t="str">
        <f>IFERROR(VLOOKUP(Table1[[#This Row],[SyStudentId]],ISIR!$A$2:$X$4999,8,FALSE),"")</f>
        <v>N</v>
      </c>
      <c r="AL225" s="132" t="str">
        <f>IF(Table1[[#This Row],[VerReq]]="N","n/a","")</f>
        <v>n/a</v>
      </c>
      <c r="AM225" s="122"/>
      <c r="AN225" s="122"/>
      <c r="AO225" s="122"/>
      <c r="AP225" s="122"/>
      <c r="AQ225" s="122"/>
      <c r="AR225" s="122"/>
      <c r="AS225" s="122"/>
      <c r="AT225" s="122"/>
      <c r="AU225" s="122"/>
      <c r="AV225" s="122"/>
      <c r="AW225" s="122"/>
      <c r="AX225" s="122"/>
      <c r="AY225" s="122"/>
      <c r="AZ225" s="122"/>
      <c r="BA225" s="122"/>
      <c r="BB225" s="122"/>
      <c r="BC225" s="148"/>
      <c r="BD225" s="140" t="str">
        <f>IF(Table1[[#This Row],[VerReq]]="N","x","")</f>
        <v>x</v>
      </c>
      <c r="BE225" s="140" t="str">
        <f>IF(Table1[[#This Row],[VerReq]]="N","x","")</f>
        <v>x</v>
      </c>
      <c r="BF225" s="140" t="str">
        <f>IF(Table1[[#This Row],[VerReq]]="N","x","")</f>
        <v>x</v>
      </c>
      <c r="BG225" s="140" t="str">
        <f>IF(Table1[[#This Row],[VerReq]]="N","x","")</f>
        <v>x</v>
      </c>
      <c r="BH225" s="140" t="str">
        <f>IF(Table1[[#This Row],[VerReq]]="N","x","")</f>
        <v>x</v>
      </c>
      <c r="BI225" s="140" t="str">
        <f>IF(Table1[[#This Row],[VerReq]]="N","x","")</f>
        <v>x</v>
      </c>
      <c r="BJ225" s="123">
        <f>1-((COUNTBLANK(Table1[[#This Row],[ALESent]:[TaxTran]]))/(COUNT(Table1[[#This Row],[ALESent]:[TaxTran]])+COUNTBLANK(Table1[[#This Row],[ALESent]:[TaxTran]])))</f>
        <v>0</v>
      </c>
      <c r="BK225" s="150">
        <f>IF(VLOOKUP(Table1[[#This Row],[SyStudentId]],SSR!$A$2:$CC$4982,22,FALSE)=44109,44109,"Check Program")</f>
        <v>44109</v>
      </c>
      <c r="BL225" s="150">
        <f>IF(Table1[[#This Row],[AYStart]]=44109,44356,"Check Program")</f>
        <v>44356</v>
      </c>
      <c r="BM225" s="219"/>
      <c r="BN225" s="219"/>
      <c r="BO225" s="219"/>
      <c r="BP225" s="220">
        <f t="shared" si="9"/>
        <v>0</v>
      </c>
      <c r="BQ225" s="221"/>
      <c r="BR225" s="219"/>
      <c r="BS225" s="219"/>
      <c r="BT225" s="220">
        <f t="shared" si="10"/>
        <v>0</v>
      </c>
      <c r="BU225" s="219"/>
      <c r="BV225" s="219"/>
      <c r="BW225" s="219"/>
      <c r="BX225" s="220">
        <f t="shared" si="11"/>
        <v>0</v>
      </c>
      <c r="BY225" s="269"/>
      <c r="BZ225" s="269"/>
      <c r="CA225" s="269"/>
      <c r="CB225" s="220">
        <f>SUM(Table1[[#This Row],[LEQ1]:[LEQ3]])</f>
        <v>0</v>
      </c>
      <c r="CC225" s="269"/>
      <c r="CD225" s="269"/>
      <c r="CE225" s="269"/>
      <c r="CF225" s="220">
        <f>SUM(Table1[[#This Row],[OthCostQ1]:[OthCostQ3]])</f>
        <v>0</v>
      </c>
      <c r="CG225" s="220">
        <f>(Table1[[#This Row],[T&amp;FTot]]+Table1[[#This Row],[B&amp;STot]]+Table1[[#This Row],[HousTot]]+Table1[[#This Row],[LETot]]+Table1[[#This Row],[OthCostTot]])</f>
        <v>0</v>
      </c>
      <c r="CH225" s="250"/>
      <c r="CI225" s="250"/>
      <c r="CJ225" s="250"/>
      <c r="CK225" s="251">
        <f>SUM(Table1[[#This Row],[SEOGQ1]:[SEOGQ3]])</f>
        <v>0</v>
      </c>
      <c r="CL225" s="250">
        <f>IFERROR(ROUNDUP(Table1[[#This Row],[PellTot]]/3,0),0)</f>
        <v>0</v>
      </c>
      <c r="CM225" s="250">
        <f>IFERROR(ROUND(Table1[[#This Row],[PellTot]]/3,0),0)</f>
        <v>0</v>
      </c>
      <c r="CN225" s="250">
        <f>IFERROR(ROUNDDOWN(Table1[[#This Row],[PellTot]]/3,0),0)</f>
        <v>0</v>
      </c>
      <c r="CO225" s="251">
        <f>IFERROR(LOOKUP(Table1[EFC],Pell_Table[#Data],Pell_Table[Pell Amt]),0)</f>
        <v>0</v>
      </c>
      <c r="CP225" s="250">
        <f>Table1[[#This Row],[AccessTot]]/3</f>
        <v>0</v>
      </c>
      <c r="CQ225" s="250">
        <f>Table1[[#This Row],[AccessTot]]/3</f>
        <v>0</v>
      </c>
      <c r="CR225" s="250">
        <f>Table1[[#This Row],[AccessTot]]/3</f>
        <v>0</v>
      </c>
      <c r="CS225" s="251">
        <f>IF(Table1[[#This Row],[PellTot]]&gt;0,1500,0)</f>
        <v>0</v>
      </c>
      <c r="CT225" s="250">
        <f>Table1[[#This Row],[AchiTot]]/3</f>
        <v>1700</v>
      </c>
      <c r="CU225" s="250">
        <f>Table1[[#This Row],[AchiTot]]/3</f>
        <v>1700</v>
      </c>
      <c r="CV225" s="250">
        <f>Table1[[#This Row],[AchiTot]]/3</f>
        <v>1700</v>
      </c>
      <c r="CW225" s="252">
        <f>IF(Table1[[#This Row],[Rank]]="","",IF(Table1[[#This Row],[Rank]]=1,5100,IF(Table1[[#This Row],[Rank]]=2,4500,IF(Table1[[#This Row],[Rank]]=3,3900,IF(Table1[[#This Row],[Rank]]=4,3750,IF(Table1[[#This Row],[Rank]]=5,3000,IF(Table1[[#This Row],[Rank]]=6,2250,0)))))))</f>
        <v>5100</v>
      </c>
      <c r="CX225" s="250">
        <f>Table1[[#This Row],[UTTot]]/3</f>
        <v>0</v>
      </c>
      <c r="CY225" s="250">
        <f>Table1[[#This Row],[UTTot]]/3</f>
        <v>0</v>
      </c>
      <c r="CZ225" s="250">
        <f>Table1[[#This Row],[UTTot]]/3</f>
        <v>0</v>
      </c>
      <c r="DA225" s="251">
        <f>IF(Table1[[#This Row],[State]]="UT",9000,0)</f>
        <v>0</v>
      </c>
      <c r="DB225" s="250">
        <f>Table1[[#This Row],[WITTot]]/3</f>
        <v>0</v>
      </c>
      <c r="DC225" s="250">
        <f>Table1[[#This Row],[WITTot]]/3</f>
        <v>0</v>
      </c>
      <c r="DD225" s="250">
        <f>Table1[[#This Row],[WITTot]]/3</f>
        <v>0</v>
      </c>
      <c r="DE225" s="251">
        <f>IF(Table1[[#This Row],[Gender]]="Female",3000,0)</f>
        <v>0</v>
      </c>
      <c r="DF225" s="250">
        <f>Table1[[#This Row],[SerTot]]/3</f>
        <v>0</v>
      </c>
      <c r="DG225" s="250">
        <f>Table1[[#This Row],[SerTot]]/3</f>
        <v>0</v>
      </c>
      <c r="DH225" s="250">
        <f>Table1[[#This Row],[SerTot]]/3</f>
        <v>0</v>
      </c>
      <c r="DI225" s="252"/>
      <c r="DJ225" s="250"/>
      <c r="DK225" s="250"/>
      <c r="DL225" s="250"/>
      <c r="DM225" s="252"/>
      <c r="DN225" s="250">
        <f>Table1[[#This Row],[MatTot]]/3</f>
        <v>0</v>
      </c>
      <c r="DO225" s="250">
        <f>Table1[[#This Row],[MatTot]]/3</f>
        <v>0</v>
      </c>
      <c r="DP225" s="250">
        <f>Table1[[#This Row],[MatTot]]/3</f>
        <v>0</v>
      </c>
      <c r="DQ225" s="252"/>
      <c r="DR225" s="250">
        <f>Table1[[#This Row],[OutTot]]/3</f>
        <v>0</v>
      </c>
      <c r="DS225" s="250">
        <f>Table1[[#This Row],[OutTot]]/3</f>
        <v>0</v>
      </c>
      <c r="DT225" s="250">
        <f>Table1[[#This Row],[OutTot]]/3</f>
        <v>0</v>
      </c>
      <c r="DU225" s="252"/>
      <c r="DV225" s="250"/>
      <c r="DW225" s="250"/>
      <c r="DX225" s="250"/>
      <c r="DY225" s="252">
        <f>SUM(Table1[[#This Row],[VAQ1]:[VAQ3]])</f>
        <v>0</v>
      </c>
      <c r="DZ225" s="250"/>
      <c r="EA225" s="250"/>
      <c r="EB225" s="250"/>
      <c r="EC225" s="270">
        <f>SUM(Table1[[#This Row],[OthGrantQ1]:[OthGrantQ3]])</f>
        <v>0</v>
      </c>
      <c r="ED225" s="263">
        <f>Table1[[#This Row],[SEOGTot]]+Table1[[#This Row],[PellTot]]+Table1[[#This Row],[AccessTot]]+Table1[[#This Row],[AchiTot]]+Table1[[#This Row],[UTTot]]+Table1[[#This Row],[WITTot]]+Table1[[#This Row],[SerTot]]+Table1[[#This Row],[TranTot]]+Table1[[#This Row],[MatTot]]+Table1[[#This Row],[OutTot]]+Table1[[#This Row],[VATot]]+Table1[[#This Row],[OthGrantTot]]</f>
        <v>5100</v>
      </c>
      <c r="EE225" s="282"/>
      <c r="EF225" s="237"/>
      <c r="EG225" s="237"/>
      <c r="EH225" s="232">
        <f>SUM(Table1[[#This Row],[CashQ1]]:Table1[[#This Row],[CashQ3]])</f>
        <v>0</v>
      </c>
      <c r="EI225" s="271">
        <f>ROUND((Table1[[#This Row],[SubTot]]/3)/1.01059,0)</f>
        <v>0</v>
      </c>
      <c r="EJ225" s="234">
        <f>ROUND((Table1[[#This Row],[SubTot]]/3)/1.01059,0)</f>
        <v>0</v>
      </c>
      <c r="EK225" s="234">
        <f>ROUNDUP((Table1[[#This Row],[SubTot]]/3)/1.01059,0)</f>
        <v>0</v>
      </c>
      <c r="EL225" s="235"/>
      <c r="EM225" s="240">
        <f>Table1[[#This Row],[SubTot]]*0.01059</f>
        <v>0</v>
      </c>
      <c r="EN225" s="234">
        <f>ROUND((Table1[[#This Row],[UnsubTot]]/3)/1.01062,0)</f>
        <v>660</v>
      </c>
      <c r="EO225" s="234">
        <f>ROUND((Table1[[#This Row],[UnsubTot]]/3)/1.01062,0)</f>
        <v>660</v>
      </c>
      <c r="EP225" s="234">
        <f>ROUNDDOWN((Table1[[#This Row],[UnsubTot]]/3)/1.01062,0)</f>
        <v>659</v>
      </c>
      <c r="EQ225" s="235">
        <f>IF(Table1[D/I]="I",6000,2000)</f>
        <v>2000</v>
      </c>
      <c r="ER225" s="240">
        <f>Table1[[#This Row],[UnsubTot]]*0.01062</f>
        <v>21.24</v>
      </c>
      <c r="ES225" s="234">
        <f>ROUND((Table1[[#This Row],[PLUSTot]]/3)/1.04248,0)</f>
        <v>0</v>
      </c>
      <c r="ET225" s="234">
        <f>ROUND((Table1[[#This Row],[PLUSTot]]/3)/1.04248,0)</f>
        <v>0</v>
      </c>
      <c r="EU225" s="234">
        <f>ROUND((Table1[[#This Row],[PLUSTot]]/3)/1.04248,0)</f>
        <v>0</v>
      </c>
      <c r="EV225" s="235"/>
      <c r="EW225" s="239">
        <f>Table1[[#This Row],[PLUSTot]]*0.04248</f>
        <v>0</v>
      </c>
      <c r="EX225" s="237"/>
      <c r="EY225" s="237"/>
      <c r="EZ225" s="237"/>
      <c r="FA225" s="232">
        <f>SUM(Table1[[#This Row],[PrivQ1]:[PrivQ3]])</f>
        <v>0</v>
      </c>
      <c r="FB225" s="237"/>
      <c r="FC225" s="237"/>
      <c r="FD225" s="237"/>
      <c r="FE225" s="232">
        <f>SUM(Table1[[#This Row],[TOQ1]:[TOQ3]])</f>
        <v>0</v>
      </c>
      <c r="FF225" s="237"/>
      <c r="FG225" s="237"/>
      <c r="FH225" s="237"/>
      <c r="FI225" s="232">
        <f>SUM(Table1[[#This Row],[OFundQ1]:[OFundQ3]])</f>
        <v>0</v>
      </c>
      <c r="FJ225" s="239">
        <f>(Table1[[#This Row],[SubTot]]-Table1[[#This Row],[SubFee]])+(Table1[[#This Row],[UnsubTot]]-Table1[[#This Row],[UnsubFee]])+(Table1[[#This Row],[PLUSTot]]-Table1[[#This Row],[PLUSFee]])+Table1[[#This Row],[PrivTot]]+Table1[[#This Row],[TOTot]]+Table1[[#This Row],[OFundTot]]</f>
        <v>1978.76</v>
      </c>
      <c r="FK225" s="125">
        <f>Table1[[#This Row],[CostTot]]-Table1[[#This Row],[GiftTot]]</f>
        <v>-5100</v>
      </c>
      <c r="FL225" s="130">
        <f>Table1[[#This Row],[NetNeed]]/(1-0.04248)</f>
        <v>-7392.8064165761552</v>
      </c>
      <c r="FM225" s="131">
        <f>Table1[[#This Row],[NetCost]]-Table1[[#This Row],[CashTot]]-(Table1[[#This Row],[SubTot]]-Table1[[#This Row],[SubFee]])-(Table1[[#This Row],[UnsubTot]]-Table1[[#This Row],[UnsubFee]])-(Table1[[#This Row],[PLUSTot]]-Table1[[#This Row],[PLUSFee]])-Table1[[#This Row],[PrivTot]]-Table1[[#This Row],[TOTot]]-Table1[[#This Row],[OFundTot]]</f>
        <v>-7078.76</v>
      </c>
      <c r="FN225" s="156"/>
      <c r="FO225" s="113"/>
      <c r="FP225" s="113"/>
    </row>
    <row r="226" spans="1:172" ht="15" x14ac:dyDescent="0.25">
      <c r="A226" s="329">
        <v>199245</v>
      </c>
      <c r="B226" s="113" t="str">
        <f>VLOOKUP(Table1[[#This Row],[SyStudentId]],SSR!$A$2:$CC$4982,4,FALSE)</f>
        <v>Mauler</v>
      </c>
      <c r="C226" s="113" t="str">
        <f>VLOOKUP(Table1[[#This Row],[SyStudentId]],SSR!$A$2:$CC$4982,5,FALSE)</f>
        <v>Coltin</v>
      </c>
      <c r="D226" s="113" t="str">
        <f>VLOOKUP(Table1[[#This Row],[SyStudentId]],SSR!$A$2:$CC$4982,6,FALSE)</f>
        <v>Mauler, Coltin</v>
      </c>
      <c r="E226" s="113" t="str">
        <f>CONCATENATE(Table1[[#This Row],[FirstName]]," ",Table1[[#This Row],[LastName]])</f>
        <v>Coltin Mauler</v>
      </c>
      <c r="F226" s="112"/>
      <c r="G226" s="114"/>
      <c r="H226" s="114"/>
      <c r="I226" s="114"/>
      <c r="J226" s="115"/>
      <c r="K226" s="116"/>
      <c r="L226" s="112" t="str">
        <f>IFERROR(VLOOKUP(Table1[[#This Row],[SyStudentId]],ISIR!$A$2:$X$999,11,FALSE),"")</f>
        <v/>
      </c>
      <c r="M226" s="113" t="str">
        <f>VLOOKUP(Table1[[#This Row],[SyStudentId]],SSR!$A$2:$CC$4982,7,FALSE)</f>
        <v>Coltmauler@gmail.com</v>
      </c>
      <c r="N226" s="113" t="str">
        <f>VLOOKUP(Table1[[#This Row],[SyStudentId]],SSR!$A$2:$CC$4982,8,FALSE)</f>
        <v>126 Indian Prairie Loop</v>
      </c>
      <c r="O226" s="113" t="str">
        <f>VLOOKUP(Table1[[#This Row],[SyStudentId]],SSR!$A$2:$CC$4982,9,FALSE)</f>
        <v>Stevensville</v>
      </c>
      <c r="P226" s="113" t="str">
        <f>VLOOKUP(Table1[[#This Row],[SyStudentId]],SSR!$A$2:$CC$4982,10,FALSE)</f>
        <v>MT</v>
      </c>
      <c r="Q226" s="117" t="str">
        <f>VLOOKUP(Table1[[#This Row],[SyStudentId]],SSR!$A$2:$CC$4982,11,FALSE)</f>
        <v xml:space="preserve">59870     </v>
      </c>
      <c r="R226" s="118">
        <f>VLOOKUP(Table1[[#This Row],[SyStudentId]],SSR!$A$2:$CC$4982,15,FALSE)</f>
        <v>3.8460000000000001</v>
      </c>
      <c r="S226" s="119">
        <f>VLOOKUP(Table1[[#This Row],[SyStudentId]],SSR!$A$2:$CC$4982,22,FALSE)</f>
        <v>44109</v>
      </c>
      <c r="T226" s="113" t="str">
        <f>VLOOKUP(Table1[[#This Row],[SyStudentId]],SSR!$A$2:$CC$4982,24,FALSE)</f>
        <v>JT</v>
      </c>
      <c r="U226" s="113" t="str">
        <f>IF(VLOOKUP(Table1[[#This Row],[SyStudentId]],SSR!$A$2:$CC$4982,26,FALSE)=0,"Not Selected",VLOOKUP(Table1[[#This Row],[SyStudentId]],SSR!$A$2:$CC$4982,26,FALSE))</f>
        <v>Male</v>
      </c>
      <c r="V226" s="113" t="str">
        <f>VLOOKUP(Table1[[#This Row],[SyStudentId]],SSR!$A$2:$CC$4982,27,FALSE)</f>
        <v xml:space="preserve">HS2020  </v>
      </c>
      <c r="W226" s="113" t="str">
        <f>VLOOKUP(LEFT(Table1[[#This Row],[LastName]],1),Alpha!$A$1:$B$26,2,FALSE)</f>
        <v>Maureen Ranks</v>
      </c>
      <c r="X226" s="149" t="str">
        <f>VLOOKUP(Table1[[#This Row],[FAA]],Alpha!$B$1:$D$26,2,FALSE)</f>
        <v>mranks@neumont.edu</v>
      </c>
      <c r="Y226" s="113">
        <f>VLOOKUP(Table1[[#This Row],[FAA]],Alpha!$B$1:$D$26,3,FALSE)</f>
        <v>8883022894</v>
      </c>
      <c r="Z226" s="113" t="str">
        <f>VLOOKUP(Table1[[#This Row],[SyStudentId]],SSR!$A$2:$CC$4982,30,FALSE)</f>
        <v>16-Accepted</v>
      </c>
      <c r="AA226" s="113" t="str">
        <f>IF(VLOOKUP(Table1[[#This Row],[SyStudentId]],SSR!$A$2:$CC$4982,36,FALSE)="Bachelor of Science","BS Computer Science","Check Program")</f>
        <v>BS Computer Science</v>
      </c>
      <c r="AB226" s="113">
        <f>VLOOKUP(Table1[[#This Row],[SyStudentId]],SSR!$A$2:$CC$4982,37,FALSE)</f>
        <v>0</v>
      </c>
      <c r="AC226" s="113">
        <f>VLOOKUP(Table1[[#This Row],[SyStudentId]],SSR!$A$2:$CC$4982,42,FALSE)</f>
        <v>0</v>
      </c>
      <c r="AD226" s="113" t="str">
        <f>VLOOKUP(Table1[[#This Row],[SyStudentId]],SSR!$A$2:$CC$4982,46,FALSE)</f>
        <v>0</v>
      </c>
      <c r="AE226" s="113" t="str">
        <f>VLOOKUP(Table1[[#This Row],[SyStudentId]],SSR!$A$2:$CC$4982,65,FALSE)</f>
        <v>II</v>
      </c>
      <c r="AF226"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2</v>
      </c>
      <c r="AG226" s="113" t="str">
        <f>VLOOKUP(Table1[[#This Row],[SyStudentId]],SSR!$A$2:$CC$4982,66,FALSE)</f>
        <v>December</v>
      </c>
      <c r="AH226" s="113" t="str">
        <f>IFERROR(VLOOKUP(Table1[[#This Row],[SyStudentId]],ISIR!$A$2:$X$999,7,FALSE),"")</f>
        <v/>
      </c>
      <c r="AI226" s="121" t="str">
        <f>IF(Table1[[#This Row],[EFCRaw]]="","",IF(Table1[[#This Row],[EFCRaw]]="No EFC","No EFC",_xlfn.NUMBERVALUE(Table1[[#This Row],[EFCRaw]])))</f>
        <v/>
      </c>
      <c r="AJ226" s="119" t="str">
        <f>IFERROR(VLOOKUP(Table1[[#This Row],[SyStudentId]],ISIR!$A$2:$X$4999,19,FALSE),"")</f>
        <v/>
      </c>
      <c r="AK226" s="113" t="str">
        <f>IFERROR(VLOOKUP(Table1[[#This Row],[SyStudentId]],ISIR!$A$2:$X$4999,8,FALSE),"")</f>
        <v/>
      </c>
      <c r="AL226" s="132" t="str">
        <f>IF(Table1[[#This Row],[VerReq]]="N","n/a","")</f>
        <v/>
      </c>
      <c r="AM226" s="122"/>
      <c r="AN226" s="122"/>
      <c r="AO226" s="122"/>
      <c r="AP226" s="122"/>
      <c r="AQ226" s="122"/>
      <c r="AR226" s="122"/>
      <c r="AS226" s="122"/>
      <c r="AT226" s="122"/>
      <c r="AU226" s="122"/>
      <c r="AV226" s="122"/>
      <c r="AW226" s="122"/>
      <c r="AX226" s="122"/>
      <c r="AY226" s="122"/>
      <c r="AZ226" s="122"/>
      <c r="BA226" s="122"/>
      <c r="BB226" s="122"/>
      <c r="BC226" s="148"/>
      <c r="BD226" s="140" t="str">
        <f>IF(Table1[[#This Row],[VerReq]]="N","x","")</f>
        <v/>
      </c>
      <c r="BE226" s="140" t="str">
        <f>IF(Table1[[#This Row],[VerReq]]="N","x","")</f>
        <v/>
      </c>
      <c r="BF226" s="140" t="str">
        <f>IF(Table1[[#This Row],[VerReq]]="N","x","")</f>
        <v/>
      </c>
      <c r="BG226" s="140" t="str">
        <f>IF(Table1[[#This Row],[VerReq]]="N","x","")</f>
        <v/>
      </c>
      <c r="BH226" s="140" t="str">
        <f>IF(Table1[[#This Row],[VerReq]]="N","x","")</f>
        <v/>
      </c>
      <c r="BI226" s="140" t="str">
        <f>IF(Table1[[#This Row],[VerReq]]="N","x","")</f>
        <v/>
      </c>
      <c r="BJ226" s="123">
        <f>1-((COUNTBLANK(Table1[[#This Row],[ALESent]:[TaxTran]]))/(COUNT(Table1[[#This Row],[ALESent]:[TaxTran]])+COUNTBLANK(Table1[[#This Row],[ALESent]:[TaxTran]])))</f>
        <v>0</v>
      </c>
      <c r="BK226" s="150">
        <f>IF(VLOOKUP(Table1[[#This Row],[SyStudentId]],SSR!$A$2:$CC$4982,22,FALSE)=44109,44109,"Check Program")</f>
        <v>44109</v>
      </c>
      <c r="BL226" s="150">
        <f>IF(Table1[[#This Row],[AYStart]]=44109,44356,"Check Program")</f>
        <v>44356</v>
      </c>
      <c r="BM226" s="219"/>
      <c r="BN226" s="219"/>
      <c r="BO226" s="219"/>
      <c r="BP226" s="220">
        <f t="shared" si="9"/>
        <v>0</v>
      </c>
      <c r="BQ226" s="221"/>
      <c r="BR226" s="219"/>
      <c r="BS226" s="219"/>
      <c r="BT226" s="220">
        <f t="shared" si="10"/>
        <v>0</v>
      </c>
      <c r="BU226" s="219"/>
      <c r="BV226" s="219"/>
      <c r="BW226" s="219"/>
      <c r="BX226" s="220">
        <f t="shared" si="11"/>
        <v>0</v>
      </c>
      <c r="BY226" s="269"/>
      <c r="BZ226" s="269"/>
      <c r="CA226" s="269"/>
      <c r="CB226" s="220">
        <f>SUM(Table1[[#This Row],[LEQ1]:[LEQ3]])</f>
        <v>0</v>
      </c>
      <c r="CC226" s="269"/>
      <c r="CD226" s="269"/>
      <c r="CE226" s="269"/>
      <c r="CF226" s="220">
        <f>SUM(Table1[[#This Row],[OthCostQ1]:[OthCostQ3]])</f>
        <v>0</v>
      </c>
      <c r="CG226" s="220">
        <f>(Table1[[#This Row],[T&amp;FTot]]+Table1[[#This Row],[B&amp;STot]]+Table1[[#This Row],[HousTot]]+Table1[[#This Row],[LETot]]+Table1[[#This Row],[OthCostTot]])</f>
        <v>0</v>
      </c>
      <c r="CH226" s="250"/>
      <c r="CI226" s="250"/>
      <c r="CJ226" s="250"/>
      <c r="CK226" s="251">
        <f>SUM(Table1[[#This Row],[SEOGQ1]:[SEOGQ3]])</f>
        <v>0</v>
      </c>
      <c r="CL226" s="250">
        <f>IFERROR(ROUNDUP(Table1[[#This Row],[PellTot]]/3,0),0)</f>
        <v>0</v>
      </c>
      <c r="CM226" s="250">
        <f>IFERROR(ROUND(Table1[[#This Row],[PellTot]]/3,0),0)</f>
        <v>0</v>
      </c>
      <c r="CN226" s="250">
        <f>IFERROR(ROUNDDOWN(Table1[[#This Row],[PellTot]]/3,0),0)</f>
        <v>0</v>
      </c>
      <c r="CO226" s="251">
        <f>IFERROR(LOOKUP(Table1[EFC],Pell_Table[#Data],Pell_Table[Pell Amt]),0)</f>
        <v>0</v>
      </c>
      <c r="CP226" s="250">
        <f>Table1[[#This Row],[AccessTot]]/3</f>
        <v>0</v>
      </c>
      <c r="CQ226" s="250">
        <f>Table1[[#This Row],[AccessTot]]/3</f>
        <v>0</v>
      </c>
      <c r="CR226" s="250">
        <f>Table1[[#This Row],[AccessTot]]/3</f>
        <v>0</v>
      </c>
      <c r="CS226" s="251">
        <f>IF(Table1[[#This Row],[PellTot]]&gt;0,1500,0)</f>
        <v>0</v>
      </c>
      <c r="CT226" s="250">
        <f>Table1[[#This Row],[AchiTot]]/3</f>
        <v>1500</v>
      </c>
      <c r="CU226" s="250">
        <f>Table1[[#This Row],[AchiTot]]/3</f>
        <v>1500</v>
      </c>
      <c r="CV226" s="250">
        <f>Table1[[#This Row],[AchiTot]]/3</f>
        <v>1500</v>
      </c>
      <c r="CW226" s="252">
        <f>IF(Table1[[#This Row],[Rank]]="","",IF(Table1[[#This Row],[Rank]]=1,5100,IF(Table1[[#This Row],[Rank]]=2,4500,IF(Table1[[#This Row],[Rank]]=3,3900,IF(Table1[[#This Row],[Rank]]=4,3750,IF(Table1[[#This Row],[Rank]]=5,3000,IF(Table1[[#This Row],[Rank]]=6,2250,0)))))))</f>
        <v>4500</v>
      </c>
      <c r="CX226" s="250">
        <f>Table1[[#This Row],[UTTot]]/3</f>
        <v>0</v>
      </c>
      <c r="CY226" s="250">
        <f>Table1[[#This Row],[UTTot]]/3</f>
        <v>0</v>
      </c>
      <c r="CZ226" s="250">
        <f>Table1[[#This Row],[UTTot]]/3</f>
        <v>0</v>
      </c>
      <c r="DA226" s="251">
        <f>IF(Table1[[#This Row],[State]]="UT",9000,0)</f>
        <v>0</v>
      </c>
      <c r="DB226" s="250">
        <f>Table1[[#This Row],[WITTot]]/3</f>
        <v>0</v>
      </c>
      <c r="DC226" s="250">
        <f>Table1[[#This Row],[WITTot]]/3</f>
        <v>0</v>
      </c>
      <c r="DD226" s="250">
        <f>Table1[[#This Row],[WITTot]]/3</f>
        <v>0</v>
      </c>
      <c r="DE226" s="251">
        <f>IF(Table1[[#This Row],[Gender]]="Female",3000,0)</f>
        <v>0</v>
      </c>
      <c r="DF226" s="250">
        <f>Table1[[#This Row],[SerTot]]/3</f>
        <v>0</v>
      </c>
      <c r="DG226" s="250">
        <f>Table1[[#This Row],[SerTot]]/3</f>
        <v>0</v>
      </c>
      <c r="DH226" s="250">
        <f>Table1[[#This Row],[SerTot]]/3</f>
        <v>0</v>
      </c>
      <c r="DI226" s="252"/>
      <c r="DJ226" s="250"/>
      <c r="DK226" s="250"/>
      <c r="DL226" s="250"/>
      <c r="DM226" s="252"/>
      <c r="DN226" s="250">
        <f>Table1[[#This Row],[MatTot]]/3</f>
        <v>0</v>
      </c>
      <c r="DO226" s="250">
        <f>Table1[[#This Row],[MatTot]]/3</f>
        <v>0</v>
      </c>
      <c r="DP226" s="250">
        <f>Table1[[#This Row],[MatTot]]/3</f>
        <v>0</v>
      </c>
      <c r="DQ226" s="252"/>
      <c r="DR226" s="250">
        <f>Table1[[#This Row],[OutTot]]/3</f>
        <v>0</v>
      </c>
      <c r="DS226" s="250">
        <f>Table1[[#This Row],[OutTot]]/3</f>
        <v>0</v>
      </c>
      <c r="DT226" s="250">
        <f>Table1[[#This Row],[OutTot]]/3</f>
        <v>0</v>
      </c>
      <c r="DU226" s="252"/>
      <c r="DV226" s="250"/>
      <c r="DW226" s="250"/>
      <c r="DX226" s="250"/>
      <c r="DY226" s="252">
        <f>SUM(Table1[[#This Row],[VAQ1]:[VAQ3]])</f>
        <v>0</v>
      </c>
      <c r="DZ226" s="250"/>
      <c r="EA226" s="250"/>
      <c r="EB226" s="250"/>
      <c r="EC226" s="270">
        <f>SUM(Table1[[#This Row],[OthGrantQ1]:[OthGrantQ3]])</f>
        <v>0</v>
      </c>
      <c r="ED226" s="263">
        <f>Table1[[#This Row],[SEOGTot]]+Table1[[#This Row],[PellTot]]+Table1[[#This Row],[AccessTot]]+Table1[[#This Row],[AchiTot]]+Table1[[#This Row],[UTTot]]+Table1[[#This Row],[WITTot]]+Table1[[#This Row],[SerTot]]+Table1[[#This Row],[TranTot]]+Table1[[#This Row],[MatTot]]+Table1[[#This Row],[OutTot]]+Table1[[#This Row],[VATot]]+Table1[[#This Row],[OthGrantTot]]</f>
        <v>4500</v>
      </c>
      <c r="EE226" s="282"/>
      <c r="EF226" s="237"/>
      <c r="EG226" s="237"/>
      <c r="EH226" s="232">
        <f>SUM(Table1[[#This Row],[CashQ1]]:Table1[[#This Row],[CashQ3]])</f>
        <v>0</v>
      </c>
      <c r="EI226" s="271">
        <f>ROUND((Table1[[#This Row],[SubTot]]/3)/1.01059,0)</f>
        <v>0</v>
      </c>
      <c r="EJ226" s="234">
        <f>ROUND((Table1[[#This Row],[SubTot]]/3)/1.01059,0)</f>
        <v>0</v>
      </c>
      <c r="EK226" s="234">
        <f>ROUNDUP((Table1[[#This Row],[SubTot]]/3)/1.01059,0)</f>
        <v>0</v>
      </c>
      <c r="EL226" s="235"/>
      <c r="EM226" s="240">
        <f>Table1[[#This Row],[SubTot]]*0.01059</f>
        <v>0</v>
      </c>
      <c r="EN226" s="234">
        <f>ROUND((Table1[[#This Row],[UnsubTot]]/3)/1.01062,0)</f>
        <v>660</v>
      </c>
      <c r="EO226" s="234">
        <f>ROUND((Table1[[#This Row],[UnsubTot]]/3)/1.01062,0)</f>
        <v>660</v>
      </c>
      <c r="EP226" s="234">
        <f>ROUNDDOWN((Table1[[#This Row],[UnsubTot]]/3)/1.01062,0)</f>
        <v>659</v>
      </c>
      <c r="EQ226" s="235">
        <f>IF(Table1[D/I]="I",6000,2000)</f>
        <v>2000</v>
      </c>
      <c r="ER226" s="240">
        <f>Table1[[#This Row],[UnsubTot]]*0.01062</f>
        <v>21.24</v>
      </c>
      <c r="ES226" s="234">
        <f>ROUND((Table1[[#This Row],[PLUSTot]]/3)/1.04248,0)</f>
        <v>0</v>
      </c>
      <c r="ET226" s="234">
        <f>ROUND((Table1[[#This Row],[PLUSTot]]/3)/1.04248,0)</f>
        <v>0</v>
      </c>
      <c r="EU226" s="234">
        <f>ROUND((Table1[[#This Row],[PLUSTot]]/3)/1.04248,0)</f>
        <v>0</v>
      </c>
      <c r="EV226" s="235"/>
      <c r="EW226" s="239">
        <f>Table1[[#This Row],[PLUSTot]]*0.04248</f>
        <v>0</v>
      </c>
      <c r="EX226" s="237"/>
      <c r="EY226" s="237"/>
      <c r="EZ226" s="237"/>
      <c r="FA226" s="232">
        <f>SUM(Table1[[#This Row],[PrivQ1]:[PrivQ3]])</f>
        <v>0</v>
      </c>
      <c r="FB226" s="237"/>
      <c r="FC226" s="237"/>
      <c r="FD226" s="237"/>
      <c r="FE226" s="232">
        <f>SUM(Table1[[#This Row],[TOQ1]:[TOQ3]])</f>
        <v>0</v>
      </c>
      <c r="FF226" s="237"/>
      <c r="FG226" s="237"/>
      <c r="FH226" s="237"/>
      <c r="FI226" s="232">
        <f>SUM(Table1[[#This Row],[OFundQ1]:[OFundQ3]])</f>
        <v>0</v>
      </c>
      <c r="FJ226" s="239">
        <f>(Table1[[#This Row],[SubTot]]-Table1[[#This Row],[SubFee]])+(Table1[[#This Row],[UnsubTot]]-Table1[[#This Row],[UnsubFee]])+(Table1[[#This Row],[PLUSTot]]-Table1[[#This Row],[PLUSFee]])+Table1[[#This Row],[PrivTot]]+Table1[[#This Row],[TOTot]]+Table1[[#This Row],[OFundTot]]</f>
        <v>1978.76</v>
      </c>
      <c r="FK226" s="125">
        <f>Table1[[#This Row],[CostTot]]-Table1[[#This Row],[GiftTot]]</f>
        <v>-4500</v>
      </c>
      <c r="FL226" s="130">
        <f>Table1[[#This Row],[NetNeed]]/(1-0.04248)</f>
        <v>-6766.1876514328678</v>
      </c>
      <c r="FM226" s="131">
        <f>Table1[[#This Row],[NetCost]]-Table1[[#This Row],[CashTot]]-(Table1[[#This Row],[SubTot]]-Table1[[#This Row],[SubFee]])-(Table1[[#This Row],[UnsubTot]]-Table1[[#This Row],[UnsubFee]])-(Table1[[#This Row],[PLUSTot]]-Table1[[#This Row],[PLUSFee]])-Table1[[#This Row],[PrivTot]]-Table1[[#This Row],[TOTot]]-Table1[[#This Row],[OFundTot]]</f>
        <v>-6478.76</v>
      </c>
      <c r="FN226" s="156"/>
      <c r="FO226" s="113"/>
      <c r="FP226" s="113"/>
    </row>
    <row r="227" spans="1:172" ht="15" x14ac:dyDescent="0.25">
      <c r="A227" s="329">
        <v>199698</v>
      </c>
      <c r="B227" s="113" t="str">
        <f>VLOOKUP(Table1[[#This Row],[SyStudentId]],SSR!$A$2:$CC$4982,4,FALSE)</f>
        <v>McCauley</v>
      </c>
      <c r="C227" s="113" t="str">
        <f>VLOOKUP(Table1[[#This Row],[SyStudentId]],SSR!$A$2:$CC$4982,5,FALSE)</f>
        <v>Derek</v>
      </c>
      <c r="D227" s="113" t="str">
        <f>VLOOKUP(Table1[[#This Row],[SyStudentId]],SSR!$A$2:$CC$4982,6,FALSE)</f>
        <v>McCauley, Derek</v>
      </c>
      <c r="E227" s="113" t="str">
        <f>CONCATENATE(Table1[[#This Row],[FirstName]]," ",Table1[[#This Row],[LastName]])</f>
        <v>Derek McCauley</v>
      </c>
      <c r="F227" s="112"/>
      <c r="G227" s="114"/>
      <c r="H227" s="114"/>
      <c r="I227" s="114"/>
      <c r="J227" s="115"/>
      <c r="K227" s="116"/>
      <c r="L227" s="112" t="str">
        <f>IFERROR(VLOOKUP(Table1[[#This Row],[SyStudentId]],ISIR!$A$2:$X$999,11,FALSE),"")</f>
        <v/>
      </c>
      <c r="M227" s="113" t="str">
        <f>VLOOKUP(Table1[[#This Row],[SyStudentId]],SSR!$A$2:$CC$4982,7,FALSE)</f>
        <v>DEREK.MCCAULEY2002@GMAIL.COM</v>
      </c>
      <c r="N227" s="113" t="str">
        <f>VLOOKUP(Table1[[#This Row],[SyStudentId]],SSR!$A$2:$CC$4982,8,FALSE)</f>
        <v>7073 Beagle St</v>
      </c>
      <c r="O227" s="113" t="str">
        <f>VLOOKUP(Table1[[#This Row],[SyStudentId]],SSR!$A$2:$CC$4982,9,FALSE)</f>
        <v>San Diego</v>
      </c>
      <c r="P227" s="113" t="str">
        <f>VLOOKUP(Table1[[#This Row],[SyStudentId]],SSR!$A$2:$CC$4982,10,FALSE)</f>
        <v>CA</v>
      </c>
      <c r="Q227" s="117" t="str">
        <f>VLOOKUP(Table1[[#This Row],[SyStudentId]],SSR!$A$2:$CC$4982,11,FALSE)</f>
        <v>92111-4709</v>
      </c>
      <c r="R227" s="118">
        <f>VLOOKUP(Table1[[#This Row],[SyStudentId]],SSR!$A$2:$CC$4982,15,FALSE)</f>
        <v>4</v>
      </c>
      <c r="S227" s="119">
        <f>VLOOKUP(Table1[[#This Row],[SyStudentId]],SSR!$A$2:$CC$4982,22,FALSE)</f>
        <v>44109</v>
      </c>
      <c r="T227" s="113" t="str">
        <f>VLOOKUP(Table1[[#This Row],[SyStudentId]],SSR!$A$2:$CC$4982,24,FALSE)</f>
        <v>JT</v>
      </c>
      <c r="U227" s="113" t="str">
        <f>IF(VLOOKUP(Table1[[#This Row],[SyStudentId]],SSR!$A$2:$CC$4982,26,FALSE)=0,"Not Selected",VLOOKUP(Table1[[#This Row],[SyStudentId]],SSR!$A$2:$CC$4982,26,FALSE))</f>
        <v>Male</v>
      </c>
      <c r="V227" s="113" t="str">
        <f>VLOOKUP(Table1[[#This Row],[SyStudentId]],SSR!$A$2:$CC$4982,27,FALSE)</f>
        <v xml:space="preserve">HS2020  </v>
      </c>
      <c r="W227" s="113" t="str">
        <f>VLOOKUP(LEFT(Table1[[#This Row],[LastName]],1),Alpha!$A$1:$B$26,2,FALSE)</f>
        <v>Maureen Ranks</v>
      </c>
      <c r="X227" s="149" t="str">
        <f>VLOOKUP(Table1[[#This Row],[FAA]],Alpha!$B$1:$D$26,2,FALSE)</f>
        <v>mranks@neumont.edu</v>
      </c>
      <c r="Y227" s="113">
        <f>VLOOKUP(Table1[[#This Row],[FAA]],Alpha!$B$1:$D$26,3,FALSE)</f>
        <v>8883022894</v>
      </c>
      <c r="Z227" s="113" t="str">
        <f>VLOOKUP(Table1[[#This Row],[SyStudentId]],SSR!$A$2:$CC$4982,30,FALSE)</f>
        <v>16-Accepted</v>
      </c>
      <c r="AA227" s="113" t="str">
        <f>IF(VLOOKUP(Table1[[#This Row],[SyStudentId]],SSR!$A$2:$CC$4982,36,FALSE)="Bachelor of Science","BS Computer Science","Check Program")</f>
        <v>BS Computer Science</v>
      </c>
      <c r="AB227" s="113" t="str">
        <f>VLOOKUP(Table1[[#This Row],[SyStudentId]],SSR!$A$2:$CC$4982,37,FALSE)</f>
        <v xml:space="preserve">28      </v>
      </c>
      <c r="AC227" s="113" t="str">
        <f>VLOOKUP(Table1[[#This Row],[SyStudentId]],SSR!$A$2:$CC$4982,42,FALSE)</f>
        <v xml:space="preserve">1360    </v>
      </c>
      <c r="AD227" s="113" t="str">
        <f>VLOOKUP(Table1[[#This Row],[SyStudentId]],SSR!$A$2:$CC$4982,46,FALSE)</f>
        <v>133</v>
      </c>
      <c r="AE227" s="113" t="str">
        <f>VLOOKUP(Table1[[#This Row],[SyStudentId]],SSR!$A$2:$CC$4982,65,FALSE)</f>
        <v>I</v>
      </c>
      <c r="AF227"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227" s="113" t="str">
        <f>VLOOKUP(Table1[[#This Row],[SyStudentId]],SSR!$A$2:$CC$4982,66,FALSE)</f>
        <v>December</v>
      </c>
      <c r="AH227" s="113" t="str">
        <f>IFERROR(VLOOKUP(Table1[[#This Row],[SyStudentId]],ISIR!$A$2:$X$999,7,FALSE),"")</f>
        <v/>
      </c>
      <c r="AI227" s="121" t="str">
        <f>IF(Table1[[#This Row],[EFCRaw]]="","",IF(Table1[[#This Row],[EFCRaw]]="No EFC","No EFC",_xlfn.NUMBERVALUE(Table1[[#This Row],[EFCRaw]])))</f>
        <v/>
      </c>
      <c r="AJ227" s="119" t="str">
        <f>IFERROR(VLOOKUP(Table1[[#This Row],[SyStudentId]],ISIR!$A$2:$X$4999,19,FALSE),"")</f>
        <v/>
      </c>
      <c r="AK227" s="113" t="str">
        <f>IFERROR(VLOOKUP(Table1[[#This Row],[SyStudentId]],ISIR!$A$2:$X$4999,8,FALSE),"")</f>
        <v/>
      </c>
      <c r="AL227" s="132" t="str">
        <f>IF(Table1[[#This Row],[VerReq]]="N","n/a","")</f>
        <v/>
      </c>
      <c r="AM227" s="122"/>
      <c r="AN227" s="122"/>
      <c r="AO227" s="122"/>
      <c r="AP227" s="122"/>
      <c r="AQ227" s="122"/>
      <c r="AR227" s="122"/>
      <c r="AS227" s="122"/>
      <c r="AT227" s="122"/>
      <c r="AU227" s="122"/>
      <c r="AV227" s="122"/>
      <c r="AW227" s="122"/>
      <c r="AX227" s="122"/>
      <c r="AY227" s="122"/>
      <c r="AZ227" s="122"/>
      <c r="BA227" s="122"/>
      <c r="BB227" s="122"/>
      <c r="BC227" s="148"/>
      <c r="BD227" s="140" t="str">
        <f>IF(Table1[[#This Row],[VerReq]]="N","x","")</f>
        <v/>
      </c>
      <c r="BE227" s="140" t="str">
        <f>IF(Table1[[#This Row],[VerReq]]="N","x","")</f>
        <v/>
      </c>
      <c r="BF227" s="140" t="str">
        <f>IF(Table1[[#This Row],[VerReq]]="N","x","")</f>
        <v/>
      </c>
      <c r="BG227" s="140" t="str">
        <f>IF(Table1[[#This Row],[VerReq]]="N","x","")</f>
        <v/>
      </c>
      <c r="BH227" s="140" t="str">
        <f>IF(Table1[[#This Row],[VerReq]]="N","x","")</f>
        <v/>
      </c>
      <c r="BI227" s="140" t="str">
        <f>IF(Table1[[#This Row],[VerReq]]="N","x","")</f>
        <v/>
      </c>
      <c r="BJ227" s="123">
        <f>1-((COUNTBLANK(Table1[[#This Row],[ALESent]:[TaxTran]]))/(COUNT(Table1[[#This Row],[ALESent]:[TaxTran]])+COUNTBLANK(Table1[[#This Row],[ALESent]:[TaxTran]])))</f>
        <v>0</v>
      </c>
      <c r="BK227" s="150">
        <f>IF(VLOOKUP(Table1[[#This Row],[SyStudentId]],SSR!$A$2:$CC$4982,22,FALSE)=44109,44109,"Check Program")</f>
        <v>44109</v>
      </c>
      <c r="BL227" s="150">
        <f>IF(Table1[[#This Row],[AYStart]]=44109,44356,"Check Program")</f>
        <v>44356</v>
      </c>
      <c r="BM227" s="219"/>
      <c r="BN227" s="219"/>
      <c r="BO227" s="219"/>
      <c r="BP227" s="220">
        <f t="shared" si="9"/>
        <v>0</v>
      </c>
      <c r="BQ227" s="221"/>
      <c r="BR227" s="219"/>
      <c r="BS227" s="219"/>
      <c r="BT227" s="220">
        <f t="shared" si="10"/>
        <v>0</v>
      </c>
      <c r="BU227" s="219"/>
      <c r="BV227" s="219"/>
      <c r="BW227" s="219"/>
      <c r="BX227" s="220">
        <f t="shared" si="11"/>
        <v>0</v>
      </c>
      <c r="BY227" s="269"/>
      <c r="BZ227" s="269"/>
      <c r="CA227" s="269"/>
      <c r="CB227" s="220">
        <f>SUM(Table1[[#This Row],[LEQ1]:[LEQ3]])</f>
        <v>0</v>
      </c>
      <c r="CC227" s="269"/>
      <c r="CD227" s="269"/>
      <c r="CE227" s="269"/>
      <c r="CF227" s="220">
        <f>SUM(Table1[[#This Row],[OthCostQ1]:[OthCostQ3]])</f>
        <v>0</v>
      </c>
      <c r="CG227" s="220">
        <f>(Table1[[#This Row],[T&amp;FTot]]+Table1[[#This Row],[B&amp;STot]]+Table1[[#This Row],[HousTot]]+Table1[[#This Row],[LETot]]+Table1[[#This Row],[OthCostTot]])</f>
        <v>0</v>
      </c>
      <c r="CH227" s="250"/>
      <c r="CI227" s="250"/>
      <c r="CJ227" s="250"/>
      <c r="CK227" s="251">
        <f>SUM(Table1[[#This Row],[SEOGQ1]:[SEOGQ3]])</f>
        <v>0</v>
      </c>
      <c r="CL227" s="250">
        <f>IFERROR(ROUNDUP(Table1[[#This Row],[PellTot]]/3,0),0)</f>
        <v>0</v>
      </c>
      <c r="CM227" s="250">
        <f>IFERROR(ROUND(Table1[[#This Row],[PellTot]]/3,0),0)</f>
        <v>0</v>
      </c>
      <c r="CN227" s="250">
        <f>IFERROR(ROUNDDOWN(Table1[[#This Row],[PellTot]]/3,0),0)</f>
        <v>0</v>
      </c>
      <c r="CO227" s="251">
        <f>IFERROR(LOOKUP(Table1[EFC],Pell_Table[#Data],Pell_Table[Pell Amt]),0)</f>
        <v>0</v>
      </c>
      <c r="CP227" s="250">
        <f>Table1[[#This Row],[AccessTot]]/3</f>
        <v>0</v>
      </c>
      <c r="CQ227" s="250">
        <f>Table1[[#This Row],[AccessTot]]/3</f>
        <v>0</v>
      </c>
      <c r="CR227" s="250">
        <f>Table1[[#This Row],[AccessTot]]/3</f>
        <v>0</v>
      </c>
      <c r="CS227" s="251">
        <f>IF(Table1[[#This Row],[PellTot]]&gt;0,1500,0)</f>
        <v>0</v>
      </c>
      <c r="CT227" s="250">
        <f>Table1[[#This Row],[AchiTot]]/3</f>
        <v>1700</v>
      </c>
      <c r="CU227" s="250">
        <f>Table1[[#This Row],[AchiTot]]/3</f>
        <v>1700</v>
      </c>
      <c r="CV227" s="250">
        <f>Table1[[#This Row],[AchiTot]]/3</f>
        <v>1700</v>
      </c>
      <c r="CW227" s="252">
        <f>IF(Table1[[#This Row],[Rank]]="","",IF(Table1[[#This Row],[Rank]]=1,5100,IF(Table1[[#This Row],[Rank]]=2,4500,IF(Table1[[#This Row],[Rank]]=3,3900,IF(Table1[[#This Row],[Rank]]=4,3750,IF(Table1[[#This Row],[Rank]]=5,3000,IF(Table1[[#This Row],[Rank]]=6,2250,0)))))))</f>
        <v>5100</v>
      </c>
      <c r="CX227" s="250">
        <f>Table1[[#This Row],[UTTot]]/3</f>
        <v>0</v>
      </c>
      <c r="CY227" s="250">
        <f>Table1[[#This Row],[UTTot]]/3</f>
        <v>0</v>
      </c>
      <c r="CZ227" s="250">
        <f>Table1[[#This Row],[UTTot]]/3</f>
        <v>0</v>
      </c>
      <c r="DA227" s="251">
        <f>IF(Table1[[#This Row],[State]]="UT",9000,0)</f>
        <v>0</v>
      </c>
      <c r="DB227" s="250">
        <f>Table1[[#This Row],[WITTot]]/3</f>
        <v>0</v>
      </c>
      <c r="DC227" s="250">
        <f>Table1[[#This Row],[WITTot]]/3</f>
        <v>0</v>
      </c>
      <c r="DD227" s="250">
        <f>Table1[[#This Row],[WITTot]]/3</f>
        <v>0</v>
      </c>
      <c r="DE227" s="251">
        <f>IF(Table1[[#This Row],[Gender]]="Female",3000,0)</f>
        <v>0</v>
      </c>
      <c r="DF227" s="250">
        <f>Table1[[#This Row],[SerTot]]/3</f>
        <v>0</v>
      </c>
      <c r="DG227" s="250">
        <f>Table1[[#This Row],[SerTot]]/3</f>
        <v>0</v>
      </c>
      <c r="DH227" s="250">
        <f>Table1[[#This Row],[SerTot]]/3</f>
        <v>0</v>
      </c>
      <c r="DI227" s="252"/>
      <c r="DJ227" s="250"/>
      <c r="DK227" s="250"/>
      <c r="DL227" s="250"/>
      <c r="DM227" s="252"/>
      <c r="DN227" s="250">
        <f>Table1[[#This Row],[MatTot]]/3</f>
        <v>0</v>
      </c>
      <c r="DO227" s="250">
        <f>Table1[[#This Row],[MatTot]]/3</f>
        <v>0</v>
      </c>
      <c r="DP227" s="250">
        <f>Table1[[#This Row],[MatTot]]/3</f>
        <v>0</v>
      </c>
      <c r="DQ227" s="252"/>
      <c r="DR227" s="250">
        <f>Table1[[#This Row],[OutTot]]/3</f>
        <v>0</v>
      </c>
      <c r="DS227" s="250">
        <f>Table1[[#This Row],[OutTot]]/3</f>
        <v>0</v>
      </c>
      <c r="DT227" s="250">
        <f>Table1[[#This Row],[OutTot]]/3</f>
        <v>0</v>
      </c>
      <c r="DU227" s="252"/>
      <c r="DV227" s="250"/>
      <c r="DW227" s="250"/>
      <c r="DX227" s="250"/>
      <c r="DY227" s="252">
        <f>SUM(Table1[[#This Row],[VAQ1]:[VAQ3]])</f>
        <v>0</v>
      </c>
      <c r="DZ227" s="250"/>
      <c r="EA227" s="250"/>
      <c r="EB227" s="250"/>
      <c r="EC227" s="270">
        <f>SUM(Table1[[#This Row],[OthGrantQ1]:[OthGrantQ3]])</f>
        <v>0</v>
      </c>
      <c r="ED227" s="263">
        <f>Table1[[#This Row],[SEOGTot]]+Table1[[#This Row],[PellTot]]+Table1[[#This Row],[AccessTot]]+Table1[[#This Row],[AchiTot]]+Table1[[#This Row],[UTTot]]+Table1[[#This Row],[WITTot]]+Table1[[#This Row],[SerTot]]+Table1[[#This Row],[TranTot]]+Table1[[#This Row],[MatTot]]+Table1[[#This Row],[OutTot]]+Table1[[#This Row],[VATot]]+Table1[[#This Row],[OthGrantTot]]</f>
        <v>5100</v>
      </c>
      <c r="EE227" s="282"/>
      <c r="EF227" s="237"/>
      <c r="EG227" s="237"/>
      <c r="EH227" s="232">
        <f>SUM(Table1[[#This Row],[CashQ1]]:Table1[[#This Row],[CashQ3]])</f>
        <v>0</v>
      </c>
      <c r="EI227" s="271">
        <f>ROUND((Table1[[#This Row],[SubTot]]/3)/1.01059,0)</f>
        <v>0</v>
      </c>
      <c r="EJ227" s="234">
        <f>ROUND((Table1[[#This Row],[SubTot]]/3)/1.01059,0)</f>
        <v>0</v>
      </c>
      <c r="EK227" s="234">
        <f>ROUNDUP((Table1[[#This Row],[SubTot]]/3)/1.01059,0)</f>
        <v>0</v>
      </c>
      <c r="EL227" s="235"/>
      <c r="EM227" s="240">
        <f>Table1[[#This Row],[SubTot]]*0.01059</f>
        <v>0</v>
      </c>
      <c r="EN227" s="234">
        <f>ROUND((Table1[[#This Row],[UnsubTot]]/3)/1.01062,0)</f>
        <v>660</v>
      </c>
      <c r="EO227" s="234">
        <f>ROUND((Table1[[#This Row],[UnsubTot]]/3)/1.01062,0)</f>
        <v>660</v>
      </c>
      <c r="EP227" s="234">
        <f>ROUNDDOWN((Table1[[#This Row],[UnsubTot]]/3)/1.01062,0)</f>
        <v>659</v>
      </c>
      <c r="EQ227" s="235">
        <f>IF(Table1[D/I]="I",6000,2000)</f>
        <v>2000</v>
      </c>
      <c r="ER227" s="240">
        <f>Table1[[#This Row],[UnsubTot]]*0.01062</f>
        <v>21.24</v>
      </c>
      <c r="ES227" s="234">
        <f>ROUND((Table1[[#This Row],[PLUSTot]]/3)/1.04248,0)</f>
        <v>0</v>
      </c>
      <c r="ET227" s="234">
        <f>ROUND((Table1[[#This Row],[PLUSTot]]/3)/1.04248,0)</f>
        <v>0</v>
      </c>
      <c r="EU227" s="234">
        <f>ROUND((Table1[[#This Row],[PLUSTot]]/3)/1.04248,0)</f>
        <v>0</v>
      </c>
      <c r="EV227" s="235"/>
      <c r="EW227" s="239">
        <f>Table1[[#This Row],[PLUSTot]]*0.04248</f>
        <v>0</v>
      </c>
      <c r="EX227" s="237"/>
      <c r="EY227" s="237"/>
      <c r="EZ227" s="237"/>
      <c r="FA227" s="232">
        <f>SUM(Table1[[#This Row],[PrivQ1]:[PrivQ3]])</f>
        <v>0</v>
      </c>
      <c r="FB227" s="237"/>
      <c r="FC227" s="237"/>
      <c r="FD227" s="237"/>
      <c r="FE227" s="232">
        <f>SUM(Table1[[#This Row],[TOQ1]:[TOQ3]])</f>
        <v>0</v>
      </c>
      <c r="FF227" s="237"/>
      <c r="FG227" s="237"/>
      <c r="FH227" s="237"/>
      <c r="FI227" s="232">
        <f>SUM(Table1[[#This Row],[OFundQ1]:[OFundQ3]])</f>
        <v>0</v>
      </c>
      <c r="FJ227" s="239">
        <f>(Table1[[#This Row],[SubTot]]-Table1[[#This Row],[SubFee]])+(Table1[[#This Row],[UnsubTot]]-Table1[[#This Row],[UnsubFee]])+(Table1[[#This Row],[PLUSTot]]-Table1[[#This Row],[PLUSFee]])+Table1[[#This Row],[PrivTot]]+Table1[[#This Row],[TOTot]]+Table1[[#This Row],[OFundTot]]</f>
        <v>1978.76</v>
      </c>
      <c r="FK227" s="125">
        <f>Table1[[#This Row],[CostTot]]-Table1[[#This Row],[GiftTot]]</f>
        <v>-5100</v>
      </c>
      <c r="FL227" s="130">
        <f>Table1[[#This Row],[NetNeed]]/(1-0.04248)</f>
        <v>-7392.8064165761552</v>
      </c>
      <c r="FM227" s="131">
        <f>Table1[[#This Row],[NetCost]]-Table1[[#This Row],[CashTot]]-(Table1[[#This Row],[SubTot]]-Table1[[#This Row],[SubFee]])-(Table1[[#This Row],[UnsubTot]]-Table1[[#This Row],[UnsubFee]])-(Table1[[#This Row],[PLUSTot]]-Table1[[#This Row],[PLUSFee]])-Table1[[#This Row],[PrivTot]]-Table1[[#This Row],[TOTot]]-Table1[[#This Row],[OFundTot]]</f>
        <v>-7078.76</v>
      </c>
      <c r="FN227" s="156"/>
      <c r="FO227" s="113"/>
      <c r="FP227" s="113"/>
    </row>
    <row r="228" spans="1:172" ht="15" x14ac:dyDescent="0.25">
      <c r="A228" s="329">
        <v>198528</v>
      </c>
      <c r="B228" s="113" t="str">
        <f>VLOOKUP(Table1[[#This Row],[SyStudentId]],SSR!$A$2:$CC$4982,4,FALSE)</f>
        <v>McManus</v>
      </c>
      <c r="C228" s="113" t="str">
        <f>VLOOKUP(Table1[[#This Row],[SyStudentId]],SSR!$A$2:$CC$4982,5,FALSE)</f>
        <v>Kaleb</v>
      </c>
      <c r="D228" s="113" t="str">
        <f>VLOOKUP(Table1[[#This Row],[SyStudentId]],SSR!$A$2:$CC$4982,6,FALSE)</f>
        <v>McManus, Kaleb</v>
      </c>
      <c r="E228" s="113"/>
      <c r="F228" s="112"/>
      <c r="G228" s="114"/>
      <c r="H228" s="114"/>
      <c r="I228" s="114"/>
      <c r="J228" s="115"/>
      <c r="K228" s="116"/>
      <c r="L228" s="112" t="str">
        <f>IFERROR(VLOOKUP(Table1[[#This Row],[SyStudentId]],ISIR!$A$2:$X$999,11,FALSE),"")</f>
        <v/>
      </c>
      <c r="M228" s="113" t="str">
        <f>VLOOKUP(Table1[[#This Row],[SyStudentId]],SSR!$A$2:$CC$4982,7,FALSE)</f>
        <v>kalebmcmanus@gmail.com</v>
      </c>
      <c r="N228" s="113" t="str">
        <f>VLOOKUP(Table1[[#This Row],[SyStudentId]],SSR!$A$2:$CC$4982,8,FALSE)</f>
        <v>48W 3300S</v>
      </c>
      <c r="O228" s="113" t="str">
        <f>VLOOKUP(Table1[[#This Row],[SyStudentId]],SSR!$A$2:$CC$4982,9,FALSE)</f>
        <v>SOUTH SALT LAKE</v>
      </c>
      <c r="P228" s="113" t="str">
        <f>VLOOKUP(Table1[[#This Row],[SyStudentId]],SSR!$A$2:$CC$4982,10,FALSE)</f>
        <v>UT</v>
      </c>
      <c r="Q228" s="117" t="str">
        <f>VLOOKUP(Table1[[#This Row],[SyStudentId]],SSR!$A$2:$CC$4982,11,FALSE)</f>
        <v xml:space="preserve">84115     </v>
      </c>
      <c r="R228" s="118">
        <f>VLOOKUP(Table1[[#This Row],[SyStudentId]],SSR!$A$2:$CC$4982,15,FALSE)</f>
        <v>3.0977000000000001</v>
      </c>
      <c r="S228" s="119">
        <f>VLOOKUP(Table1[[#This Row],[SyStudentId]],SSR!$A$2:$CC$4982,22,FALSE)</f>
        <v>44109</v>
      </c>
      <c r="T228" s="113" t="str">
        <f>VLOOKUP(Table1[[#This Row],[SyStudentId]],SSR!$A$2:$CC$4982,24,FALSE)</f>
        <v>MN</v>
      </c>
      <c r="U228" s="113" t="str">
        <f>IF(VLOOKUP(Table1[[#This Row],[SyStudentId]],SSR!$A$2:$CC$4982,26,FALSE)=0,"Not Selected",VLOOKUP(Table1[[#This Row],[SyStudentId]],SSR!$A$2:$CC$4982,26,FALSE))</f>
        <v>Male</v>
      </c>
      <c r="V228" s="113" t="str">
        <f>VLOOKUP(Table1[[#This Row],[SyStudentId]],SSR!$A$2:$CC$4982,27,FALSE)</f>
        <v xml:space="preserve">HS2019  </v>
      </c>
      <c r="W228" s="113" t="str">
        <f>VLOOKUP(LEFT(Table1[[#This Row],[LastName]],1),Alpha!$A$1:$B$26,2,FALSE)</f>
        <v>Maureen Ranks</v>
      </c>
      <c r="X228" s="149" t="str">
        <f>VLOOKUP(Table1[[#This Row],[FAA]],Alpha!$B$1:$D$26,2,FALSE)</f>
        <v>mranks@neumont.edu</v>
      </c>
      <c r="Y228" s="113">
        <f>VLOOKUP(Table1[[#This Row],[FAA]],Alpha!$B$1:$D$26,3,FALSE)</f>
        <v>8883022894</v>
      </c>
      <c r="Z228" s="113" t="str">
        <f>VLOOKUP(Table1[[#This Row],[SyStudentId]],SSR!$A$2:$CC$4982,30,FALSE)</f>
        <v>16-Accepted</v>
      </c>
      <c r="AA228" s="113" t="str">
        <f>IF(VLOOKUP(Table1[[#This Row],[SyStudentId]],SSR!$A$2:$CC$4982,36,FALSE)="Bachelor of Science","BS Computer Science","Check Program")</f>
        <v>BS Computer Science</v>
      </c>
      <c r="AB228" s="113">
        <f>VLOOKUP(Table1[[#This Row],[SyStudentId]],SSR!$A$2:$CC$4982,37,FALSE)</f>
        <v>0</v>
      </c>
      <c r="AC228" s="113">
        <f>VLOOKUP(Table1[[#This Row],[SyStudentId]],SSR!$A$2:$CC$4982,42,FALSE)</f>
        <v>0</v>
      </c>
      <c r="AD228" s="113" t="str">
        <f>VLOOKUP(Table1[[#This Row],[SyStudentId]],SSR!$A$2:$CC$4982,46,FALSE)</f>
        <v>0</v>
      </c>
      <c r="AE228" s="113" t="str">
        <f>VLOOKUP(Table1[[#This Row],[SyStudentId]],SSR!$A$2:$CC$4982,65,FALSE)</f>
        <v>IX</v>
      </c>
      <c r="AF228"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228" s="113" t="str">
        <f>VLOOKUP(Table1[[#This Row],[SyStudentId]],SSR!$A$2:$CC$4982,66,FALSE)</f>
        <v>December</v>
      </c>
      <c r="AH228" s="113" t="str">
        <f>IFERROR(VLOOKUP(Table1[[#This Row],[SyStudentId]],ISIR!$A$2:$X$999,7,FALSE),"")</f>
        <v/>
      </c>
      <c r="AI228" s="121" t="str">
        <f>IF(Table1[[#This Row],[EFCRaw]]="","",IF(Table1[[#This Row],[EFCRaw]]="No EFC","No EFC",_xlfn.NUMBERVALUE(Table1[[#This Row],[EFCRaw]])))</f>
        <v/>
      </c>
      <c r="AJ228" s="119" t="str">
        <f>IFERROR(VLOOKUP(Table1[[#This Row],[SyStudentId]],ISIR!$A$2:$X$4999,19,FALSE),"")</f>
        <v/>
      </c>
      <c r="AK228" s="113" t="str">
        <f>IFERROR(VLOOKUP(Table1[[#This Row],[SyStudentId]],ISIR!$A$2:$X$4999,8,FALSE),"")</f>
        <v/>
      </c>
      <c r="AL228" s="156" t="str">
        <f>IF(Table1[[#This Row],[VerReq]]="N","n/a","")</f>
        <v/>
      </c>
      <c r="AM228" s="122"/>
      <c r="AN228" s="122"/>
      <c r="AO228" s="122"/>
      <c r="AP228" s="122"/>
      <c r="AQ228" s="122"/>
      <c r="AR228" s="122"/>
      <c r="AS228" s="122"/>
      <c r="AT228" s="122"/>
      <c r="AU228" s="122"/>
      <c r="AV228" s="122"/>
      <c r="AW228" s="122"/>
      <c r="AX228" s="122"/>
      <c r="AY228" s="122"/>
      <c r="AZ228" s="122"/>
      <c r="BA228" s="122"/>
      <c r="BB228" s="122"/>
      <c r="BC228" s="148"/>
      <c r="BD228" s="140" t="str">
        <f>IF(Table1[[#This Row],[VerReq]]="N","x","")</f>
        <v/>
      </c>
      <c r="BE228" s="140" t="str">
        <f>IF(Table1[[#This Row],[VerReq]]="N","x","")</f>
        <v/>
      </c>
      <c r="BF228" s="140" t="str">
        <f>IF(Table1[[#This Row],[VerReq]]="N","x","")</f>
        <v/>
      </c>
      <c r="BG228" s="140" t="str">
        <f>IF(Table1[[#This Row],[VerReq]]="N","x","")</f>
        <v/>
      </c>
      <c r="BH228" s="140" t="str">
        <f>IF(Table1[[#This Row],[VerReq]]="N","x","")</f>
        <v/>
      </c>
      <c r="BI228" s="140" t="str">
        <f>IF(Table1[[#This Row],[VerReq]]="N","x","")</f>
        <v/>
      </c>
      <c r="BJ228" s="123">
        <f>1-((COUNTBLANK(Table1[[#This Row],[ALESent]:[TaxTran]]))/(COUNT(Table1[[#This Row],[ALESent]:[TaxTran]])+COUNTBLANK(Table1[[#This Row],[ALESent]:[TaxTran]])))</f>
        <v>0</v>
      </c>
      <c r="BK228" s="150">
        <f>IF(VLOOKUP(Table1[[#This Row],[SyStudentId]],SSR!$A$2:$CC$4982,22,FALSE)=44109,44109,"Check Program")</f>
        <v>44109</v>
      </c>
      <c r="BL228" s="150">
        <f>IF(Table1[[#This Row],[AYStart]]=44109,44356,"Check Program")</f>
        <v>44356</v>
      </c>
      <c r="BM228" s="219"/>
      <c r="BN228" s="219"/>
      <c r="BO228" s="219"/>
      <c r="BP228" s="220">
        <f t="shared" ref="BP228:BP247" si="12">SUM(BM228:BO228)</f>
        <v>0</v>
      </c>
      <c r="BQ228" s="221"/>
      <c r="BR228" s="219"/>
      <c r="BS228" s="219"/>
      <c r="BT228" s="220">
        <f t="shared" ref="BT228:BT247" si="13">SUM(BQ228:BS228)</f>
        <v>0</v>
      </c>
      <c r="BU228" s="219"/>
      <c r="BV228" s="219"/>
      <c r="BW228" s="219"/>
      <c r="BX228" s="220">
        <f t="shared" ref="BX228:BX247" si="14">SUM(BU228:BW228)</f>
        <v>0</v>
      </c>
      <c r="BY228" s="269"/>
      <c r="BZ228" s="269"/>
      <c r="CA228" s="269"/>
      <c r="CB228" s="220">
        <f>SUM(Table1[[#This Row],[LEQ1]:[LEQ3]])</f>
        <v>0</v>
      </c>
      <c r="CC228" s="269"/>
      <c r="CD228" s="269"/>
      <c r="CE228" s="269"/>
      <c r="CF228" s="220">
        <f>SUM(Table1[[#This Row],[OthCostQ1]:[OthCostQ3]])</f>
        <v>0</v>
      </c>
      <c r="CG228" s="220">
        <f>(Table1[[#This Row],[T&amp;FTot]]+Table1[[#This Row],[B&amp;STot]]+Table1[[#This Row],[HousTot]]+Table1[[#This Row],[LETot]]+Table1[[#This Row],[OthCostTot]])</f>
        <v>0</v>
      </c>
      <c r="CH228" s="250"/>
      <c r="CI228" s="250"/>
      <c r="CJ228" s="250"/>
      <c r="CK228" s="251">
        <f>SUM(Table1[[#This Row],[SEOGQ1]:[SEOGQ3]])</f>
        <v>0</v>
      </c>
      <c r="CL228" s="250">
        <f>IFERROR(ROUNDUP(Table1[[#This Row],[PellTot]]/3,0),0)</f>
        <v>0</v>
      </c>
      <c r="CM228" s="250">
        <f>IFERROR(ROUND(Table1[[#This Row],[PellTot]]/3,0),0)</f>
        <v>0</v>
      </c>
      <c r="CN228" s="250">
        <f>IFERROR(ROUNDDOWN(Table1[[#This Row],[PellTot]]/3,0),0)</f>
        <v>0</v>
      </c>
      <c r="CO228" s="251">
        <f>IFERROR(LOOKUP(Table1[EFC],Pell_Table[#Data],Pell_Table[Pell Amt]),0)</f>
        <v>0</v>
      </c>
      <c r="CP228" s="250">
        <f>Table1[[#This Row],[AccessTot]]/3</f>
        <v>0</v>
      </c>
      <c r="CQ228" s="250">
        <f>Table1[[#This Row],[AccessTot]]/3</f>
        <v>0</v>
      </c>
      <c r="CR228" s="250">
        <f>Table1[[#This Row],[AccessTot]]/3</f>
        <v>0</v>
      </c>
      <c r="CS228" s="251">
        <f>IF(Table1[[#This Row],[PellTot]]&gt;0,1500,0)</f>
        <v>0</v>
      </c>
      <c r="CT228" s="250">
        <f>Table1[[#This Row],[AchiTot]]/3</f>
        <v>0</v>
      </c>
      <c r="CU228" s="250">
        <f>Table1[[#This Row],[AchiTot]]/3</f>
        <v>0</v>
      </c>
      <c r="CV228" s="250">
        <f>Table1[[#This Row],[AchiTot]]/3</f>
        <v>0</v>
      </c>
      <c r="CW228" s="252">
        <f>IF(Table1[[#This Row],[Rank]]="","",IF(Table1[[#This Row],[Rank]]=1,5100,IF(Table1[[#This Row],[Rank]]=2,4500,IF(Table1[[#This Row],[Rank]]=3,3900,IF(Table1[[#This Row],[Rank]]=4,3750,IF(Table1[[#This Row],[Rank]]=5,3000,IF(Table1[[#This Row],[Rank]]=6,2250,0)))))))</f>
        <v>0</v>
      </c>
      <c r="CX228" s="250">
        <f>Table1[[#This Row],[UTTot]]/3</f>
        <v>3000</v>
      </c>
      <c r="CY228" s="250">
        <f>Table1[[#This Row],[UTTot]]/3</f>
        <v>3000</v>
      </c>
      <c r="CZ228" s="250">
        <f>Table1[[#This Row],[UTTot]]/3</f>
        <v>3000</v>
      </c>
      <c r="DA228" s="251">
        <f>IF(Table1[[#This Row],[State]]="UT",9000,0)</f>
        <v>9000</v>
      </c>
      <c r="DB228" s="250">
        <f>Table1[[#This Row],[WITTot]]/3</f>
        <v>0</v>
      </c>
      <c r="DC228" s="250">
        <f>Table1[[#This Row],[WITTot]]/3</f>
        <v>0</v>
      </c>
      <c r="DD228" s="250">
        <f>Table1[[#This Row],[WITTot]]/3</f>
        <v>0</v>
      </c>
      <c r="DE228" s="251">
        <f>IF(Table1[[#This Row],[Gender]]="Female",3000,0)</f>
        <v>0</v>
      </c>
      <c r="DF228" s="250">
        <f>Table1[[#This Row],[SerTot]]/3</f>
        <v>0</v>
      </c>
      <c r="DG228" s="250">
        <f>Table1[[#This Row],[SerTot]]/3</f>
        <v>0</v>
      </c>
      <c r="DH228" s="250">
        <f>Table1[[#This Row],[SerTot]]/3</f>
        <v>0</v>
      </c>
      <c r="DI228" s="252"/>
      <c r="DJ228" s="250"/>
      <c r="DK228" s="250"/>
      <c r="DL228" s="250"/>
      <c r="DM228" s="252"/>
      <c r="DN228" s="250">
        <f>Table1[[#This Row],[MatTot]]/3</f>
        <v>0</v>
      </c>
      <c r="DO228" s="250">
        <f>Table1[[#This Row],[MatTot]]/3</f>
        <v>0</v>
      </c>
      <c r="DP228" s="250">
        <f>Table1[[#This Row],[MatTot]]/3</f>
        <v>0</v>
      </c>
      <c r="DQ228" s="252"/>
      <c r="DR228" s="250">
        <f>Table1[[#This Row],[OutTot]]/3</f>
        <v>0</v>
      </c>
      <c r="DS228" s="250">
        <f>Table1[[#This Row],[OutTot]]/3</f>
        <v>0</v>
      </c>
      <c r="DT228" s="250">
        <f>Table1[[#This Row],[OutTot]]/3</f>
        <v>0</v>
      </c>
      <c r="DU228" s="252"/>
      <c r="DV228" s="250"/>
      <c r="DW228" s="250"/>
      <c r="DX228" s="250"/>
      <c r="DY228" s="252">
        <f>SUM(Table1[[#This Row],[VAQ1]:[VAQ3]])</f>
        <v>0</v>
      </c>
      <c r="DZ228" s="250"/>
      <c r="EA228" s="250"/>
      <c r="EB228" s="250"/>
      <c r="EC228" s="270">
        <f>SUM(Table1[[#This Row],[OthGrantQ1]:[OthGrantQ3]])</f>
        <v>0</v>
      </c>
      <c r="ED228" s="263">
        <f>Table1[[#This Row],[SEOGTot]]+Table1[[#This Row],[PellTot]]+Table1[[#This Row],[AccessTot]]+Table1[[#This Row],[AchiTot]]+Table1[[#This Row],[UTTot]]+Table1[[#This Row],[WITTot]]+Table1[[#This Row],[SerTot]]+Table1[[#This Row],[TranTot]]+Table1[[#This Row],[MatTot]]+Table1[[#This Row],[OutTot]]+Table1[[#This Row],[VATot]]+Table1[[#This Row],[OthGrantTot]]</f>
        <v>9000</v>
      </c>
      <c r="EE228" s="282"/>
      <c r="EF228" s="237"/>
      <c r="EG228" s="237"/>
      <c r="EH228" s="232">
        <f>SUM(Table1[[#This Row],[CashQ1]]:Table1[[#This Row],[CashQ3]])</f>
        <v>0</v>
      </c>
      <c r="EI228" s="271">
        <f>ROUND((Table1[[#This Row],[SubTot]]/3)/1.01059,0)</f>
        <v>0</v>
      </c>
      <c r="EJ228" s="234">
        <f>ROUND((Table1[[#This Row],[SubTot]]/3)/1.01059,0)</f>
        <v>0</v>
      </c>
      <c r="EK228" s="234">
        <f>ROUNDUP((Table1[[#This Row],[SubTot]]/3)/1.01059,0)</f>
        <v>0</v>
      </c>
      <c r="EL228" s="235"/>
      <c r="EM228" s="240">
        <f>Table1[[#This Row],[SubTot]]*0.01059</f>
        <v>0</v>
      </c>
      <c r="EN228" s="234">
        <f>ROUND((Table1[[#This Row],[UnsubTot]]/3)/1.01062,0)</f>
        <v>660</v>
      </c>
      <c r="EO228" s="234">
        <f>ROUND((Table1[[#This Row],[UnsubTot]]/3)/1.01062,0)</f>
        <v>660</v>
      </c>
      <c r="EP228" s="234">
        <f>ROUNDDOWN((Table1[[#This Row],[UnsubTot]]/3)/1.01062,0)</f>
        <v>659</v>
      </c>
      <c r="EQ228" s="235">
        <f>IF(Table1[D/I]="I",6000,2000)</f>
        <v>2000</v>
      </c>
      <c r="ER228" s="240">
        <f>Table1[[#This Row],[UnsubTot]]*0.01062</f>
        <v>21.24</v>
      </c>
      <c r="ES228" s="234">
        <f>ROUND((Table1[[#This Row],[PLUSTot]]/3)/1.04248,0)</f>
        <v>0</v>
      </c>
      <c r="ET228" s="234">
        <f>ROUND((Table1[[#This Row],[PLUSTot]]/3)/1.04248,0)</f>
        <v>0</v>
      </c>
      <c r="EU228" s="234">
        <f>ROUND((Table1[[#This Row],[PLUSTot]]/3)/1.04248,0)</f>
        <v>0</v>
      </c>
      <c r="EV228" s="235"/>
      <c r="EW228" s="239">
        <f>Table1[[#This Row],[PLUSTot]]*0.04248</f>
        <v>0</v>
      </c>
      <c r="EX228" s="237"/>
      <c r="EY228" s="237"/>
      <c r="EZ228" s="237"/>
      <c r="FA228" s="232">
        <f>SUM(Table1[[#This Row],[PrivQ1]:[PrivQ3]])</f>
        <v>0</v>
      </c>
      <c r="FB228" s="237"/>
      <c r="FC228" s="237"/>
      <c r="FD228" s="237"/>
      <c r="FE228" s="232">
        <f>SUM(Table1[[#This Row],[TOQ1]:[TOQ3]])</f>
        <v>0</v>
      </c>
      <c r="FF228" s="237"/>
      <c r="FG228" s="237"/>
      <c r="FH228" s="237"/>
      <c r="FI228" s="232">
        <f>SUM(Table1[[#This Row],[OFundQ1]:[OFundQ3]])</f>
        <v>0</v>
      </c>
      <c r="FJ228" s="239">
        <f>(Table1[[#This Row],[SubTot]]-Table1[[#This Row],[SubFee]])+(Table1[[#This Row],[UnsubTot]]-Table1[[#This Row],[UnsubFee]])+(Table1[[#This Row],[PLUSTot]]-Table1[[#This Row],[PLUSFee]])+Table1[[#This Row],[PrivTot]]+Table1[[#This Row],[TOTot]]+Table1[[#This Row],[OFundTot]]</f>
        <v>1978.76</v>
      </c>
      <c r="FK228" s="125">
        <f>Table1[[#This Row],[CostTot]]-Table1[[#This Row],[GiftTot]]</f>
        <v>-9000</v>
      </c>
      <c r="FL228" s="130">
        <f>Table1[[#This Row],[NetNeed]]/(1-0.04248)</f>
        <v>-11465.828390007518</v>
      </c>
      <c r="FM228" s="131">
        <f>Table1[[#This Row],[NetCost]]-Table1[[#This Row],[CashTot]]-(Table1[[#This Row],[SubTot]]-Table1[[#This Row],[SubFee]])-(Table1[[#This Row],[UnsubTot]]-Table1[[#This Row],[UnsubFee]])-(Table1[[#This Row],[PLUSTot]]-Table1[[#This Row],[PLUSFee]])-Table1[[#This Row],[PrivTot]]-Table1[[#This Row],[TOTot]]-Table1[[#This Row],[OFundTot]]</f>
        <v>-10978.76</v>
      </c>
      <c r="FN228" s="156"/>
      <c r="FO228" s="113"/>
      <c r="FP228" s="113"/>
    </row>
    <row r="229" spans="1:172" ht="15" x14ac:dyDescent="0.25">
      <c r="A229" s="329">
        <v>198654</v>
      </c>
      <c r="B229" s="113" t="str">
        <f>VLOOKUP(Table1[[#This Row],[SyStudentId]],SSR!$A$2:$CC$4982,4,FALSE)</f>
        <v>Moats</v>
      </c>
      <c r="C229" s="113" t="str">
        <f>VLOOKUP(Table1[[#This Row],[SyStudentId]],SSR!$A$2:$CC$4982,5,FALSE)</f>
        <v>Nhaithanyl</v>
      </c>
      <c r="D229" s="113" t="str">
        <f>VLOOKUP(Table1[[#This Row],[SyStudentId]],SSR!$A$2:$CC$4982,6,FALSE)</f>
        <v>Moats, Nhaithanyl</v>
      </c>
      <c r="E229" s="113"/>
      <c r="F229" s="112"/>
      <c r="G229" s="114"/>
      <c r="H229" s="114"/>
      <c r="I229" s="114"/>
      <c r="J229" s="115"/>
      <c r="K229" s="116"/>
      <c r="L229" s="112" t="str">
        <f>IFERROR(VLOOKUP(Table1[[#This Row],[SyStudentId]],ISIR!$A$2:$X$999,11,FALSE),"")</f>
        <v/>
      </c>
      <c r="M229" s="113" t="str">
        <f>VLOOKUP(Table1[[#This Row],[SyStudentId]],SSR!$A$2:$CC$4982,7,FALSE)</f>
        <v>nathanjmoats@gmail.com</v>
      </c>
      <c r="N229" s="113" t="str">
        <f>VLOOKUP(Table1[[#This Row],[SyStudentId]],SSR!$A$2:$CC$4982,8,FALSE)</f>
        <v>5764 S WATERBURY WAY, UNIT I</v>
      </c>
      <c r="O229" s="113" t="str">
        <f>VLOOKUP(Table1[[#This Row],[SyStudentId]],SSR!$A$2:$CC$4982,9,FALSE)</f>
        <v>MURRAY</v>
      </c>
      <c r="P229" s="113" t="str">
        <f>VLOOKUP(Table1[[#This Row],[SyStudentId]],SSR!$A$2:$CC$4982,10,FALSE)</f>
        <v>UT</v>
      </c>
      <c r="Q229" s="117" t="str">
        <f>VLOOKUP(Table1[[#This Row],[SyStudentId]],SSR!$A$2:$CC$4982,11,FALSE)</f>
        <v xml:space="preserve">84121     </v>
      </c>
      <c r="R229" s="118">
        <f>VLOOKUP(Table1[[#This Row],[SyStudentId]],SSR!$A$2:$CC$4982,15,FALSE)</f>
        <v>3.1722000000000001</v>
      </c>
      <c r="S229" s="119">
        <f>VLOOKUP(Table1[[#This Row],[SyStudentId]],SSR!$A$2:$CC$4982,22,FALSE)</f>
        <v>44109</v>
      </c>
      <c r="T229" s="113" t="str">
        <f>VLOOKUP(Table1[[#This Row],[SyStudentId]],SSR!$A$2:$CC$4982,24,FALSE)</f>
        <v>GM</v>
      </c>
      <c r="U229" s="113" t="str">
        <f>IF(VLOOKUP(Table1[[#This Row],[SyStudentId]],SSR!$A$2:$CC$4982,26,FALSE)=0,"Not Selected",VLOOKUP(Table1[[#This Row],[SyStudentId]],SSR!$A$2:$CC$4982,26,FALSE))</f>
        <v>Male</v>
      </c>
      <c r="V229" s="113" t="str">
        <f>VLOOKUP(Table1[[#This Row],[SyStudentId]],SSR!$A$2:$CC$4982,27,FALSE)</f>
        <v xml:space="preserve">UNKNOWN </v>
      </c>
      <c r="W229" s="113" t="str">
        <f>VLOOKUP(LEFT(Table1[[#This Row],[LastName]],1),Alpha!$A$1:$B$26,2,FALSE)</f>
        <v>Maureen Ranks</v>
      </c>
      <c r="X229" s="149" t="str">
        <f>VLOOKUP(Table1[[#This Row],[FAA]],Alpha!$B$1:$D$26,2,FALSE)</f>
        <v>mranks@neumont.edu</v>
      </c>
      <c r="Y229" s="113">
        <f>VLOOKUP(Table1[[#This Row],[FAA]],Alpha!$B$1:$D$26,3,FALSE)</f>
        <v>8883022894</v>
      </c>
      <c r="Z229" s="113" t="str">
        <f>VLOOKUP(Table1[[#This Row],[SyStudentId]],SSR!$A$2:$CC$4982,30,FALSE)</f>
        <v>16-Accepted</v>
      </c>
      <c r="AA229" s="113" t="str">
        <f>IF(VLOOKUP(Table1[[#This Row],[SyStudentId]],SSR!$A$2:$CC$4982,36,FALSE)="Bachelor of Science","BS Computer Science","Check Program")</f>
        <v>BS Computer Science</v>
      </c>
      <c r="AB229" s="113">
        <f>VLOOKUP(Table1[[#This Row],[SyStudentId]],SSR!$A$2:$CC$4982,37,FALSE)</f>
        <v>0</v>
      </c>
      <c r="AC229" s="113">
        <f>VLOOKUP(Table1[[#This Row],[SyStudentId]],SSR!$A$2:$CC$4982,42,FALSE)</f>
        <v>0</v>
      </c>
      <c r="AD229" s="113" t="str">
        <f>VLOOKUP(Table1[[#This Row],[SyStudentId]],SSR!$A$2:$CC$4982,46,FALSE)</f>
        <v>0</v>
      </c>
      <c r="AE229" s="113" t="str">
        <f>VLOOKUP(Table1[[#This Row],[SyStudentId]],SSR!$A$2:$CC$4982,65,FALSE)</f>
        <v>III</v>
      </c>
      <c r="AF229"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229" s="113" t="str">
        <f>VLOOKUP(Table1[[#This Row],[SyStudentId]],SSR!$A$2:$CC$4982,66,FALSE)</f>
        <v>December</v>
      </c>
      <c r="AH229" s="113" t="str">
        <f>IFERROR(VLOOKUP(Table1[[#This Row],[SyStudentId]],ISIR!$A$2:$X$999,7,FALSE),"")</f>
        <v/>
      </c>
      <c r="AI229" s="121" t="str">
        <f>IF(Table1[[#This Row],[EFCRaw]]="","",IF(Table1[[#This Row],[EFCRaw]]="No EFC","No EFC",_xlfn.NUMBERVALUE(Table1[[#This Row],[EFCRaw]])))</f>
        <v/>
      </c>
      <c r="AJ229" s="119" t="str">
        <f>IFERROR(VLOOKUP(Table1[[#This Row],[SyStudentId]],ISIR!$A$2:$X$4999,19,FALSE),"")</f>
        <v/>
      </c>
      <c r="AK229" s="113" t="str">
        <f>IFERROR(VLOOKUP(Table1[[#This Row],[SyStudentId]],ISIR!$A$2:$X$4999,8,FALSE),"")</f>
        <v/>
      </c>
      <c r="AL229" s="156" t="str">
        <f>IF(Table1[[#This Row],[VerReq]]="N","n/a","")</f>
        <v/>
      </c>
      <c r="AM229" s="122"/>
      <c r="AN229" s="122"/>
      <c r="AO229" s="122"/>
      <c r="AP229" s="122"/>
      <c r="AQ229" s="122"/>
      <c r="AR229" s="122"/>
      <c r="AS229" s="122"/>
      <c r="AT229" s="122"/>
      <c r="AU229" s="122"/>
      <c r="AV229" s="122"/>
      <c r="AW229" s="122"/>
      <c r="AX229" s="122"/>
      <c r="AY229" s="122"/>
      <c r="AZ229" s="122"/>
      <c r="BA229" s="122"/>
      <c r="BB229" s="122"/>
      <c r="BC229" s="148"/>
      <c r="BD229" s="140" t="str">
        <f>IF(Table1[[#This Row],[VerReq]]="N","x","")</f>
        <v/>
      </c>
      <c r="BE229" s="140" t="str">
        <f>IF(Table1[[#This Row],[VerReq]]="N","x","")</f>
        <v/>
      </c>
      <c r="BF229" s="140" t="str">
        <f>IF(Table1[[#This Row],[VerReq]]="N","x","")</f>
        <v/>
      </c>
      <c r="BG229" s="140" t="str">
        <f>IF(Table1[[#This Row],[VerReq]]="N","x","")</f>
        <v/>
      </c>
      <c r="BH229" s="140" t="str">
        <f>IF(Table1[[#This Row],[VerReq]]="N","x","")</f>
        <v/>
      </c>
      <c r="BI229" s="140" t="str">
        <f>IF(Table1[[#This Row],[VerReq]]="N","x","")</f>
        <v/>
      </c>
      <c r="BJ229" s="123">
        <f>1-((COUNTBLANK(Table1[[#This Row],[ALESent]:[TaxTran]]))/(COUNT(Table1[[#This Row],[ALESent]:[TaxTran]])+COUNTBLANK(Table1[[#This Row],[ALESent]:[TaxTran]])))</f>
        <v>0</v>
      </c>
      <c r="BK229" s="150">
        <f>IF(VLOOKUP(Table1[[#This Row],[SyStudentId]],SSR!$A$2:$CC$4982,22,FALSE)=44109,44109,"Check Program")</f>
        <v>44109</v>
      </c>
      <c r="BL229" s="150">
        <f>IF(Table1[[#This Row],[AYStart]]=44109,44356,"Check Program")</f>
        <v>44356</v>
      </c>
      <c r="BM229" s="219"/>
      <c r="BN229" s="219"/>
      <c r="BO229" s="219"/>
      <c r="BP229" s="220">
        <f t="shared" si="12"/>
        <v>0</v>
      </c>
      <c r="BQ229" s="221"/>
      <c r="BR229" s="219"/>
      <c r="BS229" s="219"/>
      <c r="BT229" s="220">
        <f t="shared" si="13"/>
        <v>0</v>
      </c>
      <c r="BU229" s="219"/>
      <c r="BV229" s="219"/>
      <c r="BW229" s="219"/>
      <c r="BX229" s="220">
        <f t="shared" si="14"/>
        <v>0</v>
      </c>
      <c r="BY229" s="269"/>
      <c r="BZ229" s="269"/>
      <c r="CA229" s="269"/>
      <c r="CB229" s="220">
        <f>SUM(Table1[[#This Row],[LEQ1]:[LEQ3]])</f>
        <v>0</v>
      </c>
      <c r="CC229" s="269"/>
      <c r="CD229" s="269"/>
      <c r="CE229" s="269"/>
      <c r="CF229" s="220">
        <f>SUM(Table1[[#This Row],[OthCostQ1]:[OthCostQ3]])</f>
        <v>0</v>
      </c>
      <c r="CG229" s="220">
        <f>(Table1[[#This Row],[T&amp;FTot]]+Table1[[#This Row],[B&amp;STot]]+Table1[[#This Row],[HousTot]]+Table1[[#This Row],[LETot]]+Table1[[#This Row],[OthCostTot]])</f>
        <v>0</v>
      </c>
      <c r="CH229" s="250"/>
      <c r="CI229" s="250"/>
      <c r="CJ229" s="250"/>
      <c r="CK229" s="251">
        <f>SUM(Table1[[#This Row],[SEOGQ1]:[SEOGQ3]])</f>
        <v>0</v>
      </c>
      <c r="CL229" s="250">
        <f>IFERROR(ROUNDUP(Table1[[#This Row],[PellTot]]/3,0),0)</f>
        <v>0</v>
      </c>
      <c r="CM229" s="250">
        <f>IFERROR(ROUND(Table1[[#This Row],[PellTot]]/3,0),0)</f>
        <v>0</v>
      </c>
      <c r="CN229" s="250">
        <f>IFERROR(ROUNDDOWN(Table1[[#This Row],[PellTot]]/3,0),0)</f>
        <v>0</v>
      </c>
      <c r="CO229" s="251">
        <f>IFERROR(LOOKUP(Table1[EFC],Pell_Table[#Data],Pell_Table[Pell Amt]),0)</f>
        <v>0</v>
      </c>
      <c r="CP229" s="250">
        <f>Table1[[#This Row],[AccessTot]]/3</f>
        <v>0</v>
      </c>
      <c r="CQ229" s="250">
        <f>Table1[[#This Row],[AccessTot]]/3</f>
        <v>0</v>
      </c>
      <c r="CR229" s="250">
        <f>Table1[[#This Row],[AccessTot]]/3</f>
        <v>0</v>
      </c>
      <c r="CS229" s="251">
        <f>IF(Table1[[#This Row],[PellTot]]&gt;0,1500,0)</f>
        <v>0</v>
      </c>
      <c r="CT229" s="250">
        <f>Table1[[#This Row],[AchiTot]]/3</f>
        <v>1300</v>
      </c>
      <c r="CU229" s="250">
        <f>Table1[[#This Row],[AchiTot]]/3</f>
        <v>1300</v>
      </c>
      <c r="CV229" s="250">
        <f>Table1[[#This Row],[AchiTot]]/3</f>
        <v>1300</v>
      </c>
      <c r="CW229" s="252">
        <f>IF(Table1[[#This Row],[Rank]]="","",IF(Table1[[#This Row],[Rank]]=1,5100,IF(Table1[[#This Row],[Rank]]=2,4500,IF(Table1[[#This Row],[Rank]]=3,3900,IF(Table1[[#This Row],[Rank]]=4,3750,IF(Table1[[#This Row],[Rank]]=5,3000,IF(Table1[[#This Row],[Rank]]=6,2250,0)))))))</f>
        <v>3900</v>
      </c>
      <c r="CX229" s="250">
        <f>Table1[[#This Row],[UTTot]]/3</f>
        <v>3000</v>
      </c>
      <c r="CY229" s="250">
        <f>Table1[[#This Row],[UTTot]]/3</f>
        <v>3000</v>
      </c>
      <c r="CZ229" s="250">
        <f>Table1[[#This Row],[UTTot]]/3</f>
        <v>3000</v>
      </c>
      <c r="DA229" s="251">
        <f>IF(Table1[[#This Row],[State]]="UT",9000,0)</f>
        <v>9000</v>
      </c>
      <c r="DB229" s="250">
        <f>Table1[[#This Row],[WITTot]]/3</f>
        <v>0</v>
      </c>
      <c r="DC229" s="250">
        <f>Table1[[#This Row],[WITTot]]/3</f>
        <v>0</v>
      </c>
      <c r="DD229" s="250">
        <f>Table1[[#This Row],[WITTot]]/3</f>
        <v>0</v>
      </c>
      <c r="DE229" s="251">
        <f>IF(Table1[[#This Row],[Gender]]="Female",3000,0)</f>
        <v>0</v>
      </c>
      <c r="DF229" s="250">
        <f>Table1[[#This Row],[SerTot]]/3</f>
        <v>0</v>
      </c>
      <c r="DG229" s="250">
        <f>Table1[[#This Row],[SerTot]]/3</f>
        <v>0</v>
      </c>
      <c r="DH229" s="250">
        <f>Table1[[#This Row],[SerTot]]/3</f>
        <v>0</v>
      </c>
      <c r="DI229" s="252"/>
      <c r="DJ229" s="250"/>
      <c r="DK229" s="250"/>
      <c r="DL229" s="250"/>
      <c r="DM229" s="252"/>
      <c r="DN229" s="250">
        <f>Table1[[#This Row],[MatTot]]/3</f>
        <v>0</v>
      </c>
      <c r="DO229" s="250">
        <f>Table1[[#This Row],[MatTot]]/3</f>
        <v>0</v>
      </c>
      <c r="DP229" s="250">
        <f>Table1[[#This Row],[MatTot]]/3</f>
        <v>0</v>
      </c>
      <c r="DQ229" s="252"/>
      <c r="DR229" s="250">
        <f>Table1[[#This Row],[OutTot]]/3</f>
        <v>0</v>
      </c>
      <c r="DS229" s="250">
        <f>Table1[[#This Row],[OutTot]]/3</f>
        <v>0</v>
      </c>
      <c r="DT229" s="250">
        <f>Table1[[#This Row],[OutTot]]/3</f>
        <v>0</v>
      </c>
      <c r="DU229" s="252"/>
      <c r="DV229" s="250"/>
      <c r="DW229" s="250"/>
      <c r="DX229" s="250"/>
      <c r="DY229" s="252">
        <f>SUM(Table1[[#This Row],[VAQ1]:[VAQ3]])</f>
        <v>0</v>
      </c>
      <c r="DZ229" s="250"/>
      <c r="EA229" s="250"/>
      <c r="EB229" s="250"/>
      <c r="EC229" s="270">
        <f>SUM(Table1[[#This Row],[OthGrantQ1]:[OthGrantQ3]])</f>
        <v>0</v>
      </c>
      <c r="ED229" s="263">
        <f>Table1[[#This Row],[SEOGTot]]+Table1[[#This Row],[PellTot]]+Table1[[#This Row],[AccessTot]]+Table1[[#This Row],[AchiTot]]+Table1[[#This Row],[UTTot]]+Table1[[#This Row],[WITTot]]+Table1[[#This Row],[SerTot]]+Table1[[#This Row],[TranTot]]+Table1[[#This Row],[MatTot]]+Table1[[#This Row],[OutTot]]+Table1[[#This Row],[VATot]]+Table1[[#This Row],[OthGrantTot]]</f>
        <v>12900</v>
      </c>
      <c r="EE229" s="282"/>
      <c r="EF229" s="237"/>
      <c r="EG229" s="237"/>
      <c r="EH229" s="232">
        <f>SUM(Table1[[#This Row],[CashQ1]]:Table1[[#This Row],[CashQ3]])</f>
        <v>0</v>
      </c>
      <c r="EI229" s="271">
        <f>ROUND((Table1[[#This Row],[SubTot]]/3)/1.01059,0)</f>
        <v>0</v>
      </c>
      <c r="EJ229" s="234">
        <f>ROUND((Table1[[#This Row],[SubTot]]/3)/1.01059,0)</f>
        <v>0</v>
      </c>
      <c r="EK229" s="234">
        <f>ROUNDUP((Table1[[#This Row],[SubTot]]/3)/1.01059,0)</f>
        <v>0</v>
      </c>
      <c r="EL229" s="235"/>
      <c r="EM229" s="240">
        <f>Table1[[#This Row],[SubTot]]*0.01059</f>
        <v>0</v>
      </c>
      <c r="EN229" s="234">
        <f>ROUND((Table1[[#This Row],[UnsubTot]]/3)/1.01062,0)</f>
        <v>660</v>
      </c>
      <c r="EO229" s="234">
        <f>ROUND((Table1[[#This Row],[UnsubTot]]/3)/1.01062,0)</f>
        <v>660</v>
      </c>
      <c r="EP229" s="234">
        <f>ROUNDDOWN((Table1[[#This Row],[UnsubTot]]/3)/1.01062,0)</f>
        <v>659</v>
      </c>
      <c r="EQ229" s="235">
        <f>IF(Table1[D/I]="I",6000,2000)</f>
        <v>2000</v>
      </c>
      <c r="ER229" s="240">
        <f>Table1[[#This Row],[UnsubTot]]*0.01062</f>
        <v>21.24</v>
      </c>
      <c r="ES229" s="234">
        <f>ROUND((Table1[[#This Row],[PLUSTot]]/3)/1.04248,0)</f>
        <v>0</v>
      </c>
      <c r="ET229" s="234">
        <f>ROUND((Table1[[#This Row],[PLUSTot]]/3)/1.04248,0)</f>
        <v>0</v>
      </c>
      <c r="EU229" s="234">
        <f>ROUND((Table1[[#This Row],[PLUSTot]]/3)/1.04248,0)</f>
        <v>0</v>
      </c>
      <c r="EV229" s="235"/>
      <c r="EW229" s="239">
        <f>Table1[[#This Row],[PLUSTot]]*0.04248</f>
        <v>0</v>
      </c>
      <c r="EX229" s="237"/>
      <c r="EY229" s="237"/>
      <c r="EZ229" s="237"/>
      <c r="FA229" s="232">
        <f>SUM(Table1[[#This Row],[PrivQ1]:[PrivQ3]])</f>
        <v>0</v>
      </c>
      <c r="FB229" s="237"/>
      <c r="FC229" s="237"/>
      <c r="FD229" s="237"/>
      <c r="FE229" s="232">
        <f>SUM(Table1[[#This Row],[TOQ1]:[TOQ3]])</f>
        <v>0</v>
      </c>
      <c r="FF229" s="237"/>
      <c r="FG229" s="237"/>
      <c r="FH229" s="237"/>
      <c r="FI229" s="232">
        <f>SUM(Table1[[#This Row],[OFundQ1]:[OFundQ3]])</f>
        <v>0</v>
      </c>
      <c r="FJ229" s="239">
        <f>(Table1[[#This Row],[SubTot]]-Table1[[#This Row],[SubFee]])+(Table1[[#This Row],[UnsubTot]]-Table1[[#This Row],[UnsubFee]])+(Table1[[#This Row],[PLUSTot]]-Table1[[#This Row],[PLUSFee]])+Table1[[#This Row],[PrivTot]]+Table1[[#This Row],[TOTot]]+Table1[[#This Row],[OFundTot]]</f>
        <v>1978.76</v>
      </c>
      <c r="FK229" s="125">
        <f>Table1[[#This Row],[CostTot]]-Table1[[#This Row],[GiftTot]]</f>
        <v>-12900</v>
      </c>
      <c r="FL229" s="130">
        <f>Table1[[#This Row],[NetNeed]]/(1-0.04248)</f>
        <v>-15538.850363438884</v>
      </c>
      <c r="FM229" s="131">
        <f>Table1[[#This Row],[NetCost]]-Table1[[#This Row],[CashTot]]-(Table1[[#This Row],[SubTot]]-Table1[[#This Row],[SubFee]])-(Table1[[#This Row],[UnsubTot]]-Table1[[#This Row],[UnsubFee]])-(Table1[[#This Row],[PLUSTot]]-Table1[[#This Row],[PLUSFee]])-Table1[[#This Row],[PrivTot]]-Table1[[#This Row],[TOTot]]-Table1[[#This Row],[OFundTot]]</f>
        <v>-14878.76</v>
      </c>
      <c r="FN229" s="156"/>
      <c r="FO229" s="113"/>
      <c r="FP229" s="113"/>
    </row>
    <row r="230" spans="1:172" ht="15" x14ac:dyDescent="0.25">
      <c r="A230" s="329">
        <v>198216</v>
      </c>
      <c r="B230" s="113" t="str">
        <f>VLOOKUP(Table1[[#This Row],[SyStudentId]],SSR!$A$2:$CC$4982,4,FALSE)</f>
        <v>Moreno</v>
      </c>
      <c r="C230" s="113" t="str">
        <f>VLOOKUP(Table1[[#This Row],[SyStudentId]],SSR!$A$2:$CC$4982,5,FALSE)</f>
        <v>Natalie</v>
      </c>
      <c r="D230" s="113" t="str">
        <f>VLOOKUP(Table1[[#This Row],[SyStudentId]],SSR!$A$2:$CC$4982,6,FALSE)</f>
        <v>Moreno, Natalie</v>
      </c>
      <c r="E230" s="113"/>
      <c r="F230" s="112"/>
      <c r="G230" s="114"/>
      <c r="H230" s="114"/>
      <c r="I230" s="114"/>
      <c r="J230" s="115"/>
      <c r="K230" s="116"/>
      <c r="L230" s="112" t="str">
        <f>IFERROR(VLOOKUP(Table1[[#This Row],[SyStudentId]],ISIR!$A$2:$X$999,11,FALSE),"")</f>
        <v/>
      </c>
      <c r="M230" s="113" t="str">
        <f>VLOOKUP(Table1[[#This Row],[SyStudentId]],SSR!$A$2:$CC$4982,7,FALSE)</f>
        <v>nmoreno0608@gmail.com</v>
      </c>
      <c r="N230" s="113" t="str">
        <f>VLOOKUP(Table1[[#This Row],[SyStudentId]],SSR!$A$2:$CC$4982,8,FALSE)</f>
        <v>6330 N. JIM MILLER RD.</v>
      </c>
      <c r="O230" s="113" t="str">
        <f>VLOOKUP(Table1[[#This Row],[SyStudentId]],SSR!$A$2:$CC$4982,9,FALSE)</f>
        <v>DALLAS</v>
      </c>
      <c r="P230" s="113" t="str">
        <f>VLOOKUP(Table1[[#This Row],[SyStudentId]],SSR!$A$2:$CC$4982,10,FALSE)</f>
        <v>TX</v>
      </c>
      <c r="Q230" s="117" t="str">
        <f>VLOOKUP(Table1[[#This Row],[SyStudentId]],SSR!$A$2:$CC$4982,11,FALSE)</f>
        <v xml:space="preserve">75228     </v>
      </c>
      <c r="R230" s="118">
        <f>VLOOKUP(Table1[[#This Row],[SyStudentId]],SSR!$A$2:$CC$4982,15,FALSE)</f>
        <v>3.62</v>
      </c>
      <c r="S230" s="119">
        <f>VLOOKUP(Table1[[#This Row],[SyStudentId]],SSR!$A$2:$CC$4982,22,FALSE)</f>
        <v>44109</v>
      </c>
      <c r="T230" s="113" t="str">
        <f>VLOOKUP(Table1[[#This Row],[SyStudentId]],SSR!$A$2:$CC$4982,24,FALSE)</f>
        <v>JT</v>
      </c>
      <c r="U230" s="113" t="str">
        <f>IF(VLOOKUP(Table1[[#This Row],[SyStudentId]],SSR!$A$2:$CC$4982,26,FALSE)=0,"Not Selected",VLOOKUP(Table1[[#This Row],[SyStudentId]],SSR!$A$2:$CC$4982,26,FALSE))</f>
        <v>Female</v>
      </c>
      <c r="V230" s="113" t="str">
        <f>VLOOKUP(Table1[[#This Row],[SyStudentId]],SSR!$A$2:$CC$4982,27,FALSE)</f>
        <v xml:space="preserve">HS2020  </v>
      </c>
      <c r="W230" s="113" t="str">
        <f>VLOOKUP(LEFT(Table1[[#This Row],[LastName]],1),Alpha!$A$1:$B$26,2,FALSE)</f>
        <v>Maureen Ranks</v>
      </c>
      <c r="X230" s="149" t="str">
        <f>VLOOKUP(Table1[[#This Row],[FAA]],Alpha!$B$1:$D$26,2,FALSE)</f>
        <v>mranks@neumont.edu</v>
      </c>
      <c r="Y230" s="113">
        <f>VLOOKUP(Table1[[#This Row],[FAA]],Alpha!$B$1:$D$26,3,FALSE)</f>
        <v>8883022894</v>
      </c>
      <c r="Z230" s="113" t="str">
        <f>VLOOKUP(Table1[[#This Row],[SyStudentId]],SSR!$A$2:$CC$4982,30,FALSE)</f>
        <v>16-Accepted</v>
      </c>
      <c r="AA230" s="113" t="str">
        <f>IF(VLOOKUP(Table1[[#This Row],[SyStudentId]],SSR!$A$2:$CC$4982,36,FALSE)="Bachelor of Science","BS Computer Science","Check Program")</f>
        <v>BS Computer Science</v>
      </c>
      <c r="AB230" s="113">
        <f>VLOOKUP(Table1[[#This Row],[SyStudentId]],SSR!$A$2:$CC$4982,37,FALSE)</f>
        <v>0</v>
      </c>
      <c r="AC230" s="113" t="str">
        <f>VLOOKUP(Table1[[#This Row],[SyStudentId]],SSR!$A$2:$CC$4982,42,FALSE)</f>
        <v xml:space="preserve">920     </v>
      </c>
      <c r="AD230" s="113" t="str">
        <f>VLOOKUP(Table1[[#This Row],[SyStudentId]],SSR!$A$2:$CC$4982,46,FALSE)</f>
        <v>104</v>
      </c>
      <c r="AE230" s="113" t="str">
        <f>VLOOKUP(Table1[[#This Row],[SyStudentId]],SSR!$A$2:$CC$4982,65,FALSE)</f>
        <v>II</v>
      </c>
      <c r="AF230"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2</v>
      </c>
      <c r="AG230" s="113" t="str">
        <f>VLOOKUP(Table1[[#This Row],[SyStudentId]],SSR!$A$2:$CC$4982,66,FALSE)</f>
        <v>December</v>
      </c>
      <c r="AH230" s="113" t="str">
        <f>IFERROR(VLOOKUP(Table1[[#This Row],[SyStudentId]],ISIR!$A$2:$X$999,7,FALSE),"")</f>
        <v/>
      </c>
      <c r="AI230" s="121" t="str">
        <f>IF(Table1[[#This Row],[EFCRaw]]="","",IF(Table1[[#This Row],[EFCRaw]]="No EFC","No EFC",_xlfn.NUMBERVALUE(Table1[[#This Row],[EFCRaw]])))</f>
        <v/>
      </c>
      <c r="AJ230" s="119" t="str">
        <f>IFERROR(VLOOKUP(Table1[[#This Row],[SyStudentId]],ISIR!$A$2:$X$4999,19,FALSE),"")</f>
        <v/>
      </c>
      <c r="AK230" s="113" t="str">
        <f>IFERROR(VLOOKUP(Table1[[#This Row],[SyStudentId]],ISIR!$A$2:$X$4999,8,FALSE),"")</f>
        <v/>
      </c>
      <c r="AL230" s="156" t="str">
        <f>IF(Table1[[#This Row],[VerReq]]="N","n/a","")</f>
        <v/>
      </c>
      <c r="AM230" s="122"/>
      <c r="AN230" s="122"/>
      <c r="AO230" s="122"/>
      <c r="AP230" s="122"/>
      <c r="AQ230" s="122"/>
      <c r="AR230" s="122"/>
      <c r="AS230" s="122"/>
      <c r="AT230" s="122"/>
      <c r="AU230" s="122"/>
      <c r="AV230" s="122"/>
      <c r="AW230" s="122"/>
      <c r="AX230" s="122"/>
      <c r="AY230" s="122"/>
      <c r="AZ230" s="122"/>
      <c r="BA230" s="122"/>
      <c r="BB230" s="122"/>
      <c r="BC230" s="148"/>
      <c r="BD230" s="140" t="str">
        <f>IF(Table1[[#This Row],[VerReq]]="N","x","")</f>
        <v/>
      </c>
      <c r="BE230" s="140" t="str">
        <f>IF(Table1[[#This Row],[VerReq]]="N","x","")</f>
        <v/>
      </c>
      <c r="BF230" s="140" t="str">
        <f>IF(Table1[[#This Row],[VerReq]]="N","x","")</f>
        <v/>
      </c>
      <c r="BG230" s="140" t="str">
        <f>IF(Table1[[#This Row],[VerReq]]="N","x","")</f>
        <v/>
      </c>
      <c r="BH230" s="140" t="str">
        <f>IF(Table1[[#This Row],[VerReq]]="N","x","")</f>
        <v/>
      </c>
      <c r="BI230" s="140" t="str">
        <f>IF(Table1[[#This Row],[VerReq]]="N","x","")</f>
        <v/>
      </c>
      <c r="BJ230" s="123">
        <f>1-((COUNTBLANK(Table1[[#This Row],[ALESent]:[TaxTran]]))/(COUNT(Table1[[#This Row],[ALESent]:[TaxTran]])+COUNTBLANK(Table1[[#This Row],[ALESent]:[TaxTran]])))</f>
        <v>0</v>
      </c>
      <c r="BK230" s="150">
        <f>IF(VLOOKUP(Table1[[#This Row],[SyStudentId]],SSR!$A$2:$CC$4982,22,FALSE)=44109,44109,"Check Program")</f>
        <v>44109</v>
      </c>
      <c r="BL230" s="150">
        <f>IF(Table1[[#This Row],[AYStart]]=44109,44356,"Check Program")</f>
        <v>44356</v>
      </c>
      <c r="BM230" s="219"/>
      <c r="BN230" s="219"/>
      <c r="BO230" s="219"/>
      <c r="BP230" s="220">
        <f t="shared" si="12"/>
        <v>0</v>
      </c>
      <c r="BQ230" s="221"/>
      <c r="BR230" s="219"/>
      <c r="BS230" s="219"/>
      <c r="BT230" s="220">
        <f t="shared" si="13"/>
        <v>0</v>
      </c>
      <c r="BU230" s="219"/>
      <c r="BV230" s="219"/>
      <c r="BW230" s="219"/>
      <c r="BX230" s="220">
        <f t="shared" si="14"/>
        <v>0</v>
      </c>
      <c r="BY230" s="269"/>
      <c r="BZ230" s="269"/>
      <c r="CA230" s="269"/>
      <c r="CB230" s="220">
        <f>SUM(Table1[[#This Row],[LEQ1]:[LEQ3]])</f>
        <v>0</v>
      </c>
      <c r="CC230" s="269"/>
      <c r="CD230" s="269"/>
      <c r="CE230" s="269"/>
      <c r="CF230" s="220">
        <f>SUM(Table1[[#This Row],[OthCostQ1]:[OthCostQ3]])</f>
        <v>0</v>
      </c>
      <c r="CG230" s="220">
        <f>(Table1[[#This Row],[T&amp;FTot]]+Table1[[#This Row],[B&amp;STot]]+Table1[[#This Row],[HousTot]]+Table1[[#This Row],[LETot]]+Table1[[#This Row],[OthCostTot]])</f>
        <v>0</v>
      </c>
      <c r="CH230" s="250"/>
      <c r="CI230" s="250"/>
      <c r="CJ230" s="250"/>
      <c r="CK230" s="251">
        <f>SUM(Table1[[#This Row],[SEOGQ1]:[SEOGQ3]])</f>
        <v>0</v>
      </c>
      <c r="CL230" s="250">
        <f>IFERROR(ROUNDUP(Table1[[#This Row],[PellTot]]/3,0),0)</f>
        <v>0</v>
      </c>
      <c r="CM230" s="250">
        <f>IFERROR(ROUND(Table1[[#This Row],[PellTot]]/3,0),0)</f>
        <v>0</v>
      </c>
      <c r="CN230" s="250">
        <f>IFERROR(ROUNDDOWN(Table1[[#This Row],[PellTot]]/3,0),0)</f>
        <v>0</v>
      </c>
      <c r="CO230" s="251">
        <f>IFERROR(LOOKUP(Table1[EFC],Pell_Table[#Data],Pell_Table[Pell Amt]),0)</f>
        <v>0</v>
      </c>
      <c r="CP230" s="250">
        <f>Table1[[#This Row],[AccessTot]]/3</f>
        <v>0</v>
      </c>
      <c r="CQ230" s="250">
        <f>Table1[[#This Row],[AccessTot]]/3</f>
        <v>0</v>
      </c>
      <c r="CR230" s="250">
        <f>Table1[[#This Row],[AccessTot]]/3</f>
        <v>0</v>
      </c>
      <c r="CS230" s="251">
        <f>IF(Table1[[#This Row],[PellTot]]&gt;0,1500,0)</f>
        <v>0</v>
      </c>
      <c r="CT230" s="250">
        <f>Table1[[#This Row],[AchiTot]]/3</f>
        <v>1500</v>
      </c>
      <c r="CU230" s="250">
        <f>Table1[[#This Row],[AchiTot]]/3</f>
        <v>1500</v>
      </c>
      <c r="CV230" s="250">
        <f>Table1[[#This Row],[AchiTot]]/3</f>
        <v>1500</v>
      </c>
      <c r="CW230" s="252">
        <f>IF(Table1[[#This Row],[Rank]]="","",IF(Table1[[#This Row],[Rank]]=1,5100,IF(Table1[[#This Row],[Rank]]=2,4500,IF(Table1[[#This Row],[Rank]]=3,3900,IF(Table1[[#This Row],[Rank]]=4,3750,IF(Table1[[#This Row],[Rank]]=5,3000,IF(Table1[[#This Row],[Rank]]=6,2250,0)))))))</f>
        <v>4500</v>
      </c>
      <c r="CX230" s="250">
        <f>Table1[[#This Row],[UTTot]]/3</f>
        <v>0</v>
      </c>
      <c r="CY230" s="250">
        <f>Table1[[#This Row],[UTTot]]/3</f>
        <v>0</v>
      </c>
      <c r="CZ230" s="250">
        <f>Table1[[#This Row],[UTTot]]/3</f>
        <v>0</v>
      </c>
      <c r="DA230" s="251">
        <f>IF(Table1[[#This Row],[State]]="UT",9000,0)</f>
        <v>0</v>
      </c>
      <c r="DB230" s="250">
        <f>Table1[[#This Row],[WITTot]]/3</f>
        <v>1000</v>
      </c>
      <c r="DC230" s="250">
        <f>Table1[[#This Row],[WITTot]]/3</f>
        <v>1000</v>
      </c>
      <c r="DD230" s="250">
        <f>Table1[[#This Row],[WITTot]]/3</f>
        <v>1000</v>
      </c>
      <c r="DE230" s="251">
        <f>IF(Table1[[#This Row],[Gender]]="Female",3000,0)</f>
        <v>3000</v>
      </c>
      <c r="DF230" s="250">
        <f>Table1[[#This Row],[SerTot]]/3</f>
        <v>0</v>
      </c>
      <c r="DG230" s="250">
        <f>Table1[[#This Row],[SerTot]]/3</f>
        <v>0</v>
      </c>
      <c r="DH230" s="250">
        <f>Table1[[#This Row],[SerTot]]/3</f>
        <v>0</v>
      </c>
      <c r="DI230" s="252"/>
      <c r="DJ230" s="250"/>
      <c r="DK230" s="250"/>
      <c r="DL230" s="250"/>
      <c r="DM230" s="252"/>
      <c r="DN230" s="250">
        <f>Table1[[#This Row],[MatTot]]/3</f>
        <v>0</v>
      </c>
      <c r="DO230" s="250">
        <f>Table1[[#This Row],[MatTot]]/3</f>
        <v>0</v>
      </c>
      <c r="DP230" s="250">
        <f>Table1[[#This Row],[MatTot]]/3</f>
        <v>0</v>
      </c>
      <c r="DQ230" s="252"/>
      <c r="DR230" s="250">
        <f>Table1[[#This Row],[OutTot]]/3</f>
        <v>0</v>
      </c>
      <c r="DS230" s="250">
        <f>Table1[[#This Row],[OutTot]]/3</f>
        <v>0</v>
      </c>
      <c r="DT230" s="250">
        <f>Table1[[#This Row],[OutTot]]/3</f>
        <v>0</v>
      </c>
      <c r="DU230" s="252"/>
      <c r="DV230" s="250"/>
      <c r="DW230" s="250"/>
      <c r="DX230" s="250"/>
      <c r="DY230" s="252">
        <f>SUM(Table1[[#This Row],[VAQ1]:[VAQ3]])</f>
        <v>0</v>
      </c>
      <c r="DZ230" s="250"/>
      <c r="EA230" s="250"/>
      <c r="EB230" s="250"/>
      <c r="EC230" s="270">
        <f>SUM(Table1[[#This Row],[OthGrantQ1]:[OthGrantQ3]])</f>
        <v>0</v>
      </c>
      <c r="ED230" s="263">
        <f>Table1[[#This Row],[SEOGTot]]+Table1[[#This Row],[PellTot]]+Table1[[#This Row],[AccessTot]]+Table1[[#This Row],[AchiTot]]+Table1[[#This Row],[UTTot]]+Table1[[#This Row],[WITTot]]+Table1[[#This Row],[SerTot]]+Table1[[#This Row],[TranTot]]+Table1[[#This Row],[MatTot]]+Table1[[#This Row],[OutTot]]+Table1[[#This Row],[VATot]]+Table1[[#This Row],[OthGrantTot]]</f>
        <v>7500</v>
      </c>
      <c r="EE230" s="282"/>
      <c r="EF230" s="237"/>
      <c r="EG230" s="237"/>
      <c r="EH230" s="232">
        <f>SUM(Table1[[#This Row],[CashQ1]]:Table1[[#This Row],[CashQ3]])</f>
        <v>0</v>
      </c>
      <c r="EI230" s="271">
        <f>ROUND((Table1[[#This Row],[SubTot]]/3)/1.01059,0)</f>
        <v>0</v>
      </c>
      <c r="EJ230" s="234">
        <f>ROUND((Table1[[#This Row],[SubTot]]/3)/1.01059,0)</f>
        <v>0</v>
      </c>
      <c r="EK230" s="234">
        <f>ROUNDUP((Table1[[#This Row],[SubTot]]/3)/1.01059,0)</f>
        <v>0</v>
      </c>
      <c r="EL230" s="235"/>
      <c r="EM230" s="240">
        <f>Table1[[#This Row],[SubTot]]*0.01059</f>
        <v>0</v>
      </c>
      <c r="EN230" s="234">
        <f>ROUND((Table1[[#This Row],[UnsubTot]]/3)/1.01062,0)</f>
        <v>660</v>
      </c>
      <c r="EO230" s="234">
        <f>ROUND((Table1[[#This Row],[UnsubTot]]/3)/1.01062,0)</f>
        <v>660</v>
      </c>
      <c r="EP230" s="234">
        <f>ROUNDDOWN((Table1[[#This Row],[UnsubTot]]/3)/1.01062,0)</f>
        <v>659</v>
      </c>
      <c r="EQ230" s="235">
        <f>IF(Table1[D/I]="I",6000,2000)</f>
        <v>2000</v>
      </c>
      <c r="ER230" s="240">
        <f>Table1[[#This Row],[UnsubTot]]*0.01062</f>
        <v>21.24</v>
      </c>
      <c r="ES230" s="234">
        <f>ROUND((Table1[[#This Row],[PLUSTot]]/3)/1.04248,0)</f>
        <v>0</v>
      </c>
      <c r="ET230" s="234">
        <f>ROUND((Table1[[#This Row],[PLUSTot]]/3)/1.04248,0)</f>
        <v>0</v>
      </c>
      <c r="EU230" s="234">
        <f>ROUND((Table1[[#This Row],[PLUSTot]]/3)/1.04248,0)</f>
        <v>0</v>
      </c>
      <c r="EV230" s="235"/>
      <c r="EW230" s="239">
        <f>Table1[[#This Row],[PLUSTot]]*0.04248</f>
        <v>0</v>
      </c>
      <c r="EX230" s="237"/>
      <c r="EY230" s="237"/>
      <c r="EZ230" s="237"/>
      <c r="FA230" s="232">
        <f>SUM(Table1[[#This Row],[PrivQ1]:[PrivQ3]])</f>
        <v>0</v>
      </c>
      <c r="FB230" s="237"/>
      <c r="FC230" s="237"/>
      <c r="FD230" s="237"/>
      <c r="FE230" s="232">
        <f>SUM(Table1[[#This Row],[TOQ1]:[TOQ3]])</f>
        <v>0</v>
      </c>
      <c r="FF230" s="237"/>
      <c r="FG230" s="237"/>
      <c r="FH230" s="237"/>
      <c r="FI230" s="232">
        <f>SUM(Table1[[#This Row],[OFundQ1]:[OFundQ3]])</f>
        <v>0</v>
      </c>
      <c r="FJ230" s="239">
        <f>(Table1[[#This Row],[SubTot]]-Table1[[#This Row],[SubFee]])+(Table1[[#This Row],[UnsubTot]]-Table1[[#This Row],[UnsubFee]])+(Table1[[#This Row],[PLUSTot]]-Table1[[#This Row],[PLUSFee]])+Table1[[#This Row],[PrivTot]]+Table1[[#This Row],[TOTot]]+Table1[[#This Row],[OFundTot]]</f>
        <v>1978.76</v>
      </c>
      <c r="FK230" s="125">
        <f>Table1[[#This Row],[CostTot]]-Table1[[#This Row],[GiftTot]]</f>
        <v>-7500</v>
      </c>
      <c r="FL230" s="130">
        <f>Table1[[#This Row],[NetNeed]]/(1-0.04248)</f>
        <v>-9899.2814771493031</v>
      </c>
      <c r="FM230" s="131">
        <f>Table1[[#This Row],[NetCost]]-Table1[[#This Row],[CashTot]]-(Table1[[#This Row],[SubTot]]-Table1[[#This Row],[SubFee]])-(Table1[[#This Row],[UnsubTot]]-Table1[[#This Row],[UnsubFee]])-(Table1[[#This Row],[PLUSTot]]-Table1[[#This Row],[PLUSFee]])-Table1[[#This Row],[PrivTot]]-Table1[[#This Row],[TOTot]]-Table1[[#This Row],[OFundTot]]</f>
        <v>-9478.76</v>
      </c>
      <c r="FN230" s="156"/>
      <c r="FO230" s="113"/>
      <c r="FP230" s="113"/>
    </row>
    <row r="231" spans="1:172" ht="15" x14ac:dyDescent="0.25">
      <c r="A231" s="329">
        <v>199767</v>
      </c>
      <c r="B231" s="113" t="str">
        <f>VLOOKUP(Table1[[#This Row],[SyStudentId]],SSR!$A$2:$CC$4982,4,FALSE)</f>
        <v>North</v>
      </c>
      <c r="C231" s="113" t="str">
        <f>VLOOKUP(Table1[[#This Row],[SyStudentId]],SSR!$A$2:$CC$4982,5,FALSE)</f>
        <v>Brian</v>
      </c>
      <c r="D231" s="113" t="str">
        <f>VLOOKUP(Table1[[#This Row],[SyStudentId]],SSR!$A$2:$CC$4982,6,FALSE)</f>
        <v>North, Brian</v>
      </c>
      <c r="E231" s="113"/>
      <c r="F231" s="112"/>
      <c r="G231" s="114"/>
      <c r="H231" s="114"/>
      <c r="I231" s="114"/>
      <c r="J231" s="115"/>
      <c r="K231" s="116"/>
      <c r="L231" s="112" t="str">
        <f>IFERROR(VLOOKUP(Table1[[#This Row],[SyStudentId]],ISIR!$A$2:$X$999,11,FALSE),"")</f>
        <v/>
      </c>
      <c r="M231" s="113" t="str">
        <f>VLOOKUP(Table1[[#This Row],[SyStudentId]],SSR!$A$2:$CC$4982,7,FALSE)</f>
        <v>dnapoint5@gmail.com</v>
      </c>
      <c r="N231" s="113" t="str">
        <f>VLOOKUP(Table1[[#This Row],[SyStudentId]],SSR!$A$2:$CC$4982,8,FALSE)</f>
        <v>5521 CARNATION MEADOW ST</v>
      </c>
      <c r="O231" s="113" t="str">
        <f>VLOOKUP(Table1[[#This Row],[SyStudentId]],SSR!$A$2:$CC$4982,9,FALSE)</f>
        <v>LAS VEGAS</v>
      </c>
      <c r="P231" s="113" t="str">
        <f>VLOOKUP(Table1[[#This Row],[SyStudentId]],SSR!$A$2:$CC$4982,10,FALSE)</f>
        <v>NV</v>
      </c>
      <c r="Q231" s="117" t="str">
        <f>VLOOKUP(Table1[[#This Row],[SyStudentId]],SSR!$A$2:$CC$4982,11,FALSE)</f>
        <v xml:space="preserve">89130     </v>
      </c>
      <c r="R231" s="118">
        <f>VLOOKUP(Table1[[#This Row],[SyStudentId]],SSR!$A$2:$CC$4982,15,FALSE)</f>
        <v>3.069</v>
      </c>
      <c r="S231" s="119">
        <f>VLOOKUP(Table1[[#This Row],[SyStudentId]],SSR!$A$2:$CC$4982,22,FALSE)</f>
        <v>44109</v>
      </c>
      <c r="T231" s="113" t="str">
        <f>VLOOKUP(Table1[[#This Row],[SyStudentId]],SSR!$A$2:$CC$4982,24,FALSE)</f>
        <v>MN</v>
      </c>
      <c r="U231" s="113" t="str">
        <f>IF(VLOOKUP(Table1[[#This Row],[SyStudentId]],SSR!$A$2:$CC$4982,26,FALSE)=0,"Not Selected",VLOOKUP(Table1[[#This Row],[SyStudentId]],SSR!$A$2:$CC$4982,26,FALSE))</f>
        <v>Male</v>
      </c>
      <c r="V231" s="113" t="str">
        <f>VLOOKUP(Table1[[#This Row],[SyStudentId]],SSR!$A$2:$CC$4982,27,FALSE)</f>
        <v xml:space="preserve">HS2019  </v>
      </c>
      <c r="W231" s="113" t="str">
        <f>VLOOKUP(LEFT(Table1[[#This Row],[LastName]],1),Alpha!$A$1:$B$26,2,FALSE)</f>
        <v>Maureen Ranks</v>
      </c>
      <c r="X231" s="149" t="str">
        <f>VLOOKUP(Table1[[#This Row],[FAA]],Alpha!$B$1:$D$26,2,FALSE)</f>
        <v>mranks@neumont.edu</v>
      </c>
      <c r="Y231" s="113">
        <f>VLOOKUP(Table1[[#This Row],[FAA]],Alpha!$B$1:$D$26,3,FALSE)</f>
        <v>8883022894</v>
      </c>
      <c r="Z231" s="113" t="str">
        <f>VLOOKUP(Table1[[#This Row],[SyStudentId]],SSR!$A$2:$CC$4982,30,FALSE)</f>
        <v>16-Accepted</v>
      </c>
      <c r="AA231" s="113" t="str">
        <f>IF(VLOOKUP(Table1[[#This Row],[SyStudentId]],SSR!$A$2:$CC$4982,36,FALSE)="Bachelor of Science","BS Computer Science","Check Program")</f>
        <v>BS Computer Science</v>
      </c>
      <c r="AB231" s="113" t="str">
        <f>VLOOKUP(Table1[[#This Row],[SyStudentId]],SSR!$A$2:$CC$4982,37,FALSE)</f>
        <v xml:space="preserve">21      </v>
      </c>
      <c r="AC231" s="113">
        <f>VLOOKUP(Table1[[#This Row],[SyStudentId]],SSR!$A$2:$CC$4982,42,FALSE)</f>
        <v>0</v>
      </c>
      <c r="AD231" s="113" t="str">
        <f>VLOOKUP(Table1[[#This Row],[SyStudentId]],SSR!$A$2:$CC$4982,46,FALSE)</f>
        <v>99</v>
      </c>
      <c r="AE231" s="113" t="str">
        <f>VLOOKUP(Table1[[#This Row],[SyStudentId]],SSR!$A$2:$CC$4982,65,FALSE)</f>
        <v>IV</v>
      </c>
      <c r="AF231"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4</v>
      </c>
      <c r="AG231" s="113" t="str">
        <f>VLOOKUP(Table1[[#This Row],[SyStudentId]],SSR!$A$2:$CC$4982,66,FALSE)</f>
        <v>December</v>
      </c>
      <c r="AH231" s="113" t="str">
        <f>IFERROR(VLOOKUP(Table1[[#This Row],[SyStudentId]],ISIR!$A$2:$X$999,7,FALSE),"")</f>
        <v/>
      </c>
      <c r="AI231" s="121" t="str">
        <f>IF(Table1[[#This Row],[EFCRaw]]="","",IF(Table1[[#This Row],[EFCRaw]]="No EFC","No EFC",_xlfn.NUMBERVALUE(Table1[[#This Row],[EFCRaw]])))</f>
        <v/>
      </c>
      <c r="AJ231" s="119" t="str">
        <f>IFERROR(VLOOKUP(Table1[[#This Row],[SyStudentId]],ISIR!$A$2:$X$4999,19,FALSE),"")</f>
        <v/>
      </c>
      <c r="AK231" s="113" t="str">
        <f>IFERROR(VLOOKUP(Table1[[#This Row],[SyStudentId]],ISIR!$A$2:$X$4999,8,FALSE),"")</f>
        <v/>
      </c>
      <c r="AL231" s="156" t="str">
        <f>IF(Table1[[#This Row],[VerReq]]="N","n/a","")</f>
        <v/>
      </c>
      <c r="AM231" s="122"/>
      <c r="AN231" s="122"/>
      <c r="AO231" s="122"/>
      <c r="AP231" s="122"/>
      <c r="AQ231" s="122"/>
      <c r="AR231" s="122"/>
      <c r="AS231" s="122"/>
      <c r="AT231" s="122"/>
      <c r="AU231" s="122"/>
      <c r="AV231" s="122"/>
      <c r="AW231" s="122"/>
      <c r="AX231" s="122"/>
      <c r="AY231" s="122"/>
      <c r="AZ231" s="122"/>
      <c r="BA231" s="122"/>
      <c r="BB231" s="122"/>
      <c r="BC231" s="148"/>
      <c r="BD231" s="140" t="str">
        <f>IF(Table1[[#This Row],[VerReq]]="N","x","")</f>
        <v/>
      </c>
      <c r="BE231" s="140" t="str">
        <f>IF(Table1[[#This Row],[VerReq]]="N","x","")</f>
        <v/>
      </c>
      <c r="BF231" s="140" t="str">
        <f>IF(Table1[[#This Row],[VerReq]]="N","x","")</f>
        <v/>
      </c>
      <c r="BG231" s="140" t="str">
        <f>IF(Table1[[#This Row],[VerReq]]="N","x","")</f>
        <v/>
      </c>
      <c r="BH231" s="140" t="str">
        <f>IF(Table1[[#This Row],[VerReq]]="N","x","")</f>
        <v/>
      </c>
      <c r="BI231" s="140" t="str">
        <f>IF(Table1[[#This Row],[VerReq]]="N","x","")</f>
        <v/>
      </c>
      <c r="BJ231" s="123">
        <f>1-((COUNTBLANK(Table1[[#This Row],[ALESent]:[TaxTran]]))/(COUNT(Table1[[#This Row],[ALESent]:[TaxTran]])+COUNTBLANK(Table1[[#This Row],[ALESent]:[TaxTran]])))</f>
        <v>0</v>
      </c>
      <c r="BK231" s="150">
        <f>IF(VLOOKUP(Table1[[#This Row],[SyStudentId]],SSR!$A$2:$CC$4982,22,FALSE)=44109,44109,"Check Program")</f>
        <v>44109</v>
      </c>
      <c r="BL231" s="150">
        <f>IF(Table1[[#This Row],[AYStart]]=44109,44356,"Check Program")</f>
        <v>44356</v>
      </c>
      <c r="BM231" s="219"/>
      <c r="BN231" s="219"/>
      <c r="BO231" s="219"/>
      <c r="BP231" s="220">
        <f t="shared" si="12"/>
        <v>0</v>
      </c>
      <c r="BQ231" s="221"/>
      <c r="BR231" s="219"/>
      <c r="BS231" s="219"/>
      <c r="BT231" s="220">
        <f t="shared" si="13"/>
        <v>0</v>
      </c>
      <c r="BU231" s="219"/>
      <c r="BV231" s="219"/>
      <c r="BW231" s="219"/>
      <c r="BX231" s="220">
        <f t="shared" si="14"/>
        <v>0</v>
      </c>
      <c r="BY231" s="269"/>
      <c r="BZ231" s="269"/>
      <c r="CA231" s="269"/>
      <c r="CB231" s="220">
        <f>SUM(Table1[[#This Row],[LEQ1]:[LEQ3]])</f>
        <v>0</v>
      </c>
      <c r="CC231" s="269"/>
      <c r="CD231" s="269"/>
      <c r="CE231" s="269"/>
      <c r="CF231" s="220">
        <f>SUM(Table1[[#This Row],[OthCostQ1]:[OthCostQ3]])</f>
        <v>0</v>
      </c>
      <c r="CG231" s="220">
        <f>(Table1[[#This Row],[T&amp;FTot]]+Table1[[#This Row],[B&amp;STot]]+Table1[[#This Row],[HousTot]]+Table1[[#This Row],[LETot]]+Table1[[#This Row],[OthCostTot]])</f>
        <v>0</v>
      </c>
      <c r="CH231" s="250"/>
      <c r="CI231" s="250"/>
      <c r="CJ231" s="250"/>
      <c r="CK231" s="251">
        <f>SUM(Table1[[#This Row],[SEOGQ1]:[SEOGQ3]])</f>
        <v>0</v>
      </c>
      <c r="CL231" s="250">
        <f>IFERROR(ROUNDUP(Table1[[#This Row],[PellTot]]/3,0),0)</f>
        <v>0</v>
      </c>
      <c r="CM231" s="250">
        <f>IFERROR(ROUND(Table1[[#This Row],[PellTot]]/3,0),0)</f>
        <v>0</v>
      </c>
      <c r="CN231" s="250">
        <f>IFERROR(ROUNDDOWN(Table1[[#This Row],[PellTot]]/3,0),0)</f>
        <v>0</v>
      </c>
      <c r="CO231" s="251">
        <f>IFERROR(LOOKUP(Table1[EFC],Pell_Table[#Data],Pell_Table[Pell Amt]),0)</f>
        <v>0</v>
      </c>
      <c r="CP231" s="250">
        <f>Table1[[#This Row],[AccessTot]]/3</f>
        <v>0</v>
      </c>
      <c r="CQ231" s="250">
        <f>Table1[[#This Row],[AccessTot]]/3</f>
        <v>0</v>
      </c>
      <c r="CR231" s="250">
        <f>Table1[[#This Row],[AccessTot]]/3</f>
        <v>0</v>
      </c>
      <c r="CS231" s="251">
        <f>IF(Table1[[#This Row],[PellTot]]&gt;0,1500,0)</f>
        <v>0</v>
      </c>
      <c r="CT231" s="250">
        <f>Table1[[#This Row],[AchiTot]]/3</f>
        <v>1250</v>
      </c>
      <c r="CU231" s="250">
        <f>Table1[[#This Row],[AchiTot]]/3</f>
        <v>1250</v>
      </c>
      <c r="CV231" s="250">
        <f>Table1[[#This Row],[AchiTot]]/3</f>
        <v>1250</v>
      </c>
      <c r="CW231" s="252">
        <f>IF(Table1[[#This Row],[Rank]]="","",IF(Table1[[#This Row],[Rank]]=1,5100,IF(Table1[[#This Row],[Rank]]=2,4500,IF(Table1[[#This Row],[Rank]]=3,3900,IF(Table1[[#This Row],[Rank]]=4,3750,IF(Table1[[#This Row],[Rank]]=5,3000,IF(Table1[[#This Row],[Rank]]=6,2250,0)))))))</f>
        <v>3750</v>
      </c>
      <c r="CX231" s="250">
        <f>Table1[[#This Row],[UTTot]]/3</f>
        <v>0</v>
      </c>
      <c r="CY231" s="250">
        <f>Table1[[#This Row],[UTTot]]/3</f>
        <v>0</v>
      </c>
      <c r="CZ231" s="250">
        <f>Table1[[#This Row],[UTTot]]/3</f>
        <v>0</v>
      </c>
      <c r="DA231" s="251">
        <f>IF(Table1[[#This Row],[State]]="UT",9000,0)</f>
        <v>0</v>
      </c>
      <c r="DB231" s="250">
        <f>Table1[[#This Row],[WITTot]]/3</f>
        <v>0</v>
      </c>
      <c r="DC231" s="250">
        <f>Table1[[#This Row],[WITTot]]/3</f>
        <v>0</v>
      </c>
      <c r="DD231" s="250">
        <f>Table1[[#This Row],[WITTot]]/3</f>
        <v>0</v>
      </c>
      <c r="DE231" s="251">
        <f>IF(Table1[[#This Row],[Gender]]="Female",3000,0)</f>
        <v>0</v>
      </c>
      <c r="DF231" s="250">
        <f>Table1[[#This Row],[SerTot]]/3</f>
        <v>0</v>
      </c>
      <c r="DG231" s="250">
        <f>Table1[[#This Row],[SerTot]]/3</f>
        <v>0</v>
      </c>
      <c r="DH231" s="250">
        <f>Table1[[#This Row],[SerTot]]/3</f>
        <v>0</v>
      </c>
      <c r="DI231" s="252"/>
      <c r="DJ231" s="250"/>
      <c r="DK231" s="250"/>
      <c r="DL231" s="250"/>
      <c r="DM231" s="252"/>
      <c r="DN231" s="250">
        <f>Table1[[#This Row],[MatTot]]/3</f>
        <v>0</v>
      </c>
      <c r="DO231" s="250">
        <f>Table1[[#This Row],[MatTot]]/3</f>
        <v>0</v>
      </c>
      <c r="DP231" s="250">
        <f>Table1[[#This Row],[MatTot]]/3</f>
        <v>0</v>
      </c>
      <c r="DQ231" s="252"/>
      <c r="DR231" s="250">
        <f>Table1[[#This Row],[OutTot]]/3</f>
        <v>0</v>
      </c>
      <c r="DS231" s="250">
        <f>Table1[[#This Row],[OutTot]]/3</f>
        <v>0</v>
      </c>
      <c r="DT231" s="250">
        <f>Table1[[#This Row],[OutTot]]/3</f>
        <v>0</v>
      </c>
      <c r="DU231" s="252"/>
      <c r="DV231" s="250"/>
      <c r="DW231" s="250"/>
      <c r="DX231" s="250"/>
      <c r="DY231" s="252">
        <f>SUM(Table1[[#This Row],[VAQ1]:[VAQ3]])</f>
        <v>0</v>
      </c>
      <c r="DZ231" s="250"/>
      <c r="EA231" s="250"/>
      <c r="EB231" s="250"/>
      <c r="EC231" s="270">
        <f>SUM(Table1[[#This Row],[OthGrantQ1]:[OthGrantQ3]])</f>
        <v>0</v>
      </c>
      <c r="ED231" s="263">
        <f>Table1[[#This Row],[SEOGTot]]+Table1[[#This Row],[PellTot]]+Table1[[#This Row],[AccessTot]]+Table1[[#This Row],[AchiTot]]+Table1[[#This Row],[UTTot]]+Table1[[#This Row],[WITTot]]+Table1[[#This Row],[SerTot]]+Table1[[#This Row],[TranTot]]+Table1[[#This Row],[MatTot]]+Table1[[#This Row],[OutTot]]+Table1[[#This Row],[VATot]]+Table1[[#This Row],[OthGrantTot]]</f>
        <v>3750</v>
      </c>
      <c r="EE231" s="282"/>
      <c r="EF231" s="237"/>
      <c r="EG231" s="237"/>
      <c r="EH231" s="232">
        <f>SUM(Table1[[#This Row],[CashQ1]]:Table1[[#This Row],[CashQ3]])</f>
        <v>0</v>
      </c>
      <c r="EI231" s="271">
        <f>ROUND((Table1[[#This Row],[SubTot]]/3)/1.01059,0)</f>
        <v>0</v>
      </c>
      <c r="EJ231" s="234">
        <f>ROUND((Table1[[#This Row],[SubTot]]/3)/1.01059,0)</f>
        <v>0</v>
      </c>
      <c r="EK231" s="234">
        <f>ROUNDUP((Table1[[#This Row],[SubTot]]/3)/1.01059,0)</f>
        <v>0</v>
      </c>
      <c r="EL231" s="235"/>
      <c r="EM231" s="240">
        <f>Table1[[#This Row],[SubTot]]*0.01059</f>
        <v>0</v>
      </c>
      <c r="EN231" s="234">
        <f>ROUND((Table1[[#This Row],[UnsubTot]]/3)/1.01062,0)</f>
        <v>660</v>
      </c>
      <c r="EO231" s="234">
        <f>ROUND((Table1[[#This Row],[UnsubTot]]/3)/1.01062,0)</f>
        <v>660</v>
      </c>
      <c r="EP231" s="234">
        <f>ROUNDDOWN((Table1[[#This Row],[UnsubTot]]/3)/1.01062,0)</f>
        <v>659</v>
      </c>
      <c r="EQ231" s="235">
        <f>IF(Table1[D/I]="I",6000,2000)</f>
        <v>2000</v>
      </c>
      <c r="ER231" s="240">
        <f>Table1[[#This Row],[UnsubTot]]*0.01062</f>
        <v>21.24</v>
      </c>
      <c r="ES231" s="234">
        <f>ROUND((Table1[[#This Row],[PLUSTot]]/3)/1.04248,0)</f>
        <v>0</v>
      </c>
      <c r="ET231" s="234">
        <f>ROUND((Table1[[#This Row],[PLUSTot]]/3)/1.04248,0)</f>
        <v>0</v>
      </c>
      <c r="EU231" s="234">
        <f>ROUND((Table1[[#This Row],[PLUSTot]]/3)/1.04248,0)</f>
        <v>0</v>
      </c>
      <c r="EV231" s="235"/>
      <c r="EW231" s="239">
        <f>Table1[[#This Row],[PLUSTot]]*0.04248</f>
        <v>0</v>
      </c>
      <c r="EX231" s="237"/>
      <c r="EY231" s="237"/>
      <c r="EZ231" s="237"/>
      <c r="FA231" s="232">
        <f>SUM(Table1[[#This Row],[PrivQ1]:[PrivQ3]])</f>
        <v>0</v>
      </c>
      <c r="FB231" s="237"/>
      <c r="FC231" s="237"/>
      <c r="FD231" s="237"/>
      <c r="FE231" s="232">
        <f>SUM(Table1[[#This Row],[TOQ1]:[TOQ3]])</f>
        <v>0</v>
      </c>
      <c r="FF231" s="237"/>
      <c r="FG231" s="237"/>
      <c r="FH231" s="237"/>
      <c r="FI231" s="232">
        <f>SUM(Table1[[#This Row],[OFundQ1]:[OFundQ3]])</f>
        <v>0</v>
      </c>
      <c r="FJ231" s="239">
        <f>(Table1[[#This Row],[SubTot]]-Table1[[#This Row],[SubFee]])+(Table1[[#This Row],[UnsubTot]]-Table1[[#This Row],[UnsubFee]])+(Table1[[#This Row],[PLUSTot]]-Table1[[#This Row],[PLUSFee]])+Table1[[#This Row],[PrivTot]]+Table1[[#This Row],[TOTot]]+Table1[[#This Row],[OFundTot]]</f>
        <v>1978.76</v>
      </c>
      <c r="FK231" s="125">
        <f>Table1[[#This Row],[CostTot]]-Table1[[#This Row],[GiftTot]]</f>
        <v>-3750</v>
      </c>
      <c r="FL231" s="130">
        <f>Table1[[#This Row],[NetNeed]]/(1-0.04248)</f>
        <v>-5982.9141950037601</v>
      </c>
      <c r="FM231" s="131">
        <f>Table1[[#This Row],[NetCost]]-Table1[[#This Row],[CashTot]]-(Table1[[#This Row],[SubTot]]-Table1[[#This Row],[SubFee]])-(Table1[[#This Row],[UnsubTot]]-Table1[[#This Row],[UnsubFee]])-(Table1[[#This Row],[PLUSTot]]-Table1[[#This Row],[PLUSFee]])-Table1[[#This Row],[PrivTot]]-Table1[[#This Row],[TOTot]]-Table1[[#This Row],[OFundTot]]</f>
        <v>-5728.76</v>
      </c>
      <c r="FN231" s="156"/>
      <c r="FO231" s="113"/>
      <c r="FP231" s="113"/>
    </row>
    <row r="232" spans="1:172" ht="15" x14ac:dyDescent="0.25">
      <c r="A232" s="329">
        <v>198086</v>
      </c>
      <c r="B232" s="113" t="str">
        <f>VLOOKUP(Table1[[#This Row],[SyStudentId]],SSR!$A$2:$CC$4982,4,FALSE)</f>
        <v>Palmer</v>
      </c>
      <c r="C232" s="113" t="str">
        <f>VLOOKUP(Table1[[#This Row],[SyStudentId]],SSR!$A$2:$CC$4982,5,FALSE)</f>
        <v>Dylan</v>
      </c>
      <c r="D232" s="113" t="str">
        <f>VLOOKUP(Table1[[#This Row],[SyStudentId]],SSR!$A$2:$CC$4982,6,FALSE)</f>
        <v>Palmer, Dylan</v>
      </c>
      <c r="E232" s="113"/>
      <c r="F232" s="112"/>
      <c r="G232" s="114"/>
      <c r="H232" s="114"/>
      <c r="I232" s="114"/>
      <c r="J232" s="115"/>
      <c r="K232" s="116"/>
      <c r="L232" s="112" t="str">
        <f>IFERROR(VLOOKUP(Table1[[#This Row],[SyStudentId]],ISIR!$A$2:$X$999,11,FALSE),"")</f>
        <v>D</v>
      </c>
      <c r="M232" s="113" t="str">
        <f>VLOOKUP(Table1[[#This Row],[SyStudentId]],SSR!$A$2:$CC$4982,7,FALSE)</f>
        <v>Djremlap2@gmail.com</v>
      </c>
      <c r="N232" s="113" t="str">
        <f>VLOOKUP(Table1[[#This Row],[SyStudentId]],SSR!$A$2:$CC$4982,8,FALSE)</f>
        <v>1315 S BLOOMINGTON ST.</v>
      </c>
      <c r="O232" s="113" t="str">
        <f>VLOOKUP(Table1[[#This Row],[SyStudentId]],SSR!$A$2:$CC$4982,9,FALSE)</f>
        <v>STREATOR</v>
      </c>
      <c r="P232" s="113" t="str">
        <f>VLOOKUP(Table1[[#This Row],[SyStudentId]],SSR!$A$2:$CC$4982,10,FALSE)</f>
        <v>IL</v>
      </c>
      <c r="Q232" s="117" t="str">
        <f>VLOOKUP(Table1[[#This Row],[SyStudentId]],SSR!$A$2:$CC$4982,11,FALSE)</f>
        <v xml:space="preserve">61364     </v>
      </c>
      <c r="R232" s="118">
        <f>VLOOKUP(Table1[[#This Row],[SyStudentId]],SSR!$A$2:$CC$4982,15,FALSE)</f>
        <v>3.02</v>
      </c>
      <c r="S232" s="119">
        <f>VLOOKUP(Table1[[#This Row],[SyStudentId]],SSR!$A$2:$CC$4982,22,FALSE)</f>
        <v>44109</v>
      </c>
      <c r="T232" s="113" t="str">
        <f>VLOOKUP(Table1[[#This Row],[SyStudentId]],SSR!$A$2:$CC$4982,24,FALSE)</f>
        <v>MN</v>
      </c>
      <c r="U232" s="113" t="str">
        <f>IF(VLOOKUP(Table1[[#This Row],[SyStudentId]],SSR!$A$2:$CC$4982,26,FALSE)=0,"Not Selected",VLOOKUP(Table1[[#This Row],[SyStudentId]],SSR!$A$2:$CC$4982,26,FALSE))</f>
        <v>Male</v>
      </c>
      <c r="V232" s="113" t="str">
        <f>VLOOKUP(Table1[[#This Row],[SyStudentId]],SSR!$A$2:$CC$4982,27,FALSE)</f>
        <v xml:space="preserve">HS2020  </v>
      </c>
      <c r="W232" s="113" t="str">
        <f>VLOOKUP(LEFT(Table1[[#This Row],[LastName]],1),Alpha!$A$1:$B$26,2,FALSE)</f>
        <v>Maureen Ranks</v>
      </c>
      <c r="X232" s="149" t="str">
        <f>VLOOKUP(Table1[[#This Row],[FAA]],Alpha!$B$1:$D$26,2,FALSE)</f>
        <v>mranks@neumont.edu</v>
      </c>
      <c r="Y232" s="113">
        <f>VLOOKUP(Table1[[#This Row],[FAA]],Alpha!$B$1:$D$26,3,FALSE)</f>
        <v>8883022894</v>
      </c>
      <c r="Z232" s="113" t="str">
        <f>VLOOKUP(Table1[[#This Row],[SyStudentId]],SSR!$A$2:$CC$4982,30,FALSE)</f>
        <v>16-Accepted</v>
      </c>
      <c r="AA232" s="113" t="str">
        <f>IF(VLOOKUP(Table1[[#This Row],[SyStudentId]],SSR!$A$2:$CC$4982,36,FALSE)="Bachelor of Science","BS Computer Science","Check Program")</f>
        <v>BS Computer Science</v>
      </c>
      <c r="AB232" s="113">
        <f>VLOOKUP(Table1[[#This Row],[SyStudentId]],SSR!$A$2:$CC$4982,37,FALSE)</f>
        <v>0</v>
      </c>
      <c r="AC232" s="113" t="str">
        <f>VLOOKUP(Table1[[#This Row],[SyStudentId]],SSR!$A$2:$CC$4982,42,FALSE)</f>
        <v xml:space="preserve">930     </v>
      </c>
      <c r="AD232" s="113" t="str">
        <f>VLOOKUP(Table1[[#This Row],[SyStudentId]],SSR!$A$2:$CC$4982,46,FALSE)</f>
        <v>93</v>
      </c>
      <c r="AE232" s="113">
        <f>VLOOKUP(Table1[[#This Row],[SyStudentId]],SSR!$A$2:$CC$4982,65,FALSE)</f>
        <v>0</v>
      </c>
      <c r="AF232" s="120" t="str">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
      </c>
      <c r="AG232" s="113">
        <f>VLOOKUP(Table1[[#This Row],[SyStudentId]],SSR!$A$2:$CC$4982,66,FALSE)</f>
        <v>0</v>
      </c>
      <c r="AH232" s="113" t="str">
        <f>IFERROR(VLOOKUP(Table1[[#This Row],[SyStudentId]],ISIR!$A$2:$X$999,7,FALSE),"")</f>
        <v>009130</v>
      </c>
      <c r="AI232" s="121">
        <f>IF(Table1[[#This Row],[EFCRaw]]="","",IF(Table1[[#This Row],[EFCRaw]]="No EFC","No EFC",_xlfn.NUMBERVALUE(Table1[[#This Row],[EFCRaw]])))</f>
        <v>9130</v>
      </c>
      <c r="AJ232" s="119">
        <f>IFERROR(VLOOKUP(Table1[[#This Row],[SyStudentId]],ISIR!$A$2:$X$4999,19,FALSE),"")</f>
        <v>43774</v>
      </c>
      <c r="AK232" s="113" t="str">
        <f>IFERROR(VLOOKUP(Table1[[#This Row],[SyStudentId]],ISIR!$A$2:$X$4999,8,FALSE),"")</f>
        <v>N</v>
      </c>
      <c r="AL232" s="156" t="str">
        <f>IF(Table1[[#This Row],[VerReq]]="N","n/a","")</f>
        <v>n/a</v>
      </c>
      <c r="AM232" s="122"/>
      <c r="AN232" s="122"/>
      <c r="AO232" s="122"/>
      <c r="AP232" s="122"/>
      <c r="AQ232" s="122"/>
      <c r="AR232" s="122"/>
      <c r="AS232" s="122"/>
      <c r="AT232" s="122"/>
      <c r="AU232" s="122"/>
      <c r="AV232" s="122"/>
      <c r="AW232" s="122"/>
      <c r="AX232" s="122"/>
      <c r="AY232" s="122"/>
      <c r="AZ232" s="122"/>
      <c r="BA232" s="122"/>
      <c r="BB232" s="122"/>
      <c r="BC232" s="148"/>
      <c r="BD232" s="140" t="str">
        <f>IF(Table1[[#This Row],[VerReq]]="N","x","")</f>
        <v>x</v>
      </c>
      <c r="BE232" s="140" t="str">
        <f>IF(Table1[[#This Row],[VerReq]]="N","x","")</f>
        <v>x</v>
      </c>
      <c r="BF232" s="140" t="str">
        <f>IF(Table1[[#This Row],[VerReq]]="N","x","")</f>
        <v>x</v>
      </c>
      <c r="BG232" s="140" t="str">
        <f>IF(Table1[[#This Row],[VerReq]]="N","x","")</f>
        <v>x</v>
      </c>
      <c r="BH232" s="140" t="str">
        <f>IF(Table1[[#This Row],[VerReq]]="N","x","")</f>
        <v>x</v>
      </c>
      <c r="BI232" s="140" t="str">
        <f>IF(Table1[[#This Row],[VerReq]]="N","x","")</f>
        <v>x</v>
      </c>
      <c r="BJ232" s="123">
        <f>1-((COUNTBLANK(Table1[[#This Row],[ALESent]:[TaxTran]]))/(COUNT(Table1[[#This Row],[ALESent]:[TaxTran]])+COUNTBLANK(Table1[[#This Row],[ALESent]:[TaxTran]])))</f>
        <v>0</v>
      </c>
      <c r="BK232" s="150">
        <f>IF(VLOOKUP(Table1[[#This Row],[SyStudentId]],SSR!$A$2:$CC$4982,22,FALSE)=44109,44109,"Check Program")</f>
        <v>44109</v>
      </c>
      <c r="BL232" s="150">
        <f>IF(Table1[[#This Row],[AYStart]]=44109,44356,"Check Program")</f>
        <v>44356</v>
      </c>
      <c r="BM232" s="219"/>
      <c r="BN232" s="219"/>
      <c r="BO232" s="219"/>
      <c r="BP232" s="220">
        <f t="shared" si="12"/>
        <v>0</v>
      </c>
      <c r="BQ232" s="221"/>
      <c r="BR232" s="219"/>
      <c r="BS232" s="219"/>
      <c r="BT232" s="220">
        <f t="shared" si="13"/>
        <v>0</v>
      </c>
      <c r="BU232" s="219"/>
      <c r="BV232" s="219"/>
      <c r="BW232" s="219"/>
      <c r="BX232" s="220">
        <f t="shared" si="14"/>
        <v>0</v>
      </c>
      <c r="BY232" s="269"/>
      <c r="BZ232" s="269"/>
      <c r="CA232" s="269"/>
      <c r="CB232" s="220">
        <f>SUM(Table1[[#This Row],[LEQ1]:[LEQ3]])</f>
        <v>0</v>
      </c>
      <c r="CC232" s="269"/>
      <c r="CD232" s="269"/>
      <c r="CE232" s="269"/>
      <c r="CF232" s="220">
        <f>SUM(Table1[[#This Row],[OthCostQ1]:[OthCostQ3]])</f>
        <v>0</v>
      </c>
      <c r="CG232" s="220">
        <f>(Table1[[#This Row],[T&amp;FTot]]+Table1[[#This Row],[B&amp;STot]]+Table1[[#This Row],[HousTot]]+Table1[[#This Row],[LETot]]+Table1[[#This Row],[OthCostTot]])</f>
        <v>0</v>
      </c>
      <c r="CH232" s="250"/>
      <c r="CI232" s="250"/>
      <c r="CJ232" s="250"/>
      <c r="CK232" s="251">
        <f>SUM(Table1[[#This Row],[SEOGQ1]:[SEOGQ3]])</f>
        <v>0</v>
      </c>
      <c r="CL232" s="250">
        <f>IFERROR(ROUNDUP(Table1[[#This Row],[PellTot]]/3,0),0)</f>
        <v>0</v>
      </c>
      <c r="CM232" s="250">
        <f>IFERROR(ROUND(Table1[[#This Row],[PellTot]]/3,0),0)</f>
        <v>0</v>
      </c>
      <c r="CN232" s="250">
        <f>IFERROR(ROUNDDOWN(Table1[[#This Row],[PellTot]]/3,0),0)</f>
        <v>0</v>
      </c>
      <c r="CO232" s="251">
        <f>IFERROR(LOOKUP(Table1[EFC],Pell_Table[#Data],Pell_Table[Pell Amt]),0)</f>
        <v>0</v>
      </c>
      <c r="CP232" s="250">
        <f>Table1[[#This Row],[AccessTot]]/3</f>
        <v>0</v>
      </c>
      <c r="CQ232" s="250">
        <f>Table1[[#This Row],[AccessTot]]/3</f>
        <v>0</v>
      </c>
      <c r="CR232" s="250">
        <f>Table1[[#This Row],[AccessTot]]/3</f>
        <v>0</v>
      </c>
      <c r="CS232" s="251">
        <f>IF(Table1[[#This Row],[PellTot]]&gt;0,1500,0)</f>
        <v>0</v>
      </c>
      <c r="CT232" s="250" t="e">
        <f>Table1[[#This Row],[AchiTot]]/3</f>
        <v>#VALUE!</v>
      </c>
      <c r="CU232" s="250" t="e">
        <f>Table1[[#This Row],[AchiTot]]/3</f>
        <v>#VALUE!</v>
      </c>
      <c r="CV232" s="250" t="e">
        <f>Table1[[#This Row],[AchiTot]]/3</f>
        <v>#VALUE!</v>
      </c>
      <c r="CW232" s="252" t="str">
        <f>IF(Table1[[#This Row],[Rank]]="","",IF(Table1[[#This Row],[Rank]]=1,5100,IF(Table1[[#This Row],[Rank]]=2,4500,IF(Table1[[#This Row],[Rank]]=3,3900,IF(Table1[[#This Row],[Rank]]=4,3750,IF(Table1[[#This Row],[Rank]]=5,3000,IF(Table1[[#This Row],[Rank]]=6,2250,0)))))))</f>
        <v/>
      </c>
      <c r="CX232" s="250">
        <f>Table1[[#This Row],[UTTot]]/3</f>
        <v>0</v>
      </c>
      <c r="CY232" s="250">
        <f>Table1[[#This Row],[UTTot]]/3</f>
        <v>0</v>
      </c>
      <c r="CZ232" s="250">
        <f>Table1[[#This Row],[UTTot]]/3</f>
        <v>0</v>
      </c>
      <c r="DA232" s="251">
        <f>IF(Table1[[#This Row],[State]]="UT",9000,0)</f>
        <v>0</v>
      </c>
      <c r="DB232" s="250">
        <f>Table1[[#This Row],[WITTot]]/3</f>
        <v>0</v>
      </c>
      <c r="DC232" s="250">
        <f>Table1[[#This Row],[WITTot]]/3</f>
        <v>0</v>
      </c>
      <c r="DD232" s="250">
        <f>Table1[[#This Row],[WITTot]]/3</f>
        <v>0</v>
      </c>
      <c r="DE232" s="251">
        <f>IF(Table1[[#This Row],[Gender]]="Female",3000,0)</f>
        <v>0</v>
      </c>
      <c r="DF232" s="250">
        <f>Table1[[#This Row],[SerTot]]/3</f>
        <v>0</v>
      </c>
      <c r="DG232" s="250">
        <f>Table1[[#This Row],[SerTot]]/3</f>
        <v>0</v>
      </c>
      <c r="DH232" s="250">
        <f>Table1[[#This Row],[SerTot]]/3</f>
        <v>0</v>
      </c>
      <c r="DI232" s="252"/>
      <c r="DJ232" s="250"/>
      <c r="DK232" s="250"/>
      <c r="DL232" s="250"/>
      <c r="DM232" s="252"/>
      <c r="DN232" s="250">
        <f>Table1[[#This Row],[MatTot]]/3</f>
        <v>0</v>
      </c>
      <c r="DO232" s="250">
        <f>Table1[[#This Row],[MatTot]]/3</f>
        <v>0</v>
      </c>
      <c r="DP232" s="250">
        <f>Table1[[#This Row],[MatTot]]/3</f>
        <v>0</v>
      </c>
      <c r="DQ232" s="252"/>
      <c r="DR232" s="250">
        <f>Table1[[#This Row],[OutTot]]/3</f>
        <v>0</v>
      </c>
      <c r="DS232" s="250">
        <f>Table1[[#This Row],[OutTot]]/3</f>
        <v>0</v>
      </c>
      <c r="DT232" s="250">
        <f>Table1[[#This Row],[OutTot]]/3</f>
        <v>0</v>
      </c>
      <c r="DU232" s="252"/>
      <c r="DV232" s="250"/>
      <c r="DW232" s="250"/>
      <c r="DX232" s="250"/>
      <c r="DY232" s="252">
        <f>SUM(Table1[[#This Row],[VAQ1]:[VAQ3]])</f>
        <v>0</v>
      </c>
      <c r="DZ232" s="250"/>
      <c r="EA232" s="250"/>
      <c r="EB232" s="250"/>
      <c r="EC232" s="270">
        <f>SUM(Table1[[#This Row],[OthGrantQ1]:[OthGrantQ3]])</f>
        <v>0</v>
      </c>
      <c r="ED232" s="263" t="e">
        <f>Table1[[#This Row],[SEOGTot]]+Table1[[#This Row],[PellTot]]+Table1[[#This Row],[AccessTot]]+Table1[[#This Row],[AchiTot]]+Table1[[#This Row],[UTTot]]+Table1[[#This Row],[WITTot]]+Table1[[#This Row],[SerTot]]+Table1[[#This Row],[TranTot]]+Table1[[#This Row],[MatTot]]+Table1[[#This Row],[OutTot]]+Table1[[#This Row],[VATot]]+Table1[[#This Row],[OthGrantTot]]</f>
        <v>#VALUE!</v>
      </c>
      <c r="EE232" s="282"/>
      <c r="EF232" s="237"/>
      <c r="EG232" s="237"/>
      <c r="EH232" s="232">
        <f>SUM(Table1[[#This Row],[CashQ1]]:Table1[[#This Row],[CashQ3]])</f>
        <v>0</v>
      </c>
      <c r="EI232" s="271">
        <f>ROUND((Table1[[#This Row],[SubTot]]/3)/1.01059,0)</f>
        <v>0</v>
      </c>
      <c r="EJ232" s="234">
        <f>ROUND((Table1[[#This Row],[SubTot]]/3)/1.01059,0)</f>
        <v>0</v>
      </c>
      <c r="EK232" s="234">
        <f>ROUNDUP((Table1[[#This Row],[SubTot]]/3)/1.01059,0)</f>
        <v>0</v>
      </c>
      <c r="EL232" s="235"/>
      <c r="EM232" s="240">
        <f>Table1[[#This Row],[SubTot]]*0.01059</f>
        <v>0</v>
      </c>
      <c r="EN232" s="234">
        <f>ROUND((Table1[[#This Row],[UnsubTot]]/3)/1.01062,0)</f>
        <v>660</v>
      </c>
      <c r="EO232" s="234">
        <f>ROUND((Table1[[#This Row],[UnsubTot]]/3)/1.01062,0)</f>
        <v>660</v>
      </c>
      <c r="EP232" s="234">
        <f>ROUNDDOWN((Table1[[#This Row],[UnsubTot]]/3)/1.01062,0)</f>
        <v>659</v>
      </c>
      <c r="EQ232" s="235">
        <f>IF(Table1[D/I]="I",6000,2000)</f>
        <v>2000</v>
      </c>
      <c r="ER232" s="240">
        <f>Table1[[#This Row],[UnsubTot]]*0.01062</f>
        <v>21.24</v>
      </c>
      <c r="ES232" s="234">
        <f>ROUND((Table1[[#This Row],[PLUSTot]]/3)/1.04248,0)</f>
        <v>0</v>
      </c>
      <c r="ET232" s="234">
        <f>ROUND((Table1[[#This Row],[PLUSTot]]/3)/1.04248,0)</f>
        <v>0</v>
      </c>
      <c r="EU232" s="234">
        <f>ROUND((Table1[[#This Row],[PLUSTot]]/3)/1.04248,0)</f>
        <v>0</v>
      </c>
      <c r="EV232" s="235"/>
      <c r="EW232" s="239">
        <f>Table1[[#This Row],[PLUSTot]]*0.04248</f>
        <v>0</v>
      </c>
      <c r="EX232" s="237"/>
      <c r="EY232" s="237"/>
      <c r="EZ232" s="237"/>
      <c r="FA232" s="232">
        <f>SUM(Table1[[#This Row],[PrivQ1]:[PrivQ3]])</f>
        <v>0</v>
      </c>
      <c r="FB232" s="237"/>
      <c r="FC232" s="237"/>
      <c r="FD232" s="237"/>
      <c r="FE232" s="232">
        <f>SUM(Table1[[#This Row],[TOQ1]:[TOQ3]])</f>
        <v>0</v>
      </c>
      <c r="FF232" s="237"/>
      <c r="FG232" s="237"/>
      <c r="FH232" s="237"/>
      <c r="FI232" s="232">
        <f>SUM(Table1[[#This Row],[OFundQ1]:[OFundQ3]])</f>
        <v>0</v>
      </c>
      <c r="FJ232" s="239">
        <f>(Table1[[#This Row],[SubTot]]-Table1[[#This Row],[SubFee]])+(Table1[[#This Row],[UnsubTot]]-Table1[[#This Row],[UnsubFee]])+(Table1[[#This Row],[PLUSTot]]-Table1[[#This Row],[PLUSFee]])+Table1[[#This Row],[PrivTot]]+Table1[[#This Row],[TOTot]]+Table1[[#This Row],[OFundTot]]</f>
        <v>1978.76</v>
      </c>
      <c r="FK232" s="125" t="e">
        <f>Table1[[#This Row],[CostTot]]-Table1[[#This Row],[GiftTot]]</f>
        <v>#VALUE!</v>
      </c>
      <c r="FL232" s="130" t="e">
        <f>Table1[[#This Row],[NetNeed]]/(1-0.04248)</f>
        <v>#VALUE!</v>
      </c>
      <c r="FM232" s="131" t="e">
        <f>Table1[[#This Row],[NetCost]]-Table1[[#This Row],[CashTot]]-(Table1[[#This Row],[SubTot]]-Table1[[#This Row],[SubFee]])-(Table1[[#This Row],[UnsubTot]]-Table1[[#This Row],[UnsubFee]])-(Table1[[#This Row],[PLUSTot]]-Table1[[#This Row],[PLUSFee]])-Table1[[#This Row],[PrivTot]]-Table1[[#This Row],[TOTot]]-Table1[[#This Row],[OFundTot]]</f>
        <v>#VALUE!</v>
      </c>
      <c r="FN232" s="156"/>
      <c r="FO232" s="113"/>
      <c r="FP232" s="113"/>
    </row>
    <row r="233" spans="1:172" ht="15" x14ac:dyDescent="0.25">
      <c r="A233" s="329">
        <v>195698</v>
      </c>
      <c r="B233" s="113" t="str">
        <f>VLOOKUP(Table1[[#This Row],[SyStudentId]],SSR!$A$2:$CC$4982,4,FALSE)</f>
        <v>Perez</v>
      </c>
      <c r="C233" s="113" t="str">
        <f>VLOOKUP(Table1[[#This Row],[SyStudentId]],SSR!$A$2:$CC$4982,5,FALSE)</f>
        <v>Jamin</v>
      </c>
      <c r="D233" s="113" t="str">
        <f>VLOOKUP(Table1[[#This Row],[SyStudentId]],SSR!$A$2:$CC$4982,6,FALSE)</f>
        <v>Perez, Jamin</v>
      </c>
      <c r="E233" s="113"/>
      <c r="F233" s="112"/>
      <c r="G233" s="114"/>
      <c r="H233" s="114"/>
      <c r="I233" s="114"/>
      <c r="J233" s="115"/>
      <c r="K233" s="116"/>
      <c r="L233" s="112" t="str">
        <f>IFERROR(VLOOKUP(Table1[[#This Row],[SyStudentId]],ISIR!$A$2:$X$999,11,FALSE),"")</f>
        <v>D</v>
      </c>
      <c r="M233" s="113" t="str">
        <f>VLOOKUP(Table1[[#This Row],[SyStudentId]],SSR!$A$2:$CC$4982,7,FALSE)</f>
        <v>jamin862@gmail.com</v>
      </c>
      <c r="N233" s="113" t="str">
        <f>VLOOKUP(Table1[[#This Row],[SyStudentId]],SSR!$A$2:$CC$4982,8,FALSE)</f>
        <v>4216 SOUTH 6000 WEST</v>
      </c>
      <c r="O233" s="113" t="str">
        <f>VLOOKUP(Table1[[#This Row],[SyStudentId]],SSR!$A$2:$CC$4982,9,FALSE)</f>
        <v>WEST VALLEY CITY</v>
      </c>
      <c r="P233" s="113" t="str">
        <f>VLOOKUP(Table1[[#This Row],[SyStudentId]],SSR!$A$2:$CC$4982,10,FALSE)</f>
        <v>UT</v>
      </c>
      <c r="Q233" s="117" t="str">
        <f>VLOOKUP(Table1[[#This Row],[SyStudentId]],SSR!$A$2:$CC$4982,11,FALSE)</f>
        <v xml:space="preserve">84128     </v>
      </c>
      <c r="R233" s="118">
        <f>VLOOKUP(Table1[[#This Row],[SyStudentId]],SSR!$A$2:$CC$4982,15,FALSE)</f>
        <v>3.8</v>
      </c>
      <c r="S233" s="119">
        <f>VLOOKUP(Table1[[#This Row],[SyStudentId]],SSR!$A$2:$CC$4982,22,FALSE)</f>
        <v>44109</v>
      </c>
      <c r="T233" s="113" t="str">
        <f>VLOOKUP(Table1[[#This Row],[SyStudentId]],SSR!$A$2:$CC$4982,24,FALSE)</f>
        <v>GM</v>
      </c>
      <c r="U233" s="113" t="str">
        <f>IF(VLOOKUP(Table1[[#This Row],[SyStudentId]],SSR!$A$2:$CC$4982,26,FALSE)=0,"Not Selected",VLOOKUP(Table1[[#This Row],[SyStudentId]],SSR!$A$2:$CC$4982,26,FALSE))</f>
        <v>Male</v>
      </c>
      <c r="V233" s="113" t="str">
        <f>VLOOKUP(Table1[[#This Row],[SyStudentId]],SSR!$A$2:$CC$4982,27,FALSE)</f>
        <v xml:space="preserve">HS2020  </v>
      </c>
      <c r="W233" s="113" t="str">
        <f>VLOOKUP(LEFT(Table1[[#This Row],[LastName]],1),Alpha!$A$1:$B$26,2,FALSE)</f>
        <v>Maureen Ranks</v>
      </c>
      <c r="X233" s="149" t="str">
        <f>VLOOKUP(Table1[[#This Row],[FAA]],Alpha!$B$1:$D$26,2,FALSE)</f>
        <v>mranks@neumont.edu</v>
      </c>
      <c r="Y233" s="113">
        <f>VLOOKUP(Table1[[#This Row],[FAA]],Alpha!$B$1:$D$26,3,FALSE)</f>
        <v>8883022894</v>
      </c>
      <c r="Z233" s="113" t="str">
        <f>VLOOKUP(Table1[[#This Row],[SyStudentId]],SSR!$A$2:$CC$4982,30,FALSE)</f>
        <v>16-Accepted</v>
      </c>
      <c r="AA233" s="113" t="str">
        <f>IF(VLOOKUP(Table1[[#This Row],[SyStudentId]],SSR!$A$2:$CC$4982,36,FALSE)="Bachelor of Science","BS Computer Science","Check Program")</f>
        <v>BS Computer Science</v>
      </c>
      <c r="AB233" s="113" t="str">
        <f>VLOOKUP(Table1[[#This Row],[SyStudentId]],SSR!$A$2:$CC$4982,37,FALSE)</f>
        <v xml:space="preserve">25      </v>
      </c>
      <c r="AC233" s="113">
        <f>VLOOKUP(Table1[[#This Row],[SyStudentId]],SSR!$A$2:$CC$4982,42,FALSE)</f>
        <v>0</v>
      </c>
      <c r="AD233" s="113" t="str">
        <f>VLOOKUP(Table1[[#This Row],[SyStudentId]],SSR!$A$2:$CC$4982,46,FALSE)</f>
        <v>119</v>
      </c>
      <c r="AE233" s="113" t="str">
        <f>VLOOKUP(Table1[[#This Row],[SyStudentId]],SSR!$A$2:$CC$4982,65,FALSE)</f>
        <v>I</v>
      </c>
      <c r="AF23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233" s="113" t="str">
        <f>VLOOKUP(Table1[[#This Row],[SyStudentId]],SSR!$A$2:$CC$4982,66,FALSE)</f>
        <v>December</v>
      </c>
      <c r="AH233" s="113" t="str">
        <f>IFERROR(VLOOKUP(Table1[[#This Row],[SyStudentId]],ISIR!$A$2:$X$999,7,FALSE),"")</f>
        <v>022219</v>
      </c>
      <c r="AI233" s="121">
        <f>IF(Table1[[#This Row],[EFCRaw]]="","",IF(Table1[[#This Row],[EFCRaw]]="No EFC","No EFC",_xlfn.NUMBERVALUE(Table1[[#This Row],[EFCRaw]])))</f>
        <v>22219</v>
      </c>
      <c r="AJ233" s="119">
        <f>IFERROR(VLOOKUP(Table1[[#This Row],[SyStudentId]],ISIR!$A$2:$X$4999,19,FALSE),"")</f>
        <v>43776</v>
      </c>
      <c r="AK233" s="113" t="str">
        <f>IFERROR(VLOOKUP(Table1[[#This Row],[SyStudentId]],ISIR!$A$2:$X$4999,8,FALSE),"")</f>
        <v>N</v>
      </c>
      <c r="AL233" s="156" t="str">
        <f>IF(Table1[[#This Row],[VerReq]]="N","n/a","")</f>
        <v>n/a</v>
      </c>
      <c r="AM233" s="122"/>
      <c r="AN233" s="122"/>
      <c r="AO233" s="122"/>
      <c r="AP233" s="122"/>
      <c r="AQ233" s="122"/>
      <c r="AR233" s="122"/>
      <c r="AS233" s="122"/>
      <c r="AT233" s="122"/>
      <c r="AU233" s="122"/>
      <c r="AV233" s="122"/>
      <c r="AW233" s="122"/>
      <c r="AX233" s="122"/>
      <c r="AY233" s="122"/>
      <c r="AZ233" s="122"/>
      <c r="BA233" s="122"/>
      <c r="BB233" s="122"/>
      <c r="BC233" s="148"/>
      <c r="BD233" s="140" t="str">
        <f>IF(Table1[[#This Row],[VerReq]]="N","x","")</f>
        <v>x</v>
      </c>
      <c r="BE233" s="140" t="str">
        <f>IF(Table1[[#This Row],[VerReq]]="N","x","")</f>
        <v>x</v>
      </c>
      <c r="BF233" s="140" t="str">
        <f>IF(Table1[[#This Row],[VerReq]]="N","x","")</f>
        <v>x</v>
      </c>
      <c r="BG233" s="140" t="str">
        <f>IF(Table1[[#This Row],[VerReq]]="N","x","")</f>
        <v>x</v>
      </c>
      <c r="BH233" s="140" t="str">
        <f>IF(Table1[[#This Row],[VerReq]]="N","x","")</f>
        <v>x</v>
      </c>
      <c r="BI233" s="140" t="str">
        <f>IF(Table1[[#This Row],[VerReq]]="N","x","")</f>
        <v>x</v>
      </c>
      <c r="BJ233" s="123">
        <f>1-((COUNTBLANK(Table1[[#This Row],[ALESent]:[TaxTran]]))/(COUNT(Table1[[#This Row],[ALESent]:[TaxTran]])+COUNTBLANK(Table1[[#This Row],[ALESent]:[TaxTran]])))</f>
        <v>0</v>
      </c>
      <c r="BK233" s="150">
        <f>IF(VLOOKUP(Table1[[#This Row],[SyStudentId]],SSR!$A$2:$CC$4982,22,FALSE)=44109,44109,"Check Program")</f>
        <v>44109</v>
      </c>
      <c r="BL233" s="150">
        <f>IF(Table1[[#This Row],[AYStart]]=44109,44356,"Check Program")</f>
        <v>44356</v>
      </c>
      <c r="BM233" s="219"/>
      <c r="BN233" s="219"/>
      <c r="BO233" s="219"/>
      <c r="BP233" s="220">
        <f t="shared" si="12"/>
        <v>0</v>
      </c>
      <c r="BQ233" s="221"/>
      <c r="BR233" s="219"/>
      <c r="BS233" s="219"/>
      <c r="BT233" s="220">
        <f t="shared" si="13"/>
        <v>0</v>
      </c>
      <c r="BU233" s="219"/>
      <c r="BV233" s="219"/>
      <c r="BW233" s="219"/>
      <c r="BX233" s="220">
        <f t="shared" si="14"/>
        <v>0</v>
      </c>
      <c r="BY233" s="269"/>
      <c r="BZ233" s="269"/>
      <c r="CA233" s="269"/>
      <c r="CB233" s="220">
        <f>SUM(Table1[[#This Row],[LEQ1]:[LEQ3]])</f>
        <v>0</v>
      </c>
      <c r="CC233" s="269"/>
      <c r="CD233" s="269"/>
      <c r="CE233" s="269"/>
      <c r="CF233" s="220">
        <f>SUM(Table1[[#This Row],[OthCostQ1]:[OthCostQ3]])</f>
        <v>0</v>
      </c>
      <c r="CG233" s="220">
        <f>(Table1[[#This Row],[T&amp;FTot]]+Table1[[#This Row],[B&amp;STot]]+Table1[[#This Row],[HousTot]]+Table1[[#This Row],[LETot]]+Table1[[#This Row],[OthCostTot]])</f>
        <v>0</v>
      </c>
      <c r="CH233" s="250"/>
      <c r="CI233" s="250"/>
      <c r="CJ233" s="250"/>
      <c r="CK233" s="251">
        <f>SUM(Table1[[#This Row],[SEOGQ1]:[SEOGQ3]])</f>
        <v>0</v>
      </c>
      <c r="CL233" s="250">
        <f>IFERROR(ROUNDUP(Table1[[#This Row],[PellTot]]/3,0),0)</f>
        <v>0</v>
      </c>
      <c r="CM233" s="250">
        <f>IFERROR(ROUND(Table1[[#This Row],[PellTot]]/3,0),0)</f>
        <v>0</v>
      </c>
      <c r="CN233" s="250">
        <f>IFERROR(ROUNDDOWN(Table1[[#This Row],[PellTot]]/3,0),0)</f>
        <v>0</v>
      </c>
      <c r="CO233" s="251">
        <f>IFERROR(LOOKUP(Table1[EFC],Pell_Table[#Data],Pell_Table[Pell Amt]),0)</f>
        <v>0</v>
      </c>
      <c r="CP233" s="250">
        <f>Table1[[#This Row],[AccessTot]]/3</f>
        <v>0</v>
      </c>
      <c r="CQ233" s="250">
        <f>Table1[[#This Row],[AccessTot]]/3</f>
        <v>0</v>
      </c>
      <c r="CR233" s="250">
        <f>Table1[[#This Row],[AccessTot]]/3</f>
        <v>0</v>
      </c>
      <c r="CS233" s="251">
        <f>IF(Table1[[#This Row],[PellTot]]&gt;0,1500,0)</f>
        <v>0</v>
      </c>
      <c r="CT233" s="250">
        <f>Table1[[#This Row],[AchiTot]]/3</f>
        <v>1700</v>
      </c>
      <c r="CU233" s="250">
        <f>Table1[[#This Row],[AchiTot]]/3</f>
        <v>1700</v>
      </c>
      <c r="CV233" s="250">
        <f>Table1[[#This Row],[AchiTot]]/3</f>
        <v>1700</v>
      </c>
      <c r="CW233" s="252">
        <f>IF(Table1[[#This Row],[Rank]]="","",IF(Table1[[#This Row],[Rank]]=1,5100,IF(Table1[[#This Row],[Rank]]=2,4500,IF(Table1[[#This Row],[Rank]]=3,3900,IF(Table1[[#This Row],[Rank]]=4,3750,IF(Table1[[#This Row],[Rank]]=5,3000,IF(Table1[[#This Row],[Rank]]=6,2250,0)))))))</f>
        <v>5100</v>
      </c>
      <c r="CX233" s="250">
        <f>Table1[[#This Row],[UTTot]]/3</f>
        <v>3000</v>
      </c>
      <c r="CY233" s="250">
        <f>Table1[[#This Row],[UTTot]]/3</f>
        <v>3000</v>
      </c>
      <c r="CZ233" s="250">
        <f>Table1[[#This Row],[UTTot]]/3</f>
        <v>3000</v>
      </c>
      <c r="DA233" s="251">
        <f>IF(Table1[[#This Row],[State]]="UT",9000,0)</f>
        <v>9000</v>
      </c>
      <c r="DB233" s="250">
        <f>Table1[[#This Row],[WITTot]]/3</f>
        <v>0</v>
      </c>
      <c r="DC233" s="250">
        <f>Table1[[#This Row],[WITTot]]/3</f>
        <v>0</v>
      </c>
      <c r="DD233" s="250">
        <f>Table1[[#This Row],[WITTot]]/3</f>
        <v>0</v>
      </c>
      <c r="DE233" s="251">
        <f>IF(Table1[[#This Row],[Gender]]="Female",3000,0)</f>
        <v>0</v>
      </c>
      <c r="DF233" s="250">
        <f>Table1[[#This Row],[SerTot]]/3</f>
        <v>0</v>
      </c>
      <c r="DG233" s="250">
        <f>Table1[[#This Row],[SerTot]]/3</f>
        <v>0</v>
      </c>
      <c r="DH233" s="250">
        <f>Table1[[#This Row],[SerTot]]/3</f>
        <v>0</v>
      </c>
      <c r="DI233" s="252"/>
      <c r="DJ233" s="250"/>
      <c r="DK233" s="250"/>
      <c r="DL233" s="250"/>
      <c r="DM233" s="252"/>
      <c r="DN233" s="250">
        <f>Table1[[#This Row],[MatTot]]/3</f>
        <v>0</v>
      </c>
      <c r="DO233" s="250">
        <f>Table1[[#This Row],[MatTot]]/3</f>
        <v>0</v>
      </c>
      <c r="DP233" s="250">
        <f>Table1[[#This Row],[MatTot]]/3</f>
        <v>0</v>
      </c>
      <c r="DQ233" s="252"/>
      <c r="DR233" s="250">
        <f>Table1[[#This Row],[OutTot]]/3</f>
        <v>0</v>
      </c>
      <c r="DS233" s="250">
        <f>Table1[[#This Row],[OutTot]]/3</f>
        <v>0</v>
      </c>
      <c r="DT233" s="250">
        <f>Table1[[#This Row],[OutTot]]/3</f>
        <v>0</v>
      </c>
      <c r="DU233" s="252"/>
      <c r="DV233" s="250"/>
      <c r="DW233" s="250"/>
      <c r="DX233" s="250"/>
      <c r="DY233" s="252">
        <f>SUM(Table1[[#This Row],[VAQ1]:[VAQ3]])</f>
        <v>0</v>
      </c>
      <c r="DZ233" s="250"/>
      <c r="EA233" s="250"/>
      <c r="EB233" s="250"/>
      <c r="EC233" s="270">
        <f>SUM(Table1[[#This Row],[OthGrantQ1]:[OthGrantQ3]])</f>
        <v>0</v>
      </c>
      <c r="ED233" s="263">
        <f>Table1[[#This Row],[SEOGTot]]+Table1[[#This Row],[PellTot]]+Table1[[#This Row],[AccessTot]]+Table1[[#This Row],[AchiTot]]+Table1[[#This Row],[UTTot]]+Table1[[#This Row],[WITTot]]+Table1[[#This Row],[SerTot]]+Table1[[#This Row],[TranTot]]+Table1[[#This Row],[MatTot]]+Table1[[#This Row],[OutTot]]+Table1[[#This Row],[VATot]]+Table1[[#This Row],[OthGrantTot]]</f>
        <v>14100</v>
      </c>
      <c r="EE233" s="282"/>
      <c r="EF233" s="237"/>
      <c r="EG233" s="237"/>
      <c r="EH233" s="232">
        <f>SUM(Table1[[#This Row],[CashQ1]]:Table1[[#This Row],[CashQ3]])</f>
        <v>0</v>
      </c>
      <c r="EI233" s="271">
        <f>ROUND((Table1[[#This Row],[SubTot]]/3)/1.01059,0)</f>
        <v>0</v>
      </c>
      <c r="EJ233" s="234">
        <f>ROUND((Table1[[#This Row],[SubTot]]/3)/1.01059,0)</f>
        <v>0</v>
      </c>
      <c r="EK233" s="234">
        <f>ROUNDUP((Table1[[#This Row],[SubTot]]/3)/1.01059,0)</f>
        <v>0</v>
      </c>
      <c r="EL233" s="235"/>
      <c r="EM233" s="240">
        <f>Table1[[#This Row],[SubTot]]*0.01059</f>
        <v>0</v>
      </c>
      <c r="EN233" s="234">
        <f>ROUND((Table1[[#This Row],[UnsubTot]]/3)/1.01062,0)</f>
        <v>660</v>
      </c>
      <c r="EO233" s="234">
        <f>ROUND((Table1[[#This Row],[UnsubTot]]/3)/1.01062,0)</f>
        <v>660</v>
      </c>
      <c r="EP233" s="234">
        <f>ROUNDDOWN((Table1[[#This Row],[UnsubTot]]/3)/1.01062,0)</f>
        <v>659</v>
      </c>
      <c r="EQ233" s="235">
        <f>IF(Table1[D/I]="I",6000,2000)</f>
        <v>2000</v>
      </c>
      <c r="ER233" s="240">
        <f>Table1[[#This Row],[UnsubTot]]*0.01062</f>
        <v>21.24</v>
      </c>
      <c r="ES233" s="234">
        <f>ROUND((Table1[[#This Row],[PLUSTot]]/3)/1.04248,0)</f>
        <v>0</v>
      </c>
      <c r="ET233" s="234">
        <f>ROUND((Table1[[#This Row],[PLUSTot]]/3)/1.04248,0)</f>
        <v>0</v>
      </c>
      <c r="EU233" s="234">
        <f>ROUND((Table1[[#This Row],[PLUSTot]]/3)/1.04248,0)</f>
        <v>0</v>
      </c>
      <c r="EV233" s="235"/>
      <c r="EW233" s="239">
        <f>Table1[[#This Row],[PLUSTot]]*0.04248</f>
        <v>0</v>
      </c>
      <c r="EX233" s="237"/>
      <c r="EY233" s="237"/>
      <c r="EZ233" s="237"/>
      <c r="FA233" s="232">
        <f>SUM(Table1[[#This Row],[PrivQ1]:[PrivQ3]])</f>
        <v>0</v>
      </c>
      <c r="FB233" s="237"/>
      <c r="FC233" s="237"/>
      <c r="FD233" s="237"/>
      <c r="FE233" s="232">
        <f>SUM(Table1[[#This Row],[TOQ1]:[TOQ3]])</f>
        <v>0</v>
      </c>
      <c r="FF233" s="237"/>
      <c r="FG233" s="237"/>
      <c r="FH233" s="237"/>
      <c r="FI233" s="232">
        <f>SUM(Table1[[#This Row],[OFundQ1]:[OFundQ3]])</f>
        <v>0</v>
      </c>
      <c r="FJ233" s="239">
        <f>(Table1[[#This Row],[SubTot]]-Table1[[#This Row],[SubFee]])+(Table1[[#This Row],[UnsubTot]]-Table1[[#This Row],[UnsubFee]])+(Table1[[#This Row],[PLUSTot]]-Table1[[#This Row],[PLUSFee]])+Table1[[#This Row],[PrivTot]]+Table1[[#This Row],[TOTot]]+Table1[[#This Row],[OFundTot]]</f>
        <v>1978.76</v>
      </c>
      <c r="FK233" s="125">
        <f>Table1[[#This Row],[CostTot]]-Table1[[#This Row],[GiftTot]]</f>
        <v>-14100</v>
      </c>
      <c r="FL233" s="130">
        <f>Table1[[#This Row],[NetNeed]]/(1-0.04248)</f>
        <v>-16792.087893725457</v>
      </c>
      <c r="FM233" s="131">
        <f>Table1[[#This Row],[NetCost]]-Table1[[#This Row],[CashTot]]-(Table1[[#This Row],[SubTot]]-Table1[[#This Row],[SubFee]])-(Table1[[#This Row],[UnsubTot]]-Table1[[#This Row],[UnsubFee]])-(Table1[[#This Row],[PLUSTot]]-Table1[[#This Row],[PLUSFee]])-Table1[[#This Row],[PrivTot]]-Table1[[#This Row],[TOTot]]-Table1[[#This Row],[OFundTot]]</f>
        <v>-16078.76</v>
      </c>
      <c r="FN233" s="156"/>
      <c r="FO233" s="113"/>
      <c r="FP233" s="113"/>
    </row>
    <row r="234" spans="1:172" ht="15" x14ac:dyDescent="0.25">
      <c r="A234" s="329">
        <v>199592</v>
      </c>
      <c r="B234" s="113" t="str">
        <f>VLOOKUP(Table1[[#This Row],[SyStudentId]],SSR!$A$2:$CC$4982,4,FALSE)</f>
        <v>Pulley</v>
      </c>
      <c r="C234" s="113" t="str">
        <f>VLOOKUP(Table1[[#This Row],[SyStudentId]],SSR!$A$2:$CC$4982,5,FALSE)</f>
        <v>James</v>
      </c>
      <c r="D234" s="113" t="str">
        <f>VLOOKUP(Table1[[#This Row],[SyStudentId]],SSR!$A$2:$CC$4982,6,FALSE)</f>
        <v>Pulley, James</v>
      </c>
      <c r="E234" s="113"/>
      <c r="F234" s="112"/>
      <c r="G234" s="114"/>
      <c r="H234" s="114"/>
      <c r="I234" s="114"/>
      <c r="J234" s="115"/>
      <c r="K234" s="116"/>
      <c r="L234" s="112" t="str">
        <f>IFERROR(VLOOKUP(Table1[[#This Row],[SyStudentId]],ISIR!$A$2:$X$999,11,FALSE),"")</f>
        <v/>
      </c>
      <c r="M234" s="113" t="str">
        <f>VLOOKUP(Table1[[#This Row],[SyStudentId]],SSR!$A$2:$CC$4982,7,FALSE)</f>
        <v>jamespulley1986@gmail.com</v>
      </c>
      <c r="N234" s="113" t="str">
        <f>VLOOKUP(Table1[[#This Row],[SyStudentId]],SSR!$A$2:$CC$4982,8,FALSE)</f>
        <v>609SFC239</v>
      </c>
      <c r="O234" s="113" t="str">
        <f>VLOOKUP(Table1[[#This Row],[SyStudentId]],SSR!$A$2:$CC$4982,9,FALSE)</f>
        <v>COLT</v>
      </c>
      <c r="P234" s="113" t="str">
        <f>VLOOKUP(Table1[[#This Row],[SyStudentId]],SSR!$A$2:$CC$4982,10,FALSE)</f>
        <v>AR</v>
      </c>
      <c r="Q234" s="117" t="str">
        <f>VLOOKUP(Table1[[#This Row],[SyStudentId]],SSR!$A$2:$CC$4982,11,FALSE)</f>
        <v xml:space="preserve">72326     </v>
      </c>
      <c r="R234" s="118">
        <f>VLOOKUP(Table1[[#This Row],[SyStudentId]],SSR!$A$2:$CC$4982,15,FALSE)</f>
        <v>3.84</v>
      </c>
      <c r="S234" s="119">
        <f>VLOOKUP(Table1[[#This Row],[SyStudentId]],SSR!$A$2:$CC$4982,22,FALSE)</f>
        <v>44109</v>
      </c>
      <c r="T234" s="113" t="str">
        <f>VLOOKUP(Table1[[#This Row],[SyStudentId]],SSR!$A$2:$CC$4982,24,FALSE)</f>
        <v>JT</v>
      </c>
      <c r="U234" s="113" t="str">
        <f>IF(VLOOKUP(Table1[[#This Row],[SyStudentId]],SSR!$A$2:$CC$4982,26,FALSE)=0,"Not Selected",VLOOKUP(Table1[[#This Row],[SyStudentId]],SSR!$A$2:$CC$4982,26,FALSE))</f>
        <v>Male</v>
      </c>
      <c r="V234" s="113" t="str">
        <f>VLOOKUP(Table1[[#This Row],[SyStudentId]],SSR!$A$2:$CC$4982,27,FALSE)</f>
        <v xml:space="preserve">HS2020  </v>
      </c>
      <c r="W234" s="113" t="str">
        <f>VLOOKUP(LEFT(Table1[[#This Row],[LastName]],1),Alpha!$A$1:$B$26,2,FALSE)</f>
        <v>Maureen Ranks</v>
      </c>
      <c r="X234" s="149" t="str">
        <f>VLOOKUP(Table1[[#This Row],[FAA]],Alpha!$B$1:$D$26,2,FALSE)</f>
        <v>mranks@neumont.edu</v>
      </c>
      <c r="Y234" s="113">
        <f>VLOOKUP(Table1[[#This Row],[FAA]],Alpha!$B$1:$D$26,3,FALSE)</f>
        <v>8883022894</v>
      </c>
      <c r="Z234" s="113" t="str">
        <f>VLOOKUP(Table1[[#This Row],[SyStudentId]],SSR!$A$2:$CC$4982,30,FALSE)</f>
        <v>16-Accepted</v>
      </c>
      <c r="AA234" s="113" t="str">
        <f>IF(VLOOKUP(Table1[[#This Row],[SyStudentId]],SSR!$A$2:$CC$4982,36,FALSE)="Bachelor of Science","BS Computer Science","Check Program")</f>
        <v>BS Computer Science</v>
      </c>
      <c r="AB234" s="113" t="str">
        <f>VLOOKUP(Table1[[#This Row],[SyStudentId]],SSR!$A$2:$CC$4982,37,FALSE)</f>
        <v xml:space="preserve">28      </v>
      </c>
      <c r="AC234" s="113">
        <f>VLOOKUP(Table1[[#This Row],[SyStudentId]],SSR!$A$2:$CC$4982,42,FALSE)</f>
        <v>0</v>
      </c>
      <c r="AD234" s="113" t="str">
        <f>VLOOKUP(Table1[[#This Row],[SyStudentId]],SSR!$A$2:$CC$4982,46,FALSE)</f>
        <v>124</v>
      </c>
      <c r="AE234" s="113" t="str">
        <f>VLOOKUP(Table1[[#This Row],[SyStudentId]],SSR!$A$2:$CC$4982,65,FALSE)</f>
        <v>I</v>
      </c>
      <c r="AF234"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234" s="113" t="str">
        <f>VLOOKUP(Table1[[#This Row],[SyStudentId]],SSR!$A$2:$CC$4982,66,FALSE)</f>
        <v>December</v>
      </c>
      <c r="AH234" s="113" t="str">
        <f>IFERROR(VLOOKUP(Table1[[#This Row],[SyStudentId]],ISIR!$A$2:$X$999,7,FALSE),"")</f>
        <v/>
      </c>
      <c r="AI234" s="121" t="str">
        <f>IF(Table1[[#This Row],[EFCRaw]]="","",IF(Table1[[#This Row],[EFCRaw]]="No EFC","No EFC",_xlfn.NUMBERVALUE(Table1[[#This Row],[EFCRaw]])))</f>
        <v/>
      </c>
      <c r="AJ234" s="119" t="str">
        <f>IFERROR(VLOOKUP(Table1[[#This Row],[SyStudentId]],ISIR!$A$2:$X$4999,19,FALSE),"")</f>
        <v/>
      </c>
      <c r="AK234" s="113" t="str">
        <f>IFERROR(VLOOKUP(Table1[[#This Row],[SyStudentId]],ISIR!$A$2:$X$4999,8,FALSE),"")</f>
        <v/>
      </c>
      <c r="AL234" s="156" t="str">
        <f>IF(Table1[[#This Row],[VerReq]]="N","n/a","")</f>
        <v/>
      </c>
      <c r="AM234" s="122"/>
      <c r="AN234" s="122"/>
      <c r="AO234" s="122"/>
      <c r="AP234" s="122"/>
      <c r="AQ234" s="122"/>
      <c r="AR234" s="122"/>
      <c r="AS234" s="122"/>
      <c r="AT234" s="122"/>
      <c r="AU234" s="122"/>
      <c r="AV234" s="122"/>
      <c r="AW234" s="122"/>
      <c r="AX234" s="122"/>
      <c r="AY234" s="122"/>
      <c r="AZ234" s="122"/>
      <c r="BA234" s="122"/>
      <c r="BB234" s="122"/>
      <c r="BC234" s="148"/>
      <c r="BD234" s="140" t="str">
        <f>IF(Table1[[#This Row],[VerReq]]="N","x","")</f>
        <v/>
      </c>
      <c r="BE234" s="140" t="str">
        <f>IF(Table1[[#This Row],[VerReq]]="N","x","")</f>
        <v/>
      </c>
      <c r="BF234" s="140" t="str">
        <f>IF(Table1[[#This Row],[VerReq]]="N","x","")</f>
        <v/>
      </c>
      <c r="BG234" s="140" t="str">
        <f>IF(Table1[[#This Row],[VerReq]]="N","x","")</f>
        <v/>
      </c>
      <c r="BH234" s="140" t="str">
        <f>IF(Table1[[#This Row],[VerReq]]="N","x","")</f>
        <v/>
      </c>
      <c r="BI234" s="140" t="str">
        <f>IF(Table1[[#This Row],[VerReq]]="N","x","")</f>
        <v/>
      </c>
      <c r="BJ234" s="123">
        <f>1-((COUNTBLANK(Table1[[#This Row],[ALESent]:[TaxTran]]))/(COUNT(Table1[[#This Row],[ALESent]:[TaxTran]])+COUNTBLANK(Table1[[#This Row],[ALESent]:[TaxTran]])))</f>
        <v>0</v>
      </c>
      <c r="BK234" s="150">
        <f>IF(VLOOKUP(Table1[[#This Row],[SyStudentId]],SSR!$A$2:$CC$4982,22,FALSE)=44109,44109,"Check Program")</f>
        <v>44109</v>
      </c>
      <c r="BL234" s="150">
        <f>IF(Table1[[#This Row],[AYStart]]=44109,44356,"Check Program")</f>
        <v>44356</v>
      </c>
      <c r="BM234" s="219"/>
      <c r="BN234" s="219"/>
      <c r="BO234" s="219"/>
      <c r="BP234" s="220">
        <f t="shared" si="12"/>
        <v>0</v>
      </c>
      <c r="BQ234" s="221"/>
      <c r="BR234" s="219"/>
      <c r="BS234" s="219"/>
      <c r="BT234" s="220">
        <f t="shared" si="13"/>
        <v>0</v>
      </c>
      <c r="BU234" s="219"/>
      <c r="BV234" s="219"/>
      <c r="BW234" s="219"/>
      <c r="BX234" s="220">
        <f t="shared" si="14"/>
        <v>0</v>
      </c>
      <c r="BY234" s="269"/>
      <c r="BZ234" s="269"/>
      <c r="CA234" s="269"/>
      <c r="CB234" s="220">
        <f>SUM(Table1[[#This Row],[LEQ1]:[LEQ3]])</f>
        <v>0</v>
      </c>
      <c r="CC234" s="269"/>
      <c r="CD234" s="269"/>
      <c r="CE234" s="269"/>
      <c r="CF234" s="220">
        <f>SUM(Table1[[#This Row],[OthCostQ1]:[OthCostQ3]])</f>
        <v>0</v>
      </c>
      <c r="CG234" s="220">
        <f>(Table1[[#This Row],[T&amp;FTot]]+Table1[[#This Row],[B&amp;STot]]+Table1[[#This Row],[HousTot]]+Table1[[#This Row],[LETot]]+Table1[[#This Row],[OthCostTot]])</f>
        <v>0</v>
      </c>
      <c r="CH234" s="250"/>
      <c r="CI234" s="250"/>
      <c r="CJ234" s="250"/>
      <c r="CK234" s="251">
        <f>SUM(Table1[[#This Row],[SEOGQ1]:[SEOGQ3]])</f>
        <v>0</v>
      </c>
      <c r="CL234" s="250">
        <f>IFERROR(ROUNDUP(Table1[[#This Row],[PellTot]]/3,0),0)</f>
        <v>0</v>
      </c>
      <c r="CM234" s="250">
        <f>IFERROR(ROUND(Table1[[#This Row],[PellTot]]/3,0),0)</f>
        <v>0</v>
      </c>
      <c r="CN234" s="250">
        <f>IFERROR(ROUNDDOWN(Table1[[#This Row],[PellTot]]/3,0),0)</f>
        <v>0</v>
      </c>
      <c r="CO234" s="251">
        <f>IFERROR(LOOKUP(Table1[EFC],Pell_Table[#Data],Pell_Table[Pell Amt]),0)</f>
        <v>0</v>
      </c>
      <c r="CP234" s="250">
        <f>Table1[[#This Row],[AccessTot]]/3</f>
        <v>0</v>
      </c>
      <c r="CQ234" s="250">
        <f>Table1[[#This Row],[AccessTot]]/3</f>
        <v>0</v>
      </c>
      <c r="CR234" s="250">
        <f>Table1[[#This Row],[AccessTot]]/3</f>
        <v>0</v>
      </c>
      <c r="CS234" s="251">
        <f>IF(Table1[[#This Row],[PellTot]]&gt;0,1500,0)</f>
        <v>0</v>
      </c>
      <c r="CT234" s="250">
        <f>Table1[[#This Row],[AchiTot]]/3</f>
        <v>1700</v>
      </c>
      <c r="CU234" s="250">
        <f>Table1[[#This Row],[AchiTot]]/3</f>
        <v>1700</v>
      </c>
      <c r="CV234" s="250">
        <f>Table1[[#This Row],[AchiTot]]/3</f>
        <v>1700</v>
      </c>
      <c r="CW234" s="252">
        <f>IF(Table1[[#This Row],[Rank]]="","",IF(Table1[[#This Row],[Rank]]=1,5100,IF(Table1[[#This Row],[Rank]]=2,4500,IF(Table1[[#This Row],[Rank]]=3,3900,IF(Table1[[#This Row],[Rank]]=4,3750,IF(Table1[[#This Row],[Rank]]=5,3000,IF(Table1[[#This Row],[Rank]]=6,2250,0)))))))</f>
        <v>5100</v>
      </c>
      <c r="CX234" s="250">
        <f>Table1[[#This Row],[UTTot]]/3</f>
        <v>0</v>
      </c>
      <c r="CY234" s="250">
        <f>Table1[[#This Row],[UTTot]]/3</f>
        <v>0</v>
      </c>
      <c r="CZ234" s="250">
        <f>Table1[[#This Row],[UTTot]]/3</f>
        <v>0</v>
      </c>
      <c r="DA234" s="251">
        <f>IF(Table1[[#This Row],[State]]="UT",9000,0)</f>
        <v>0</v>
      </c>
      <c r="DB234" s="250">
        <f>Table1[[#This Row],[WITTot]]/3</f>
        <v>0</v>
      </c>
      <c r="DC234" s="250">
        <f>Table1[[#This Row],[WITTot]]/3</f>
        <v>0</v>
      </c>
      <c r="DD234" s="250">
        <f>Table1[[#This Row],[WITTot]]/3</f>
        <v>0</v>
      </c>
      <c r="DE234" s="251">
        <f>IF(Table1[[#This Row],[Gender]]="Female",3000,0)</f>
        <v>0</v>
      </c>
      <c r="DF234" s="250">
        <f>Table1[[#This Row],[SerTot]]/3</f>
        <v>0</v>
      </c>
      <c r="DG234" s="250">
        <f>Table1[[#This Row],[SerTot]]/3</f>
        <v>0</v>
      </c>
      <c r="DH234" s="250">
        <f>Table1[[#This Row],[SerTot]]/3</f>
        <v>0</v>
      </c>
      <c r="DI234" s="252"/>
      <c r="DJ234" s="250"/>
      <c r="DK234" s="250"/>
      <c r="DL234" s="250"/>
      <c r="DM234" s="252"/>
      <c r="DN234" s="250">
        <f>Table1[[#This Row],[MatTot]]/3</f>
        <v>0</v>
      </c>
      <c r="DO234" s="250">
        <f>Table1[[#This Row],[MatTot]]/3</f>
        <v>0</v>
      </c>
      <c r="DP234" s="250">
        <f>Table1[[#This Row],[MatTot]]/3</f>
        <v>0</v>
      </c>
      <c r="DQ234" s="252"/>
      <c r="DR234" s="250">
        <f>Table1[[#This Row],[OutTot]]/3</f>
        <v>0</v>
      </c>
      <c r="DS234" s="250">
        <f>Table1[[#This Row],[OutTot]]/3</f>
        <v>0</v>
      </c>
      <c r="DT234" s="250">
        <f>Table1[[#This Row],[OutTot]]/3</f>
        <v>0</v>
      </c>
      <c r="DU234" s="252"/>
      <c r="DV234" s="250"/>
      <c r="DW234" s="250"/>
      <c r="DX234" s="250"/>
      <c r="DY234" s="252">
        <f>SUM(Table1[[#This Row],[VAQ1]:[VAQ3]])</f>
        <v>0</v>
      </c>
      <c r="DZ234" s="250"/>
      <c r="EA234" s="250"/>
      <c r="EB234" s="250"/>
      <c r="EC234" s="270">
        <f>SUM(Table1[[#This Row],[OthGrantQ1]:[OthGrantQ3]])</f>
        <v>0</v>
      </c>
      <c r="ED234" s="263">
        <f>Table1[[#This Row],[SEOGTot]]+Table1[[#This Row],[PellTot]]+Table1[[#This Row],[AccessTot]]+Table1[[#This Row],[AchiTot]]+Table1[[#This Row],[UTTot]]+Table1[[#This Row],[WITTot]]+Table1[[#This Row],[SerTot]]+Table1[[#This Row],[TranTot]]+Table1[[#This Row],[MatTot]]+Table1[[#This Row],[OutTot]]+Table1[[#This Row],[VATot]]+Table1[[#This Row],[OthGrantTot]]</f>
        <v>5100</v>
      </c>
      <c r="EE234" s="282"/>
      <c r="EF234" s="237"/>
      <c r="EG234" s="237"/>
      <c r="EH234" s="232">
        <f>SUM(Table1[[#This Row],[CashQ1]]:Table1[[#This Row],[CashQ3]])</f>
        <v>0</v>
      </c>
      <c r="EI234" s="271">
        <f>ROUND((Table1[[#This Row],[SubTot]]/3)/1.01059,0)</f>
        <v>0</v>
      </c>
      <c r="EJ234" s="234">
        <f>ROUND((Table1[[#This Row],[SubTot]]/3)/1.01059,0)</f>
        <v>0</v>
      </c>
      <c r="EK234" s="234">
        <f>ROUNDUP((Table1[[#This Row],[SubTot]]/3)/1.01059,0)</f>
        <v>0</v>
      </c>
      <c r="EL234" s="235"/>
      <c r="EM234" s="240">
        <f>Table1[[#This Row],[SubTot]]*0.01059</f>
        <v>0</v>
      </c>
      <c r="EN234" s="234">
        <f>ROUND((Table1[[#This Row],[UnsubTot]]/3)/1.01062,0)</f>
        <v>660</v>
      </c>
      <c r="EO234" s="234">
        <f>ROUND((Table1[[#This Row],[UnsubTot]]/3)/1.01062,0)</f>
        <v>660</v>
      </c>
      <c r="EP234" s="234">
        <f>ROUNDDOWN((Table1[[#This Row],[UnsubTot]]/3)/1.01062,0)</f>
        <v>659</v>
      </c>
      <c r="EQ234" s="235">
        <f>IF(Table1[D/I]="I",6000,2000)</f>
        <v>2000</v>
      </c>
      <c r="ER234" s="240">
        <f>Table1[[#This Row],[UnsubTot]]*0.01062</f>
        <v>21.24</v>
      </c>
      <c r="ES234" s="234">
        <f>ROUND((Table1[[#This Row],[PLUSTot]]/3)/1.04248,0)</f>
        <v>0</v>
      </c>
      <c r="ET234" s="234">
        <f>ROUND((Table1[[#This Row],[PLUSTot]]/3)/1.04248,0)</f>
        <v>0</v>
      </c>
      <c r="EU234" s="234">
        <f>ROUND((Table1[[#This Row],[PLUSTot]]/3)/1.04248,0)</f>
        <v>0</v>
      </c>
      <c r="EV234" s="235"/>
      <c r="EW234" s="239">
        <f>Table1[[#This Row],[PLUSTot]]*0.04248</f>
        <v>0</v>
      </c>
      <c r="EX234" s="237"/>
      <c r="EY234" s="237"/>
      <c r="EZ234" s="237"/>
      <c r="FA234" s="232">
        <f>SUM(Table1[[#This Row],[PrivQ1]:[PrivQ3]])</f>
        <v>0</v>
      </c>
      <c r="FB234" s="237"/>
      <c r="FC234" s="237"/>
      <c r="FD234" s="237"/>
      <c r="FE234" s="232">
        <f>SUM(Table1[[#This Row],[TOQ1]:[TOQ3]])</f>
        <v>0</v>
      </c>
      <c r="FF234" s="237"/>
      <c r="FG234" s="237"/>
      <c r="FH234" s="237"/>
      <c r="FI234" s="232">
        <f>SUM(Table1[[#This Row],[OFundQ1]:[OFundQ3]])</f>
        <v>0</v>
      </c>
      <c r="FJ234" s="239">
        <f>(Table1[[#This Row],[SubTot]]-Table1[[#This Row],[SubFee]])+(Table1[[#This Row],[UnsubTot]]-Table1[[#This Row],[UnsubFee]])+(Table1[[#This Row],[PLUSTot]]-Table1[[#This Row],[PLUSFee]])+Table1[[#This Row],[PrivTot]]+Table1[[#This Row],[TOTot]]+Table1[[#This Row],[OFundTot]]</f>
        <v>1978.76</v>
      </c>
      <c r="FK234" s="125">
        <f>Table1[[#This Row],[CostTot]]-Table1[[#This Row],[GiftTot]]</f>
        <v>-5100</v>
      </c>
      <c r="FL234" s="130">
        <f>Table1[[#This Row],[NetNeed]]/(1-0.04248)</f>
        <v>-7392.8064165761552</v>
      </c>
      <c r="FM234" s="131">
        <f>Table1[[#This Row],[NetCost]]-Table1[[#This Row],[CashTot]]-(Table1[[#This Row],[SubTot]]-Table1[[#This Row],[SubFee]])-(Table1[[#This Row],[UnsubTot]]-Table1[[#This Row],[UnsubFee]])-(Table1[[#This Row],[PLUSTot]]-Table1[[#This Row],[PLUSFee]])-Table1[[#This Row],[PrivTot]]-Table1[[#This Row],[TOTot]]-Table1[[#This Row],[OFundTot]]</f>
        <v>-7078.76</v>
      </c>
      <c r="FN234" s="156"/>
      <c r="FO234" s="113"/>
      <c r="FP234" s="113"/>
    </row>
    <row r="235" spans="1:172" ht="15" x14ac:dyDescent="0.25">
      <c r="A235" s="329">
        <v>198287</v>
      </c>
      <c r="B235" s="113" t="str">
        <f>VLOOKUP(Table1[[#This Row],[SyStudentId]],SSR!$A$2:$CC$4982,4,FALSE)</f>
        <v>Purser</v>
      </c>
      <c r="C235" s="113" t="str">
        <f>VLOOKUP(Table1[[#This Row],[SyStudentId]],SSR!$A$2:$CC$4982,5,FALSE)</f>
        <v>Kyle</v>
      </c>
      <c r="D235" s="113" t="str">
        <f>VLOOKUP(Table1[[#This Row],[SyStudentId]],SSR!$A$2:$CC$4982,6,FALSE)</f>
        <v>Purser, Kyle</v>
      </c>
      <c r="E235" s="113"/>
      <c r="F235" s="112"/>
      <c r="G235" s="114"/>
      <c r="H235" s="114"/>
      <c r="I235" s="114"/>
      <c r="J235" s="115"/>
      <c r="K235" s="116"/>
      <c r="L235" s="112" t="str">
        <f>IFERROR(VLOOKUP(Table1[[#This Row],[SyStudentId]],ISIR!$A$2:$X$999,11,FALSE),"")</f>
        <v>D</v>
      </c>
      <c r="M235" s="113" t="str">
        <f>VLOOKUP(Table1[[#This Row],[SyStudentId]],SSR!$A$2:$CC$4982,7,FALSE)</f>
        <v>kylepurser200101@gmail.com</v>
      </c>
      <c r="N235" s="113" t="str">
        <f>VLOOKUP(Table1[[#This Row],[SyStudentId]],SSR!$A$2:$CC$4982,8,FALSE)</f>
        <v>6948 Magnolia Dr.</v>
      </c>
      <c r="O235" s="113" t="str">
        <f>VLOOKUP(Table1[[#This Row],[SyStudentId]],SSR!$A$2:$CC$4982,9,FALSE)</f>
        <v>Olive Branch</v>
      </c>
      <c r="P235" s="113" t="str">
        <f>VLOOKUP(Table1[[#This Row],[SyStudentId]],SSR!$A$2:$CC$4982,10,FALSE)</f>
        <v>MS</v>
      </c>
      <c r="Q235" s="117" t="str">
        <f>VLOOKUP(Table1[[#This Row],[SyStudentId]],SSR!$A$2:$CC$4982,11,FALSE)</f>
        <v xml:space="preserve">38654     </v>
      </c>
      <c r="R235" s="118">
        <f>VLOOKUP(Table1[[#This Row],[SyStudentId]],SSR!$A$2:$CC$4982,15,FALSE)</f>
        <v>3.8</v>
      </c>
      <c r="S235" s="119">
        <f>VLOOKUP(Table1[[#This Row],[SyStudentId]],SSR!$A$2:$CC$4982,22,FALSE)</f>
        <v>44109</v>
      </c>
      <c r="T235" s="113" t="str">
        <f>VLOOKUP(Table1[[#This Row],[SyStudentId]],SSR!$A$2:$CC$4982,24,FALSE)</f>
        <v>GM</v>
      </c>
      <c r="U235" s="113" t="str">
        <f>IF(VLOOKUP(Table1[[#This Row],[SyStudentId]],SSR!$A$2:$CC$4982,26,FALSE)=0,"Not Selected",VLOOKUP(Table1[[#This Row],[SyStudentId]],SSR!$A$2:$CC$4982,26,FALSE))</f>
        <v>Male</v>
      </c>
      <c r="V235" s="113" t="str">
        <f>VLOOKUP(Table1[[#This Row],[SyStudentId]],SSR!$A$2:$CC$4982,27,FALSE)</f>
        <v xml:space="preserve">HS2020  </v>
      </c>
      <c r="W235" s="113" t="str">
        <f>VLOOKUP(LEFT(Table1[[#This Row],[LastName]],1),Alpha!$A$1:$B$26,2,FALSE)</f>
        <v>Maureen Ranks</v>
      </c>
      <c r="X235" s="149" t="str">
        <f>VLOOKUP(Table1[[#This Row],[FAA]],Alpha!$B$1:$D$26,2,FALSE)</f>
        <v>mranks@neumont.edu</v>
      </c>
      <c r="Y235" s="113">
        <f>VLOOKUP(Table1[[#This Row],[FAA]],Alpha!$B$1:$D$26,3,FALSE)</f>
        <v>8883022894</v>
      </c>
      <c r="Z235" s="113" t="str">
        <f>VLOOKUP(Table1[[#This Row],[SyStudentId]],SSR!$A$2:$CC$4982,30,FALSE)</f>
        <v>16-Accepted</v>
      </c>
      <c r="AA235" s="113" t="str">
        <f>IF(VLOOKUP(Table1[[#This Row],[SyStudentId]],SSR!$A$2:$CC$4982,36,FALSE)="Bachelor of Science","BS Computer Science","Check Program")</f>
        <v>BS Computer Science</v>
      </c>
      <c r="AB235" s="113" t="str">
        <f>VLOOKUP(Table1[[#This Row],[SyStudentId]],SSR!$A$2:$CC$4982,37,FALSE)</f>
        <v xml:space="preserve">19      </v>
      </c>
      <c r="AC235" s="113">
        <f>VLOOKUP(Table1[[#This Row],[SyStudentId]],SSR!$A$2:$CC$4982,42,FALSE)</f>
        <v>0</v>
      </c>
      <c r="AD235" s="113" t="str">
        <f>VLOOKUP(Table1[[#This Row],[SyStudentId]],SSR!$A$2:$CC$4982,46,FALSE)</f>
        <v>108</v>
      </c>
      <c r="AE235" s="113" t="str">
        <f>VLOOKUP(Table1[[#This Row],[SyStudentId]],SSR!$A$2:$CC$4982,65,FALSE)</f>
        <v>IV</v>
      </c>
      <c r="AF235"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4</v>
      </c>
      <c r="AG235" s="113" t="str">
        <f>VLOOKUP(Table1[[#This Row],[SyStudentId]],SSR!$A$2:$CC$4982,66,FALSE)</f>
        <v>December</v>
      </c>
      <c r="AH235" s="113" t="str">
        <f>IFERROR(VLOOKUP(Table1[[#This Row],[SyStudentId]],ISIR!$A$2:$X$999,7,FALSE),"")</f>
        <v>005487</v>
      </c>
      <c r="AI235" s="121">
        <f>IF(Table1[[#This Row],[EFCRaw]]="","",IF(Table1[[#This Row],[EFCRaw]]="No EFC","No EFC",_xlfn.NUMBERVALUE(Table1[[#This Row],[EFCRaw]])))</f>
        <v>5487</v>
      </c>
      <c r="AJ235" s="119">
        <f>IFERROR(VLOOKUP(Table1[[#This Row],[SyStudentId]],ISIR!$A$2:$X$4999,19,FALSE),"")</f>
        <v>43804</v>
      </c>
      <c r="AK235" s="113" t="str">
        <f>IFERROR(VLOOKUP(Table1[[#This Row],[SyStudentId]],ISIR!$A$2:$X$4999,8,FALSE),"")</f>
        <v>Y</v>
      </c>
      <c r="AL235" s="156" t="str">
        <f>IF(Table1[[#This Row],[VerReq]]="N","n/a","")</f>
        <v/>
      </c>
      <c r="AM235" s="122"/>
      <c r="AN235" s="122"/>
      <c r="AO235" s="122"/>
      <c r="AP235" s="122"/>
      <c r="AQ235" s="122"/>
      <c r="AR235" s="122"/>
      <c r="AS235" s="122"/>
      <c r="AT235" s="122"/>
      <c r="AU235" s="122"/>
      <c r="AV235" s="122"/>
      <c r="AW235" s="122"/>
      <c r="AX235" s="122"/>
      <c r="AY235" s="122"/>
      <c r="AZ235" s="122"/>
      <c r="BA235" s="122"/>
      <c r="BB235" s="122"/>
      <c r="BC235" s="148"/>
      <c r="BD235" s="140" t="str">
        <f>IF(Table1[[#This Row],[VerReq]]="N","x","")</f>
        <v/>
      </c>
      <c r="BE235" s="140" t="str">
        <f>IF(Table1[[#This Row],[VerReq]]="N","x","")</f>
        <v/>
      </c>
      <c r="BF235" s="140" t="str">
        <f>IF(Table1[[#This Row],[VerReq]]="N","x","")</f>
        <v/>
      </c>
      <c r="BG235" s="140" t="str">
        <f>IF(Table1[[#This Row],[VerReq]]="N","x","")</f>
        <v/>
      </c>
      <c r="BH235" s="140" t="str">
        <f>IF(Table1[[#This Row],[VerReq]]="N","x","")</f>
        <v/>
      </c>
      <c r="BI235" s="140" t="str">
        <f>IF(Table1[[#This Row],[VerReq]]="N","x","")</f>
        <v/>
      </c>
      <c r="BJ235" s="123">
        <f>1-((COUNTBLANK(Table1[[#This Row],[ALESent]:[TaxTran]]))/(COUNT(Table1[[#This Row],[ALESent]:[TaxTran]])+COUNTBLANK(Table1[[#This Row],[ALESent]:[TaxTran]])))</f>
        <v>0</v>
      </c>
      <c r="BK235" s="150">
        <f>IF(VLOOKUP(Table1[[#This Row],[SyStudentId]],SSR!$A$2:$CC$4982,22,FALSE)=44109,44109,"Check Program")</f>
        <v>44109</v>
      </c>
      <c r="BL235" s="150">
        <f>IF(Table1[[#This Row],[AYStart]]=44109,44356,"Check Program")</f>
        <v>44356</v>
      </c>
      <c r="BM235" s="219"/>
      <c r="BN235" s="219"/>
      <c r="BO235" s="219"/>
      <c r="BP235" s="220">
        <f t="shared" si="12"/>
        <v>0</v>
      </c>
      <c r="BQ235" s="221"/>
      <c r="BR235" s="219"/>
      <c r="BS235" s="219"/>
      <c r="BT235" s="220">
        <f t="shared" si="13"/>
        <v>0</v>
      </c>
      <c r="BU235" s="219"/>
      <c r="BV235" s="219"/>
      <c r="BW235" s="219"/>
      <c r="BX235" s="220">
        <f t="shared" si="14"/>
        <v>0</v>
      </c>
      <c r="BY235" s="269"/>
      <c r="BZ235" s="269"/>
      <c r="CA235" s="269"/>
      <c r="CB235" s="220">
        <f>SUM(Table1[[#This Row],[LEQ1]:[LEQ3]])</f>
        <v>0</v>
      </c>
      <c r="CC235" s="269"/>
      <c r="CD235" s="269"/>
      <c r="CE235" s="269"/>
      <c r="CF235" s="220">
        <f>SUM(Table1[[#This Row],[OthCostQ1]:[OthCostQ3]])</f>
        <v>0</v>
      </c>
      <c r="CG235" s="220">
        <f>(Table1[[#This Row],[T&amp;FTot]]+Table1[[#This Row],[B&amp;STot]]+Table1[[#This Row],[HousTot]]+Table1[[#This Row],[LETot]]+Table1[[#This Row],[OthCostTot]])</f>
        <v>0</v>
      </c>
      <c r="CH235" s="250"/>
      <c r="CI235" s="250"/>
      <c r="CJ235" s="250"/>
      <c r="CK235" s="251">
        <f>SUM(Table1[[#This Row],[SEOGQ1]:[SEOGQ3]])</f>
        <v>0</v>
      </c>
      <c r="CL235" s="250">
        <f>IFERROR(ROUNDUP(Table1[[#This Row],[PellTot]]/3,0),0)</f>
        <v>249</v>
      </c>
      <c r="CM235" s="250">
        <f>IFERROR(ROUND(Table1[[#This Row],[PellTot]]/3,0),0)</f>
        <v>248</v>
      </c>
      <c r="CN235" s="250">
        <f>IFERROR(ROUNDDOWN(Table1[[#This Row],[PellTot]]/3,0),0)</f>
        <v>248</v>
      </c>
      <c r="CO235" s="251">
        <f>IFERROR(LOOKUP(Table1[EFC],Pell_Table[#Data],Pell_Table[Pell Amt]),0)</f>
        <v>745</v>
      </c>
      <c r="CP235" s="250">
        <f>Table1[[#This Row],[AccessTot]]/3</f>
        <v>500</v>
      </c>
      <c r="CQ235" s="250">
        <f>Table1[[#This Row],[AccessTot]]/3</f>
        <v>500</v>
      </c>
      <c r="CR235" s="250">
        <f>Table1[[#This Row],[AccessTot]]/3</f>
        <v>500</v>
      </c>
      <c r="CS235" s="251">
        <f>IF(Table1[[#This Row],[PellTot]]&gt;0,1500,0)</f>
        <v>1500</v>
      </c>
      <c r="CT235" s="250">
        <f>Table1[[#This Row],[AchiTot]]/3</f>
        <v>1250</v>
      </c>
      <c r="CU235" s="250">
        <f>Table1[[#This Row],[AchiTot]]/3</f>
        <v>1250</v>
      </c>
      <c r="CV235" s="250">
        <f>Table1[[#This Row],[AchiTot]]/3</f>
        <v>1250</v>
      </c>
      <c r="CW235" s="252">
        <f>IF(Table1[[#This Row],[Rank]]="","",IF(Table1[[#This Row],[Rank]]=1,5100,IF(Table1[[#This Row],[Rank]]=2,4500,IF(Table1[[#This Row],[Rank]]=3,3900,IF(Table1[[#This Row],[Rank]]=4,3750,IF(Table1[[#This Row],[Rank]]=5,3000,IF(Table1[[#This Row],[Rank]]=6,2250,0)))))))</f>
        <v>3750</v>
      </c>
      <c r="CX235" s="250">
        <f>Table1[[#This Row],[UTTot]]/3</f>
        <v>0</v>
      </c>
      <c r="CY235" s="250">
        <f>Table1[[#This Row],[UTTot]]/3</f>
        <v>0</v>
      </c>
      <c r="CZ235" s="250">
        <f>Table1[[#This Row],[UTTot]]/3</f>
        <v>0</v>
      </c>
      <c r="DA235" s="251">
        <f>IF(Table1[[#This Row],[State]]="UT",9000,0)</f>
        <v>0</v>
      </c>
      <c r="DB235" s="250">
        <f>Table1[[#This Row],[WITTot]]/3</f>
        <v>0</v>
      </c>
      <c r="DC235" s="250">
        <f>Table1[[#This Row],[WITTot]]/3</f>
        <v>0</v>
      </c>
      <c r="DD235" s="250">
        <f>Table1[[#This Row],[WITTot]]/3</f>
        <v>0</v>
      </c>
      <c r="DE235" s="251">
        <f>IF(Table1[[#This Row],[Gender]]="Female",3000,0)</f>
        <v>0</v>
      </c>
      <c r="DF235" s="250">
        <f>Table1[[#This Row],[SerTot]]/3</f>
        <v>0</v>
      </c>
      <c r="DG235" s="250">
        <f>Table1[[#This Row],[SerTot]]/3</f>
        <v>0</v>
      </c>
      <c r="DH235" s="250">
        <f>Table1[[#This Row],[SerTot]]/3</f>
        <v>0</v>
      </c>
      <c r="DI235" s="252"/>
      <c r="DJ235" s="250"/>
      <c r="DK235" s="250"/>
      <c r="DL235" s="250"/>
      <c r="DM235" s="252"/>
      <c r="DN235" s="250">
        <f>Table1[[#This Row],[MatTot]]/3</f>
        <v>0</v>
      </c>
      <c r="DO235" s="250">
        <f>Table1[[#This Row],[MatTot]]/3</f>
        <v>0</v>
      </c>
      <c r="DP235" s="250">
        <f>Table1[[#This Row],[MatTot]]/3</f>
        <v>0</v>
      </c>
      <c r="DQ235" s="252"/>
      <c r="DR235" s="250">
        <f>Table1[[#This Row],[OutTot]]/3</f>
        <v>0</v>
      </c>
      <c r="DS235" s="250">
        <f>Table1[[#This Row],[OutTot]]/3</f>
        <v>0</v>
      </c>
      <c r="DT235" s="250">
        <f>Table1[[#This Row],[OutTot]]/3</f>
        <v>0</v>
      </c>
      <c r="DU235" s="252"/>
      <c r="DV235" s="250"/>
      <c r="DW235" s="250"/>
      <c r="DX235" s="250"/>
      <c r="DY235" s="252">
        <f>SUM(Table1[[#This Row],[VAQ1]:[VAQ3]])</f>
        <v>0</v>
      </c>
      <c r="DZ235" s="250"/>
      <c r="EA235" s="250"/>
      <c r="EB235" s="250"/>
      <c r="EC235" s="270">
        <f>SUM(Table1[[#This Row],[OthGrantQ1]:[OthGrantQ3]])</f>
        <v>0</v>
      </c>
      <c r="ED235" s="263">
        <f>Table1[[#This Row],[SEOGTot]]+Table1[[#This Row],[PellTot]]+Table1[[#This Row],[AccessTot]]+Table1[[#This Row],[AchiTot]]+Table1[[#This Row],[UTTot]]+Table1[[#This Row],[WITTot]]+Table1[[#This Row],[SerTot]]+Table1[[#This Row],[TranTot]]+Table1[[#This Row],[MatTot]]+Table1[[#This Row],[OutTot]]+Table1[[#This Row],[VATot]]+Table1[[#This Row],[OthGrantTot]]</f>
        <v>5995</v>
      </c>
      <c r="EE235" s="282"/>
      <c r="EF235" s="237"/>
      <c r="EG235" s="237"/>
      <c r="EH235" s="232">
        <f>SUM(Table1[[#This Row],[CashQ1]]:Table1[[#This Row],[CashQ3]])</f>
        <v>0</v>
      </c>
      <c r="EI235" s="271">
        <f>ROUND((Table1[[#This Row],[SubTot]]/3)/1.01059,0)</f>
        <v>0</v>
      </c>
      <c r="EJ235" s="234">
        <f>ROUND((Table1[[#This Row],[SubTot]]/3)/1.01059,0)</f>
        <v>0</v>
      </c>
      <c r="EK235" s="234">
        <f>ROUNDUP((Table1[[#This Row],[SubTot]]/3)/1.01059,0)</f>
        <v>0</v>
      </c>
      <c r="EL235" s="235"/>
      <c r="EM235" s="240">
        <f>Table1[[#This Row],[SubTot]]*0.01059</f>
        <v>0</v>
      </c>
      <c r="EN235" s="234">
        <f>ROUND((Table1[[#This Row],[UnsubTot]]/3)/1.01062,0)</f>
        <v>660</v>
      </c>
      <c r="EO235" s="234">
        <f>ROUND((Table1[[#This Row],[UnsubTot]]/3)/1.01062,0)</f>
        <v>660</v>
      </c>
      <c r="EP235" s="234">
        <f>ROUNDDOWN((Table1[[#This Row],[UnsubTot]]/3)/1.01062,0)</f>
        <v>659</v>
      </c>
      <c r="EQ235" s="235">
        <f>IF(Table1[D/I]="I",6000,2000)</f>
        <v>2000</v>
      </c>
      <c r="ER235" s="240">
        <f>Table1[[#This Row],[UnsubTot]]*0.01062</f>
        <v>21.24</v>
      </c>
      <c r="ES235" s="234">
        <f>ROUND((Table1[[#This Row],[PLUSTot]]/3)/1.04248,0)</f>
        <v>0</v>
      </c>
      <c r="ET235" s="234">
        <f>ROUND((Table1[[#This Row],[PLUSTot]]/3)/1.04248,0)</f>
        <v>0</v>
      </c>
      <c r="EU235" s="234">
        <f>ROUND((Table1[[#This Row],[PLUSTot]]/3)/1.04248,0)</f>
        <v>0</v>
      </c>
      <c r="EV235" s="235"/>
      <c r="EW235" s="239">
        <f>Table1[[#This Row],[PLUSTot]]*0.04248</f>
        <v>0</v>
      </c>
      <c r="EX235" s="237"/>
      <c r="EY235" s="237"/>
      <c r="EZ235" s="237"/>
      <c r="FA235" s="232">
        <f>SUM(Table1[[#This Row],[PrivQ1]:[PrivQ3]])</f>
        <v>0</v>
      </c>
      <c r="FB235" s="237"/>
      <c r="FC235" s="237"/>
      <c r="FD235" s="237"/>
      <c r="FE235" s="232">
        <f>SUM(Table1[[#This Row],[TOQ1]:[TOQ3]])</f>
        <v>0</v>
      </c>
      <c r="FF235" s="237"/>
      <c r="FG235" s="237"/>
      <c r="FH235" s="237"/>
      <c r="FI235" s="232">
        <f>SUM(Table1[[#This Row],[OFundQ1]:[OFundQ3]])</f>
        <v>0</v>
      </c>
      <c r="FJ235" s="239">
        <f>(Table1[[#This Row],[SubTot]]-Table1[[#This Row],[SubFee]])+(Table1[[#This Row],[UnsubTot]]-Table1[[#This Row],[UnsubFee]])+(Table1[[#This Row],[PLUSTot]]-Table1[[#This Row],[PLUSFee]])+Table1[[#This Row],[PrivTot]]+Table1[[#This Row],[TOTot]]+Table1[[#This Row],[OFundTot]]</f>
        <v>1978.76</v>
      </c>
      <c r="FK235" s="125">
        <f>Table1[[#This Row],[CostTot]]-Table1[[#This Row],[GiftTot]]</f>
        <v>-5995</v>
      </c>
      <c r="FL235" s="130">
        <f>Table1[[#This Row],[NetNeed]]/(1-0.04248)</f>
        <v>-8327.5127412482252</v>
      </c>
      <c r="FM235" s="131">
        <f>Table1[[#This Row],[NetCost]]-Table1[[#This Row],[CashTot]]-(Table1[[#This Row],[SubTot]]-Table1[[#This Row],[SubFee]])-(Table1[[#This Row],[UnsubTot]]-Table1[[#This Row],[UnsubFee]])-(Table1[[#This Row],[PLUSTot]]-Table1[[#This Row],[PLUSFee]])-Table1[[#This Row],[PrivTot]]-Table1[[#This Row],[TOTot]]-Table1[[#This Row],[OFundTot]]</f>
        <v>-7973.76</v>
      </c>
      <c r="FN235" s="156"/>
      <c r="FO235" s="113"/>
      <c r="FP235" s="113"/>
    </row>
    <row r="236" spans="1:172" ht="15" x14ac:dyDescent="0.25">
      <c r="A236" s="329">
        <v>198694</v>
      </c>
      <c r="B236" s="113" t="str">
        <f>VLOOKUP(Table1[[#This Row],[SyStudentId]],SSR!$A$2:$CC$4982,4,FALSE)</f>
        <v>Reeves-Miller</v>
      </c>
      <c r="C236" s="113" t="str">
        <f>VLOOKUP(Table1[[#This Row],[SyStudentId]],SSR!$A$2:$CC$4982,5,FALSE)</f>
        <v>Kofi</v>
      </c>
      <c r="D236" s="113" t="str">
        <f>VLOOKUP(Table1[[#This Row],[SyStudentId]],SSR!$A$2:$CC$4982,6,FALSE)</f>
        <v>Reeves-Miller, Kofi</v>
      </c>
      <c r="E236" s="113"/>
      <c r="F236" s="112"/>
      <c r="G236" s="114"/>
      <c r="H236" s="114"/>
      <c r="I236" s="114"/>
      <c r="J236" s="115"/>
      <c r="K236" s="116"/>
      <c r="L236" s="112" t="str">
        <f>IFERROR(VLOOKUP(Table1[[#This Row],[SyStudentId]],ISIR!$A$2:$X$999,11,FALSE),"")</f>
        <v/>
      </c>
      <c r="M236" s="113" t="str">
        <f>VLOOKUP(Table1[[#This Row],[SyStudentId]],SSR!$A$2:$CC$4982,7,FALSE)</f>
        <v>kofireevesmiller@gmail.com</v>
      </c>
      <c r="N236" s="113" t="str">
        <f>VLOOKUP(Table1[[#This Row],[SyStudentId]],SSR!$A$2:$CC$4982,8,FALSE)</f>
        <v>6002 WOODCREEK DRIVE</v>
      </c>
      <c r="O236" s="113" t="str">
        <f>VLOOKUP(Table1[[#This Row],[SyStudentId]],SSR!$A$2:$CC$4982,9,FALSE)</f>
        <v>WOODSTOCK</v>
      </c>
      <c r="P236" s="113" t="str">
        <f>VLOOKUP(Table1[[#This Row],[SyStudentId]],SSR!$A$2:$CC$4982,10,FALSE)</f>
        <v>GA</v>
      </c>
      <c r="Q236" s="117" t="str">
        <f>VLOOKUP(Table1[[#This Row],[SyStudentId]],SSR!$A$2:$CC$4982,11,FALSE)</f>
        <v xml:space="preserve">30188     </v>
      </c>
      <c r="R236" s="118">
        <f>VLOOKUP(Table1[[#This Row],[SyStudentId]],SSR!$A$2:$CC$4982,15,FALSE)</f>
        <v>3.8</v>
      </c>
      <c r="S236" s="119">
        <f>VLOOKUP(Table1[[#This Row],[SyStudentId]],SSR!$A$2:$CC$4982,22,FALSE)</f>
        <v>44109</v>
      </c>
      <c r="T236" s="113" t="str">
        <f>VLOOKUP(Table1[[#This Row],[SyStudentId]],SSR!$A$2:$CC$4982,24,FALSE)</f>
        <v>GM</v>
      </c>
      <c r="U236" s="113" t="str">
        <f>IF(VLOOKUP(Table1[[#This Row],[SyStudentId]],SSR!$A$2:$CC$4982,26,FALSE)=0,"Not Selected",VLOOKUP(Table1[[#This Row],[SyStudentId]],SSR!$A$2:$CC$4982,26,FALSE))</f>
        <v>Male</v>
      </c>
      <c r="V236" s="113" t="str">
        <f>VLOOKUP(Table1[[#This Row],[SyStudentId]],SSR!$A$2:$CC$4982,27,FALSE)</f>
        <v xml:space="preserve">HS2020  </v>
      </c>
      <c r="W236" s="113" t="str">
        <f>VLOOKUP(LEFT(Table1[[#This Row],[LastName]],1),Alpha!$A$1:$B$26,2,FALSE)</f>
        <v>Maureen Ranks</v>
      </c>
      <c r="X236" s="149" t="str">
        <f>VLOOKUP(Table1[[#This Row],[FAA]],Alpha!$B$1:$D$26,2,FALSE)</f>
        <v>mranks@neumont.edu</v>
      </c>
      <c r="Y236" s="113">
        <f>VLOOKUP(Table1[[#This Row],[FAA]],Alpha!$B$1:$D$26,3,FALSE)</f>
        <v>8883022894</v>
      </c>
      <c r="Z236" s="113" t="str">
        <f>VLOOKUP(Table1[[#This Row],[SyStudentId]],SSR!$A$2:$CC$4982,30,FALSE)</f>
        <v>16-Accepted</v>
      </c>
      <c r="AA236" s="113" t="str">
        <f>IF(VLOOKUP(Table1[[#This Row],[SyStudentId]],SSR!$A$2:$CC$4982,36,FALSE)="Bachelor of Science","BS Computer Science","Check Program")</f>
        <v>BS Computer Science</v>
      </c>
      <c r="AB236" s="113">
        <f>VLOOKUP(Table1[[#This Row],[SyStudentId]],SSR!$A$2:$CC$4982,37,FALSE)</f>
        <v>0</v>
      </c>
      <c r="AC236" s="113" t="str">
        <f>VLOOKUP(Table1[[#This Row],[SyStudentId]],SSR!$A$2:$CC$4982,42,FALSE)</f>
        <v xml:space="preserve">1400    </v>
      </c>
      <c r="AD236" s="113" t="str">
        <f>VLOOKUP(Table1[[#This Row],[SyStudentId]],SSR!$A$2:$CC$4982,46,FALSE)</f>
        <v>131</v>
      </c>
      <c r="AE236" s="113" t="str">
        <f>VLOOKUP(Table1[[#This Row],[SyStudentId]],SSR!$A$2:$CC$4982,65,FALSE)</f>
        <v>I</v>
      </c>
      <c r="AF236"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236" s="113" t="str">
        <f>VLOOKUP(Table1[[#This Row],[SyStudentId]],SSR!$A$2:$CC$4982,66,FALSE)</f>
        <v>December</v>
      </c>
      <c r="AH236" s="113" t="str">
        <f>IFERROR(VLOOKUP(Table1[[#This Row],[SyStudentId]],ISIR!$A$2:$X$999,7,FALSE),"")</f>
        <v/>
      </c>
      <c r="AI236" s="121" t="str">
        <f>IF(Table1[[#This Row],[EFCRaw]]="","",IF(Table1[[#This Row],[EFCRaw]]="No EFC","No EFC",_xlfn.NUMBERVALUE(Table1[[#This Row],[EFCRaw]])))</f>
        <v/>
      </c>
      <c r="AJ236" s="119" t="str">
        <f>IFERROR(VLOOKUP(Table1[[#This Row],[SyStudentId]],ISIR!$A$2:$X$4999,19,FALSE),"")</f>
        <v/>
      </c>
      <c r="AK236" s="113" t="str">
        <f>IFERROR(VLOOKUP(Table1[[#This Row],[SyStudentId]],ISIR!$A$2:$X$4999,8,FALSE),"")</f>
        <v/>
      </c>
      <c r="AL236" s="156" t="str">
        <f>IF(Table1[[#This Row],[VerReq]]="N","n/a","")</f>
        <v/>
      </c>
      <c r="AM236" s="122"/>
      <c r="AN236" s="122"/>
      <c r="AO236" s="122"/>
      <c r="AP236" s="122"/>
      <c r="AQ236" s="122"/>
      <c r="AR236" s="122"/>
      <c r="AS236" s="122"/>
      <c r="AT236" s="122"/>
      <c r="AU236" s="122"/>
      <c r="AV236" s="122"/>
      <c r="AW236" s="122"/>
      <c r="AX236" s="122"/>
      <c r="AY236" s="122"/>
      <c r="AZ236" s="122"/>
      <c r="BA236" s="122"/>
      <c r="BB236" s="122"/>
      <c r="BC236" s="148"/>
      <c r="BD236" s="140" t="str">
        <f>IF(Table1[[#This Row],[VerReq]]="N","x","")</f>
        <v/>
      </c>
      <c r="BE236" s="140" t="str">
        <f>IF(Table1[[#This Row],[VerReq]]="N","x","")</f>
        <v/>
      </c>
      <c r="BF236" s="140" t="str">
        <f>IF(Table1[[#This Row],[VerReq]]="N","x","")</f>
        <v/>
      </c>
      <c r="BG236" s="140" t="str">
        <f>IF(Table1[[#This Row],[VerReq]]="N","x","")</f>
        <v/>
      </c>
      <c r="BH236" s="140" t="str">
        <f>IF(Table1[[#This Row],[VerReq]]="N","x","")</f>
        <v/>
      </c>
      <c r="BI236" s="140" t="str">
        <f>IF(Table1[[#This Row],[VerReq]]="N","x","")</f>
        <v/>
      </c>
      <c r="BJ236" s="123">
        <f>1-((COUNTBLANK(Table1[[#This Row],[ALESent]:[TaxTran]]))/(COUNT(Table1[[#This Row],[ALESent]:[TaxTran]])+COUNTBLANK(Table1[[#This Row],[ALESent]:[TaxTran]])))</f>
        <v>0</v>
      </c>
      <c r="BK236" s="150">
        <f>IF(VLOOKUP(Table1[[#This Row],[SyStudentId]],SSR!$A$2:$CC$4982,22,FALSE)=44109,44109,"Check Program")</f>
        <v>44109</v>
      </c>
      <c r="BL236" s="150">
        <f>IF(Table1[[#This Row],[AYStart]]=44109,44356,"Check Program")</f>
        <v>44356</v>
      </c>
      <c r="BM236" s="219"/>
      <c r="BN236" s="219"/>
      <c r="BO236" s="219"/>
      <c r="BP236" s="220">
        <f t="shared" si="12"/>
        <v>0</v>
      </c>
      <c r="BQ236" s="221"/>
      <c r="BR236" s="219"/>
      <c r="BS236" s="219"/>
      <c r="BT236" s="220">
        <f t="shared" si="13"/>
        <v>0</v>
      </c>
      <c r="BU236" s="219"/>
      <c r="BV236" s="219"/>
      <c r="BW236" s="219"/>
      <c r="BX236" s="220">
        <f t="shared" si="14"/>
        <v>0</v>
      </c>
      <c r="BY236" s="269"/>
      <c r="BZ236" s="269"/>
      <c r="CA236" s="269"/>
      <c r="CB236" s="220">
        <f>SUM(Table1[[#This Row],[LEQ1]:[LEQ3]])</f>
        <v>0</v>
      </c>
      <c r="CC236" s="269"/>
      <c r="CD236" s="269"/>
      <c r="CE236" s="269"/>
      <c r="CF236" s="220">
        <f>SUM(Table1[[#This Row],[OthCostQ1]:[OthCostQ3]])</f>
        <v>0</v>
      </c>
      <c r="CG236" s="220">
        <f>(Table1[[#This Row],[T&amp;FTot]]+Table1[[#This Row],[B&amp;STot]]+Table1[[#This Row],[HousTot]]+Table1[[#This Row],[LETot]]+Table1[[#This Row],[OthCostTot]])</f>
        <v>0</v>
      </c>
      <c r="CH236" s="250"/>
      <c r="CI236" s="250"/>
      <c r="CJ236" s="250"/>
      <c r="CK236" s="251">
        <f>SUM(Table1[[#This Row],[SEOGQ1]:[SEOGQ3]])</f>
        <v>0</v>
      </c>
      <c r="CL236" s="250">
        <f>IFERROR(ROUNDUP(Table1[[#This Row],[PellTot]]/3,0),0)</f>
        <v>0</v>
      </c>
      <c r="CM236" s="250">
        <f>IFERROR(ROUND(Table1[[#This Row],[PellTot]]/3,0),0)</f>
        <v>0</v>
      </c>
      <c r="CN236" s="250">
        <f>IFERROR(ROUNDDOWN(Table1[[#This Row],[PellTot]]/3,0),0)</f>
        <v>0</v>
      </c>
      <c r="CO236" s="251">
        <f>IFERROR(LOOKUP(Table1[EFC],Pell_Table[#Data],Pell_Table[Pell Amt]),0)</f>
        <v>0</v>
      </c>
      <c r="CP236" s="250">
        <f>Table1[[#This Row],[AccessTot]]/3</f>
        <v>0</v>
      </c>
      <c r="CQ236" s="250">
        <f>Table1[[#This Row],[AccessTot]]/3</f>
        <v>0</v>
      </c>
      <c r="CR236" s="250">
        <f>Table1[[#This Row],[AccessTot]]/3</f>
        <v>0</v>
      </c>
      <c r="CS236" s="251">
        <f>IF(Table1[[#This Row],[PellTot]]&gt;0,1500,0)</f>
        <v>0</v>
      </c>
      <c r="CT236" s="250">
        <f>Table1[[#This Row],[AchiTot]]/3</f>
        <v>1700</v>
      </c>
      <c r="CU236" s="250">
        <f>Table1[[#This Row],[AchiTot]]/3</f>
        <v>1700</v>
      </c>
      <c r="CV236" s="250">
        <f>Table1[[#This Row],[AchiTot]]/3</f>
        <v>1700</v>
      </c>
      <c r="CW236" s="252">
        <f>IF(Table1[[#This Row],[Rank]]="","",IF(Table1[[#This Row],[Rank]]=1,5100,IF(Table1[[#This Row],[Rank]]=2,4500,IF(Table1[[#This Row],[Rank]]=3,3900,IF(Table1[[#This Row],[Rank]]=4,3750,IF(Table1[[#This Row],[Rank]]=5,3000,IF(Table1[[#This Row],[Rank]]=6,2250,0)))))))</f>
        <v>5100</v>
      </c>
      <c r="CX236" s="250">
        <f>Table1[[#This Row],[UTTot]]/3</f>
        <v>0</v>
      </c>
      <c r="CY236" s="250">
        <f>Table1[[#This Row],[UTTot]]/3</f>
        <v>0</v>
      </c>
      <c r="CZ236" s="250">
        <f>Table1[[#This Row],[UTTot]]/3</f>
        <v>0</v>
      </c>
      <c r="DA236" s="251">
        <f>IF(Table1[[#This Row],[State]]="UT",9000,0)</f>
        <v>0</v>
      </c>
      <c r="DB236" s="250">
        <f>Table1[[#This Row],[WITTot]]/3</f>
        <v>0</v>
      </c>
      <c r="DC236" s="250">
        <f>Table1[[#This Row],[WITTot]]/3</f>
        <v>0</v>
      </c>
      <c r="DD236" s="250">
        <f>Table1[[#This Row],[WITTot]]/3</f>
        <v>0</v>
      </c>
      <c r="DE236" s="251">
        <f>IF(Table1[[#This Row],[Gender]]="Female",3000,0)</f>
        <v>0</v>
      </c>
      <c r="DF236" s="250">
        <f>Table1[[#This Row],[SerTot]]/3</f>
        <v>0</v>
      </c>
      <c r="DG236" s="250">
        <f>Table1[[#This Row],[SerTot]]/3</f>
        <v>0</v>
      </c>
      <c r="DH236" s="250">
        <f>Table1[[#This Row],[SerTot]]/3</f>
        <v>0</v>
      </c>
      <c r="DI236" s="252"/>
      <c r="DJ236" s="250"/>
      <c r="DK236" s="250"/>
      <c r="DL236" s="250"/>
      <c r="DM236" s="252"/>
      <c r="DN236" s="250">
        <f>Table1[[#This Row],[MatTot]]/3</f>
        <v>0</v>
      </c>
      <c r="DO236" s="250">
        <f>Table1[[#This Row],[MatTot]]/3</f>
        <v>0</v>
      </c>
      <c r="DP236" s="250">
        <f>Table1[[#This Row],[MatTot]]/3</f>
        <v>0</v>
      </c>
      <c r="DQ236" s="252"/>
      <c r="DR236" s="250">
        <f>Table1[[#This Row],[OutTot]]/3</f>
        <v>0</v>
      </c>
      <c r="DS236" s="250">
        <f>Table1[[#This Row],[OutTot]]/3</f>
        <v>0</v>
      </c>
      <c r="DT236" s="250">
        <f>Table1[[#This Row],[OutTot]]/3</f>
        <v>0</v>
      </c>
      <c r="DU236" s="252"/>
      <c r="DV236" s="250"/>
      <c r="DW236" s="250"/>
      <c r="DX236" s="250"/>
      <c r="DY236" s="252">
        <f>SUM(Table1[[#This Row],[VAQ1]:[VAQ3]])</f>
        <v>0</v>
      </c>
      <c r="DZ236" s="250"/>
      <c r="EA236" s="250"/>
      <c r="EB236" s="250"/>
      <c r="EC236" s="270">
        <f>SUM(Table1[[#This Row],[OthGrantQ1]:[OthGrantQ3]])</f>
        <v>0</v>
      </c>
      <c r="ED236" s="263">
        <f>Table1[[#This Row],[SEOGTot]]+Table1[[#This Row],[PellTot]]+Table1[[#This Row],[AccessTot]]+Table1[[#This Row],[AchiTot]]+Table1[[#This Row],[UTTot]]+Table1[[#This Row],[WITTot]]+Table1[[#This Row],[SerTot]]+Table1[[#This Row],[TranTot]]+Table1[[#This Row],[MatTot]]+Table1[[#This Row],[OutTot]]+Table1[[#This Row],[VATot]]+Table1[[#This Row],[OthGrantTot]]</f>
        <v>5100</v>
      </c>
      <c r="EE236" s="282"/>
      <c r="EF236" s="237"/>
      <c r="EG236" s="237"/>
      <c r="EH236" s="232">
        <f>SUM(Table1[[#This Row],[CashQ1]]:Table1[[#This Row],[CashQ3]])</f>
        <v>0</v>
      </c>
      <c r="EI236" s="271">
        <f>ROUND((Table1[[#This Row],[SubTot]]/3)/1.01059,0)</f>
        <v>0</v>
      </c>
      <c r="EJ236" s="234">
        <f>ROUND((Table1[[#This Row],[SubTot]]/3)/1.01059,0)</f>
        <v>0</v>
      </c>
      <c r="EK236" s="234">
        <f>ROUNDUP((Table1[[#This Row],[SubTot]]/3)/1.01059,0)</f>
        <v>0</v>
      </c>
      <c r="EL236" s="235"/>
      <c r="EM236" s="240">
        <f>Table1[[#This Row],[SubTot]]*0.01059</f>
        <v>0</v>
      </c>
      <c r="EN236" s="234">
        <f>ROUND((Table1[[#This Row],[UnsubTot]]/3)/1.01062,0)</f>
        <v>660</v>
      </c>
      <c r="EO236" s="234">
        <f>ROUND((Table1[[#This Row],[UnsubTot]]/3)/1.01062,0)</f>
        <v>660</v>
      </c>
      <c r="EP236" s="234">
        <f>ROUNDDOWN((Table1[[#This Row],[UnsubTot]]/3)/1.01062,0)</f>
        <v>659</v>
      </c>
      <c r="EQ236" s="235">
        <f>IF(Table1[D/I]="I",6000,2000)</f>
        <v>2000</v>
      </c>
      <c r="ER236" s="240">
        <f>Table1[[#This Row],[UnsubTot]]*0.01062</f>
        <v>21.24</v>
      </c>
      <c r="ES236" s="234">
        <f>ROUND((Table1[[#This Row],[PLUSTot]]/3)/1.04248,0)</f>
        <v>0</v>
      </c>
      <c r="ET236" s="234">
        <f>ROUND((Table1[[#This Row],[PLUSTot]]/3)/1.04248,0)</f>
        <v>0</v>
      </c>
      <c r="EU236" s="234">
        <f>ROUND((Table1[[#This Row],[PLUSTot]]/3)/1.04248,0)</f>
        <v>0</v>
      </c>
      <c r="EV236" s="235"/>
      <c r="EW236" s="239">
        <f>Table1[[#This Row],[PLUSTot]]*0.04248</f>
        <v>0</v>
      </c>
      <c r="EX236" s="237"/>
      <c r="EY236" s="237"/>
      <c r="EZ236" s="237"/>
      <c r="FA236" s="232">
        <f>SUM(Table1[[#This Row],[PrivQ1]:[PrivQ3]])</f>
        <v>0</v>
      </c>
      <c r="FB236" s="237"/>
      <c r="FC236" s="237"/>
      <c r="FD236" s="237"/>
      <c r="FE236" s="232">
        <f>SUM(Table1[[#This Row],[TOQ1]:[TOQ3]])</f>
        <v>0</v>
      </c>
      <c r="FF236" s="237"/>
      <c r="FG236" s="237"/>
      <c r="FH236" s="237"/>
      <c r="FI236" s="232">
        <f>SUM(Table1[[#This Row],[OFundQ1]:[OFundQ3]])</f>
        <v>0</v>
      </c>
      <c r="FJ236" s="239">
        <f>(Table1[[#This Row],[SubTot]]-Table1[[#This Row],[SubFee]])+(Table1[[#This Row],[UnsubTot]]-Table1[[#This Row],[UnsubFee]])+(Table1[[#This Row],[PLUSTot]]-Table1[[#This Row],[PLUSFee]])+Table1[[#This Row],[PrivTot]]+Table1[[#This Row],[TOTot]]+Table1[[#This Row],[OFundTot]]</f>
        <v>1978.76</v>
      </c>
      <c r="FK236" s="125">
        <f>Table1[[#This Row],[CostTot]]-Table1[[#This Row],[GiftTot]]</f>
        <v>-5100</v>
      </c>
      <c r="FL236" s="130">
        <f>Table1[[#This Row],[NetNeed]]/(1-0.04248)</f>
        <v>-7392.8064165761552</v>
      </c>
      <c r="FM236" s="131">
        <f>Table1[[#This Row],[NetCost]]-Table1[[#This Row],[CashTot]]-(Table1[[#This Row],[SubTot]]-Table1[[#This Row],[SubFee]])-(Table1[[#This Row],[UnsubTot]]-Table1[[#This Row],[UnsubFee]])-(Table1[[#This Row],[PLUSTot]]-Table1[[#This Row],[PLUSFee]])-Table1[[#This Row],[PrivTot]]-Table1[[#This Row],[TOTot]]-Table1[[#This Row],[OFundTot]]</f>
        <v>-7078.76</v>
      </c>
      <c r="FN236" s="156"/>
      <c r="FO236" s="113"/>
      <c r="FP236" s="113"/>
    </row>
    <row r="237" spans="1:172" ht="15" x14ac:dyDescent="0.25">
      <c r="A237" s="329">
        <v>197594</v>
      </c>
      <c r="B237" s="113" t="str">
        <f>VLOOKUP(Table1[[#This Row],[SyStudentId]],SSR!$A$2:$CC$4982,4,FALSE)</f>
        <v>Rivera</v>
      </c>
      <c r="C237" s="113" t="str">
        <f>VLOOKUP(Table1[[#This Row],[SyStudentId]],SSR!$A$2:$CC$4982,5,FALSE)</f>
        <v>Isaiah</v>
      </c>
      <c r="D237" s="113" t="str">
        <f>VLOOKUP(Table1[[#This Row],[SyStudentId]],SSR!$A$2:$CC$4982,6,FALSE)</f>
        <v>Rivera, Isaiah</v>
      </c>
      <c r="E237" s="113"/>
      <c r="F237" s="112"/>
      <c r="G237" s="114"/>
      <c r="H237" s="114"/>
      <c r="I237" s="114"/>
      <c r="J237" s="115"/>
      <c r="K237" s="116"/>
      <c r="L237" s="112" t="str">
        <f>IFERROR(VLOOKUP(Table1[[#This Row],[SyStudentId]],ISIR!$A$2:$X$999,11,FALSE),"")</f>
        <v>D</v>
      </c>
      <c r="M237" s="113" t="str">
        <f>VLOOKUP(Table1[[#This Row],[SyStudentId]],SSR!$A$2:$CC$4982,7,FALSE)</f>
        <v>Isaiahr298@gmail.com</v>
      </c>
      <c r="N237" s="113" t="str">
        <f>VLOOKUP(Table1[[#This Row],[SyStudentId]],SSR!$A$2:$CC$4982,8,FALSE)</f>
        <v>53 TENNEY MOUNTAIN ROAD APT. I-4</v>
      </c>
      <c r="O237" s="113" t="str">
        <f>VLOOKUP(Table1[[#This Row],[SyStudentId]],SSR!$A$2:$CC$4982,9,FALSE)</f>
        <v>PLYMOUTH</v>
      </c>
      <c r="P237" s="113" t="str">
        <f>VLOOKUP(Table1[[#This Row],[SyStudentId]],SSR!$A$2:$CC$4982,10,FALSE)</f>
        <v>NH</v>
      </c>
      <c r="Q237" s="117" t="str">
        <f>VLOOKUP(Table1[[#This Row],[SyStudentId]],SSR!$A$2:$CC$4982,11,FALSE)</f>
        <v xml:space="preserve">03264     </v>
      </c>
      <c r="R237" s="118">
        <f>VLOOKUP(Table1[[#This Row],[SyStudentId]],SSR!$A$2:$CC$4982,15,FALSE)</f>
        <v>3.8</v>
      </c>
      <c r="S237" s="119">
        <f>VLOOKUP(Table1[[#This Row],[SyStudentId]],SSR!$A$2:$CC$4982,22,FALSE)</f>
        <v>44109</v>
      </c>
      <c r="T237" s="113" t="str">
        <f>VLOOKUP(Table1[[#This Row],[SyStudentId]],SSR!$A$2:$CC$4982,24,FALSE)</f>
        <v>JT</v>
      </c>
      <c r="U237" s="113" t="str">
        <f>IF(VLOOKUP(Table1[[#This Row],[SyStudentId]],SSR!$A$2:$CC$4982,26,FALSE)=0,"Not Selected",VLOOKUP(Table1[[#This Row],[SyStudentId]],SSR!$A$2:$CC$4982,26,FALSE))</f>
        <v>Male</v>
      </c>
      <c r="V237" s="113" t="str">
        <f>VLOOKUP(Table1[[#This Row],[SyStudentId]],SSR!$A$2:$CC$4982,27,FALSE)</f>
        <v xml:space="preserve">HS2020  </v>
      </c>
      <c r="W237" s="113" t="str">
        <f>VLOOKUP(LEFT(Table1[[#This Row],[LastName]],1),Alpha!$A$1:$B$26,2,FALSE)</f>
        <v>Maureen Ranks</v>
      </c>
      <c r="X237" s="149" t="str">
        <f>VLOOKUP(Table1[[#This Row],[FAA]],Alpha!$B$1:$D$26,2,FALSE)</f>
        <v>mranks@neumont.edu</v>
      </c>
      <c r="Y237" s="113">
        <f>VLOOKUP(Table1[[#This Row],[FAA]],Alpha!$B$1:$D$26,3,FALSE)</f>
        <v>8883022894</v>
      </c>
      <c r="Z237" s="113" t="str">
        <f>VLOOKUP(Table1[[#This Row],[SyStudentId]],SSR!$A$2:$CC$4982,30,FALSE)</f>
        <v>16-Accepted</v>
      </c>
      <c r="AA237" s="113" t="str">
        <f>IF(VLOOKUP(Table1[[#This Row],[SyStudentId]],SSR!$A$2:$CC$4982,36,FALSE)="Bachelor of Science","BS Computer Science","Check Program")</f>
        <v>BS Computer Science</v>
      </c>
      <c r="AB237" s="113">
        <f>VLOOKUP(Table1[[#This Row],[SyStudentId]],SSR!$A$2:$CC$4982,37,FALSE)</f>
        <v>0</v>
      </c>
      <c r="AC237" s="113">
        <f>VLOOKUP(Table1[[#This Row],[SyStudentId]],SSR!$A$2:$CC$4982,42,FALSE)</f>
        <v>0</v>
      </c>
      <c r="AD237" s="113" t="str">
        <f>VLOOKUP(Table1[[#This Row],[SyStudentId]],SSR!$A$2:$CC$4982,46,FALSE)</f>
        <v>0</v>
      </c>
      <c r="AE237" s="113" t="str">
        <f>VLOOKUP(Table1[[#This Row],[SyStudentId]],SSR!$A$2:$CC$4982,65,FALSE)</f>
        <v>III</v>
      </c>
      <c r="AF237"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3</v>
      </c>
      <c r="AG237" s="113" t="str">
        <f>VLOOKUP(Table1[[#This Row],[SyStudentId]],SSR!$A$2:$CC$4982,66,FALSE)</f>
        <v>December</v>
      </c>
      <c r="AH237" s="113" t="str">
        <f>IFERROR(VLOOKUP(Table1[[#This Row],[SyStudentId]],ISIR!$A$2:$X$999,7,FALSE),"")</f>
        <v>000000</v>
      </c>
      <c r="AI237" s="121">
        <f>IF(Table1[[#This Row],[EFCRaw]]="","",IF(Table1[[#This Row],[EFCRaw]]="No EFC","No EFC",_xlfn.NUMBERVALUE(Table1[[#This Row],[EFCRaw]])))</f>
        <v>0</v>
      </c>
      <c r="AJ237" s="119">
        <f>IFERROR(VLOOKUP(Table1[[#This Row],[SyStudentId]],ISIR!$A$2:$X$4999,19,FALSE),"")</f>
        <v>43783</v>
      </c>
      <c r="AK237" s="113" t="str">
        <f>IFERROR(VLOOKUP(Table1[[#This Row],[SyStudentId]],ISIR!$A$2:$X$4999,8,FALSE),"")</f>
        <v>Y</v>
      </c>
      <c r="AL237" s="156" t="str">
        <f>IF(Table1[[#This Row],[VerReq]]="N","n/a","")</f>
        <v/>
      </c>
      <c r="AM237" s="122"/>
      <c r="AN237" s="122"/>
      <c r="AO237" s="122"/>
      <c r="AP237" s="122"/>
      <c r="AQ237" s="122"/>
      <c r="AR237" s="122"/>
      <c r="AS237" s="122"/>
      <c r="AT237" s="122"/>
      <c r="AU237" s="122"/>
      <c r="AV237" s="122"/>
      <c r="AW237" s="122"/>
      <c r="AX237" s="122"/>
      <c r="AY237" s="122"/>
      <c r="AZ237" s="122"/>
      <c r="BA237" s="122"/>
      <c r="BB237" s="122"/>
      <c r="BC237" s="148"/>
      <c r="BD237" s="140" t="str">
        <f>IF(Table1[[#This Row],[VerReq]]="N","x","")</f>
        <v/>
      </c>
      <c r="BE237" s="140" t="str">
        <f>IF(Table1[[#This Row],[VerReq]]="N","x","")</f>
        <v/>
      </c>
      <c r="BF237" s="140" t="str">
        <f>IF(Table1[[#This Row],[VerReq]]="N","x","")</f>
        <v/>
      </c>
      <c r="BG237" s="140" t="str">
        <f>IF(Table1[[#This Row],[VerReq]]="N","x","")</f>
        <v/>
      </c>
      <c r="BH237" s="140" t="str">
        <f>IF(Table1[[#This Row],[VerReq]]="N","x","")</f>
        <v/>
      </c>
      <c r="BI237" s="140" t="str">
        <f>IF(Table1[[#This Row],[VerReq]]="N","x","")</f>
        <v/>
      </c>
      <c r="BJ237" s="123">
        <f>1-((COUNTBLANK(Table1[[#This Row],[ALESent]:[TaxTran]]))/(COUNT(Table1[[#This Row],[ALESent]:[TaxTran]])+COUNTBLANK(Table1[[#This Row],[ALESent]:[TaxTran]])))</f>
        <v>0</v>
      </c>
      <c r="BK237" s="150">
        <f>IF(VLOOKUP(Table1[[#This Row],[SyStudentId]],SSR!$A$2:$CC$4982,22,FALSE)=44109,44109,"Check Program")</f>
        <v>44109</v>
      </c>
      <c r="BL237" s="150">
        <f>IF(Table1[[#This Row],[AYStart]]=44109,44356,"Check Program")</f>
        <v>44356</v>
      </c>
      <c r="BM237" s="219"/>
      <c r="BN237" s="219"/>
      <c r="BO237" s="219"/>
      <c r="BP237" s="220">
        <f t="shared" si="12"/>
        <v>0</v>
      </c>
      <c r="BQ237" s="221"/>
      <c r="BR237" s="219"/>
      <c r="BS237" s="219"/>
      <c r="BT237" s="220">
        <f t="shared" si="13"/>
        <v>0</v>
      </c>
      <c r="BU237" s="219"/>
      <c r="BV237" s="219"/>
      <c r="BW237" s="219"/>
      <c r="BX237" s="220">
        <f t="shared" si="14"/>
        <v>0</v>
      </c>
      <c r="BY237" s="269"/>
      <c r="BZ237" s="269"/>
      <c r="CA237" s="269"/>
      <c r="CB237" s="220">
        <f>SUM(Table1[[#This Row],[LEQ1]:[LEQ3]])</f>
        <v>0</v>
      </c>
      <c r="CC237" s="269"/>
      <c r="CD237" s="269"/>
      <c r="CE237" s="269"/>
      <c r="CF237" s="220">
        <f>SUM(Table1[[#This Row],[OthCostQ1]:[OthCostQ3]])</f>
        <v>0</v>
      </c>
      <c r="CG237" s="220">
        <f>(Table1[[#This Row],[T&amp;FTot]]+Table1[[#This Row],[B&amp;STot]]+Table1[[#This Row],[HousTot]]+Table1[[#This Row],[LETot]]+Table1[[#This Row],[OthCostTot]])</f>
        <v>0</v>
      </c>
      <c r="CH237" s="250"/>
      <c r="CI237" s="250"/>
      <c r="CJ237" s="250"/>
      <c r="CK237" s="251">
        <f>SUM(Table1[[#This Row],[SEOGQ1]:[SEOGQ3]])</f>
        <v>0</v>
      </c>
      <c r="CL237" s="250">
        <f>IFERROR(ROUNDUP(Table1[[#This Row],[PellTot]]/3,0),0)</f>
        <v>2065</v>
      </c>
      <c r="CM237" s="250">
        <f>IFERROR(ROUND(Table1[[#This Row],[PellTot]]/3,0),0)</f>
        <v>2065</v>
      </c>
      <c r="CN237" s="250">
        <f>IFERROR(ROUNDDOWN(Table1[[#This Row],[PellTot]]/3,0),0)</f>
        <v>2065</v>
      </c>
      <c r="CO237" s="251">
        <f>IFERROR(LOOKUP(Table1[EFC],Pell_Table[#Data],Pell_Table[Pell Amt]),0)</f>
        <v>6195</v>
      </c>
      <c r="CP237" s="250">
        <f>Table1[[#This Row],[AccessTot]]/3</f>
        <v>500</v>
      </c>
      <c r="CQ237" s="250">
        <f>Table1[[#This Row],[AccessTot]]/3</f>
        <v>500</v>
      </c>
      <c r="CR237" s="250">
        <f>Table1[[#This Row],[AccessTot]]/3</f>
        <v>500</v>
      </c>
      <c r="CS237" s="251">
        <f>IF(Table1[[#This Row],[PellTot]]&gt;0,1500,0)</f>
        <v>1500</v>
      </c>
      <c r="CT237" s="250">
        <f>Table1[[#This Row],[AchiTot]]/3</f>
        <v>1300</v>
      </c>
      <c r="CU237" s="250">
        <f>Table1[[#This Row],[AchiTot]]/3</f>
        <v>1300</v>
      </c>
      <c r="CV237" s="250">
        <f>Table1[[#This Row],[AchiTot]]/3</f>
        <v>1300</v>
      </c>
      <c r="CW237" s="252">
        <f>IF(Table1[[#This Row],[Rank]]="","",IF(Table1[[#This Row],[Rank]]=1,5100,IF(Table1[[#This Row],[Rank]]=2,4500,IF(Table1[[#This Row],[Rank]]=3,3900,IF(Table1[[#This Row],[Rank]]=4,3750,IF(Table1[[#This Row],[Rank]]=5,3000,IF(Table1[[#This Row],[Rank]]=6,2250,0)))))))</f>
        <v>3900</v>
      </c>
      <c r="CX237" s="250">
        <f>Table1[[#This Row],[UTTot]]/3</f>
        <v>0</v>
      </c>
      <c r="CY237" s="250">
        <f>Table1[[#This Row],[UTTot]]/3</f>
        <v>0</v>
      </c>
      <c r="CZ237" s="250">
        <f>Table1[[#This Row],[UTTot]]/3</f>
        <v>0</v>
      </c>
      <c r="DA237" s="251">
        <f>IF(Table1[[#This Row],[State]]="UT",9000,0)</f>
        <v>0</v>
      </c>
      <c r="DB237" s="250">
        <f>Table1[[#This Row],[WITTot]]/3</f>
        <v>0</v>
      </c>
      <c r="DC237" s="250">
        <f>Table1[[#This Row],[WITTot]]/3</f>
        <v>0</v>
      </c>
      <c r="DD237" s="250">
        <f>Table1[[#This Row],[WITTot]]/3</f>
        <v>0</v>
      </c>
      <c r="DE237" s="251">
        <f>IF(Table1[[#This Row],[Gender]]="Female",3000,0)</f>
        <v>0</v>
      </c>
      <c r="DF237" s="250">
        <f>Table1[[#This Row],[SerTot]]/3</f>
        <v>0</v>
      </c>
      <c r="DG237" s="250">
        <f>Table1[[#This Row],[SerTot]]/3</f>
        <v>0</v>
      </c>
      <c r="DH237" s="250">
        <f>Table1[[#This Row],[SerTot]]/3</f>
        <v>0</v>
      </c>
      <c r="DI237" s="252"/>
      <c r="DJ237" s="250"/>
      <c r="DK237" s="250"/>
      <c r="DL237" s="250"/>
      <c r="DM237" s="252"/>
      <c r="DN237" s="250">
        <f>Table1[[#This Row],[MatTot]]/3</f>
        <v>0</v>
      </c>
      <c r="DO237" s="250">
        <f>Table1[[#This Row],[MatTot]]/3</f>
        <v>0</v>
      </c>
      <c r="DP237" s="250">
        <f>Table1[[#This Row],[MatTot]]/3</f>
        <v>0</v>
      </c>
      <c r="DQ237" s="252"/>
      <c r="DR237" s="250">
        <f>Table1[[#This Row],[OutTot]]/3</f>
        <v>0</v>
      </c>
      <c r="DS237" s="250">
        <f>Table1[[#This Row],[OutTot]]/3</f>
        <v>0</v>
      </c>
      <c r="DT237" s="250">
        <f>Table1[[#This Row],[OutTot]]/3</f>
        <v>0</v>
      </c>
      <c r="DU237" s="252"/>
      <c r="DV237" s="250"/>
      <c r="DW237" s="250"/>
      <c r="DX237" s="250"/>
      <c r="DY237" s="252">
        <f>SUM(Table1[[#This Row],[VAQ1]:[VAQ3]])</f>
        <v>0</v>
      </c>
      <c r="DZ237" s="250"/>
      <c r="EA237" s="250"/>
      <c r="EB237" s="250"/>
      <c r="EC237" s="270">
        <f>SUM(Table1[[#This Row],[OthGrantQ1]:[OthGrantQ3]])</f>
        <v>0</v>
      </c>
      <c r="ED237" s="263">
        <f>Table1[[#This Row],[SEOGTot]]+Table1[[#This Row],[PellTot]]+Table1[[#This Row],[AccessTot]]+Table1[[#This Row],[AchiTot]]+Table1[[#This Row],[UTTot]]+Table1[[#This Row],[WITTot]]+Table1[[#This Row],[SerTot]]+Table1[[#This Row],[TranTot]]+Table1[[#This Row],[MatTot]]+Table1[[#This Row],[OutTot]]+Table1[[#This Row],[VATot]]+Table1[[#This Row],[OthGrantTot]]</f>
        <v>11595</v>
      </c>
      <c r="EE237" s="282"/>
      <c r="EF237" s="237"/>
      <c r="EG237" s="237"/>
      <c r="EH237" s="232">
        <f>SUM(Table1[[#This Row],[CashQ1]]:Table1[[#This Row],[CashQ3]])</f>
        <v>0</v>
      </c>
      <c r="EI237" s="271">
        <f>ROUND((Table1[[#This Row],[SubTot]]/3)/1.01059,0)</f>
        <v>0</v>
      </c>
      <c r="EJ237" s="234">
        <f>ROUND((Table1[[#This Row],[SubTot]]/3)/1.01059,0)</f>
        <v>0</v>
      </c>
      <c r="EK237" s="234">
        <f>ROUNDUP((Table1[[#This Row],[SubTot]]/3)/1.01059,0)</f>
        <v>0</v>
      </c>
      <c r="EL237" s="235"/>
      <c r="EM237" s="240">
        <f>Table1[[#This Row],[SubTot]]*0.01059</f>
        <v>0</v>
      </c>
      <c r="EN237" s="234">
        <f>ROUND((Table1[[#This Row],[UnsubTot]]/3)/1.01062,0)</f>
        <v>660</v>
      </c>
      <c r="EO237" s="234">
        <f>ROUND((Table1[[#This Row],[UnsubTot]]/3)/1.01062,0)</f>
        <v>660</v>
      </c>
      <c r="EP237" s="234">
        <f>ROUNDDOWN((Table1[[#This Row],[UnsubTot]]/3)/1.01062,0)</f>
        <v>659</v>
      </c>
      <c r="EQ237" s="235">
        <f>IF(Table1[D/I]="I",6000,2000)</f>
        <v>2000</v>
      </c>
      <c r="ER237" s="240">
        <f>Table1[[#This Row],[UnsubTot]]*0.01062</f>
        <v>21.24</v>
      </c>
      <c r="ES237" s="234">
        <f>ROUND((Table1[[#This Row],[PLUSTot]]/3)/1.04248,0)</f>
        <v>0</v>
      </c>
      <c r="ET237" s="234">
        <f>ROUND((Table1[[#This Row],[PLUSTot]]/3)/1.04248,0)</f>
        <v>0</v>
      </c>
      <c r="EU237" s="234">
        <f>ROUND((Table1[[#This Row],[PLUSTot]]/3)/1.04248,0)</f>
        <v>0</v>
      </c>
      <c r="EV237" s="235"/>
      <c r="EW237" s="239">
        <f>Table1[[#This Row],[PLUSTot]]*0.04248</f>
        <v>0</v>
      </c>
      <c r="EX237" s="237"/>
      <c r="EY237" s="237"/>
      <c r="EZ237" s="237"/>
      <c r="FA237" s="232">
        <f>SUM(Table1[[#This Row],[PrivQ1]:[PrivQ3]])</f>
        <v>0</v>
      </c>
      <c r="FB237" s="237"/>
      <c r="FC237" s="237"/>
      <c r="FD237" s="237"/>
      <c r="FE237" s="232">
        <f>SUM(Table1[[#This Row],[TOQ1]:[TOQ3]])</f>
        <v>0</v>
      </c>
      <c r="FF237" s="237"/>
      <c r="FG237" s="237"/>
      <c r="FH237" s="237"/>
      <c r="FI237" s="232">
        <f>SUM(Table1[[#This Row],[OFundQ1]:[OFundQ3]])</f>
        <v>0</v>
      </c>
      <c r="FJ237" s="239">
        <f>(Table1[[#This Row],[SubTot]]-Table1[[#This Row],[SubFee]])+(Table1[[#This Row],[UnsubTot]]-Table1[[#This Row],[UnsubFee]])+(Table1[[#This Row],[PLUSTot]]-Table1[[#This Row],[PLUSFee]])+Table1[[#This Row],[PrivTot]]+Table1[[#This Row],[TOTot]]+Table1[[#This Row],[OFundTot]]</f>
        <v>1978.76</v>
      </c>
      <c r="FK237" s="125">
        <f>Table1[[#This Row],[CostTot]]-Table1[[#This Row],[GiftTot]]</f>
        <v>-11595</v>
      </c>
      <c r="FL237" s="130">
        <f>Table1[[#This Row],[NetNeed]]/(1-0.04248)</f>
        <v>-14175.954549252234</v>
      </c>
      <c r="FM237" s="131">
        <f>Table1[[#This Row],[NetCost]]-Table1[[#This Row],[CashTot]]-(Table1[[#This Row],[SubTot]]-Table1[[#This Row],[SubFee]])-(Table1[[#This Row],[UnsubTot]]-Table1[[#This Row],[UnsubFee]])-(Table1[[#This Row],[PLUSTot]]-Table1[[#This Row],[PLUSFee]])-Table1[[#This Row],[PrivTot]]-Table1[[#This Row],[TOTot]]-Table1[[#This Row],[OFundTot]]</f>
        <v>-13573.76</v>
      </c>
      <c r="FN237" s="156"/>
      <c r="FO237" s="113"/>
      <c r="FP237" s="113"/>
    </row>
    <row r="238" spans="1:172" ht="15" x14ac:dyDescent="0.25">
      <c r="A238" s="329">
        <v>198929</v>
      </c>
      <c r="B238" s="113" t="str">
        <f>VLOOKUP(Table1[[#This Row],[SyStudentId]],SSR!$A$2:$CC$4982,4,FALSE)</f>
        <v>Romero</v>
      </c>
      <c r="C238" s="113" t="str">
        <f>VLOOKUP(Table1[[#This Row],[SyStudentId]],SSR!$A$2:$CC$4982,5,FALSE)</f>
        <v>Gabriella</v>
      </c>
      <c r="D238" s="113" t="str">
        <f>VLOOKUP(Table1[[#This Row],[SyStudentId]],SSR!$A$2:$CC$4982,6,FALSE)</f>
        <v>Romero, Gabriella</v>
      </c>
      <c r="E238" s="113"/>
      <c r="F238" s="112"/>
      <c r="G238" s="114"/>
      <c r="H238" s="114"/>
      <c r="I238" s="114"/>
      <c r="J238" s="115"/>
      <c r="K238" s="116"/>
      <c r="L238" s="112" t="str">
        <f>IFERROR(VLOOKUP(Table1[[#This Row],[SyStudentId]],ISIR!$A$2:$X$999,11,FALSE),"")</f>
        <v/>
      </c>
      <c r="M238" s="113" t="str">
        <f>VLOOKUP(Table1[[#This Row],[SyStudentId]],SSR!$A$2:$CC$4982,7,FALSE)</f>
        <v>gabbie.rom11@gmail.com</v>
      </c>
      <c r="N238" s="113" t="str">
        <f>VLOOKUP(Table1[[#This Row],[SyStudentId]],SSR!$A$2:$CC$4982,8,FALSE)</f>
        <v>425 Broadway Ave.</v>
      </c>
      <c r="O238" s="113" t="str">
        <f>VLOOKUP(Table1[[#This Row],[SyStudentId]],SSR!$A$2:$CC$4982,9,FALSE)</f>
        <v>Pueblo</v>
      </c>
      <c r="P238" s="113" t="str">
        <f>VLOOKUP(Table1[[#This Row],[SyStudentId]],SSR!$A$2:$CC$4982,10,FALSE)</f>
        <v>CO</v>
      </c>
      <c r="Q238" s="117" t="str">
        <f>VLOOKUP(Table1[[#This Row],[SyStudentId]],SSR!$A$2:$CC$4982,11,FALSE)</f>
        <v xml:space="preserve">81004     </v>
      </c>
      <c r="R238" s="118">
        <f>VLOOKUP(Table1[[#This Row],[SyStudentId]],SSR!$A$2:$CC$4982,15,FALSE)</f>
        <v>3.61</v>
      </c>
      <c r="S238" s="119">
        <f>VLOOKUP(Table1[[#This Row],[SyStudentId]],SSR!$A$2:$CC$4982,22,FALSE)</f>
        <v>44109</v>
      </c>
      <c r="T238" s="113" t="str">
        <f>VLOOKUP(Table1[[#This Row],[SyStudentId]],SSR!$A$2:$CC$4982,24,FALSE)</f>
        <v>JT</v>
      </c>
      <c r="U238" s="113" t="str">
        <f>IF(VLOOKUP(Table1[[#This Row],[SyStudentId]],SSR!$A$2:$CC$4982,26,FALSE)=0,"Not Selected",VLOOKUP(Table1[[#This Row],[SyStudentId]],SSR!$A$2:$CC$4982,26,FALSE))</f>
        <v>Female</v>
      </c>
      <c r="V238" s="113" t="str">
        <f>VLOOKUP(Table1[[#This Row],[SyStudentId]],SSR!$A$2:$CC$4982,27,FALSE)</f>
        <v xml:space="preserve">HS2020  </v>
      </c>
      <c r="W238" s="113" t="str">
        <f>VLOOKUP(LEFT(Table1[[#This Row],[LastName]],1),Alpha!$A$1:$B$26,2,FALSE)</f>
        <v>Maureen Ranks</v>
      </c>
      <c r="X238" s="149" t="str">
        <f>VLOOKUP(Table1[[#This Row],[FAA]],Alpha!$B$1:$D$26,2,FALSE)</f>
        <v>mranks@neumont.edu</v>
      </c>
      <c r="Y238" s="113">
        <f>VLOOKUP(Table1[[#This Row],[FAA]],Alpha!$B$1:$D$26,3,FALSE)</f>
        <v>8883022894</v>
      </c>
      <c r="Z238" s="113" t="str">
        <f>VLOOKUP(Table1[[#This Row],[SyStudentId]],SSR!$A$2:$CC$4982,30,FALSE)</f>
        <v>16-Accepted</v>
      </c>
      <c r="AA238" s="113" t="str">
        <f>IF(VLOOKUP(Table1[[#This Row],[SyStudentId]],SSR!$A$2:$CC$4982,36,FALSE)="Bachelor of Science","BS Computer Science","Check Program")</f>
        <v>BS Computer Science</v>
      </c>
      <c r="AB238" s="113" t="str">
        <f>VLOOKUP(Table1[[#This Row],[SyStudentId]],SSR!$A$2:$CC$4982,37,FALSE)</f>
        <v xml:space="preserve">28      </v>
      </c>
      <c r="AC238" s="113">
        <f>VLOOKUP(Table1[[#This Row],[SyStudentId]],SSR!$A$2:$CC$4982,42,FALSE)</f>
        <v>0</v>
      </c>
      <c r="AD238" s="113" t="str">
        <f>VLOOKUP(Table1[[#This Row],[SyStudentId]],SSR!$A$2:$CC$4982,46,FALSE)</f>
        <v>120</v>
      </c>
      <c r="AE238" s="113" t="str">
        <f>VLOOKUP(Table1[[#This Row],[SyStudentId]],SSR!$A$2:$CC$4982,65,FALSE)</f>
        <v>I</v>
      </c>
      <c r="AF238"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v>
      </c>
      <c r="AG238" s="113" t="str">
        <f>VLOOKUP(Table1[[#This Row],[SyStudentId]],SSR!$A$2:$CC$4982,66,FALSE)</f>
        <v>December</v>
      </c>
      <c r="AH238" s="113" t="str">
        <f>IFERROR(VLOOKUP(Table1[[#This Row],[SyStudentId]],ISIR!$A$2:$X$999,7,FALSE),"")</f>
        <v/>
      </c>
      <c r="AI238" s="121" t="str">
        <f>IF(Table1[[#This Row],[EFCRaw]]="","",IF(Table1[[#This Row],[EFCRaw]]="No EFC","No EFC",_xlfn.NUMBERVALUE(Table1[[#This Row],[EFCRaw]])))</f>
        <v/>
      </c>
      <c r="AJ238" s="119" t="str">
        <f>IFERROR(VLOOKUP(Table1[[#This Row],[SyStudentId]],ISIR!$A$2:$X$4999,19,FALSE),"")</f>
        <v/>
      </c>
      <c r="AK238" s="113" t="str">
        <f>IFERROR(VLOOKUP(Table1[[#This Row],[SyStudentId]],ISIR!$A$2:$X$4999,8,FALSE),"")</f>
        <v/>
      </c>
      <c r="AL238" s="156" t="str">
        <f>IF(Table1[[#This Row],[VerReq]]="N","n/a","")</f>
        <v/>
      </c>
      <c r="AM238" s="122"/>
      <c r="AN238" s="122"/>
      <c r="AO238" s="122"/>
      <c r="AP238" s="122"/>
      <c r="AQ238" s="122"/>
      <c r="AR238" s="122"/>
      <c r="AS238" s="122"/>
      <c r="AT238" s="122"/>
      <c r="AU238" s="122"/>
      <c r="AV238" s="122"/>
      <c r="AW238" s="122"/>
      <c r="AX238" s="122"/>
      <c r="AY238" s="122"/>
      <c r="AZ238" s="122"/>
      <c r="BA238" s="122"/>
      <c r="BB238" s="122"/>
      <c r="BC238" s="148"/>
      <c r="BD238" s="140" t="str">
        <f>IF(Table1[[#This Row],[VerReq]]="N","x","")</f>
        <v/>
      </c>
      <c r="BE238" s="140" t="str">
        <f>IF(Table1[[#This Row],[VerReq]]="N","x","")</f>
        <v/>
      </c>
      <c r="BF238" s="140" t="str">
        <f>IF(Table1[[#This Row],[VerReq]]="N","x","")</f>
        <v/>
      </c>
      <c r="BG238" s="140" t="str">
        <f>IF(Table1[[#This Row],[VerReq]]="N","x","")</f>
        <v/>
      </c>
      <c r="BH238" s="140" t="str">
        <f>IF(Table1[[#This Row],[VerReq]]="N","x","")</f>
        <v/>
      </c>
      <c r="BI238" s="140" t="str">
        <f>IF(Table1[[#This Row],[VerReq]]="N","x","")</f>
        <v/>
      </c>
      <c r="BJ238" s="123">
        <f>1-((COUNTBLANK(Table1[[#This Row],[ALESent]:[TaxTran]]))/(COUNT(Table1[[#This Row],[ALESent]:[TaxTran]])+COUNTBLANK(Table1[[#This Row],[ALESent]:[TaxTran]])))</f>
        <v>0</v>
      </c>
      <c r="BK238" s="150">
        <f>IF(VLOOKUP(Table1[[#This Row],[SyStudentId]],SSR!$A$2:$CC$4982,22,FALSE)=44109,44109,"Check Program")</f>
        <v>44109</v>
      </c>
      <c r="BL238" s="150">
        <f>IF(Table1[[#This Row],[AYStart]]=44109,44356,"Check Program")</f>
        <v>44356</v>
      </c>
      <c r="BM238" s="219"/>
      <c r="BN238" s="219"/>
      <c r="BO238" s="219"/>
      <c r="BP238" s="220">
        <f t="shared" si="12"/>
        <v>0</v>
      </c>
      <c r="BQ238" s="221"/>
      <c r="BR238" s="219"/>
      <c r="BS238" s="219"/>
      <c r="BT238" s="220">
        <f t="shared" si="13"/>
        <v>0</v>
      </c>
      <c r="BU238" s="219"/>
      <c r="BV238" s="219"/>
      <c r="BW238" s="219"/>
      <c r="BX238" s="220">
        <f t="shared" si="14"/>
        <v>0</v>
      </c>
      <c r="BY238" s="269"/>
      <c r="BZ238" s="269"/>
      <c r="CA238" s="269"/>
      <c r="CB238" s="220">
        <f>SUM(Table1[[#This Row],[LEQ1]:[LEQ3]])</f>
        <v>0</v>
      </c>
      <c r="CC238" s="269"/>
      <c r="CD238" s="269"/>
      <c r="CE238" s="269"/>
      <c r="CF238" s="220">
        <f>SUM(Table1[[#This Row],[OthCostQ1]:[OthCostQ3]])</f>
        <v>0</v>
      </c>
      <c r="CG238" s="220">
        <f>(Table1[[#This Row],[T&amp;FTot]]+Table1[[#This Row],[B&amp;STot]]+Table1[[#This Row],[HousTot]]+Table1[[#This Row],[LETot]]+Table1[[#This Row],[OthCostTot]])</f>
        <v>0</v>
      </c>
      <c r="CH238" s="250"/>
      <c r="CI238" s="250"/>
      <c r="CJ238" s="250"/>
      <c r="CK238" s="251">
        <f>SUM(Table1[[#This Row],[SEOGQ1]:[SEOGQ3]])</f>
        <v>0</v>
      </c>
      <c r="CL238" s="250">
        <f>IFERROR(ROUNDUP(Table1[[#This Row],[PellTot]]/3,0),0)</f>
        <v>0</v>
      </c>
      <c r="CM238" s="250">
        <f>IFERROR(ROUND(Table1[[#This Row],[PellTot]]/3,0),0)</f>
        <v>0</v>
      </c>
      <c r="CN238" s="250">
        <f>IFERROR(ROUNDDOWN(Table1[[#This Row],[PellTot]]/3,0),0)</f>
        <v>0</v>
      </c>
      <c r="CO238" s="251">
        <f>IFERROR(LOOKUP(Table1[EFC],Pell_Table[#Data],Pell_Table[Pell Amt]),0)</f>
        <v>0</v>
      </c>
      <c r="CP238" s="250">
        <f>Table1[[#This Row],[AccessTot]]/3</f>
        <v>0</v>
      </c>
      <c r="CQ238" s="250">
        <f>Table1[[#This Row],[AccessTot]]/3</f>
        <v>0</v>
      </c>
      <c r="CR238" s="250">
        <f>Table1[[#This Row],[AccessTot]]/3</f>
        <v>0</v>
      </c>
      <c r="CS238" s="251">
        <f>IF(Table1[[#This Row],[PellTot]]&gt;0,1500,0)</f>
        <v>0</v>
      </c>
      <c r="CT238" s="250">
        <f>Table1[[#This Row],[AchiTot]]/3</f>
        <v>1700</v>
      </c>
      <c r="CU238" s="250">
        <f>Table1[[#This Row],[AchiTot]]/3</f>
        <v>1700</v>
      </c>
      <c r="CV238" s="250">
        <f>Table1[[#This Row],[AchiTot]]/3</f>
        <v>1700</v>
      </c>
      <c r="CW238" s="252">
        <f>IF(Table1[[#This Row],[Rank]]="","",IF(Table1[[#This Row],[Rank]]=1,5100,IF(Table1[[#This Row],[Rank]]=2,4500,IF(Table1[[#This Row],[Rank]]=3,3900,IF(Table1[[#This Row],[Rank]]=4,3750,IF(Table1[[#This Row],[Rank]]=5,3000,IF(Table1[[#This Row],[Rank]]=6,2250,0)))))))</f>
        <v>5100</v>
      </c>
      <c r="CX238" s="250">
        <f>Table1[[#This Row],[UTTot]]/3</f>
        <v>0</v>
      </c>
      <c r="CY238" s="250">
        <f>Table1[[#This Row],[UTTot]]/3</f>
        <v>0</v>
      </c>
      <c r="CZ238" s="250">
        <f>Table1[[#This Row],[UTTot]]/3</f>
        <v>0</v>
      </c>
      <c r="DA238" s="251">
        <f>IF(Table1[[#This Row],[State]]="UT",9000,0)</f>
        <v>0</v>
      </c>
      <c r="DB238" s="250">
        <f>Table1[[#This Row],[WITTot]]/3</f>
        <v>1000</v>
      </c>
      <c r="DC238" s="250">
        <f>Table1[[#This Row],[WITTot]]/3</f>
        <v>1000</v>
      </c>
      <c r="DD238" s="250">
        <f>Table1[[#This Row],[WITTot]]/3</f>
        <v>1000</v>
      </c>
      <c r="DE238" s="251">
        <f>IF(Table1[[#This Row],[Gender]]="Female",3000,0)</f>
        <v>3000</v>
      </c>
      <c r="DF238" s="250">
        <f>Table1[[#This Row],[SerTot]]/3</f>
        <v>0</v>
      </c>
      <c r="DG238" s="250">
        <f>Table1[[#This Row],[SerTot]]/3</f>
        <v>0</v>
      </c>
      <c r="DH238" s="250">
        <f>Table1[[#This Row],[SerTot]]/3</f>
        <v>0</v>
      </c>
      <c r="DI238" s="252"/>
      <c r="DJ238" s="250"/>
      <c r="DK238" s="250"/>
      <c r="DL238" s="250"/>
      <c r="DM238" s="252"/>
      <c r="DN238" s="250">
        <f>Table1[[#This Row],[MatTot]]/3</f>
        <v>0</v>
      </c>
      <c r="DO238" s="250">
        <f>Table1[[#This Row],[MatTot]]/3</f>
        <v>0</v>
      </c>
      <c r="DP238" s="250">
        <f>Table1[[#This Row],[MatTot]]/3</f>
        <v>0</v>
      </c>
      <c r="DQ238" s="252"/>
      <c r="DR238" s="250">
        <f>Table1[[#This Row],[OutTot]]/3</f>
        <v>0</v>
      </c>
      <c r="DS238" s="250">
        <f>Table1[[#This Row],[OutTot]]/3</f>
        <v>0</v>
      </c>
      <c r="DT238" s="250">
        <f>Table1[[#This Row],[OutTot]]/3</f>
        <v>0</v>
      </c>
      <c r="DU238" s="252"/>
      <c r="DV238" s="250"/>
      <c r="DW238" s="250"/>
      <c r="DX238" s="250"/>
      <c r="DY238" s="252">
        <f>SUM(Table1[[#This Row],[VAQ1]:[VAQ3]])</f>
        <v>0</v>
      </c>
      <c r="DZ238" s="250"/>
      <c r="EA238" s="250"/>
      <c r="EB238" s="250"/>
      <c r="EC238" s="270">
        <f>SUM(Table1[[#This Row],[OthGrantQ1]:[OthGrantQ3]])</f>
        <v>0</v>
      </c>
      <c r="ED238" s="263">
        <f>Table1[[#This Row],[SEOGTot]]+Table1[[#This Row],[PellTot]]+Table1[[#This Row],[AccessTot]]+Table1[[#This Row],[AchiTot]]+Table1[[#This Row],[UTTot]]+Table1[[#This Row],[WITTot]]+Table1[[#This Row],[SerTot]]+Table1[[#This Row],[TranTot]]+Table1[[#This Row],[MatTot]]+Table1[[#This Row],[OutTot]]+Table1[[#This Row],[VATot]]+Table1[[#This Row],[OthGrantTot]]</f>
        <v>8100</v>
      </c>
      <c r="EE238" s="282"/>
      <c r="EF238" s="237"/>
      <c r="EG238" s="237"/>
      <c r="EH238" s="232">
        <f>SUM(Table1[[#This Row],[CashQ1]]:Table1[[#This Row],[CashQ3]])</f>
        <v>0</v>
      </c>
      <c r="EI238" s="271">
        <f>ROUND((Table1[[#This Row],[SubTot]]/3)/1.01059,0)</f>
        <v>0</v>
      </c>
      <c r="EJ238" s="234">
        <f>ROUND((Table1[[#This Row],[SubTot]]/3)/1.01059,0)</f>
        <v>0</v>
      </c>
      <c r="EK238" s="234">
        <f>ROUNDUP((Table1[[#This Row],[SubTot]]/3)/1.01059,0)</f>
        <v>0</v>
      </c>
      <c r="EL238" s="235"/>
      <c r="EM238" s="240">
        <f>Table1[[#This Row],[SubTot]]*0.01059</f>
        <v>0</v>
      </c>
      <c r="EN238" s="234">
        <f>ROUND((Table1[[#This Row],[UnsubTot]]/3)/1.01062,0)</f>
        <v>660</v>
      </c>
      <c r="EO238" s="234">
        <f>ROUND((Table1[[#This Row],[UnsubTot]]/3)/1.01062,0)</f>
        <v>660</v>
      </c>
      <c r="EP238" s="234">
        <f>ROUNDDOWN((Table1[[#This Row],[UnsubTot]]/3)/1.01062,0)</f>
        <v>659</v>
      </c>
      <c r="EQ238" s="235">
        <f>IF(Table1[D/I]="I",6000,2000)</f>
        <v>2000</v>
      </c>
      <c r="ER238" s="240">
        <f>Table1[[#This Row],[UnsubTot]]*0.01062</f>
        <v>21.24</v>
      </c>
      <c r="ES238" s="234">
        <f>ROUND((Table1[[#This Row],[PLUSTot]]/3)/1.04248,0)</f>
        <v>0</v>
      </c>
      <c r="ET238" s="234">
        <f>ROUND((Table1[[#This Row],[PLUSTot]]/3)/1.04248,0)</f>
        <v>0</v>
      </c>
      <c r="EU238" s="234">
        <f>ROUND((Table1[[#This Row],[PLUSTot]]/3)/1.04248,0)</f>
        <v>0</v>
      </c>
      <c r="EV238" s="235"/>
      <c r="EW238" s="239">
        <f>Table1[[#This Row],[PLUSTot]]*0.04248</f>
        <v>0</v>
      </c>
      <c r="EX238" s="237"/>
      <c r="EY238" s="237"/>
      <c r="EZ238" s="237"/>
      <c r="FA238" s="232">
        <f>SUM(Table1[[#This Row],[PrivQ1]:[PrivQ3]])</f>
        <v>0</v>
      </c>
      <c r="FB238" s="237"/>
      <c r="FC238" s="237"/>
      <c r="FD238" s="237"/>
      <c r="FE238" s="232">
        <f>SUM(Table1[[#This Row],[TOQ1]:[TOQ3]])</f>
        <v>0</v>
      </c>
      <c r="FF238" s="237"/>
      <c r="FG238" s="237"/>
      <c r="FH238" s="237"/>
      <c r="FI238" s="232">
        <f>SUM(Table1[[#This Row],[OFundQ1]:[OFundQ3]])</f>
        <v>0</v>
      </c>
      <c r="FJ238" s="239">
        <f>(Table1[[#This Row],[SubTot]]-Table1[[#This Row],[SubFee]])+(Table1[[#This Row],[UnsubTot]]-Table1[[#This Row],[UnsubFee]])+(Table1[[#This Row],[PLUSTot]]-Table1[[#This Row],[PLUSFee]])+Table1[[#This Row],[PrivTot]]+Table1[[#This Row],[TOTot]]+Table1[[#This Row],[OFundTot]]</f>
        <v>1978.76</v>
      </c>
      <c r="FK238" s="125">
        <f>Table1[[#This Row],[CostTot]]-Table1[[#This Row],[GiftTot]]</f>
        <v>-8100</v>
      </c>
      <c r="FL238" s="130">
        <f>Table1[[#This Row],[NetNeed]]/(1-0.04248)</f>
        <v>-10525.90024229259</v>
      </c>
      <c r="FM238" s="131">
        <f>Table1[[#This Row],[NetCost]]-Table1[[#This Row],[CashTot]]-(Table1[[#This Row],[SubTot]]-Table1[[#This Row],[SubFee]])-(Table1[[#This Row],[UnsubTot]]-Table1[[#This Row],[UnsubFee]])-(Table1[[#This Row],[PLUSTot]]-Table1[[#This Row],[PLUSFee]])-Table1[[#This Row],[PrivTot]]-Table1[[#This Row],[TOTot]]-Table1[[#This Row],[OFundTot]]</f>
        <v>-10078.76</v>
      </c>
      <c r="FN238" s="156"/>
      <c r="FO238" s="113"/>
      <c r="FP238" s="113"/>
    </row>
    <row r="239" spans="1:172" ht="15" x14ac:dyDescent="0.25">
      <c r="A239" s="329">
        <v>199808</v>
      </c>
      <c r="B239" s="113" t="str">
        <f>VLOOKUP(Table1[[#This Row],[SyStudentId]],SSR!$A$2:$CC$4982,4,FALSE)</f>
        <v>Starks</v>
      </c>
      <c r="C239" s="113" t="str">
        <f>VLOOKUP(Table1[[#This Row],[SyStudentId]],SSR!$A$2:$CC$4982,5,FALSE)</f>
        <v>Garrett</v>
      </c>
      <c r="D239" s="113" t="str">
        <f>VLOOKUP(Table1[[#This Row],[SyStudentId]],SSR!$A$2:$CC$4982,6,FALSE)</f>
        <v>Starks, Garrett</v>
      </c>
      <c r="E239" s="113"/>
      <c r="F239" s="112"/>
      <c r="G239" s="114"/>
      <c r="H239" s="114"/>
      <c r="I239" s="114"/>
      <c r="J239" s="115"/>
      <c r="K239" s="116"/>
      <c r="L239" s="112" t="str">
        <f>IFERROR(VLOOKUP(Table1[[#This Row],[SyStudentId]],ISIR!$A$2:$X$999,11,FALSE),"")</f>
        <v>D</v>
      </c>
      <c r="M239" s="113" t="str">
        <f>VLOOKUP(Table1[[#This Row],[SyStudentId]],SSR!$A$2:$CC$4982,7,FALSE)</f>
        <v>gstarks7172@gmail.com</v>
      </c>
      <c r="N239" s="113" t="str">
        <f>VLOOKUP(Table1[[#This Row],[SyStudentId]],SSR!$A$2:$CC$4982,8,FALSE)</f>
        <v>2500 N FORT LANE TRLR 201, 92 PHILLIPS STREET</v>
      </c>
      <c r="O239" s="113" t="str">
        <f>VLOOKUP(Table1[[#This Row],[SyStudentId]],SSR!$A$2:$CC$4982,9,FALSE)</f>
        <v>LAYTON</v>
      </c>
      <c r="P239" s="113" t="str">
        <f>VLOOKUP(Table1[[#This Row],[SyStudentId]],SSR!$A$2:$CC$4982,10,FALSE)</f>
        <v>UT</v>
      </c>
      <c r="Q239" s="117" t="str">
        <f>VLOOKUP(Table1[[#This Row],[SyStudentId]],SSR!$A$2:$CC$4982,11,FALSE)</f>
        <v xml:space="preserve">84041     </v>
      </c>
      <c r="R239" s="118">
        <f>VLOOKUP(Table1[[#This Row],[SyStudentId]],SSR!$A$2:$CC$4982,15,FALSE)</f>
        <v>2.589</v>
      </c>
      <c r="S239" s="119">
        <f>VLOOKUP(Table1[[#This Row],[SyStudentId]],SSR!$A$2:$CC$4982,22,FALSE)</f>
        <v>44109</v>
      </c>
      <c r="T239" s="113" t="str">
        <f>VLOOKUP(Table1[[#This Row],[SyStudentId]],SSR!$A$2:$CC$4982,24,FALSE)</f>
        <v>MN</v>
      </c>
      <c r="U239" s="113" t="str">
        <f>IF(VLOOKUP(Table1[[#This Row],[SyStudentId]],SSR!$A$2:$CC$4982,26,FALSE)=0,"Not Selected",VLOOKUP(Table1[[#This Row],[SyStudentId]],SSR!$A$2:$CC$4982,26,FALSE))</f>
        <v>Male</v>
      </c>
      <c r="V239" s="113" t="str">
        <f>VLOOKUP(Table1[[#This Row],[SyStudentId]],SSR!$A$2:$CC$4982,27,FALSE)</f>
        <v xml:space="preserve">HS2020  </v>
      </c>
      <c r="W239" s="113" t="str">
        <f>VLOOKUP(LEFT(Table1[[#This Row],[LastName]],1),Alpha!$A$1:$B$26,2,FALSE)</f>
        <v>Maureen Ranks</v>
      </c>
      <c r="X239" s="149" t="str">
        <f>VLOOKUP(Table1[[#This Row],[FAA]],Alpha!$B$1:$D$26,2,FALSE)</f>
        <v>mranks@neumont.edu</v>
      </c>
      <c r="Y239" s="113">
        <f>VLOOKUP(Table1[[#This Row],[FAA]],Alpha!$B$1:$D$26,3,FALSE)</f>
        <v>8883022894</v>
      </c>
      <c r="Z239" s="113" t="str">
        <f>VLOOKUP(Table1[[#This Row],[SyStudentId]],SSR!$A$2:$CC$4982,30,FALSE)</f>
        <v>16-Accepted</v>
      </c>
      <c r="AA239" s="113" t="str">
        <f>IF(VLOOKUP(Table1[[#This Row],[SyStudentId]],SSR!$A$2:$CC$4982,36,FALSE)="Bachelor of Science","BS Computer Science","Check Program")</f>
        <v>BS Computer Science</v>
      </c>
      <c r="AB239" s="113" t="str">
        <f>VLOOKUP(Table1[[#This Row],[SyStudentId]],SSR!$A$2:$CC$4982,37,FALSE)</f>
        <v xml:space="preserve">28      </v>
      </c>
      <c r="AC239" s="113">
        <f>VLOOKUP(Table1[[#This Row],[SyStudentId]],SSR!$A$2:$CC$4982,42,FALSE)</f>
        <v>0</v>
      </c>
      <c r="AD239" s="113" t="str">
        <f>VLOOKUP(Table1[[#This Row],[SyStudentId]],SSR!$A$2:$CC$4982,46,FALSE)</f>
        <v>104</v>
      </c>
      <c r="AE239" s="113" t="str">
        <f>VLOOKUP(Table1[[#This Row],[SyStudentId]],SSR!$A$2:$CC$4982,65,FALSE)</f>
        <v>VI</v>
      </c>
      <c r="AF239"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6</v>
      </c>
      <c r="AG239" s="113" t="str">
        <f>VLOOKUP(Table1[[#This Row],[SyStudentId]],SSR!$A$2:$CC$4982,66,FALSE)</f>
        <v>December</v>
      </c>
      <c r="AH239" s="113" t="str">
        <f>IFERROR(VLOOKUP(Table1[[#This Row],[SyStudentId]],ISIR!$A$2:$X$999,7,FALSE),"")</f>
        <v>000000</v>
      </c>
      <c r="AI239" s="121">
        <f>IF(Table1[[#This Row],[EFCRaw]]="","",IF(Table1[[#This Row],[EFCRaw]]="No EFC","No EFC",_xlfn.NUMBERVALUE(Table1[[#This Row],[EFCRaw]])))</f>
        <v>0</v>
      </c>
      <c r="AJ239" s="119">
        <f>IFERROR(VLOOKUP(Table1[[#This Row],[SyStudentId]],ISIR!$A$2:$X$4999,19,FALSE),"")</f>
        <v>43804</v>
      </c>
      <c r="AK239" s="113" t="str">
        <f>IFERROR(VLOOKUP(Table1[[#This Row],[SyStudentId]],ISIR!$A$2:$X$4999,8,FALSE),"")</f>
        <v>N</v>
      </c>
      <c r="AL239" s="156" t="str">
        <f>IF(Table1[[#This Row],[VerReq]]="N","n/a","")</f>
        <v>n/a</v>
      </c>
      <c r="AM239" s="122"/>
      <c r="AN239" s="122"/>
      <c r="AO239" s="122"/>
      <c r="AP239" s="122"/>
      <c r="AQ239" s="122"/>
      <c r="AR239" s="122"/>
      <c r="AS239" s="122"/>
      <c r="AT239" s="122"/>
      <c r="AU239" s="122"/>
      <c r="AV239" s="122"/>
      <c r="AW239" s="122"/>
      <c r="AX239" s="122"/>
      <c r="AY239" s="122"/>
      <c r="AZ239" s="122"/>
      <c r="BA239" s="122"/>
      <c r="BB239" s="122"/>
      <c r="BC239" s="148"/>
      <c r="BD239" s="140" t="str">
        <f>IF(Table1[[#This Row],[VerReq]]="N","x","")</f>
        <v>x</v>
      </c>
      <c r="BE239" s="140" t="str">
        <f>IF(Table1[[#This Row],[VerReq]]="N","x","")</f>
        <v>x</v>
      </c>
      <c r="BF239" s="140" t="str">
        <f>IF(Table1[[#This Row],[VerReq]]="N","x","")</f>
        <v>x</v>
      </c>
      <c r="BG239" s="140" t="str">
        <f>IF(Table1[[#This Row],[VerReq]]="N","x","")</f>
        <v>x</v>
      </c>
      <c r="BH239" s="140" t="str">
        <f>IF(Table1[[#This Row],[VerReq]]="N","x","")</f>
        <v>x</v>
      </c>
      <c r="BI239" s="140" t="str">
        <f>IF(Table1[[#This Row],[VerReq]]="N","x","")</f>
        <v>x</v>
      </c>
      <c r="BJ239" s="123">
        <f>1-((COUNTBLANK(Table1[[#This Row],[ALESent]:[TaxTran]]))/(COUNT(Table1[[#This Row],[ALESent]:[TaxTran]])+COUNTBLANK(Table1[[#This Row],[ALESent]:[TaxTran]])))</f>
        <v>0</v>
      </c>
      <c r="BK239" s="150">
        <f>IF(VLOOKUP(Table1[[#This Row],[SyStudentId]],SSR!$A$2:$CC$4982,22,FALSE)=44109,44109,"Check Program")</f>
        <v>44109</v>
      </c>
      <c r="BL239" s="150">
        <f>IF(Table1[[#This Row],[AYStart]]=44109,44356,"Check Program")</f>
        <v>44356</v>
      </c>
      <c r="BM239" s="219"/>
      <c r="BN239" s="219"/>
      <c r="BO239" s="219"/>
      <c r="BP239" s="220">
        <f t="shared" si="12"/>
        <v>0</v>
      </c>
      <c r="BQ239" s="221"/>
      <c r="BR239" s="219"/>
      <c r="BS239" s="219"/>
      <c r="BT239" s="220">
        <f t="shared" si="13"/>
        <v>0</v>
      </c>
      <c r="BU239" s="219"/>
      <c r="BV239" s="219"/>
      <c r="BW239" s="219"/>
      <c r="BX239" s="220">
        <f t="shared" si="14"/>
        <v>0</v>
      </c>
      <c r="BY239" s="269"/>
      <c r="BZ239" s="269"/>
      <c r="CA239" s="269"/>
      <c r="CB239" s="220">
        <f>SUM(Table1[[#This Row],[LEQ1]:[LEQ3]])</f>
        <v>0</v>
      </c>
      <c r="CC239" s="269"/>
      <c r="CD239" s="269"/>
      <c r="CE239" s="269"/>
      <c r="CF239" s="220">
        <f>SUM(Table1[[#This Row],[OthCostQ1]:[OthCostQ3]])</f>
        <v>0</v>
      </c>
      <c r="CG239" s="220">
        <f>(Table1[[#This Row],[T&amp;FTot]]+Table1[[#This Row],[B&amp;STot]]+Table1[[#This Row],[HousTot]]+Table1[[#This Row],[LETot]]+Table1[[#This Row],[OthCostTot]])</f>
        <v>0</v>
      </c>
      <c r="CH239" s="250"/>
      <c r="CI239" s="250"/>
      <c r="CJ239" s="250"/>
      <c r="CK239" s="251">
        <f>SUM(Table1[[#This Row],[SEOGQ1]:[SEOGQ3]])</f>
        <v>0</v>
      </c>
      <c r="CL239" s="250">
        <f>IFERROR(ROUNDUP(Table1[[#This Row],[PellTot]]/3,0),0)</f>
        <v>2065</v>
      </c>
      <c r="CM239" s="250">
        <f>IFERROR(ROUND(Table1[[#This Row],[PellTot]]/3,0),0)</f>
        <v>2065</v>
      </c>
      <c r="CN239" s="250">
        <f>IFERROR(ROUNDDOWN(Table1[[#This Row],[PellTot]]/3,0),0)</f>
        <v>2065</v>
      </c>
      <c r="CO239" s="251">
        <f>IFERROR(LOOKUP(Table1[EFC],Pell_Table[#Data],Pell_Table[Pell Amt]),0)</f>
        <v>6195</v>
      </c>
      <c r="CP239" s="250">
        <f>Table1[[#This Row],[AccessTot]]/3</f>
        <v>500</v>
      </c>
      <c r="CQ239" s="250">
        <f>Table1[[#This Row],[AccessTot]]/3</f>
        <v>500</v>
      </c>
      <c r="CR239" s="250">
        <f>Table1[[#This Row],[AccessTot]]/3</f>
        <v>500</v>
      </c>
      <c r="CS239" s="251">
        <f>IF(Table1[[#This Row],[PellTot]]&gt;0,1500,0)</f>
        <v>1500</v>
      </c>
      <c r="CT239" s="250">
        <f>Table1[[#This Row],[AchiTot]]/3</f>
        <v>750</v>
      </c>
      <c r="CU239" s="250">
        <f>Table1[[#This Row],[AchiTot]]/3</f>
        <v>750</v>
      </c>
      <c r="CV239" s="250">
        <f>Table1[[#This Row],[AchiTot]]/3</f>
        <v>750</v>
      </c>
      <c r="CW239" s="252">
        <f>IF(Table1[[#This Row],[Rank]]="","",IF(Table1[[#This Row],[Rank]]=1,5100,IF(Table1[[#This Row],[Rank]]=2,4500,IF(Table1[[#This Row],[Rank]]=3,3900,IF(Table1[[#This Row],[Rank]]=4,3750,IF(Table1[[#This Row],[Rank]]=5,3000,IF(Table1[[#This Row],[Rank]]=6,2250,0)))))))</f>
        <v>2250</v>
      </c>
      <c r="CX239" s="250">
        <f>Table1[[#This Row],[UTTot]]/3</f>
        <v>3000</v>
      </c>
      <c r="CY239" s="250">
        <f>Table1[[#This Row],[UTTot]]/3</f>
        <v>3000</v>
      </c>
      <c r="CZ239" s="250">
        <f>Table1[[#This Row],[UTTot]]/3</f>
        <v>3000</v>
      </c>
      <c r="DA239" s="251">
        <f>IF(Table1[[#This Row],[State]]="UT",9000,0)</f>
        <v>9000</v>
      </c>
      <c r="DB239" s="250">
        <f>Table1[[#This Row],[WITTot]]/3</f>
        <v>0</v>
      </c>
      <c r="DC239" s="250">
        <f>Table1[[#This Row],[WITTot]]/3</f>
        <v>0</v>
      </c>
      <c r="DD239" s="250">
        <f>Table1[[#This Row],[WITTot]]/3</f>
        <v>0</v>
      </c>
      <c r="DE239" s="251">
        <f>IF(Table1[[#This Row],[Gender]]="Female",3000,0)</f>
        <v>0</v>
      </c>
      <c r="DF239" s="250">
        <f>Table1[[#This Row],[SerTot]]/3</f>
        <v>0</v>
      </c>
      <c r="DG239" s="250">
        <f>Table1[[#This Row],[SerTot]]/3</f>
        <v>0</v>
      </c>
      <c r="DH239" s="250">
        <f>Table1[[#This Row],[SerTot]]/3</f>
        <v>0</v>
      </c>
      <c r="DI239" s="252"/>
      <c r="DJ239" s="250"/>
      <c r="DK239" s="250"/>
      <c r="DL239" s="250"/>
      <c r="DM239" s="252"/>
      <c r="DN239" s="250">
        <f>Table1[[#This Row],[MatTot]]/3</f>
        <v>0</v>
      </c>
      <c r="DO239" s="250">
        <f>Table1[[#This Row],[MatTot]]/3</f>
        <v>0</v>
      </c>
      <c r="DP239" s="250">
        <f>Table1[[#This Row],[MatTot]]/3</f>
        <v>0</v>
      </c>
      <c r="DQ239" s="252"/>
      <c r="DR239" s="250">
        <f>Table1[[#This Row],[OutTot]]/3</f>
        <v>0</v>
      </c>
      <c r="DS239" s="250">
        <f>Table1[[#This Row],[OutTot]]/3</f>
        <v>0</v>
      </c>
      <c r="DT239" s="250">
        <f>Table1[[#This Row],[OutTot]]/3</f>
        <v>0</v>
      </c>
      <c r="DU239" s="252"/>
      <c r="DV239" s="250"/>
      <c r="DW239" s="250"/>
      <c r="DX239" s="250"/>
      <c r="DY239" s="252">
        <f>SUM(Table1[[#This Row],[VAQ1]:[VAQ3]])</f>
        <v>0</v>
      </c>
      <c r="DZ239" s="250"/>
      <c r="EA239" s="250"/>
      <c r="EB239" s="250"/>
      <c r="EC239" s="270">
        <f>SUM(Table1[[#This Row],[OthGrantQ1]:[OthGrantQ3]])</f>
        <v>0</v>
      </c>
      <c r="ED239" s="263">
        <f>Table1[[#This Row],[SEOGTot]]+Table1[[#This Row],[PellTot]]+Table1[[#This Row],[AccessTot]]+Table1[[#This Row],[AchiTot]]+Table1[[#This Row],[UTTot]]+Table1[[#This Row],[WITTot]]+Table1[[#This Row],[SerTot]]+Table1[[#This Row],[TranTot]]+Table1[[#This Row],[MatTot]]+Table1[[#This Row],[OutTot]]+Table1[[#This Row],[VATot]]+Table1[[#This Row],[OthGrantTot]]</f>
        <v>18945</v>
      </c>
      <c r="EE239" s="282"/>
      <c r="EF239" s="237"/>
      <c r="EG239" s="237"/>
      <c r="EH239" s="232">
        <f>SUM(Table1[[#This Row],[CashQ1]]:Table1[[#This Row],[CashQ3]])</f>
        <v>0</v>
      </c>
      <c r="EI239" s="271">
        <f>ROUND((Table1[[#This Row],[SubTot]]/3)/1.01059,0)</f>
        <v>0</v>
      </c>
      <c r="EJ239" s="234">
        <f>ROUND((Table1[[#This Row],[SubTot]]/3)/1.01059,0)</f>
        <v>0</v>
      </c>
      <c r="EK239" s="234">
        <f>ROUNDUP((Table1[[#This Row],[SubTot]]/3)/1.01059,0)</f>
        <v>0</v>
      </c>
      <c r="EL239" s="235"/>
      <c r="EM239" s="240">
        <f>Table1[[#This Row],[SubTot]]*0.01059</f>
        <v>0</v>
      </c>
      <c r="EN239" s="234">
        <f>ROUND((Table1[[#This Row],[UnsubTot]]/3)/1.01062,0)</f>
        <v>660</v>
      </c>
      <c r="EO239" s="234">
        <f>ROUND((Table1[[#This Row],[UnsubTot]]/3)/1.01062,0)</f>
        <v>660</v>
      </c>
      <c r="EP239" s="234">
        <f>ROUNDDOWN((Table1[[#This Row],[UnsubTot]]/3)/1.01062,0)</f>
        <v>659</v>
      </c>
      <c r="EQ239" s="235">
        <f>IF(Table1[D/I]="I",6000,2000)</f>
        <v>2000</v>
      </c>
      <c r="ER239" s="240">
        <f>Table1[[#This Row],[UnsubTot]]*0.01062</f>
        <v>21.24</v>
      </c>
      <c r="ES239" s="234">
        <f>ROUND((Table1[[#This Row],[PLUSTot]]/3)/1.04248,0)</f>
        <v>0</v>
      </c>
      <c r="ET239" s="234">
        <f>ROUND((Table1[[#This Row],[PLUSTot]]/3)/1.04248,0)</f>
        <v>0</v>
      </c>
      <c r="EU239" s="234">
        <f>ROUND((Table1[[#This Row],[PLUSTot]]/3)/1.04248,0)</f>
        <v>0</v>
      </c>
      <c r="EV239" s="235"/>
      <c r="EW239" s="239">
        <f>Table1[[#This Row],[PLUSTot]]*0.04248</f>
        <v>0</v>
      </c>
      <c r="EX239" s="237"/>
      <c r="EY239" s="237"/>
      <c r="EZ239" s="237"/>
      <c r="FA239" s="232">
        <f>SUM(Table1[[#This Row],[PrivQ1]:[PrivQ3]])</f>
        <v>0</v>
      </c>
      <c r="FB239" s="237"/>
      <c r="FC239" s="237"/>
      <c r="FD239" s="237"/>
      <c r="FE239" s="232">
        <f>SUM(Table1[[#This Row],[TOQ1]:[TOQ3]])</f>
        <v>0</v>
      </c>
      <c r="FF239" s="237"/>
      <c r="FG239" s="237"/>
      <c r="FH239" s="237"/>
      <c r="FI239" s="232">
        <f>SUM(Table1[[#This Row],[OFundQ1]:[OFundQ3]])</f>
        <v>0</v>
      </c>
      <c r="FJ239" s="239">
        <f>(Table1[[#This Row],[SubTot]]-Table1[[#This Row],[SubFee]])+(Table1[[#This Row],[UnsubTot]]-Table1[[#This Row],[UnsubFee]])+(Table1[[#This Row],[PLUSTot]]-Table1[[#This Row],[PLUSFee]])+Table1[[#This Row],[PrivTot]]+Table1[[#This Row],[TOTot]]+Table1[[#This Row],[OFundTot]]</f>
        <v>1978.76</v>
      </c>
      <c r="FK239" s="125">
        <f>Table1[[#This Row],[CostTot]]-Table1[[#This Row],[GiftTot]]</f>
        <v>-18945</v>
      </c>
      <c r="FL239" s="130">
        <f>Table1[[#This Row],[NetNeed]]/(1-0.04248)</f>
        <v>-21852.034422257497</v>
      </c>
      <c r="FM239" s="131">
        <f>Table1[[#This Row],[NetCost]]-Table1[[#This Row],[CashTot]]-(Table1[[#This Row],[SubTot]]-Table1[[#This Row],[SubFee]])-(Table1[[#This Row],[UnsubTot]]-Table1[[#This Row],[UnsubFee]])-(Table1[[#This Row],[PLUSTot]]-Table1[[#This Row],[PLUSFee]])-Table1[[#This Row],[PrivTot]]-Table1[[#This Row],[TOTot]]-Table1[[#This Row],[OFundTot]]</f>
        <v>-20923.759999999998</v>
      </c>
      <c r="FN239" s="156"/>
      <c r="FO239" s="113"/>
      <c r="FP239" s="113"/>
    </row>
    <row r="240" spans="1:172" ht="15" x14ac:dyDescent="0.25">
      <c r="A240" s="329">
        <v>199466</v>
      </c>
      <c r="B240" s="113" t="str">
        <f>VLOOKUP(Table1[[#This Row],[SyStudentId]],SSR!$A$2:$CC$4982,4,FALSE)</f>
        <v>Thiboutot</v>
      </c>
      <c r="C240" s="113" t="str">
        <f>VLOOKUP(Table1[[#This Row],[SyStudentId]],SSR!$A$2:$CC$4982,5,FALSE)</f>
        <v>Haven</v>
      </c>
      <c r="D240" s="113" t="str">
        <f>VLOOKUP(Table1[[#This Row],[SyStudentId]],SSR!$A$2:$CC$4982,6,FALSE)</f>
        <v>Thiboutot, Haven</v>
      </c>
      <c r="E240" s="113"/>
      <c r="F240" s="112"/>
      <c r="G240" s="114"/>
      <c r="H240" s="114"/>
      <c r="I240" s="114"/>
      <c r="J240" s="115"/>
      <c r="K240" s="116"/>
      <c r="L240" s="112" t="str">
        <f>IFERROR(VLOOKUP(Table1[[#This Row],[SyStudentId]],ISIR!$A$2:$X$999,11,FALSE),"")</f>
        <v/>
      </c>
      <c r="M240" s="113" t="str">
        <f>VLOOKUP(Table1[[#This Row],[SyStudentId]],SSR!$A$2:$CC$4982,7,FALSE)</f>
        <v>hthiboutot@harpswellcoastalacademy.org</v>
      </c>
      <c r="N240" s="113" t="str">
        <f>VLOOKUP(Table1[[#This Row],[SyStudentId]],SSR!$A$2:$CC$4982,8,FALSE)</f>
        <v>42B LEDGEMERE RD</v>
      </c>
      <c r="O240" s="113" t="str">
        <f>VLOOKUP(Table1[[#This Row],[SyStudentId]],SSR!$A$2:$CC$4982,9,FALSE)</f>
        <v>HARPSWELL</v>
      </c>
      <c r="P240" s="113" t="str">
        <f>VLOOKUP(Table1[[#This Row],[SyStudentId]],SSR!$A$2:$CC$4982,10,FALSE)</f>
        <v>ME</v>
      </c>
      <c r="Q240" s="117" t="str">
        <f>VLOOKUP(Table1[[#This Row],[SyStudentId]],SSR!$A$2:$CC$4982,11,FALSE)</f>
        <v xml:space="preserve">04066     </v>
      </c>
      <c r="R240" s="118">
        <f>VLOOKUP(Table1[[#This Row],[SyStudentId]],SSR!$A$2:$CC$4982,15,FALSE)</f>
        <v>3.5</v>
      </c>
      <c r="S240" s="119">
        <f>VLOOKUP(Table1[[#This Row],[SyStudentId]],SSR!$A$2:$CC$4982,22,FALSE)</f>
        <v>44109</v>
      </c>
      <c r="T240" s="113" t="str">
        <f>VLOOKUP(Table1[[#This Row],[SyStudentId]],SSR!$A$2:$CC$4982,24,FALSE)</f>
        <v>JT</v>
      </c>
      <c r="U240" s="113" t="str">
        <f>IF(VLOOKUP(Table1[[#This Row],[SyStudentId]],SSR!$A$2:$CC$4982,26,FALSE)=0,"Not Selected",VLOOKUP(Table1[[#This Row],[SyStudentId]],SSR!$A$2:$CC$4982,26,FALSE))</f>
        <v>Male</v>
      </c>
      <c r="V240" s="113" t="str">
        <f>VLOOKUP(Table1[[#This Row],[SyStudentId]],SSR!$A$2:$CC$4982,27,FALSE)</f>
        <v xml:space="preserve">HS2018  </v>
      </c>
      <c r="W240" s="113" t="str">
        <f>VLOOKUP(LEFT(Table1[[#This Row],[LastName]],1),Alpha!$A$1:$B$26,2,FALSE)</f>
        <v>Maureen Ranks</v>
      </c>
      <c r="X240" s="149" t="str">
        <f>VLOOKUP(Table1[[#This Row],[FAA]],Alpha!$B$1:$D$26,2,FALSE)</f>
        <v>mranks@neumont.edu</v>
      </c>
      <c r="Y240" s="113">
        <f>VLOOKUP(Table1[[#This Row],[FAA]],Alpha!$B$1:$D$26,3,FALSE)</f>
        <v>8883022894</v>
      </c>
      <c r="Z240" s="113" t="str">
        <f>VLOOKUP(Table1[[#This Row],[SyStudentId]],SSR!$A$2:$CC$4982,30,FALSE)</f>
        <v>16-Accepted</v>
      </c>
      <c r="AA240" s="113" t="str">
        <f>IF(VLOOKUP(Table1[[#This Row],[SyStudentId]],SSR!$A$2:$CC$4982,36,FALSE)="Bachelor of Science","BS Computer Science","Check Program")</f>
        <v>BS Computer Science</v>
      </c>
      <c r="AB240" s="113">
        <f>VLOOKUP(Table1[[#This Row],[SyStudentId]],SSR!$A$2:$CC$4982,37,FALSE)</f>
        <v>0</v>
      </c>
      <c r="AC240" s="113">
        <f>VLOOKUP(Table1[[#This Row],[SyStudentId]],SSR!$A$2:$CC$4982,42,FALSE)</f>
        <v>0</v>
      </c>
      <c r="AD240" s="113" t="str">
        <f>VLOOKUP(Table1[[#This Row],[SyStudentId]],SSR!$A$2:$CC$4982,46,FALSE)</f>
        <v>0</v>
      </c>
      <c r="AE240" s="113" t="str">
        <f>VLOOKUP(Table1[[#This Row],[SyStudentId]],SSR!$A$2:$CC$4982,65,FALSE)</f>
        <v>VIII</v>
      </c>
      <c r="AF240"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8</v>
      </c>
      <c r="AG240" s="113" t="str">
        <f>VLOOKUP(Table1[[#This Row],[SyStudentId]],SSR!$A$2:$CC$4982,66,FALSE)</f>
        <v>December</v>
      </c>
      <c r="AH240" s="113" t="str">
        <f>IFERROR(VLOOKUP(Table1[[#This Row],[SyStudentId]],ISIR!$A$2:$X$999,7,FALSE),"")</f>
        <v/>
      </c>
      <c r="AI240" s="121" t="str">
        <f>IF(Table1[[#This Row],[EFCRaw]]="","",IF(Table1[[#This Row],[EFCRaw]]="No EFC","No EFC",_xlfn.NUMBERVALUE(Table1[[#This Row],[EFCRaw]])))</f>
        <v/>
      </c>
      <c r="AJ240" s="119" t="str">
        <f>IFERROR(VLOOKUP(Table1[[#This Row],[SyStudentId]],ISIR!$A$2:$X$4999,19,FALSE),"")</f>
        <v/>
      </c>
      <c r="AK240" s="113" t="str">
        <f>IFERROR(VLOOKUP(Table1[[#This Row],[SyStudentId]],ISIR!$A$2:$X$4999,8,FALSE),"")</f>
        <v/>
      </c>
      <c r="AL240" s="156" t="str">
        <f>IF(Table1[[#This Row],[VerReq]]="N","n/a","")</f>
        <v/>
      </c>
      <c r="AM240" s="122"/>
      <c r="AN240" s="122"/>
      <c r="AO240" s="122"/>
      <c r="AP240" s="122"/>
      <c r="AQ240" s="122"/>
      <c r="AR240" s="122"/>
      <c r="AS240" s="122"/>
      <c r="AT240" s="122"/>
      <c r="AU240" s="122"/>
      <c r="AV240" s="122"/>
      <c r="AW240" s="122"/>
      <c r="AX240" s="122"/>
      <c r="AY240" s="122"/>
      <c r="AZ240" s="122"/>
      <c r="BA240" s="122"/>
      <c r="BB240" s="122"/>
      <c r="BC240" s="148"/>
      <c r="BD240" s="140" t="str">
        <f>IF(Table1[[#This Row],[VerReq]]="N","x","")</f>
        <v/>
      </c>
      <c r="BE240" s="140" t="str">
        <f>IF(Table1[[#This Row],[VerReq]]="N","x","")</f>
        <v/>
      </c>
      <c r="BF240" s="140" t="str">
        <f>IF(Table1[[#This Row],[VerReq]]="N","x","")</f>
        <v/>
      </c>
      <c r="BG240" s="140" t="str">
        <f>IF(Table1[[#This Row],[VerReq]]="N","x","")</f>
        <v/>
      </c>
      <c r="BH240" s="140" t="str">
        <f>IF(Table1[[#This Row],[VerReq]]="N","x","")</f>
        <v/>
      </c>
      <c r="BI240" s="140" t="str">
        <f>IF(Table1[[#This Row],[VerReq]]="N","x","")</f>
        <v/>
      </c>
      <c r="BJ240" s="123">
        <f>1-((COUNTBLANK(Table1[[#This Row],[ALESent]:[TaxTran]]))/(COUNT(Table1[[#This Row],[ALESent]:[TaxTran]])+COUNTBLANK(Table1[[#This Row],[ALESent]:[TaxTran]])))</f>
        <v>0</v>
      </c>
      <c r="BK240" s="150">
        <f>IF(VLOOKUP(Table1[[#This Row],[SyStudentId]],SSR!$A$2:$CC$4982,22,FALSE)=44109,44109,"Check Program")</f>
        <v>44109</v>
      </c>
      <c r="BL240" s="150">
        <f>IF(Table1[[#This Row],[AYStart]]=44109,44356,"Check Program")</f>
        <v>44356</v>
      </c>
      <c r="BM240" s="219"/>
      <c r="BN240" s="219"/>
      <c r="BO240" s="219"/>
      <c r="BP240" s="220">
        <f t="shared" si="12"/>
        <v>0</v>
      </c>
      <c r="BQ240" s="221"/>
      <c r="BR240" s="219"/>
      <c r="BS240" s="219"/>
      <c r="BT240" s="220">
        <f t="shared" si="13"/>
        <v>0</v>
      </c>
      <c r="BU240" s="219"/>
      <c r="BV240" s="219"/>
      <c r="BW240" s="219"/>
      <c r="BX240" s="220">
        <f t="shared" si="14"/>
        <v>0</v>
      </c>
      <c r="BY240" s="269"/>
      <c r="BZ240" s="269"/>
      <c r="CA240" s="269"/>
      <c r="CB240" s="220">
        <f>SUM(Table1[[#This Row],[LEQ1]:[LEQ3]])</f>
        <v>0</v>
      </c>
      <c r="CC240" s="269"/>
      <c r="CD240" s="269"/>
      <c r="CE240" s="269"/>
      <c r="CF240" s="220">
        <f>SUM(Table1[[#This Row],[OthCostQ1]:[OthCostQ3]])</f>
        <v>0</v>
      </c>
      <c r="CG240" s="220">
        <f>(Table1[[#This Row],[T&amp;FTot]]+Table1[[#This Row],[B&amp;STot]]+Table1[[#This Row],[HousTot]]+Table1[[#This Row],[LETot]]+Table1[[#This Row],[OthCostTot]])</f>
        <v>0</v>
      </c>
      <c r="CH240" s="250"/>
      <c r="CI240" s="250"/>
      <c r="CJ240" s="250"/>
      <c r="CK240" s="251">
        <f>SUM(Table1[[#This Row],[SEOGQ1]:[SEOGQ3]])</f>
        <v>0</v>
      </c>
      <c r="CL240" s="250">
        <f>IFERROR(ROUNDUP(Table1[[#This Row],[PellTot]]/3,0),0)</f>
        <v>0</v>
      </c>
      <c r="CM240" s="250">
        <f>IFERROR(ROUND(Table1[[#This Row],[PellTot]]/3,0),0)</f>
        <v>0</v>
      </c>
      <c r="CN240" s="250">
        <f>IFERROR(ROUNDDOWN(Table1[[#This Row],[PellTot]]/3,0),0)</f>
        <v>0</v>
      </c>
      <c r="CO240" s="251">
        <f>IFERROR(LOOKUP(Table1[EFC],Pell_Table[#Data],Pell_Table[Pell Amt]),0)</f>
        <v>0</v>
      </c>
      <c r="CP240" s="250">
        <f>Table1[[#This Row],[AccessTot]]/3</f>
        <v>0</v>
      </c>
      <c r="CQ240" s="250">
        <f>Table1[[#This Row],[AccessTot]]/3</f>
        <v>0</v>
      </c>
      <c r="CR240" s="250">
        <f>Table1[[#This Row],[AccessTot]]/3</f>
        <v>0</v>
      </c>
      <c r="CS240" s="251">
        <f>IF(Table1[[#This Row],[PellTot]]&gt;0,1500,0)</f>
        <v>0</v>
      </c>
      <c r="CT240" s="250">
        <f>Table1[[#This Row],[AchiTot]]/3</f>
        <v>0</v>
      </c>
      <c r="CU240" s="250">
        <f>Table1[[#This Row],[AchiTot]]/3</f>
        <v>0</v>
      </c>
      <c r="CV240" s="250">
        <f>Table1[[#This Row],[AchiTot]]/3</f>
        <v>0</v>
      </c>
      <c r="CW240" s="252">
        <f>IF(Table1[[#This Row],[Rank]]="","",IF(Table1[[#This Row],[Rank]]=1,5100,IF(Table1[[#This Row],[Rank]]=2,4500,IF(Table1[[#This Row],[Rank]]=3,3900,IF(Table1[[#This Row],[Rank]]=4,3750,IF(Table1[[#This Row],[Rank]]=5,3000,IF(Table1[[#This Row],[Rank]]=6,2250,0)))))))</f>
        <v>0</v>
      </c>
      <c r="CX240" s="250">
        <f>Table1[[#This Row],[UTTot]]/3</f>
        <v>0</v>
      </c>
      <c r="CY240" s="250">
        <f>Table1[[#This Row],[UTTot]]/3</f>
        <v>0</v>
      </c>
      <c r="CZ240" s="250">
        <f>Table1[[#This Row],[UTTot]]/3</f>
        <v>0</v>
      </c>
      <c r="DA240" s="251">
        <f>IF(Table1[[#This Row],[State]]="UT",9000,0)</f>
        <v>0</v>
      </c>
      <c r="DB240" s="250">
        <f>Table1[[#This Row],[WITTot]]/3</f>
        <v>0</v>
      </c>
      <c r="DC240" s="250">
        <f>Table1[[#This Row],[WITTot]]/3</f>
        <v>0</v>
      </c>
      <c r="DD240" s="250">
        <f>Table1[[#This Row],[WITTot]]/3</f>
        <v>0</v>
      </c>
      <c r="DE240" s="251">
        <f>IF(Table1[[#This Row],[Gender]]="Female",3000,0)</f>
        <v>0</v>
      </c>
      <c r="DF240" s="250">
        <f>Table1[[#This Row],[SerTot]]/3</f>
        <v>0</v>
      </c>
      <c r="DG240" s="250">
        <f>Table1[[#This Row],[SerTot]]/3</f>
        <v>0</v>
      </c>
      <c r="DH240" s="250">
        <f>Table1[[#This Row],[SerTot]]/3</f>
        <v>0</v>
      </c>
      <c r="DI240" s="252"/>
      <c r="DJ240" s="250"/>
      <c r="DK240" s="250"/>
      <c r="DL240" s="250"/>
      <c r="DM240" s="252"/>
      <c r="DN240" s="250">
        <f>Table1[[#This Row],[MatTot]]/3</f>
        <v>0</v>
      </c>
      <c r="DO240" s="250">
        <f>Table1[[#This Row],[MatTot]]/3</f>
        <v>0</v>
      </c>
      <c r="DP240" s="250">
        <f>Table1[[#This Row],[MatTot]]/3</f>
        <v>0</v>
      </c>
      <c r="DQ240" s="252"/>
      <c r="DR240" s="250">
        <f>Table1[[#This Row],[OutTot]]/3</f>
        <v>0</v>
      </c>
      <c r="DS240" s="250">
        <f>Table1[[#This Row],[OutTot]]/3</f>
        <v>0</v>
      </c>
      <c r="DT240" s="250">
        <f>Table1[[#This Row],[OutTot]]/3</f>
        <v>0</v>
      </c>
      <c r="DU240" s="252"/>
      <c r="DV240" s="250"/>
      <c r="DW240" s="250"/>
      <c r="DX240" s="250"/>
      <c r="DY240" s="252">
        <f>SUM(Table1[[#This Row],[VAQ1]:[VAQ3]])</f>
        <v>0</v>
      </c>
      <c r="DZ240" s="250"/>
      <c r="EA240" s="250"/>
      <c r="EB240" s="250"/>
      <c r="EC240" s="270">
        <f>SUM(Table1[[#This Row],[OthGrantQ1]:[OthGrantQ3]])</f>
        <v>0</v>
      </c>
      <c r="ED240" s="263">
        <f>Table1[[#This Row],[SEOGTot]]+Table1[[#This Row],[PellTot]]+Table1[[#This Row],[AccessTot]]+Table1[[#This Row],[AchiTot]]+Table1[[#This Row],[UTTot]]+Table1[[#This Row],[WITTot]]+Table1[[#This Row],[SerTot]]+Table1[[#This Row],[TranTot]]+Table1[[#This Row],[MatTot]]+Table1[[#This Row],[OutTot]]+Table1[[#This Row],[VATot]]+Table1[[#This Row],[OthGrantTot]]</f>
        <v>0</v>
      </c>
      <c r="EE240" s="282"/>
      <c r="EF240" s="237"/>
      <c r="EG240" s="237"/>
      <c r="EH240" s="232">
        <f>SUM(Table1[[#This Row],[CashQ1]]:Table1[[#This Row],[CashQ3]])</f>
        <v>0</v>
      </c>
      <c r="EI240" s="271">
        <f>ROUND((Table1[[#This Row],[SubTot]]/3)/1.01059,0)</f>
        <v>0</v>
      </c>
      <c r="EJ240" s="234">
        <f>ROUND((Table1[[#This Row],[SubTot]]/3)/1.01059,0)</f>
        <v>0</v>
      </c>
      <c r="EK240" s="234">
        <f>ROUNDUP((Table1[[#This Row],[SubTot]]/3)/1.01059,0)</f>
        <v>0</v>
      </c>
      <c r="EL240" s="235"/>
      <c r="EM240" s="240">
        <f>Table1[[#This Row],[SubTot]]*0.01059</f>
        <v>0</v>
      </c>
      <c r="EN240" s="234">
        <f>ROUND((Table1[[#This Row],[UnsubTot]]/3)/1.01062,0)</f>
        <v>660</v>
      </c>
      <c r="EO240" s="234">
        <f>ROUND((Table1[[#This Row],[UnsubTot]]/3)/1.01062,0)</f>
        <v>660</v>
      </c>
      <c r="EP240" s="234">
        <f>ROUNDDOWN((Table1[[#This Row],[UnsubTot]]/3)/1.01062,0)</f>
        <v>659</v>
      </c>
      <c r="EQ240" s="235">
        <f>IF(Table1[D/I]="I",6000,2000)</f>
        <v>2000</v>
      </c>
      <c r="ER240" s="240">
        <f>Table1[[#This Row],[UnsubTot]]*0.01062</f>
        <v>21.24</v>
      </c>
      <c r="ES240" s="234">
        <f>ROUND((Table1[[#This Row],[PLUSTot]]/3)/1.04248,0)</f>
        <v>0</v>
      </c>
      <c r="ET240" s="234">
        <f>ROUND((Table1[[#This Row],[PLUSTot]]/3)/1.04248,0)</f>
        <v>0</v>
      </c>
      <c r="EU240" s="234">
        <f>ROUND((Table1[[#This Row],[PLUSTot]]/3)/1.04248,0)</f>
        <v>0</v>
      </c>
      <c r="EV240" s="235"/>
      <c r="EW240" s="239">
        <f>Table1[[#This Row],[PLUSTot]]*0.04248</f>
        <v>0</v>
      </c>
      <c r="EX240" s="237"/>
      <c r="EY240" s="237"/>
      <c r="EZ240" s="237"/>
      <c r="FA240" s="232">
        <f>SUM(Table1[[#This Row],[PrivQ1]:[PrivQ3]])</f>
        <v>0</v>
      </c>
      <c r="FB240" s="237"/>
      <c r="FC240" s="237"/>
      <c r="FD240" s="237"/>
      <c r="FE240" s="232">
        <f>SUM(Table1[[#This Row],[TOQ1]:[TOQ3]])</f>
        <v>0</v>
      </c>
      <c r="FF240" s="237"/>
      <c r="FG240" s="237"/>
      <c r="FH240" s="237"/>
      <c r="FI240" s="232">
        <f>SUM(Table1[[#This Row],[OFundQ1]:[OFundQ3]])</f>
        <v>0</v>
      </c>
      <c r="FJ240" s="239">
        <f>(Table1[[#This Row],[SubTot]]-Table1[[#This Row],[SubFee]])+(Table1[[#This Row],[UnsubTot]]-Table1[[#This Row],[UnsubFee]])+(Table1[[#This Row],[PLUSTot]]-Table1[[#This Row],[PLUSFee]])+Table1[[#This Row],[PrivTot]]+Table1[[#This Row],[TOTot]]+Table1[[#This Row],[OFundTot]]</f>
        <v>1978.76</v>
      </c>
      <c r="FK240" s="125">
        <f>Table1[[#This Row],[CostTot]]-Table1[[#This Row],[GiftTot]]</f>
        <v>0</v>
      </c>
      <c r="FL240" s="130">
        <f>Table1[[#This Row],[NetNeed]]/(1-0.04248)</f>
        <v>-2066.5469128582172</v>
      </c>
      <c r="FM240" s="131">
        <f>Table1[[#This Row],[NetCost]]-Table1[[#This Row],[CashTot]]-(Table1[[#This Row],[SubTot]]-Table1[[#This Row],[SubFee]])-(Table1[[#This Row],[UnsubTot]]-Table1[[#This Row],[UnsubFee]])-(Table1[[#This Row],[PLUSTot]]-Table1[[#This Row],[PLUSFee]])-Table1[[#This Row],[PrivTot]]-Table1[[#This Row],[TOTot]]-Table1[[#This Row],[OFundTot]]</f>
        <v>-1978.76</v>
      </c>
      <c r="FN240" s="156"/>
      <c r="FO240" s="113"/>
      <c r="FP240" s="113"/>
    </row>
    <row r="241" spans="1:172" ht="15" x14ac:dyDescent="0.25">
      <c r="A241" s="329">
        <v>198268</v>
      </c>
      <c r="B241" s="113" t="str">
        <f>VLOOKUP(Table1[[#This Row],[SyStudentId]],SSR!$A$2:$CC$4982,4,FALSE)</f>
        <v>Torres</v>
      </c>
      <c r="C241" s="113" t="str">
        <f>VLOOKUP(Table1[[#This Row],[SyStudentId]],SSR!$A$2:$CC$4982,5,FALSE)</f>
        <v>Xavier</v>
      </c>
      <c r="D241" s="113" t="str">
        <f>VLOOKUP(Table1[[#This Row],[SyStudentId]],SSR!$A$2:$CC$4982,6,FALSE)</f>
        <v>Torres, Xavier</v>
      </c>
      <c r="E241" s="113"/>
      <c r="F241" s="112"/>
      <c r="G241" s="114"/>
      <c r="H241" s="114"/>
      <c r="I241" s="114"/>
      <c r="J241" s="115"/>
      <c r="K241" s="116"/>
      <c r="L241" s="112" t="str">
        <f>IFERROR(VLOOKUP(Table1[[#This Row],[SyStudentId]],ISIR!$A$2:$X$999,11,FALSE),"")</f>
        <v/>
      </c>
      <c r="M241" s="113" t="str">
        <f>VLOOKUP(Table1[[#This Row],[SyStudentId]],SSR!$A$2:$CC$4982,7,FALSE)</f>
        <v>xaviertorres1337@gmail.com</v>
      </c>
      <c r="N241" s="113" t="str">
        <f>VLOOKUP(Table1[[#This Row],[SyStudentId]],SSR!$A$2:$CC$4982,8,FALSE)</f>
        <v>6607 WALKER AVENUE</v>
      </c>
      <c r="O241" s="113" t="str">
        <f>VLOOKUP(Table1[[#This Row],[SyStudentId]],SSR!$A$2:$CC$4982,9,FALSE)</f>
        <v>BELL</v>
      </c>
      <c r="P241" s="113" t="str">
        <f>VLOOKUP(Table1[[#This Row],[SyStudentId]],SSR!$A$2:$CC$4982,10,FALSE)</f>
        <v>CA</v>
      </c>
      <c r="Q241" s="117" t="str">
        <f>VLOOKUP(Table1[[#This Row],[SyStudentId]],SSR!$A$2:$CC$4982,11,FALSE)</f>
        <v xml:space="preserve">90201     </v>
      </c>
      <c r="R241" s="118">
        <f>VLOOKUP(Table1[[#This Row],[SyStudentId]],SSR!$A$2:$CC$4982,15,FALSE)</f>
        <v>3.1669999999999998</v>
      </c>
      <c r="S241" s="119">
        <f>VLOOKUP(Table1[[#This Row],[SyStudentId]],SSR!$A$2:$CC$4982,22,FALSE)</f>
        <v>44109</v>
      </c>
      <c r="T241" s="113" t="str">
        <f>VLOOKUP(Table1[[#This Row],[SyStudentId]],SSR!$A$2:$CC$4982,24,FALSE)</f>
        <v>JT</v>
      </c>
      <c r="U241" s="113" t="str">
        <f>IF(VLOOKUP(Table1[[#This Row],[SyStudentId]],SSR!$A$2:$CC$4982,26,FALSE)=0,"Not Selected",VLOOKUP(Table1[[#This Row],[SyStudentId]],SSR!$A$2:$CC$4982,26,FALSE))</f>
        <v>Male</v>
      </c>
      <c r="V241" s="113" t="str">
        <f>VLOOKUP(Table1[[#This Row],[SyStudentId]],SSR!$A$2:$CC$4982,27,FALSE)</f>
        <v xml:space="preserve">HS2020  </v>
      </c>
      <c r="W241" s="113" t="str">
        <f>VLOOKUP(LEFT(Table1[[#This Row],[LastName]],1),Alpha!$A$1:$B$26,2,FALSE)</f>
        <v>Maureen Ranks</v>
      </c>
      <c r="X241" s="149" t="str">
        <f>VLOOKUP(Table1[[#This Row],[FAA]],Alpha!$B$1:$D$26,2,FALSE)</f>
        <v>mranks@neumont.edu</v>
      </c>
      <c r="Y241" s="113">
        <f>VLOOKUP(Table1[[#This Row],[FAA]],Alpha!$B$1:$D$26,3,FALSE)</f>
        <v>8883022894</v>
      </c>
      <c r="Z241" s="113" t="str">
        <f>VLOOKUP(Table1[[#This Row],[SyStudentId]],SSR!$A$2:$CC$4982,30,FALSE)</f>
        <v>16-Accepted</v>
      </c>
      <c r="AA241" s="113" t="str">
        <f>IF(VLOOKUP(Table1[[#This Row],[SyStudentId]],SSR!$A$2:$CC$4982,36,FALSE)="Bachelor of Science","BS Computer Science","Check Program")</f>
        <v>BS Computer Science</v>
      </c>
      <c r="AB241" s="113">
        <f>VLOOKUP(Table1[[#This Row],[SyStudentId]],SSR!$A$2:$CC$4982,37,FALSE)</f>
        <v>0</v>
      </c>
      <c r="AC241" s="113" t="str">
        <f>VLOOKUP(Table1[[#This Row],[SyStudentId]],SSR!$A$2:$CC$4982,42,FALSE)</f>
        <v xml:space="preserve">930     </v>
      </c>
      <c r="AD241" s="113" t="str">
        <f>VLOOKUP(Table1[[#This Row],[SyStudentId]],SSR!$A$2:$CC$4982,46,FALSE)</f>
        <v>97</v>
      </c>
      <c r="AE241" s="113" t="str">
        <f>VLOOKUP(Table1[[#This Row],[SyStudentId]],SSR!$A$2:$CC$4982,65,FALSE)</f>
        <v>IX</v>
      </c>
      <c r="AF241"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9</v>
      </c>
      <c r="AG241" s="113" t="str">
        <f>VLOOKUP(Table1[[#This Row],[SyStudentId]],SSR!$A$2:$CC$4982,66,FALSE)</f>
        <v>December</v>
      </c>
      <c r="AH241" s="113" t="str">
        <f>IFERROR(VLOOKUP(Table1[[#This Row],[SyStudentId]],ISIR!$A$2:$X$999,7,FALSE),"")</f>
        <v/>
      </c>
      <c r="AI241" s="121" t="str">
        <f>IF(Table1[[#This Row],[EFCRaw]]="","",IF(Table1[[#This Row],[EFCRaw]]="No EFC","No EFC",_xlfn.NUMBERVALUE(Table1[[#This Row],[EFCRaw]])))</f>
        <v/>
      </c>
      <c r="AJ241" s="119" t="str">
        <f>IFERROR(VLOOKUP(Table1[[#This Row],[SyStudentId]],ISIR!$A$2:$X$4999,19,FALSE),"")</f>
        <v/>
      </c>
      <c r="AK241" s="113" t="str">
        <f>IFERROR(VLOOKUP(Table1[[#This Row],[SyStudentId]],ISIR!$A$2:$X$4999,8,FALSE),"")</f>
        <v/>
      </c>
      <c r="AL241" s="156" t="str">
        <f>IF(Table1[[#This Row],[VerReq]]="N","n/a","")</f>
        <v/>
      </c>
      <c r="AM241" s="122"/>
      <c r="AN241" s="122"/>
      <c r="AO241" s="122"/>
      <c r="AP241" s="122"/>
      <c r="AQ241" s="122"/>
      <c r="AR241" s="122"/>
      <c r="AS241" s="122"/>
      <c r="AT241" s="122"/>
      <c r="AU241" s="122"/>
      <c r="AV241" s="122"/>
      <c r="AW241" s="122"/>
      <c r="AX241" s="122"/>
      <c r="AY241" s="122"/>
      <c r="AZ241" s="122"/>
      <c r="BA241" s="122"/>
      <c r="BB241" s="122"/>
      <c r="BC241" s="148"/>
      <c r="BD241" s="140" t="str">
        <f>IF(Table1[[#This Row],[VerReq]]="N","x","")</f>
        <v/>
      </c>
      <c r="BE241" s="140" t="str">
        <f>IF(Table1[[#This Row],[VerReq]]="N","x","")</f>
        <v/>
      </c>
      <c r="BF241" s="140" t="str">
        <f>IF(Table1[[#This Row],[VerReq]]="N","x","")</f>
        <v/>
      </c>
      <c r="BG241" s="140" t="str">
        <f>IF(Table1[[#This Row],[VerReq]]="N","x","")</f>
        <v/>
      </c>
      <c r="BH241" s="140" t="str">
        <f>IF(Table1[[#This Row],[VerReq]]="N","x","")</f>
        <v/>
      </c>
      <c r="BI241" s="140" t="str">
        <f>IF(Table1[[#This Row],[VerReq]]="N","x","")</f>
        <v/>
      </c>
      <c r="BJ241" s="123">
        <f>1-((COUNTBLANK(Table1[[#This Row],[ALESent]:[TaxTran]]))/(COUNT(Table1[[#This Row],[ALESent]:[TaxTran]])+COUNTBLANK(Table1[[#This Row],[ALESent]:[TaxTran]])))</f>
        <v>0</v>
      </c>
      <c r="BK241" s="150">
        <f>IF(VLOOKUP(Table1[[#This Row],[SyStudentId]],SSR!$A$2:$CC$4982,22,FALSE)=44109,44109,"Check Program")</f>
        <v>44109</v>
      </c>
      <c r="BL241" s="150">
        <f>IF(Table1[[#This Row],[AYStart]]=44109,44356,"Check Program")</f>
        <v>44356</v>
      </c>
      <c r="BM241" s="219"/>
      <c r="BN241" s="219"/>
      <c r="BO241" s="219"/>
      <c r="BP241" s="220">
        <f t="shared" si="12"/>
        <v>0</v>
      </c>
      <c r="BQ241" s="221"/>
      <c r="BR241" s="219"/>
      <c r="BS241" s="219"/>
      <c r="BT241" s="220">
        <f t="shared" si="13"/>
        <v>0</v>
      </c>
      <c r="BU241" s="219"/>
      <c r="BV241" s="219"/>
      <c r="BW241" s="219"/>
      <c r="BX241" s="220">
        <f t="shared" si="14"/>
        <v>0</v>
      </c>
      <c r="BY241" s="269"/>
      <c r="BZ241" s="269"/>
      <c r="CA241" s="269"/>
      <c r="CB241" s="220">
        <f>SUM(Table1[[#This Row],[LEQ1]:[LEQ3]])</f>
        <v>0</v>
      </c>
      <c r="CC241" s="269"/>
      <c r="CD241" s="269"/>
      <c r="CE241" s="269"/>
      <c r="CF241" s="220">
        <f>SUM(Table1[[#This Row],[OthCostQ1]:[OthCostQ3]])</f>
        <v>0</v>
      </c>
      <c r="CG241" s="220">
        <f>(Table1[[#This Row],[T&amp;FTot]]+Table1[[#This Row],[B&amp;STot]]+Table1[[#This Row],[HousTot]]+Table1[[#This Row],[LETot]]+Table1[[#This Row],[OthCostTot]])</f>
        <v>0</v>
      </c>
      <c r="CH241" s="250"/>
      <c r="CI241" s="250"/>
      <c r="CJ241" s="250"/>
      <c r="CK241" s="251">
        <f>SUM(Table1[[#This Row],[SEOGQ1]:[SEOGQ3]])</f>
        <v>0</v>
      </c>
      <c r="CL241" s="250">
        <f>IFERROR(ROUNDUP(Table1[[#This Row],[PellTot]]/3,0),0)</f>
        <v>0</v>
      </c>
      <c r="CM241" s="250">
        <f>IFERROR(ROUND(Table1[[#This Row],[PellTot]]/3,0),0)</f>
        <v>0</v>
      </c>
      <c r="CN241" s="250">
        <f>IFERROR(ROUNDDOWN(Table1[[#This Row],[PellTot]]/3,0),0)</f>
        <v>0</v>
      </c>
      <c r="CO241" s="251">
        <f>IFERROR(LOOKUP(Table1[EFC],Pell_Table[#Data],Pell_Table[Pell Amt]),0)</f>
        <v>0</v>
      </c>
      <c r="CP241" s="250">
        <f>Table1[[#This Row],[AccessTot]]/3</f>
        <v>0</v>
      </c>
      <c r="CQ241" s="250">
        <f>Table1[[#This Row],[AccessTot]]/3</f>
        <v>0</v>
      </c>
      <c r="CR241" s="250">
        <f>Table1[[#This Row],[AccessTot]]/3</f>
        <v>0</v>
      </c>
      <c r="CS241" s="251">
        <f>IF(Table1[[#This Row],[PellTot]]&gt;0,1500,0)</f>
        <v>0</v>
      </c>
      <c r="CT241" s="250">
        <f>Table1[[#This Row],[AchiTot]]/3</f>
        <v>0</v>
      </c>
      <c r="CU241" s="250">
        <f>Table1[[#This Row],[AchiTot]]/3</f>
        <v>0</v>
      </c>
      <c r="CV241" s="250">
        <f>Table1[[#This Row],[AchiTot]]/3</f>
        <v>0</v>
      </c>
      <c r="CW241" s="252">
        <f>IF(Table1[[#This Row],[Rank]]="","",IF(Table1[[#This Row],[Rank]]=1,5100,IF(Table1[[#This Row],[Rank]]=2,4500,IF(Table1[[#This Row],[Rank]]=3,3900,IF(Table1[[#This Row],[Rank]]=4,3750,IF(Table1[[#This Row],[Rank]]=5,3000,IF(Table1[[#This Row],[Rank]]=6,2250,0)))))))</f>
        <v>0</v>
      </c>
      <c r="CX241" s="250">
        <f>Table1[[#This Row],[UTTot]]/3</f>
        <v>0</v>
      </c>
      <c r="CY241" s="250">
        <f>Table1[[#This Row],[UTTot]]/3</f>
        <v>0</v>
      </c>
      <c r="CZ241" s="250">
        <f>Table1[[#This Row],[UTTot]]/3</f>
        <v>0</v>
      </c>
      <c r="DA241" s="251">
        <f>IF(Table1[[#This Row],[State]]="UT",9000,0)</f>
        <v>0</v>
      </c>
      <c r="DB241" s="250">
        <f>Table1[[#This Row],[WITTot]]/3</f>
        <v>0</v>
      </c>
      <c r="DC241" s="250">
        <f>Table1[[#This Row],[WITTot]]/3</f>
        <v>0</v>
      </c>
      <c r="DD241" s="250">
        <f>Table1[[#This Row],[WITTot]]/3</f>
        <v>0</v>
      </c>
      <c r="DE241" s="251">
        <f>IF(Table1[[#This Row],[Gender]]="Female",3000,0)</f>
        <v>0</v>
      </c>
      <c r="DF241" s="250">
        <f>Table1[[#This Row],[SerTot]]/3</f>
        <v>0</v>
      </c>
      <c r="DG241" s="250">
        <f>Table1[[#This Row],[SerTot]]/3</f>
        <v>0</v>
      </c>
      <c r="DH241" s="250">
        <f>Table1[[#This Row],[SerTot]]/3</f>
        <v>0</v>
      </c>
      <c r="DI241" s="252"/>
      <c r="DJ241" s="250"/>
      <c r="DK241" s="250"/>
      <c r="DL241" s="250"/>
      <c r="DM241" s="252"/>
      <c r="DN241" s="250">
        <f>Table1[[#This Row],[MatTot]]/3</f>
        <v>0</v>
      </c>
      <c r="DO241" s="250">
        <f>Table1[[#This Row],[MatTot]]/3</f>
        <v>0</v>
      </c>
      <c r="DP241" s="250">
        <f>Table1[[#This Row],[MatTot]]/3</f>
        <v>0</v>
      </c>
      <c r="DQ241" s="252"/>
      <c r="DR241" s="250">
        <f>Table1[[#This Row],[OutTot]]/3</f>
        <v>0</v>
      </c>
      <c r="DS241" s="250">
        <f>Table1[[#This Row],[OutTot]]/3</f>
        <v>0</v>
      </c>
      <c r="DT241" s="250">
        <f>Table1[[#This Row],[OutTot]]/3</f>
        <v>0</v>
      </c>
      <c r="DU241" s="252"/>
      <c r="DV241" s="250"/>
      <c r="DW241" s="250"/>
      <c r="DX241" s="250"/>
      <c r="DY241" s="252">
        <f>SUM(Table1[[#This Row],[VAQ1]:[VAQ3]])</f>
        <v>0</v>
      </c>
      <c r="DZ241" s="250"/>
      <c r="EA241" s="250"/>
      <c r="EB241" s="250"/>
      <c r="EC241" s="270">
        <f>SUM(Table1[[#This Row],[OthGrantQ1]:[OthGrantQ3]])</f>
        <v>0</v>
      </c>
      <c r="ED241" s="263">
        <f>Table1[[#This Row],[SEOGTot]]+Table1[[#This Row],[PellTot]]+Table1[[#This Row],[AccessTot]]+Table1[[#This Row],[AchiTot]]+Table1[[#This Row],[UTTot]]+Table1[[#This Row],[WITTot]]+Table1[[#This Row],[SerTot]]+Table1[[#This Row],[TranTot]]+Table1[[#This Row],[MatTot]]+Table1[[#This Row],[OutTot]]+Table1[[#This Row],[VATot]]+Table1[[#This Row],[OthGrantTot]]</f>
        <v>0</v>
      </c>
      <c r="EE241" s="282"/>
      <c r="EF241" s="237"/>
      <c r="EG241" s="237"/>
      <c r="EH241" s="232">
        <f>SUM(Table1[[#This Row],[CashQ1]]:Table1[[#This Row],[CashQ3]])</f>
        <v>0</v>
      </c>
      <c r="EI241" s="271">
        <f>ROUND((Table1[[#This Row],[SubTot]]/3)/1.01059,0)</f>
        <v>0</v>
      </c>
      <c r="EJ241" s="234">
        <f>ROUND((Table1[[#This Row],[SubTot]]/3)/1.01059,0)</f>
        <v>0</v>
      </c>
      <c r="EK241" s="234">
        <f>ROUNDUP((Table1[[#This Row],[SubTot]]/3)/1.01059,0)</f>
        <v>0</v>
      </c>
      <c r="EL241" s="235"/>
      <c r="EM241" s="240">
        <f>Table1[[#This Row],[SubTot]]*0.01059</f>
        <v>0</v>
      </c>
      <c r="EN241" s="234">
        <f>ROUND((Table1[[#This Row],[UnsubTot]]/3)/1.01062,0)</f>
        <v>660</v>
      </c>
      <c r="EO241" s="234">
        <f>ROUND((Table1[[#This Row],[UnsubTot]]/3)/1.01062,0)</f>
        <v>660</v>
      </c>
      <c r="EP241" s="234">
        <f>ROUNDDOWN((Table1[[#This Row],[UnsubTot]]/3)/1.01062,0)</f>
        <v>659</v>
      </c>
      <c r="EQ241" s="235">
        <f>IF(Table1[D/I]="I",6000,2000)</f>
        <v>2000</v>
      </c>
      <c r="ER241" s="240">
        <f>Table1[[#This Row],[UnsubTot]]*0.01062</f>
        <v>21.24</v>
      </c>
      <c r="ES241" s="234">
        <f>ROUND((Table1[[#This Row],[PLUSTot]]/3)/1.04248,0)</f>
        <v>0</v>
      </c>
      <c r="ET241" s="234">
        <f>ROUND((Table1[[#This Row],[PLUSTot]]/3)/1.04248,0)</f>
        <v>0</v>
      </c>
      <c r="EU241" s="234">
        <f>ROUND((Table1[[#This Row],[PLUSTot]]/3)/1.04248,0)</f>
        <v>0</v>
      </c>
      <c r="EV241" s="235"/>
      <c r="EW241" s="239">
        <f>Table1[[#This Row],[PLUSTot]]*0.04248</f>
        <v>0</v>
      </c>
      <c r="EX241" s="237"/>
      <c r="EY241" s="237"/>
      <c r="EZ241" s="237"/>
      <c r="FA241" s="232">
        <f>SUM(Table1[[#This Row],[PrivQ1]:[PrivQ3]])</f>
        <v>0</v>
      </c>
      <c r="FB241" s="237"/>
      <c r="FC241" s="237"/>
      <c r="FD241" s="237"/>
      <c r="FE241" s="232">
        <f>SUM(Table1[[#This Row],[TOQ1]:[TOQ3]])</f>
        <v>0</v>
      </c>
      <c r="FF241" s="237"/>
      <c r="FG241" s="237"/>
      <c r="FH241" s="237"/>
      <c r="FI241" s="232">
        <f>SUM(Table1[[#This Row],[OFundQ1]:[OFundQ3]])</f>
        <v>0</v>
      </c>
      <c r="FJ241" s="239">
        <f>(Table1[[#This Row],[SubTot]]-Table1[[#This Row],[SubFee]])+(Table1[[#This Row],[UnsubTot]]-Table1[[#This Row],[UnsubFee]])+(Table1[[#This Row],[PLUSTot]]-Table1[[#This Row],[PLUSFee]])+Table1[[#This Row],[PrivTot]]+Table1[[#This Row],[TOTot]]+Table1[[#This Row],[OFundTot]]</f>
        <v>1978.76</v>
      </c>
      <c r="FK241" s="125">
        <f>Table1[[#This Row],[CostTot]]-Table1[[#This Row],[GiftTot]]</f>
        <v>0</v>
      </c>
      <c r="FL241" s="130">
        <f>Table1[[#This Row],[NetNeed]]/(1-0.04248)</f>
        <v>-2066.5469128582172</v>
      </c>
      <c r="FM241" s="131">
        <f>Table1[[#This Row],[NetCost]]-Table1[[#This Row],[CashTot]]-(Table1[[#This Row],[SubTot]]-Table1[[#This Row],[SubFee]])-(Table1[[#This Row],[UnsubTot]]-Table1[[#This Row],[UnsubFee]])-(Table1[[#This Row],[PLUSTot]]-Table1[[#This Row],[PLUSFee]])-Table1[[#This Row],[PrivTot]]-Table1[[#This Row],[TOTot]]-Table1[[#This Row],[OFundTot]]</f>
        <v>-1978.76</v>
      </c>
      <c r="FN241" s="156"/>
      <c r="FO241" s="113"/>
      <c r="FP241" s="113"/>
    </row>
    <row r="242" spans="1:172" ht="15" x14ac:dyDescent="0.25">
      <c r="A242" s="329">
        <v>198978</v>
      </c>
      <c r="B242" s="113" t="str">
        <f>VLOOKUP(Table1[[#This Row],[SyStudentId]],SSR!$A$2:$CC$4982,4,FALSE)</f>
        <v>Walker</v>
      </c>
      <c r="C242" s="113" t="str">
        <f>VLOOKUP(Table1[[#This Row],[SyStudentId]],SSR!$A$2:$CC$4982,5,FALSE)</f>
        <v>Yemaria</v>
      </c>
      <c r="D242" s="113" t="str">
        <f>VLOOKUP(Table1[[#This Row],[SyStudentId]],SSR!$A$2:$CC$4982,6,FALSE)</f>
        <v>Walker, Yemaria</v>
      </c>
      <c r="E242" s="113"/>
      <c r="F242" s="112"/>
      <c r="G242" s="114"/>
      <c r="H242" s="114"/>
      <c r="I242" s="114"/>
      <c r="J242" s="115"/>
      <c r="K242" s="116"/>
      <c r="L242" s="112" t="str">
        <f>IFERROR(VLOOKUP(Table1[[#This Row],[SyStudentId]],ISIR!$A$2:$X$999,11,FALSE),"")</f>
        <v/>
      </c>
      <c r="M242" s="113" t="str">
        <f>VLOOKUP(Table1[[#This Row],[SyStudentId]],SSR!$A$2:$CC$4982,7,FALSE)</f>
        <v>yem.walk@gmail.com</v>
      </c>
      <c r="N242" s="113" t="str">
        <f>VLOOKUP(Table1[[#This Row],[SyStudentId]],SSR!$A$2:$CC$4982,8,FALSE)</f>
        <v>1623 GARDENS PLACE</v>
      </c>
      <c r="O242" s="113" t="str">
        <f>VLOOKUP(Table1[[#This Row],[SyStudentId]],SSR!$A$2:$CC$4982,9,FALSE)</f>
        <v>VESATVIA</v>
      </c>
      <c r="P242" s="113" t="str">
        <f>VLOOKUP(Table1[[#This Row],[SyStudentId]],SSR!$A$2:$CC$4982,10,FALSE)</f>
        <v>AL</v>
      </c>
      <c r="Q242" s="117" t="str">
        <f>VLOOKUP(Table1[[#This Row],[SyStudentId]],SSR!$A$2:$CC$4982,11,FALSE)</f>
        <v xml:space="preserve">35216     </v>
      </c>
      <c r="R242" s="118">
        <f>VLOOKUP(Table1[[#This Row],[SyStudentId]],SSR!$A$2:$CC$4982,15,FALSE)</f>
        <v>3.2949999999999999</v>
      </c>
      <c r="S242" s="119">
        <f>VLOOKUP(Table1[[#This Row],[SyStudentId]],SSR!$A$2:$CC$4982,22,FALSE)</f>
        <v>44109</v>
      </c>
      <c r="T242" s="113" t="str">
        <f>VLOOKUP(Table1[[#This Row],[SyStudentId]],SSR!$A$2:$CC$4982,24,FALSE)</f>
        <v>JT</v>
      </c>
      <c r="U242" s="113" t="str">
        <f>IF(VLOOKUP(Table1[[#This Row],[SyStudentId]],SSR!$A$2:$CC$4982,26,FALSE)=0,"Not Selected",VLOOKUP(Table1[[#This Row],[SyStudentId]],SSR!$A$2:$CC$4982,26,FALSE))</f>
        <v>Female</v>
      </c>
      <c r="V242" s="113" t="str">
        <f>VLOOKUP(Table1[[#This Row],[SyStudentId]],SSR!$A$2:$CC$4982,27,FALSE)</f>
        <v xml:space="preserve">HS2020  </v>
      </c>
      <c r="W242" s="113" t="str">
        <f>VLOOKUP(LEFT(Table1[[#This Row],[LastName]],1),Alpha!$A$1:$B$26,2,FALSE)</f>
        <v>Maureen Ranks</v>
      </c>
      <c r="X242" s="149" t="str">
        <f>VLOOKUP(Table1[[#This Row],[FAA]],Alpha!$B$1:$D$26,2,FALSE)</f>
        <v>mranks@neumont.edu</v>
      </c>
      <c r="Y242" s="113">
        <f>VLOOKUP(Table1[[#This Row],[FAA]],Alpha!$B$1:$D$26,3,FALSE)</f>
        <v>8883022894</v>
      </c>
      <c r="Z242" s="113" t="str">
        <f>VLOOKUP(Table1[[#This Row],[SyStudentId]],SSR!$A$2:$CC$4982,30,FALSE)</f>
        <v>16-Accepted</v>
      </c>
      <c r="AA242" s="113" t="str">
        <f>IF(VLOOKUP(Table1[[#This Row],[SyStudentId]],SSR!$A$2:$CC$4982,36,FALSE)="Bachelor of Science","BS Computer Science","Check Program")</f>
        <v>BS Computer Science</v>
      </c>
      <c r="AB242" s="113" t="str">
        <f>VLOOKUP(Table1[[#This Row],[SyStudentId]],SSR!$A$2:$CC$4982,37,FALSE)</f>
        <v xml:space="preserve">25      </v>
      </c>
      <c r="AC242" s="113">
        <f>VLOOKUP(Table1[[#This Row],[SyStudentId]],SSR!$A$2:$CC$4982,42,FALSE)</f>
        <v>0</v>
      </c>
      <c r="AD242" s="113" t="str">
        <f>VLOOKUP(Table1[[#This Row],[SyStudentId]],SSR!$A$2:$CC$4982,46,FALSE)</f>
        <v>110</v>
      </c>
      <c r="AE242" s="113" t="str">
        <f>VLOOKUP(Table1[[#This Row],[SyStudentId]],SSR!$A$2:$CC$4982,65,FALSE)</f>
        <v>IV</v>
      </c>
      <c r="AF242"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4</v>
      </c>
      <c r="AG242" s="113" t="str">
        <f>VLOOKUP(Table1[[#This Row],[SyStudentId]],SSR!$A$2:$CC$4982,66,FALSE)</f>
        <v>December</v>
      </c>
      <c r="AH242" s="113" t="str">
        <f>IFERROR(VLOOKUP(Table1[[#This Row],[SyStudentId]],ISIR!$A$2:$X$999,7,FALSE),"")</f>
        <v/>
      </c>
      <c r="AI242" s="121" t="str">
        <f>IF(Table1[[#This Row],[EFCRaw]]="","",IF(Table1[[#This Row],[EFCRaw]]="No EFC","No EFC",_xlfn.NUMBERVALUE(Table1[[#This Row],[EFCRaw]])))</f>
        <v/>
      </c>
      <c r="AJ242" s="119" t="str">
        <f>IFERROR(VLOOKUP(Table1[[#This Row],[SyStudentId]],ISIR!$A$2:$X$4999,19,FALSE),"")</f>
        <v/>
      </c>
      <c r="AK242" s="113" t="str">
        <f>IFERROR(VLOOKUP(Table1[[#This Row],[SyStudentId]],ISIR!$A$2:$X$4999,8,FALSE),"")</f>
        <v/>
      </c>
      <c r="AL242" s="156" t="str">
        <f>IF(Table1[[#This Row],[VerReq]]="N","n/a","")</f>
        <v/>
      </c>
      <c r="AM242" s="122"/>
      <c r="AN242" s="122"/>
      <c r="AO242" s="122"/>
      <c r="AP242" s="122"/>
      <c r="AQ242" s="122"/>
      <c r="AR242" s="122"/>
      <c r="AS242" s="122"/>
      <c r="AT242" s="122"/>
      <c r="AU242" s="122"/>
      <c r="AV242" s="122"/>
      <c r="AW242" s="122"/>
      <c r="AX242" s="122"/>
      <c r="AY242" s="122"/>
      <c r="AZ242" s="122"/>
      <c r="BA242" s="122"/>
      <c r="BB242" s="122"/>
      <c r="BC242" s="148"/>
      <c r="BD242" s="140" t="str">
        <f>IF(Table1[[#This Row],[VerReq]]="N","x","")</f>
        <v/>
      </c>
      <c r="BE242" s="140" t="str">
        <f>IF(Table1[[#This Row],[VerReq]]="N","x","")</f>
        <v/>
      </c>
      <c r="BF242" s="140" t="str">
        <f>IF(Table1[[#This Row],[VerReq]]="N","x","")</f>
        <v/>
      </c>
      <c r="BG242" s="140" t="str">
        <f>IF(Table1[[#This Row],[VerReq]]="N","x","")</f>
        <v/>
      </c>
      <c r="BH242" s="140" t="str">
        <f>IF(Table1[[#This Row],[VerReq]]="N","x","")</f>
        <v/>
      </c>
      <c r="BI242" s="140" t="str">
        <f>IF(Table1[[#This Row],[VerReq]]="N","x","")</f>
        <v/>
      </c>
      <c r="BJ242" s="123">
        <f>1-((COUNTBLANK(Table1[[#This Row],[ALESent]:[TaxTran]]))/(COUNT(Table1[[#This Row],[ALESent]:[TaxTran]])+COUNTBLANK(Table1[[#This Row],[ALESent]:[TaxTran]])))</f>
        <v>0</v>
      </c>
      <c r="BK242" s="150">
        <f>IF(VLOOKUP(Table1[[#This Row],[SyStudentId]],SSR!$A$2:$CC$4982,22,FALSE)=44109,44109,"Check Program")</f>
        <v>44109</v>
      </c>
      <c r="BL242" s="150">
        <f>IF(Table1[[#This Row],[AYStart]]=44109,44356,"Check Program")</f>
        <v>44356</v>
      </c>
      <c r="BM242" s="219"/>
      <c r="BN242" s="219"/>
      <c r="BO242" s="219"/>
      <c r="BP242" s="220">
        <f t="shared" si="12"/>
        <v>0</v>
      </c>
      <c r="BQ242" s="221"/>
      <c r="BR242" s="219"/>
      <c r="BS242" s="219"/>
      <c r="BT242" s="220">
        <f t="shared" si="13"/>
        <v>0</v>
      </c>
      <c r="BU242" s="219"/>
      <c r="BV242" s="219"/>
      <c r="BW242" s="219"/>
      <c r="BX242" s="220">
        <f t="shared" si="14"/>
        <v>0</v>
      </c>
      <c r="BY242" s="269"/>
      <c r="BZ242" s="269"/>
      <c r="CA242" s="269"/>
      <c r="CB242" s="220">
        <f>SUM(Table1[[#This Row],[LEQ1]:[LEQ3]])</f>
        <v>0</v>
      </c>
      <c r="CC242" s="269"/>
      <c r="CD242" s="269"/>
      <c r="CE242" s="269"/>
      <c r="CF242" s="220">
        <f>SUM(Table1[[#This Row],[OthCostQ1]:[OthCostQ3]])</f>
        <v>0</v>
      </c>
      <c r="CG242" s="220">
        <f>(Table1[[#This Row],[T&amp;FTot]]+Table1[[#This Row],[B&amp;STot]]+Table1[[#This Row],[HousTot]]+Table1[[#This Row],[LETot]]+Table1[[#This Row],[OthCostTot]])</f>
        <v>0</v>
      </c>
      <c r="CH242" s="250"/>
      <c r="CI242" s="250"/>
      <c r="CJ242" s="250"/>
      <c r="CK242" s="251">
        <f>SUM(Table1[[#This Row],[SEOGQ1]:[SEOGQ3]])</f>
        <v>0</v>
      </c>
      <c r="CL242" s="250">
        <f>IFERROR(ROUNDUP(Table1[[#This Row],[PellTot]]/3,0),0)</f>
        <v>0</v>
      </c>
      <c r="CM242" s="250">
        <f>IFERROR(ROUND(Table1[[#This Row],[PellTot]]/3,0),0)</f>
        <v>0</v>
      </c>
      <c r="CN242" s="250">
        <f>IFERROR(ROUNDDOWN(Table1[[#This Row],[PellTot]]/3,0),0)</f>
        <v>0</v>
      </c>
      <c r="CO242" s="251">
        <f>IFERROR(LOOKUP(Table1[EFC],Pell_Table[#Data],Pell_Table[Pell Amt]),0)</f>
        <v>0</v>
      </c>
      <c r="CP242" s="250">
        <f>Table1[[#This Row],[AccessTot]]/3</f>
        <v>0</v>
      </c>
      <c r="CQ242" s="250">
        <f>Table1[[#This Row],[AccessTot]]/3</f>
        <v>0</v>
      </c>
      <c r="CR242" s="250">
        <f>Table1[[#This Row],[AccessTot]]/3</f>
        <v>0</v>
      </c>
      <c r="CS242" s="251">
        <f>IF(Table1[[#This Row],[PellTot]]&gt;0,1500,0)</f>
        <v>0</v>
      </c>
      <c r="CT242" s="250">
        <f>Table1[[#This Row],[AchiTot]]/3</f>
        <v>1250</v>
      </c>
      <c r="CU242" s="250">
        <f>Table1[[#This Row],[AchiTot]]/3</f>
        <v>1250</v>
      </c>
      <c r="CV242" s="250">
        <f>Table1[[#This Row],[AchiTot]]/3</f>
        <v>1250</v>
      </c>
      <c r="CW242" s="252">
        <f>IF(Table1[[#This Row],[Rank]]="","",IF(Table1[[#This Row],[Rank]]=1,5100,IF(Table1[[#This Row],[Rank]]=2,4500,IF(Table1[[#This Row],[Rank]]=3,3900,IF(Table1[[#This Row],[Rank]]=4,3750,IF(Table1[[#This Row],[Rank]]=5,3000,IF(Table1[[#This Row],[Rank]]=6,2250,0)))))))</f>
        <v>3750</v>
      </c>
      <c r="CX242" s="250">
        <f>Table1[[#This Row],[UTTot]]/3</f>
        <v>0</v>
      </c>
      <c r="CY242" s="250">
        <f>Table1[[#This Row],[UTTot]]/3</f>
        <v>0</v>
      </c>
      <c r="CZ242" s="250">
        <f>Table1[[#This Row],[UTTot]]/3</f>
        <v>0</v>
      </c>
      <c r="DA242" s="251">
        <f>IF(Table1[[#This Row],[State]]="UT",9000,0)</f>
        <v>0</v>
      </c>
      <c r="DB242" s="250">
        <f>Table1[[#This Row],[WITTot]]/3</f>
        <v>1000</v>
      </c>
      <c r="DC242" s="250">
        <f>Table1[[#This Row],[WITTot]]/3</f>
        <v>1000</v>
      </c>
      <c r="DD242" s="250">
        <f>Table1[[#This Row],[WITTot]]/3</f>
        <v>1000</v>
      </c>
      <c r="DE242" s="251">
        <f>IF(Table1[[#This Row],[Gender]]="Female",3000,0)</f>
        <v>3000</v>
      </c>
      <c r="DF242" s="250">
        <f>Table1[[#This Row],[SerTot]]/3</f>
        <v>0</v>
      </c>
      <c r="DG242" s="250">
        <f>Table1[[#This Row],[SerTot]]/3</f>
        <v>0</v>
      </c>
      <c r="DH242" s="250">
        <f>Table1[[#This Row],[SerTot]]/3</f>
        <v>0</v>
      </c>
      <c r="DI242" s="252"/>
      <c r="DJ242" s="250"/>
      <c r="DK242" s="250"/>
      <c r="DL242" s="250"/>
      <c r="DM242" s="252"/>
      <c r="DN242" s="250">
        <f>Table1[[#This Row],[MatTot]]/3</f>
        <v>0</v>
      </c>
      <c r="DO242" s="250">
        <f>Table1[[#This Row],[MatTot]]/3</f>
        <v>0</v>
      </c>
      <c r="DP242" s="250">
        <f>Table1[[#This Row],[MatTot]]/3</f>
        <v>0</v>
      </c>
      <c r="DQ242" s="252"/>
      <c r="DR242" s="250">
        <f>Table1[[#This Row],[OutTot]]/3</f>
        <v>0</v>
      </c>
      <c r="DS242" s="250">
        <f>Table1[[#This Row],[OutTot]]/3</f>
        <v>0</v>
      </c>
      <c r="DT242" s="250">
        <f>Table1[[#This Row],[OutTot]]/3</f>
        <v>0</v>
      </c>
      <c r="DU242" s="252"/>
      <c r="DV242" s="250"/>
      <c r="DW242" s="250"/>
      <c r="DX242" s="250"/>
      <c r="DY242" s="252">
        <f>SUM(Table1[[#This Row],[VAQ1]:[VAQ3]])</f>
        <v>0</v>
      </c>
      <c r="DZ242" s="250"/>
      <c r="EA242" s="250"/>
      <c r="EB242" s="250"/>
      <c r="EC242" s="270">
        <f>SUM(Table1[[#This Row],[OthGrantQ1]:[OthGrantQ3]])</f>
        <v>0</v>
      </c>
      <c r="ED242" s="263">
        <f>Table1[[#This Row],[SEOGTot]]+Table1[[#This Row],[PellTot]]+Table1[[#This Row],[AccessTot]]+Table1[[#This Row],[AchiTot]]+Table1[[#This Row],[UTTot]]+Table1[[#This Row],[WITTot]]+Table1[[#This Row],[SerTot]]+Table1[[#This Row],[TranTot]]+Table1[[#This Row],[MatTot]]+Table1[[#This Row],[OutTot]]+Table1[[#This Row],[VATot]]+Table1[[#This Row],[OthGrantTot]]</f>
        <v>6750</v>
      </c>
      <c r="EE242" s="282"/>
      <c r="EF242" s="237"/>
      <c r="EG242" s="237"/>
      <c r="EH242" s="232">
        <f>SUM(Table1[[#This Row],[CashQ1]]:Table1[[#This Row],[CashQ3]])</f>
        <v>0</v>
      </c>
      <c r="EI242" s="271">
        <f>ROUND((Table1[[#This Row],[SubTot]]/3)/1.01059,0)</f>
        <v>0</v>
      </c>
      <c r="EJ242" s="234">
        <f>ROUND((Table1[[#This Row],[SubTot]]/3)/1.01059,0)</f>
        <v>0</v>
      </c>
      <c r="EK242" s="234">
        <f>ROUNDUP((Table1[[#This Row],[SubTot]]/3)/1.01059,0)</f>
        <v>0</v>
      </c>
      <c r="EL242" s="235"/>
      <c r="EM242" s="240">
        <f>Table1[[#This Row],[SubTot]]*0.01059</f>
        <v>0</v>
      </c>
      <c r="EN242" s="234">
        <f>ROUND((Table1[[#This Row],[UnsubTot]]/3)/1.01062,0)</f>
        <v>660</v>
      </c>
      <c r="EO242" s="234">
        <f>ROUND((Table1[[#This Row],[UnsubTot]]/3)/1.01062,0)</f>
        <v>660</v>
      </c>
      <c r="EP242" s="234">
        <f>ROUNDDOWN((Table1[[#This Row],[UnsubTot]]/3)/1.01062,0)</f>
        <v>659</v>
      </c>
      <c r="EQ242" s="235">
        <f>IF(Table1[D/I]="I",6000,2000)</f>
        <v>2000</v>
      </c>
      <c r="ER242" s="240">
        <f>Table1[[#This Row],[UnsubTot]]*0.01062</f>
        <v>21.24</v>
      </c>
      <c r="ES242" s="234">
        <f>ROUND((Table1[[#This Row],[PLUSTot]]/3)/1.04248,0)</f>
        <v>0</v>
      </c>
      <c r="ET242" s="234">
        <f>ROUND((Table1[[#This Row],[PLUSTot]]/3)/1.04248,0)</f>
        <v>0</v>
      </c>
      <c r="EU242" s="234">
        <f>ROUND((Table1[[#This Row],[PLUSTot]]/3)/1.04248,0)</f>
        <v>0</v>
      </c>
      <c r="EV242" s="235"/>
      <c r="EW242" s="239">
        <f>Table1[[#This Row],[PLUSTot]]*0.04248</f>
        <v>0</v>
      </c>
      <c r="EX242" s="237"/>
      <c r="EY242" s="237"/>
      <c r="EZ242" s="237"/>
      <c r="FA242" s="232">
        <f>SUM(Table1[[#This Row],[PrivQ1]:[PrivQ3]])</f>
        <v>0</v>
      </c>
      <c r="FB242" s="237"/>
      <c r="FC242" s="237"/>
      <c r="FD242" s="237"/>
      <c r="FE242" s="232">
        <f>SUM(Table1[[#This Row],[TOQ1]:[TOQ3]])</f>
        <v>0</v>
      </c>
      <c r="FF242" s="237"/>
      <c r="FG242" s="237"/>
      <c r="FH242" s="237"/>
      <c r="FI242" s="232">
        <f>SUM(Table1[[#This Row],[OFundQ1]:[OFundQ3]])</f>
        <v>0</v>
      </c>
      <c r="FJ242" s="239">
        <f>(Table1[[#This Row],[SubTot]]-Table1[[#This Row],[SubFee]])+(Table1[[#This Row],[UnsubTot]]-Table1[[#This Row],[UnsubFee]])+(Table1[[#This Row],[PLUSTot]]-Table1[[#This Row],[PLUSFee]])+Table1[[#This Row],[PrivTot]]+Table1[[#This Row],[TOTot]]+Table1[[#This Row],[OFundTot]]</f>
        <v>1978.76</v>
      </c>
      <c r="FK242" s="125">
        <f>Table1[[#This Row],[CostTot]]-Table1[[#This Row],[GiftTot]]</f>
        <v>-6750</v>
      </c>
      <c r="FL242" s="130">
        <f>Table1[[#This Row],[NetNeed]]/(1-0.04248)</f>
        <v>-9116.0080207201936</v>
      </c>
      <c r="FM242" s="131">
        <f>Table1[[#This Row],[NetCost]]-Table1[[#This Row],[CashTot]]-(Table1[[#This Row],[SubTot]]-Table1[[#This Row],[SubFee]])-(Table1[[#This Row],[UnsubTot]]-Table1[[#This Row],[UnsubFee]])-(Table1[[#This Row],[PLUSTot]]-Table1[[#This Row],[PLUSFee]])-Table1[[#This Row],[PrivTot]]-Table1[[#This Row],[TOTot]]-Table1[[#This Row],[OFundTot]]</f>
        <v>-8728.76</v>
      </c>
      <c r="FN242" s="156"/>
      <c r="FO242" s="113"/>
      <c r="FP242" s="113"/>
    </row>
    <row r="243" spans="1:172" ht="15" x14ac:dyDescent="0.25">
      <c r="A243" s="329">
        <v>198176</v>
      </c>
      <c r="B243" s="113" t="str">
        <f>VLOOKUP(Table1[[#This Row],[SyStudentId]],SSR!$A$2:$CC$4982,4,FALSE)</f>
        <v>Warren</v>
      </c>
      <c r="C243" s="113" t="str">
        <f>VLOOKUP(Table1[[#This Row],[SyStudentId]],SSR!$A$2:$CC$4982,5,FALSE)</f>
        <v>Chelsea</v>
      </c>
      <c r="D243" s="113" t="str">
        <f>VLOOKUP(Table1[[#This Row],[SyStudentId]],SSR!$A$2:$CC$4982,6,FALSE)</f>
        <v>Warren, Chelsea</v>
      </c>
      <c r="E243" s="113"/>
      <c r="F243" s="112"/>
      <c r="G243" s="114"/>
      <c r="H243" s="114"/>
      <c r="I243" s="114"/>
      <c r="J243" s="115"/>
      <c r="K243" s="116"/>
      <c r="L243" s="112" t="str">
        <f>IFERROR(VLOOKUP(Table1[[#This Row],[SyStudentId]],ISIR!$A$2:$X$999,11,FALSE),"")</f>
        <v/>
      </c>
      <c r="M243" s="113" t="str">
        <f>VLOOKUP(Table1[[#This Row],[SyStudentId]],SSR!$A$2:$CC$4982,7,FALSE)</f>
        <v>warrenchelsea546@gmail.com</v>
      </c>
      <c r="N243" s="113" t="str">
        <f>VLOOKUP(Table1[[#This Row],[SyStudentId]],SSR!$A$2:$CC$4982,8,FALSE)</f>
        <v>112 E 57TH STREET</v>
      </c>
      <c r="O243" s="113" t="str">
        <f>VLOOKUP(Table1[[#This Row],[SyStudentId]],SSR!$A$2:$CC$4982,9,FALSE)</f>
        <v>BROOKLYN</v>
      </c>
      <c r="P243" s="113" t="str">
        <f>VLOOKUP(Table1[[#This Row],[SyStudentId]],SSR!$A$2:$CC$4982,10,FALSE)</f>
        <v>NY</v>
      </c>
      <c r="Q243" s="117" t="str">
        <f>VLOOKUP(Table1[[#This Row],[SyStudentId]],SSR!$A$2:$CC$4982,11,FALSE)</f>
        <v xml:space="preserve">11203     </v>
      </c>
      <c r="R243" s="118">
        <f>VLOOKUP(Table1[[#This Row],[SyStudentId]],SSR!$A$2:$CC$4982,15,FALSE)</f>
        <v>2.2000000000000002</v>
      </c>
      <c r="S243" s="119">
        <f>VLOOKUP(Table1[[#This Row],[SyStudentId]],SSR!$A$2:$CC$4982,22,FALSE)</f>
        <v>44109</v>
      </c>
      <c r="T243" s="113" t="str">
        <f>VLOOKUP(Table1[[#This Row],[SyStudentId]],SSR!$A$2:$CC$4982,24,FALSE)</f>
        <v>JT</v>
      </c>
      <c r="U243" s="113" t="str">
        <f>IF(VLOOKUP(Table1[[#This Row],[SyStudentId]],SSR!$A$2:$CC$4982,26,FALSE)=0,"Not Selected",VLOOKUP(Table1[[#This Row],[SyStudentId]],SSR!$A$2:$CC$4982,26,FALSE))</f>
        <v>Female</v>
      </c>
      <c r="V243" s="113" t="str">
        <f>VLOOKUP(Table1[[#This Row],[SyStudentId]],SSR!$A$2:$CC$4982,27,FALSE)</f>
        <v xml:space="preserve">HS2020  </v>
      </c>
      <c r="W243" s="113" t="str">
        <f>VLOOKUP(LEFT(Table1[[#This Row],[LastName]],1),Alpha!$A$1:$B$26,2,FALSE)</f>
        <v>Maureen Ranks</v>
      </c>
      <c r="X243" s="149" t="str">
        <f>VLOOKUP(Table1[[#This Row],[FAA]],Alpha!$B$1:$D$26,2,FALSE)</f>
        <v>mranks@neumont.edu</v>
      </c>
      <c r="Y243" s="113">
        <f>VLOOKUP(Table1[[#This Row],[FAA]],Alpha!$B$1:$D$26,3,FALSE)</f>
        <v>8883022894</v>
      </c>
      <c r="Z243" s="113" t="str">
        <f>VLOOKUP(Table1[[#This Row],[SyStudentId]],SSR!$A$2:$CC$4982,30,FALSE)</f>
        <v>16-Accepted</v>
      </c>
      <c r="AA243" s="113" t="str">
        <f>IF(VLOOKUP(Table1[[#This Row],[SyStudentId]],SSR!$A$2:$CC$4982,36,FALSE)="Bachelor of Science","BS Computer Science","Check Program")</f>
        <v>BS Computer Science</v>
      </c>
      <c r="AB243" s="113">
        <f>VLOOKUP(Table1[[#This Row],[SyStudentId]],SSR!$A$2:$CC$4982,37,FALSE)</f>
        <v>0</v>
      </c>
      <c r="AC243" s="113" t="str">
        <f>VLOOKUP(Table1[[#This Row],[SyStudentId]],SSR!$A$2:$CC$4982,42,FALSE)</f>
        <v xml:space="preserve">830     </v>
      </c>
      <c r="AD243" s="113" t="str">
        <f>VLOOKUP(Table1[[#This Row],[SyStudentId]],SSR!$A$2:$CC$4982,46,FALSE)</f>
        <v>76</v>
      </c>
      <c r="AE243" s="113" t="str">
        <f>VLOOKUP(Table1[[#This Row],[SyStudentId]],SSR!$A$2:$CC$4982,65,FALSE)</f>
        <v>X</v>
      </c>
      <c r="AF243"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10</v>
      </c>
      <c r="AG243" s="113" t="str">
        <f>VLOOKUP(Table1[[#This Row],[SyStudentId]],SSR!$A$2:$CC$4982,66,FALSE)</f>
        <v>December</v>
      </c>
      <c r="AH243" s="113" t="str">
        <f>IFERROR(VLOOKUP(Table1[[#This Row],[SyStudentId]],ISIR!$A$2:$X$999,7,FALSE),"")</f>
        <v/>
      </c>
      <c r="AI243" s="121" t="str">
        <f>IF(Table1[[#This Row],[EFCRaw]]="","",IF(Table1[[#This Row],[EFCRaw]]="No EFC","No EFC",_xlfn.NUMBERVALUE(Table1[[#This Row],[EFCRaw]])))</f>
        <v/>
      </c>
      <c r="AJ243" s="119" t="str">
        <f>IFERROR(VLOOKUP(Table1[[#This Row],[SyStudentId]],ISIR!$A$2:$X$4999,19,FALSE),"")</f>
        <v/>
      </c>
      <c r="AK243" s="113" t="str">
        <f>IFERROR(VLOOKUP(Table1[[#This Row],[SyStudentId]],ISIR!$A$2:$X$4999,8,FALSE),"")</f>
        <v/>
      </c>
      <c r="AL243" s="156" t="str">
        <f>IF(Table1[[#This Row],[VerReq]]="N","n/a","")</f>
        <v/>
      </c>
      <c r="AM243" s="122"/>
      <c r="AN243" s="122"/>
      <c r="AO243" s="122"/>
      <c r="AP243" s="122"/>
      <c r="AQ243" s="122"/>
      <c r="AR243" s="122"/>
      <c r="AS243" s="122"/>
      <c r="AT243" s="122"/>
      <c r="AU243" s="122"/>
      <c r="AV243" s="122"/>
      <c r="AW243" s="122"/>
      <c r="AX243" s="122"/>
      <c r="AY243" s="122"/>
      <c r="AZ243" s="122"/>
      <c r="BA243" s="122"/>
      <c r="BB243" s="122"/>
      <c r="BC243" s="148"/>
      <c r="BD243" s="140" t="str">
        <f>IF(Table1[[#This Row],[VerReq]]="N","x","")</f>
        <v/>
      </c>
      <c r="BE243" s="140" t="str">
        <f>IF(Table1[[#This Row],[VerReq]]="N","x","")</f>
        <v/>
      </c>
      <c r="BF243" s="140" t="str">
        <f>IF(Table1[[#This Row],[VerReq]]="N","x","")</f>
        <v/>
      </c>
      <c r="BG243" s="140" t="str">
        <f>IF(Table1[[#This Row],[VerReq]]="N","x","")</f>
        <v/>
      </c>
      <c r="BH243" s="140" t="str">
        <f>IF(Table1[[#This Row],[VerReq]]="N","x","")</f>
        <v/>
      </c>
      <c r="BI243" s="140" t="str">
        <f>IF(Table1[[#This Row],[VerReq]]="N","x","")</f>
        <v/>
      </c>
      <c r="BJ243" s="123">
        <f>1-((COUNTBLANK(Table1[[#This Row],[ALESent]:[TaxTran]]))/(COUNT(Table1[[#This Row],[ALESent]:[TaxTran]])+COUNTBLANK(Table1[[#This Row],[ALESent]:[TaxTran]])))</f>
        <v>0</v>
      </c>
      <c r="BK243" s="150">
        <f>IF(VLOOKUP(Table1[[#This Row],[SyStudentId]],SSR!$A$2:$CC$4982,22,FALSE)=44109,44109,"Check Program")</f>
        <v>44109</v>
      </c>
      <c r="BL243" s="150">
        <f>IF(Table1[[#This Row],[AYStart]]=44109,44356,"Check Program")</f>
        <v>44356</v>
      </c>
      <c r="BM243" s="219"/>
      <c r="BN243" s="219"/>
      <c r="BO243" s="219"/>
      <c r="BP243" s="220">
        <f t="shared" si="12"/>
        <v>0</v>
      </c>
      <c r="BQ243" s="221"/>
      <c r="BR243" s="219"/>
      <c r="BS243" s="219"/>
      <c r="BT243" s="220">
        <f t="shared" si="13"/>
        <v>0</v>
      </c>
      <c r="BU243" s="219"/>
      <c r="BV243" s="219"/>
      <c r="BW243" s="219"/>
      <c r="BX243" s="220">
        <f t="shared" si="14"/>
        <v>0</v>
      </c>
      <c r="BY243" s="269"/>
      <c r="BZ243" s="269"/>
      <c r="CA243" s="269"/>
      <c r="CB243" s="220">
        <f>SUM(Table1[[#This Row],[LEQ1]:[LEQ3]])</f>
        <v>0</v>
      </c>
      <c r="CC243" s="269"/>
      <c r="CD243" s="269"/>
      <c r="CE243" s="269"/>
      <c r="CF243" s="220">
        <f>SUM(Table1[[#This Row],[OthCostQ1]:[OthCostQ3]])</f>
        <v>0</v>
      </c>
      <c r="CG243" s="220">
        <f>(Table1[[#This Row],[T&amp;FTot]]+Table1[[#This Row],[B&amp;STot]]+Table1[[#This Row],[HousTot]]+Table1[[#This Row],[LETot]]+Table1[[#This Row],[OthCostTot]])</f>
        <v>0</v>
      </c>
      <c r="CH243" s="250"/>
      <c r="CI243" s="250"/>
      <c r="CJ243" s="250"/>
      <c r="CK243" s="251">
        <f>SUM(Table1[[#This Row],[SEOGQ1]:[SEOGQ3]])</f>
        <v>0</v>
      </c>
      <c r="CL243" s="250">
        <f>IFERROR(ROUNDUP(Table1[[#This Row],[PellTot]]/3,0),0)</f>
        <v>0</v>
      </c>
      <c r="CM243" s="250">
        <f>IFERROR(ROUND(Table1[[#This Row],[PellTot]]/3,0),0)</f>
        <v>0</v>
      </c>
      <c r="CN243" s="250">
        <f>IFERROR(ROUNDDOWN(Table1[[#This Row],[PellTot]]/3,0),0)</f>
        <v>0</v>
      </c>
      <c r="CO243" s="251">
        <f>IFERROR(LOOKUP(Table1[EFC],Pell_Table[#Data],Pell_Table[Pell Amt]),0)</f>
        <v>0</v>
      </c>
      <c r="CP243" s="250">
        <f>Table1[[#This Row],[AccessTot]]/3</f>
        <v>0</v>
      </c>
      <c r="CQ243" s="250">
        <f>Table1[[#This Row],[AccessTot]]/3</f>
        <v>0</v>
      </c>
      <c r="CR243" s="250">
        <f>Table1[[#This Row],[AccessTot]]/3</f>
        <v>0</v>
      </c>
      <c r="CS243" s="251">
        <f>IF(Table1[[#This Row],[PellTot]]&gt;0,1500,0)</f>
        <v>0</v>
      </c>
      <c r="CT243" s="250">
        <f>Table1[[#This Row],[AchiTot]]/3</f>
        <v>0</v>
      </c>
      <c r="CU243" s="250">
        <f>Table1[[#This Row],[AchiTot]]/3</f>
        <v>0</v>
      </c>
      <c r="CV243" s="250">
        <f>Table1[[#This Row],[AchiTot]]/3</f>
        <v>0</v>
      </c>
      <c r="CW243" s="252">
        <f>IF(Table1[[#This Row],[Rank]]="","",IF(Table1[[#This Row],[Rank]]=1,5100,IF(Table1[[#This Row],[Rank]]=2,4500,IF(Table1[[#This Row],[Rank]]=3,3900,IF(Table1[[#This Row],[Rank]]=4,3750,IF(Table1[[#This Row],[Rank]]=5,3000,IF(Table1[[#This Row],[Rank]]=6,2250,0)))))))</f>
        <v>0</v>
      </c>
      <c r="CX243" s="250">
        <f>Table1[[#This Row],[UTTot]]/3</f>
        <v>0</v>
      </c>
      <c r="CY243" s="250">
        <f>Table1[[#This Row],[UTTot]]/3</f>
        <v>0</v>
      </c>
      <c r="CZ243" s="250">
        <f>Table1[[#This Row],[UTTot]]/3</f>
        <v>0</v>
      </c>
      <c r="DA243" s="251">
        <f>IF(Table1[[#This Row],[State]]="UT",9000,0)</f>
        <v>0</v>
      </c>
      <c r="DB243" s="250">
        <f>Table1[[#This Row],[WITTot]]/3</f>
        <v>1000</v>
      </c>
      <c r="DC243" s="250">
        <f>Table1[[#This Row],[WITTot]]/3</f>
        <v>1000</v>
      </c>
      <c r="DD243" s="250">
        <f>Table1[[#This Row],[WITTot]]/3</f>
        <v>1000</v>
      </c>
      <c r="DE243" s="251">
        <f>IF(Table1[[#This Row],[Gender]]="Female",3000,0)</f>
        <v>3000</v>
      </c>
      <c r="DF243" s="250">
        <f>Table1[[#This Row],[SerTot]]/3</f>
        <v>0</v>
      </c>
      <c r="DG243" s="250">
        <f>Table1[[#This Row],[SerTot]]/3</f>
        <v>0</v>
      </c>
      <c r="DH243" s="250">
        <f>Table1[[#This Row],[SerTot]]/3</f>
        <v>0</v>
      </c>
      <c r="DI243" s="252"/>
      <c r="DJ243" s="250"/>
      <c r="DK243" s="250"/>
      <c r="DL243" s="250"/>
      <c r="DM243" s="252"/>
      <c r="DN243" s="250">
        <f>Table1[[#This Row],[MatTot]]/3</f>
        <v>0</v>
      </c>
      <c r="DO243" s="250">
        <f>Table1[[#This Row],[MatTot]]/3</f>
        <v>0</v>
      </c>
      <c r="DP243" s="250">
        <f>Table1[[#This Row],[MatTot]]/3</f>
        <v>0</v>
      </c>
      <c r="DQ243" s="252"/>
      <c r="DR243" s="250">
        <f>Table1[[#This Row],[OutTot]]/3</f>
        <v>0</v>
      </c>
      <c r="DS243" s="250">
        <f>Table1[[#This Row],[OutTot]]/3</f>
        <v>0</v>
      </c>
      <c r="DT243" s="250">
        <f>Table1[[#This Row],[OutTot]]/3</f>
        <v>0</v>
      </c>
      <c r="DU243" s="252"/>
      <c r="DV243" s="250"/>
      <c r="DW243" s="250"/>
      <c r="DX243" s="250"/>
      <c r="DY243" s="252">
        <f>SUM(Table1[[#This Row],[VAQ1]:[VAQ3]])</f>
        <v>0</v>
      </c>
      <c r="DZ243" s="250"/>
      <c r="EA243" s="250"/>
      <c r="EB243" s="250"/>
      <c r="EC243" s="270">
        <f>SUM(Table1[[#This Row],[OthGrantQ1]:[OthGrantQ3]])</f>
        <v>0</v>
      </c>
      <c r="ED243" s="263">
        <f>Table1[[#This Row],[SEOGTot]]+Table1[[#This Row],[PellTot]]+Table1[[#This Row],[AccessTot]]+Table1[[#This Row],[AchiTot]]+Table1[[#This Row],[UTTot]]+Table1[[#This Row],[WITTot]]+Table1[[#This Row],[SerTot]]+Table1[[#This Row],[TranTot]]+Table1[[#This Row],[MatTot]]+Table1[[#This Row],[OutTot]]+Table1[[#This Row],[VATot]]+Table1[[#This Row],[OthGrantTot]]</f>
        <v>3000</v>
      </c>
      <c r="EE243" s="282"/>
      <c r="EF243" s="237"/>
      <c r="EG243" s="237"/>
      <c r="EH243" s="232">
        <f>SUM(Table1[[#This Row],[CashQ1]]:Table1[[#This Row],[CashQ3]])</f>
        <v>0</v>
      </c>
      <c r="EI243" s="271">
        <f>ROUND((Table1[[#This Row],[SubTot]]/3)/1.01059,0)</f>
        <v>0</v>
      </c>
      <c r="EJ243" s="234">
        <f>ROUND((Table1[[#This Row],[SubTot]]/3)/1.01059,0)</f>
        <v>0</v>
      </c>
      <c r="EK243" s="234">
        <f>ROUNDUP((Table1[[#This Row],[SubTot]]/3)/1.01059,0)</f>
        <v>0</v>
      </c>
      <c r="EL243" s="235"/>
      <c r="EM243" s="240">
        <f>Table1[[#This Row],[SubTot]]*0.01059</f>
        <v>0</v>
      </c>
      <c r="EN243" s="234">
        <f>ROUND((Table1[[#This Row],[UnsubTot]]/3)/1.01062,0)</f>
        <v>660</v>
      </c>
      <c r="EO243" s="234">
        <f>ROUND((Table1[[#This Row],[UnsubTot]]/3)/1.01062,0)</f>
        <v>660</v>
      </c>
      <c r="EP243" s="234">
        <f>ROUNDDOWN((Table1[[#This Row],[UnsubTot]]/3)/1.01062,0)</f>
        <v>659</v>
      </c>
      <c r="EQ243" s="235">
        <f>IF(Table1[D/I]="I",6000,2000)</f>
        <v>2000</v>
      </c>
      <c r="ER243" s="240">
        <f>Table1[[#This Row],[UnsubTot]]*0.01062</f>
        <v>21.24</v>
      </c>
      <c r="ES243" s="234">
        <f>ROUND((Table1[[#This Row],[PLUSTot]]/3)/1.04248,0)</f>
        <v>0</v>
      </c>
      <c r="ET243" s="234">
        <f>ROUND((Table1[[#This Row],[PLUSTot]]/3)/1.04248,0)</f>
        <v>0</v>
      </c>
      <c r="EU243" s="234">
        <f>ROUND((Table1[[#This Row],[PLUSTot]]/3)/1.04248,0)</f>
        <v>0</v>
      </c>
      <c r="EV243" s="235"/>
      <c r="EW243" s="239">
        <f>Table1[[#This Row],[PLUSTot]]*0.04248</f>
        <v>0</v>
      </c>
      <c r="EX243" s="237"/>
      <c r="EY243" s="237"/>
      <c r="EZ243" s="237"/>
      <c r="FA243" s="232">
        <f>SUM(Table1[[#This Row],[PrivQ1]:[PrivQ3]])</f>
        <v>0</v>
      </c>
      <c r="FB243" s="237"/>
      <c r="FC243" s="237"/>
      <c r="FD243" s="237"/>
      <c r="FE243" s="232">
        <f>SUM(Table1[[#This Row],[TOQ1]:[TOQ3]])</f>
        <v>0</v>
      </c>
      <c r="FF243" s="237"/>
      <c r="FG243" s="237"/>
      <c r="FH243" s="237"/>
      <c r="FI243" s="232">
        <f>SUM(Table1[[#This Row],[OFundQ1]:[OFundQ3]])</f>
        <v>0</v>
      </c>
      <c r="FJ243" s="239">
        <f>(Table1[[#This Row],[SubTot]]-Table1[[#This Row],[SubFee]])+(Table1[[#This Row],[UnsubTot]]-Table1[[#This Row],[UnsubFee]])+(Table1[[#This Row],[PLUSTot]]-Table1[[#This Row],[PLUSFee]])+Table1[[#This Row],[PrivTot]]+Table1[[#This Row],[TOTot]]+Table1[[#This Row],[OFundTot]]</f>
        <v>1978.76</v>
      </c>
      <c r="FK243" s="125">
        <f>Table1[[#This Row],[CostTot]]-Table1[[#This Row],[GiftTot]]</f>
        <v>-3000</v>
      </c>
      <c r="FL243" s="130">
        <f>Table1[[#This Row],[NetNeed]]/(1-0.04248)</f>
        <v>-5199.6407385746516</v>
      </c>
      <c r="FM243" s="131">
        <f>Table1[[#This Row],[NetCost]]-Table1[[#This Row],[CashTot]]-(Table1[[#This Row],[SubTot]]-Table1[[#This Row],[SubFee]])-(Table1[[#This Row],[UnsubTot]]-Table1[[#This Row],[UnsubFee]])-(Table1[[#This Row],[PLUSTot]]-Table1[[#This Row],[PLUSFee]])-Table1[[#This Row],[PrivTot]]-Table1[[#This Row],[TOTot]]-Table1[[#This Row],[OFundTot]]</f>
        <v>-4978.76</v>
      </c>
      <c r="FN243" s="156"/>
      <c r="FO243" s="113"/>
      <c r="FP243" s="113"/>
    </row>
    <row r="244" spans="1:172" x14ac:dyDescent="0.2">
      <c r="A244" s="112"/>
      <c r="B244" s="113" t="e">
        <f>VLOOKUP(Table1[[#This Row],[SyStudentId]],SSR!$A$2:$CC$4982,4,FALSE)</f>
        <v>#N/A</v>
      </c>
      <c r="C244" s="113" t="e">
        <f>VLOOKUP(Table1[[#This Row],[SyStudentId]],SSR!$A$2:$CC$4982,5,FALSE)</f>
        <v>#N/A</v>
      </c>
      <c r="D244" s="113" t="e">
        <f>VLOOKUP(Table1[[#This Row],[SyStudentId]],SSR!$A$2:$CC$4982,6,FALSE)</f>
        <v>#N/A</v>
      </c>
      <c r="E244" s="113"/>
      <c r="F244" s="112"/>
      <c r="G244" s="114"/>
      <c r="H244" s="114"/>
      <c r="I244" s="114"/>
      <c r="J244" s="115"/>
      <c r="K244" s="116"/>
      <c r="L244" s="112" t="str">
        <f>IFERROR(VLOOKUP(Table1[[#This Row],[SyStudentId]],ISIR!$A$2:$X$999,11,FALSE),"")</f>
        <v/>
      </c>
      <c r="M244" s="113" t="e">
        <f>VLOOKUP(Table1[[#This Row],[SyStudentId]],SSR!$A$2:$CC$4982,7,FALSE)</f>
        <v>#N/A</v>
      </c>
      <c r="N244" s="113" t="e">
        <f>VLOOKUP(Table1[[#This Row],[SyStudentId]],SSR!$A$2:$CC$4982,8,FALSE)</f>
        <v>#N/A</v>
      </c>
      <c r="O244" s="113" t="e">
        <f>VLOOKUP(Table1[[#This Row],[SyStudentId]],SSR!$A$2:$CC$4982,9,FALSE)</f>
        <v>#N/A</v>
      </c>
      <c r="P244" s="113" t="e">
        <f>VLOOKUP(Table1[[#This Row],[SyStudentId]],SSR!$A$2:$CC$4982,10,FALSE)</f>
        <v>#N/A</v>
      </c>
      <c r="Q244" s="117" t="e">
        <f>VLOOKUP(Table1[[#This Row],[SyStudentId]],SSR!$A$2:$CC$4982,11,FALSE)</f>
        <v>#N/A</v>
      </c>
      <c r="R244" s="118" t="e">
        <f>VLOOKUP(Table1[[#This Row],[SyStudentId]],SSR!$A$2:$CC$4982,15,FALSE)</f>
        <v>#N/A</v>
      </c>
      <c r="S244" s="119" t="e">
        <f>VLOOKUP(Table1[[#This Row],[SyStudentId]],SSR!$A$2:$CC$4982,22,FALSE)</f>
        <v>#N/A</v>
      </c>
      <c r="T244" s="113" t="e">
        <f>VLOOKUP(Table1[[#This Row],[SyStudentId]],SSR!$A$2:$CC$4982,24,FALSE)</f>
        <v>#N/A</v>
      </c>
      <c r="U244" s="113" t="e">
        <f>IF(VLOOKUP(Table1[[#This Row],[SyStudentId]],SSR!$A$2:$CC$4982,26,FALSE)=0,"Not Selected",VLOOKUP(Table1[[#This Row],[SyStudentId]],SSR!$A$2:$CC$4982,26,FALSE))</f>
        <v>#N/A</v>
      </c>
      <c r="V244" s="113" t="e">
        <f>VLOOKUP(Table1[[#This Row],[SyStudentId]],SSR!$A$2:$CC$4982,27,FALSE)</f>
        <v>#N/A</v>
      </c>
      <c r="W244" s="113" t="e">
        <f>VLOOKUP(LEFT(Table1[[#This Row],[LastName]],1),Alpha!$A$1:$B$26,2,FALSE)</f>
        <v>#N/A</v>
      </c>
      <c r="X244" s="149" t="e">
        <f>VLOOKUP(Table1[[#This Row],[FAA]],Alpha!$B$1:$D$26,2,FALSE)</f>
        <v>#N/A</v>
      </c>
      <c r="Y244" s="113" t="e">
        <f>VLOOKUP(Table1[[#This Row],[FAA]],Alpha!$B$1:$D$26,3,FALSE)</f>
        <v>#N/A</v>
      </c>
      <c r="Z244" s="113" t="e">
        <f>VLOOKUP(Table1[[#This Row],[SyStudentId]],SSR!$A$2:$CC$4982,30,FALSE)</f>
        <v>#N/A</v>
      </c>
      <c r="AA244" s="113" t="e">
        <f>IF(VLOOKUP(Table1[[#This Row],[SyStudentId]],SSR!$A$2:$CC$4982,36,FALSE)="Bachelor of Science","BS Computer Science","Check Program")</f>
        <v>#N/A</v>
      </c>
      <c r="AB244" s="113" t="e">
        <f>VLOOKUP(Table1[[#This Row],[SyStudentId]],SSR!$A$2:$CC$4982,37,FALSE)</f>
        <v>#N/A</v>
      </c>
      <c r="AC244" s="113" t="e">
        <f>VLOOKUP(Table1[[#This Row],[SyStudentId]],SSR!$A$2:$CC$4982,42,FALSE)</f>
        <v>#N/A</v>
      </c>
      <c r="AD244" s="113" t="e">
        <f>VLOOKUP(Table1[[#This Row],[SyStudentId]],SSR!$A$2:$CC$4982,46,FALSE)</f>
        <v>#N/A</v>
      </c>
      <c r="AE244" s="113" t="e">
        <f>VLOOKUP(Table1[[#This Row],[SyStudentId]],SSR!$A$2:$CC$4982,65,FALSE)</f>
        <v>#N/A</v>
      </c>
      <c r="AF244" s="120" t="e">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#N/A</v>
      </c>
      <c r="AG244" s="113" t="e">
        <f>VLOOKUP(Table1[[#This Row],[SyStudentId]],SSR!$A$2:$CC$4982,66,FALSE)</f>
        <v>#N/A</v>
      </c>
      <c r="AH244" s="113" t="str">
        <f>IFERROR(VLOOKUP(Table1[[#This Row],[SyStudentId]],ISIR!$A$2:$X$999,7,FALSE),"")</f>
        <v/>
      </c>
      <c r="AI244" s="121" t="str">
        <f>IF(Table1[[#This Row],[EFCRaw]]="","",IF(Table1[[#This Row],[EFCRaw]]="No EFC","No EFC",_xlfn.NUMBERVALUE(Table1[[#This Row],[EFCRaw]])))</f>
        <v/>
      </c>
      <c r="AJ244" s="119" t="str">
        <f>IFERROR(VLOOKUP(Table1[[#This Row],[SyStudentId]],ISIR!$A$2:$X$4999,19,FALSE),"")</f>
        <v/>
      </c>
      <c r="AK244" s="113" t="str">
        <f>IFERROR(VLOOKUP(Table1[[#This Row],[SyStudentId]],ISIR!$A$2:$X$4999,8,FALSE),"")</f>
        <v/>
      </c>
      <c r="AL244" s="156" t="str">
        <f>IF(Table1[[#This Row],[VerReq]]="N","n/a","")</f>
        <v/>
      </c>
      <c r="AM244" s="122"/>
      <c r="AN244" s="122"/>
      <c r="AO244" s="122"/>
      <c r="AP244" s="122"/>
      <c r="AQ244" s="122"/>
      <c r="AR244" s="122"/>
      <c r="AS244" s="122"/>
      <c r="AT244" s="122"/>
      <c r="AU244" s="122"/>
      <c r="AV244" s="122"/>
      <c r="AW244" s="122"/>
      <c r="AX244" s="122"/>
      <c r="AY244" s="122"/>
      <c r="AZ244" s="122"/>
      <c r="BA244" s="122"/>
      <c r="BB244" s="122"/>
      <c r="BC244" s="148"/>
      <c r="BD244" s="140" t="str">
        <f>IF(Table1[[#This Row],[VerReq]]="N","x","")</f>
        <v/>
      </c>
      <c r="BE244" s="140" t="str">
        <f>IF(Table1[[#This Row],[VerReq]]="N","x","")</f>
        <v/>
      </c>
      <c r="BF244" s="140" t="str">
        <f>IF(Table1[[#This Row],[VerReq]]="N","x","")</f>
        <v/>
      </c>
      <c r="BG244" s="140" t="str">
        <f>IF(Table1[[#This Row],[VerReq]]="N","x","")</f>
        <v/>
      </c>
      <c r="BH244" s="140" t="str">
        <f>IF(Table1[[#This Row],[VerReq]]="N","x","")</f>
        <v/>
      </c>
      <c r="BI244" s="140" t="str">
        <f>IF(Table1[[#This Row],[VerReq]]="N","x","")</f>
        <v/>
      </c>
      <c r="BJ244" s="123">
        <f>1-((COUNTBLANK(Table1[[#This Row],[ALESent]:[TaxTran]]))/(COUNT(Table1[[#This Row],[ALESent]:[TaxTran]])+COUNTBLANK(Table1[[#This Row],[ALESent]:[TaxTran]])))</f>
        <v>0</v>
      </c>
      <c r="BK244" s="150" t="e">
        <f>IF(VLOOKUP(Table1[[#This Row],[SyStudentId]],SSR!$A$2:$CC$4982,22,FALSE)=44109,44109,"Check Program")</f>
        <v>#N/A</v>
      </c>
      <c r="BL244" s="150" t="e">
        <f>IF(Table1[[#This Row],[AYStart]]=44109,44356,"Check Program")</f>
        <v>#N/A</v>
      </c>
      <c r="BM244" s="219"/>
      <c r="BN244" s="219"/>
      <c r="BO244" s="219"/>
      <c r="BP244" s="220">
        <f>SUM(BM244:BO244)</f>
        <v>0</v>
      </c>
      <c r="BQ244" s="221"/>
      <c r="BR244" s="219"/>
      <c r="BS244" s="219"/>
      <c r="BT244" s="220">
        <f>SUM(BQ244:BS244)</f>
        <v>0</v>
      </c>
      <c r="BU244" s="219"/>
      <c r="BV244" s="219"/>
      <c r="BW244" s="219"/>
      <c r="BX244" s="220">
        <f>SUM(BU244:BW244)</f>
        <v>0</v>
      </c>
      <c r="BY244" s="269"/>
      <c r="BZ244" s="269"/>
      <c r="CA244" s="269"/>
      <c r="CB244" s="220">
        <f>SUM(Table1[[#This Row],[LEQ1]:[LEQ3]])</f>
        <v>0</v>
      </c>
      <c r="CC244" s="269"/>
      <c r="CD244" s="269"/>
      <c r="CE244" s="269"/>
      <c r="CF244" s="220">
        <f>SUM(Table1[[#This Row],[OthCostQ1]:[OthCostQ3]])</f>
        <v>0</v>
      </c>
      <c r="CG244" s="220">
        <f>(Table1[[#This Row],[T&amp;FTot]]+Table1[[#This Row],[B&amp;STot]]+Table1[[#This Row],[HousTot]]+Table1[[#This Row],[LETot]]+Table1[[#This Row],[OthCostTot]])</f>
        <v>0</v>
      </c>
      <c r="CH244" s="250"/>
      <c r="CI244" s="250"/>
      <c r="CJ244" s="250"/>
      <c r="CK244" s="251">
        <f>SUM(Table1[[#This Row],[SEOGQ1]:[SEOGQ3]])</f>
        <v>0</v>
      </c>
      <c r="CL244" s="250">
        <f>IFERROR(ROUNDUP(Table1[[#This Row],[PellTot]]/3,0),0)</f>
        <v>0</v>
      </c>
      <c r="CM244" s="250">
        <f>IFERROR(ROUND(Table1[[#This Row],[PellTot]]/3,0),0)</f>
        <v>0</v>
      </c>
      <c r="CN244" s="250">
        <f>IFERROR(ROUNDDOWN(Table1[[#This Row],[PellTot]]/3,0),0)</f>
        <v>0</v>
      </c>
      <c r="CO244" s="251">
        <f>IFERROR(LOOKUP(Table1[EFC],Pell_Table[#Data],Pell_Table[Pell Amt]),0)</f>
        <v>0</v>
      </c>
      <c r="CP244" s="250">
        <f>Table1[[#This Row],[AccessTot]]/3</f>
        <v>0</v>
      </c>
      <c r="CQ244" s="250">
        <f>Table1[[#This Row],[AccessTot]]/3</f>
        <v>0</v>
      </c>
      <c r="CR244" s="250">
        <f>Table1[[#This Row],[AccessTot]]/3</f>
        <v>0</v>
      </c>
      <c r="CS244" s="251">
        <f>IF(Table1[[#This Row],[PellTot]]&gt;0,1500,0)</f>
        <v>0</v>
      </c>
      <c r="CT244" s="250" t="e">
        <f>Table1[[#This Row],[AchiTot]]/3</f>
        <v>#N/A</v>
      </c>
      <c r="CU244" s="250" t="e">
        <f>Table1[[#This Row],[AchiTot]]/3</f>
        <v>#N/A</v>
      </c>
      <c r="CV244" s="250" t="e">
        <f>Table1[[#This Row],[AchiTot]]/3</f>
        <v>#N/A</v>
      </c>
      <c r="CW244" s="252" t="e">
        <f>IF(Table1[[#This Row],[Rank]]="","",IF(Table1[[#This Row],[Rank]]=1,5100,IF(Table1[[#This Row],[Rank]]=2,4500,IF(Table1[[#This Row],[Rank]]=3,3900,IF(Table1[[#This Row],[Rank]]=4,3750,IF(Table1[[#This Row],[Rank]]=5,3000,IF(Table1[[#This Row],[Rank]]=6,2250,0)))))))</f>
        <v>#N/A</v>
      </c>
      <c r="CX244" s="250" t="e">
        <f>Table1[[#This Row],[UTTot]]/3</f>
        <v>#N/A</v>
      </c>
      <c r="CY244" s="250" t="e">
        <f>Table1[[#This Row],[UTTot]]/3</f>
        <v>#N/A</v>
      </c>
      <c r="CZ244" s="250" t="e">
        <f>Table1[[#This Row],[UTTot]]/3</f>
        <v>#N/A</v>
      </c>
      <c r="DA244" s="251" t="e">
        <f>IF(Table1[[#This Row],[State]]="UT",9000,0)</f>
        <v>#N/A</v>
      </c>
      <c r="DB244" s="250" t="e">
        <f>Table1[[#This Row],[WITTot]]/3</f>
        <v>#N/A</v>
      </c>
      <c r="DC244" s="250" t="e">
        <f>Table1[[#This Row],[WITTot]]/3</f>
        <v>#N/A</v>
      </c>
      <c r="DD244" s="250" t="e">
        <f>Table1[[#This Row],[WITTot]]/3</f>
        <v>#N/A</v>
      </c>
      <c r="DE244" s="251" t="e">
        <f>IF(Table1[[#This Row],[Gender]]="Female",3000,0)</f>
        <v>#N/A</v>
      </c>
      <c r="DF244" s="250">
        <f>Table1[[#This Row],[SerTot]]/3</f>
        <v>0</v>
      </c>
      <c r="DG244" s="250">
        <f>Table1[[#This Row],[SerTot]]/3</f>
        <v>0</v>
      </c>
      <c r="DH244" s="250">
        <f>Table1[[#This Row],[SerTot]]/3</f>
        <v>0</v>
      </c>
      <c r="DI244" s="252"/>
      <c r="DJ244" s="250"/>
      <c r="DK244" s="250"/>
      <c r="DL244" s="250"/>
      <c r="DM244" s="252"/>
      <c r="DN244" s="250">
        <f>Table1[[#This Row],[MatTot]]/3</f>
        <v>0</v>
      </c>
      <c r="DO244" s="250">
        <f>Table1[[#This Row],[MatTot]]/3</f>
        <v>0</v>
      </c>
      <c r="DP244" s="250">
        <f>Table1[[#This Row],[MatTot]]/3</f>
        <v>0</v>
      </c>
      <c r="DQ244" s="252"/>
      <c r="DR244" s="250">
        <f>Table1[[#This Row],[OutTot]]/3</f>
        <v>0</v>
      </c>
      <c r="DS244" s="250">
        <f>Table1[[#This Row],[OutTot]]/3</f>
        <v>0</v>
      </c>
      <c r="DT244" s="250">
        <f>Table1[[#This Row],[OutTot]]/3</f>
        <v>0</v>
      </c>
      <c r="DU244" s="252"/>
      <c r="DV244" s="250"/>
      <c r="DW244" s="250"/>
      <c r="DX244" s="250"/>
      <c r="DY244" s="252">
        <f>SUM(Table1[[#This Row],[VAQ1]:[VAQ3]])</f>
        <v>0</v>
      </c>
      <c r="DZ244" s="250"/>
      <c r="EA244" s="250"/>
      <c r="EB244" s="250"/>
      <c r="EC244" s="270">
        <f>SUM(Table1[[#This Row],[OthGrantQ1]:[OthGrantQ3]])</f>
        <v>0</v>
      </c>
      <c r="ED244" s="263" t="e">
        <f>Table1[[#This Row],[SEOGTot]]+Table1[[#This Row],[PellTot]]+Table1[[#This Row],[AccessTot]]+Table1[[#This Row],[AchiTot]]+Table1[[#This Row],[UTTot]]+Table1[[#This Row],[WITTot]]+Table1[[#This Row],[SerTot]]+Table1[[#This Row],[TranTot]]+Table1[[#This Row],[MatTot]]+Table1[[#This Row],[OutTot]]+Table1[[#This Row],[VATot]]+Table1[[#This Row],[OthGrantTot]]</f>
        <v>#N/A</v>
      </c>
      <c r="EE244" s="282"/>
      <c r="EF244" s="237"/>
      <c r="EG244" s="237"/>
      <c r="EH244" s="232">
        <f>SUM(Table1[[#This Row],[CashQ1]]:Table1[[#This Row],[CashQ3]])</f>
        <v>0</v>
      </c>
      <c r="EI244" s="271">
        <f>ROUND((Table1[[#This Row],[SubTot]]/3)/1.01059,0)</f>
        <v>0</v>
      </c>
      <c r="EJ244" s="234">
        <f>ROUND((Table1[[#This Row],[SubTot]]/3)/1.01059,0)</f>
        <v>0</v>
      </c>
      <c r="EK244" s="234">
        <f>ROUNDUP((Table1[[#This Row],[SubTot]]/3)/1.01059,0)</f>
        <v>0</v>
      </c>
      <c r="EL244" s="235"/>
      <c r="EM244" s="240">
        <f>Table1[[#This Row],[SubTot]]*0.01059</f>
        <v>0</v>
      </c>
      <c r="EN244" s="234">
        <f>ROUND((Table1[[#This Row],[UnsubTot]]/3)/1.01062,0)</f>
        <v>660</v>
      </c>
      <c r="EO244" s="234">
        <f>ROUND((Table1[[#This Row],[UnsubTot]]/3)/1.01062,0)</f>
        <v>660</v>
      </c>
      <c r="EP244" s="234">
        <f>ROUNDDOWN((Table1[[#This Row],[UnsubTot]]/3)/1.01062,0)</f>
        <v>659</v>
      </c>
      <c r="EQ244" s="235">
        <f>IF(Table1[D/I]="I",6000,2000)</f>
        <v>2000</v>
      </c>
      <c r="ER244" s="240">
        <f>Table1[[#This Row],[UnsubTot]]*0.01062</f>
        <v>21.24</v>
      </c>
      <c r="ES244" s="234">
        <f>ROUND((Table1[[#This Row],[PLUSTot]]/3)/1.04248,0)</f>
        <v>0</v>
      </c>
      <c r="ET244" s="234">
        <f>ROUND((Table1[[#This Row],[PLUSTot]]/3)/1.04248,0)</f>
        <v>0</v>
      </c>
      <c r="EU244" s="234">
        <f>ROUND((Table1[[#This Row],[PLUSTot]]/3)/1.04248,0)</f>
        <v>0</v>
      </c>
      <c r="EV244" s="235"/>
      <c r="EW244" s="239">
        <f>Table1[[#This Row],[PLUSTot]]*0.04248</f>
        <v>0</v>
      </c>
      <c r="EX244" s="237"/>
      <c r="EY244" s="237"/>
      <c r="EZ244" s="237"/>
      <c r="FA244" s="232">
        <f>SUM(Table1[[#This Row],[PrivQ1]:[PrivQ3]])</f>
        <v>0</v>
      </c>
      <c r="FB244" s="237"/>
      <c r="FC244" s="237"/>
      <c r="FD244" s="237"/>
      <c r="FE244" s="232">
        <f>SUM(Table1[[#This Row],[TOQ1]:[TOQ3]])</f>
        <v>0</v>
      </c>
      <c r="FF244" s="237"/>
      <c r="FG244" s="237"/>
      <c r="FH244" s="237"/>
      <c r="FI244" s="232">
        <f>SUM(Table1[[#This Row],[OFundQ1]:[OFundQ3]])</f>
        <v>0</v>
      </c>
      <c r="FJ244" s="239">
        <f>(Table1[[#This Row],[SubTot]]-Table1[[#This Row],[SubFee]])+(Table1[[#This Row],[UnsubTot]]-Table1[[#This Row],[UnsubFee]])+(Table1[[#This Row],[PLUSTot]]-Table1[[#This Row],[PLUSFee]])+Table1[[#This Row],[PrivTot]]+Table1[[#This Row],[TOTot]]+Table1[[#This Row],[OFundTot]]</f>
        <v>1978.76</v>
      </c>
      <c r="FK244" s="125" t="e">
        <f>Table1[[#This Row],[CostTot]]-Table1[[#This Row],[GiftTot]]</f>
        <v>#N/A</v>
      </c>
      <c r="FL244" s="130" t="e">
        <f>Table1[[#This Row],[NetNeed]]/(1-0.04248)</f>
        <v>#N/A</v>
      </c>
      <c r="FM244" s="131" t="e">
        <f>Table1[[#This Row],[NetCost]]-Table1[[#This Row],[CashTot]]-(Table1[[#This Row],[SubTot]]-Table1[[#This Row],[SubFee]])-(Table1[[#This Row],[UnsubTot]]-Table1[[#This Row],[UnsubFee]])-(Table1[[#This Row],[PLUSTot]]-Table1[[#This Row],[PLUSFee]])-Table1[[#This Row],[PrivTot]]-Table1[[#This Row],[TOTot]]-Table1[[#This Row],[OFundTot]]</f>
        <v>#N/A</v>
      </c>
      <c r="FN244" s="156"/>
      <c r="FO244" s="113"/>
      <c r="FP244" s="113"/>
    </row>
    <row r="245" spans="1:172" x14ac:dyDescent="0.2">
      <c r="A245" s="112"/>
      <c r="B245" s="113" t="e">
        <f>VLOOKUP(Table1[[#This Row],[SyStudentId]],SSR!$A$2:$CC$4982,4,FALSE)</f>
        <v>#N/A</v>
      </c>
      <c r="C245" s="113" t="e">
        <f>VLOOKUP(Table1[[#This Row],[SyStudentId]],SSR!$A$2:$CC$4982,5,FALSE)</f>
        <v>#N/A</v>
      </c>
      <c r="D245" s="113" t="e">
        <f>VLOOKUP(Table1[[#This Row],[SyStudentId]],SSR!$A$2:$CC$4982,6,FALSE)</f>
        <v>#N/A</v>
      </c>
      <c r="E245" s="113"/>
      <c r="F245" s="112"/>
      <c r="G245" s="114"/>
      <c r="H245" s="114"/>
      <c r="I245" s="114"/>
      <c r="J245" s="115"/>
      <c r="K245" s="116"/>
      <c r="L245" s="112" t="str">
        <f>IFERROR(VLOOKUP(Table1[[#This Row],[SyStudentId]],ISIR!$A$2:$X$999,11,FALSE),"")</f>
        <v/>
      </c>
      <c r="M245" s="113" t="e">
        <f>VLOOKUP(Table1[[#This Row],[SyStudentId]],SSR!$A$2:$CC$4982,7,FALSE)</f>
        <v>#N/A</v>
      </c>
      <c r="N245" s="113" t="e">
        <f>VLOOKUP(Table1[[#This Row],[SyStudentId]],SSR!$A$2:$CC$4982,8,FALSE)</f>
        <v>#N/A</v>
      </c>
      <c r="O245" s="113" t="e">
        <f>VLOOKUP(Table1[[#This Row],[SyStudentId]],SSR!$A$2:$CC$4982,9,FALSE)</f>
        <v>#N/A</v>
      </c>
      <c r="P245" s="113" t="e">
        <f>VLOOKUP(Table1[[#This Row],[SyStudentId]],SSR!$A$2:$CC$4982,10,FALSE)</f>
        <v>#N/A</v>
      </c>
      <c r="Q245" s="117" t="e">
        <f>VLOOKUP(Table1[[#This Row],[SyStudentId]],SSR!$A$2:$CC$4982,11,FALSE)</f>
        <v>#N/A</v>
      </c>
      <c r="R245" s="118" t="e">
        <f>VLOOKUP(Table1[[#This Row],[SyStudentId]],SSR!$A$2:$CC$4982,15,FALSE)</f>
        <v>#N/A</v>
      </c>
      <c r="S245" s="119" t="e">
        <f>VLOOKUP(Table1[[#This Row],[SyStudentId]],SSR!$A$2:$CC$4982,22,FALSE)</f>
        <v>#N/A</v>
      </c>
      <c r="T245" s="113" t="e">
        <f>VLOOKUP(Table1[[#This Row],[SyStudentId]],SSR!$A$2:$CC$4982,24,FALSE)</f>
        <v>#N/A</v>
      </c>
      <c r="U245" s="113" t="e">
        <f>IF(VLOOKUP(Table1[[#This Row],[SyStudentId]],SSR!$A$2:$CC$4982,26,FALSE)=0,"Not Selected",VLOOKUP(Table1[[#This Row],[SyStudentId]],SSR!$A$2:$CC$4982,26,FALSE))</f>
        <v>#N/A</v>
      </c>
      <c r="V245" s="113" t="e">
        <f>VLOOKUP(Table1[[#This Row],[SyStudentId]],SSR!$A$2:$CC$4982,27,FALSE)</f>
        <v>#N/A</v>
      </c>
      <c r="W245" s="113" t="e">
        <f>VLOOKUP(LEFT(Table1[[#This Row],[LastName]],1),Alpha!$A$1:$B$26,2,FALSE)</f>
        <v>#N/A</v>
      </c>
      <c r="X245" s="149" t="e">
        <f>VLOOKUP(Table1[[#This Row],[FAA]],Alpha!$B$1:$D$26,2,FALSE)</f>
        <v>#N/A</v>
      </c>
      <c r="Y245" s="113" t="e">
        <f>VLOOKUP(Table1[[#This Row],[FAA]],Alpha!$B$1:$D$26,3,FALSE)</f>
        <v>#N/A</v>
      </c>
      <c r="Z245" s="113" t="e">
        <f>VLOOKUP(Table1[[#This Row],[SyStudentId]],SSR!$A$2:$CC$4982,30,FALSE)</f>
        <v>#N/A</v>
      </c>
      <c r="AA245" s="113" t="e">
        <f>IF(VLOOKUP(Table1[[#This Row],[SyStudentId]],SSR!$A$2:$CC$4982,36,FALSE)="Bachelor of Science","BS Computer Science","Check Program")</f>
        <v>#N/A</v>
      </c>
      <c r="AB245" s="113" t="e">
        <f>VLOOKUP(Table1[[#This Row],[SyStudentId]],SSR!$A$2:$CC$4982,37,FALSE)</f>
        <v>#N/A</v>
      </c>
      <c r="AC245" s="113" t="e">
        <f>VLOOKUP(Table1[[#This Row],[SyStudentId]],SSR!$A$2:$CC$4982,42,FALSE)</f>
        <v>#N/A</v>
      </c>
      <c r="AD245" s="113" t="e">
        <f>VLOOKUP(Table1[[#This Row],[SyStudentId]],SSR!$A$2:$CC$4982,46,FALSE)</f>
        <v>#N/A</v>
      </c>
      <c r="AE245" s="113" t="e">
        <f>VLOOKUP(Table1[[#This Row],[SyStudentId]],SSR!$A$2:$CC$4982,65,FALSE)</f>
        <v>#N/A</v>
      </c>
      <c r="AF245" s="120" t="e">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#N/A</v>
      </c>
      <c r="AG245" s="113" t="e">
        <f>VLOOKUP(Table1[[#This Row],[SyStudentId]],SSR!$A$2:$CC$4982,66,FALSE)</f>
        <v>#N/A</v>
      </c>
      <c r="AH245" s="113" t="str">
        <f>IFERROR(VLOOKUP(Table1[[#This Row],[SyStudentId]],ISIR!$A$2:$X$999,7,FALSE),"")</f>
        <v/>
      </c>
      <c r="AI245" s="121" t="str">
        <f>IF(Table1[[#This Row],[EFCRaw]]="","",IF(Table1[[#This Row],[EFCRaw]]="No EFC","No EFC",_xlfn.NUMBERVALUE(Table1[[#This Row],[EFCRaw]])))</f>
        <v/>
      </c>
      <c r="AJ245" s="119" t="str">
        <f>IFERROR(VLOOKUP(Table1[[#This Row],[SyStudentId]],ISIR!$A$2:$X$4999,19,FALSE),"")</f>
        <v/>
      </c>
      <c r="AK245" s="113" t="str">
        <f>IFERROR(VLOOKUP(Table1[[#This Row],[SyStudentId]],ISIR!$A$2:$X$4999,8,FALSE),"")</f>
        <v/>
      </c>
      <c r="AL245" s="156" t="str">
        <f>IF(Table1[[#This Row],[VerReq]]="N","n/a","")</f>
        <v/>
      </c>
      <c r="AM245" s="122"/>
      <c r="AN245" s="122"/>
      <c r="AO245" s="122"/>
      <c r="AP245" s="122"/>
      <c r="AQ245" s="122"/>
      <c r="AR245" s="122"/>
      <c r="AS245" s="122"/>
      <c r="AT245" s="122"/>
      <c r="AU245" s="122"/>
      <c r="AV245" s="122"/>
      <c r="AW245" s="122"/>
      <c r="AX245" s="122"/>
      <c r="AY245" s="122"/>
      <c r="AZ245" s="122"/>
      <c r="BA245" s="122"/>
      <c r="BB245" s="122"/>
      <c r="BC245" s="148"/>
      <c r="BD245" s="140" t="str">
        <f>IF(Table1[[#This Row],[VerReq]]="N","x","")</f>
        <v/>
      </c>
      <c r="BE245" s="140" t="str">
        <f>IF(Table1[[#This Row],[VerReq]]="N","x","")</f>
        <v/>
      </c>
      <c r="BF245" s="140" t="str">
        <f>IF(Table1[[#This Row],[VerReq]]="N","x","")</f>
        <v/>
      </c>
      <c r="BG245" s="140" t="str">
        <f>IF(Table1[[#This Row],[VerReq]]="N","x","")</f>
        <v/>
      </c>
      <c r="BH245" s="140" t="str">
        <f>IF(Table1[[#This Row],[VerReq]]="N","x","")</f>
        <v/>
      </c>
      <c r="BI245" s="140" t="str">
        <f>IF(Table1[[#This Row],[VerReq]]="N","x","")</f>
        <v/>
      </c>
      <c r="BJ245" s="123">
        <f>1-((COUNTBLANK(Table1[[#This Row],[ALESent]:[TaxTran]]))/(COUNT(Table1[[#This Row],[ALESent]:[TaxTran]])+COUNTBLANK(Table1[[#This Row],[ALESent]:[TaxTran]])))</f>
        <v>0</v>
      </c>
      <c r="BK245" s="150" t="e">
        <f>IF(VLOOKUP(Table1[[#This Row],[SyStudentId]],SSR!$A$2:$CC$4982,22,FALSE)=44109,44109,"Check Program")</f>
        <v>#N/A</v>
      </c>
      <c r="BL245" s="150" t="e">
        <f>IF(Table1[[#This Row],[AYStart]]=44109,44356,"Check Program")</f>
        <v>#N/A</v>
      </c>
      <c r="BM245" s="219"/>
      <c r="BN245" s="219"/>
      <c r="BO245" s="219"/>
      <c r="BP245" s="220">
        <f>SUM(BM245:BO245)</f>
        <v>0</v>
      </c>
      <c r="BQ245" s="221"/>
      <c r="BR245" s="219"/>
      <c r="BS245" s="219"/>
      <c r="BT245" s="220">
        <f>SUM(BQ245:BS245)</f>
        <v>0</v>
      </c>
      <c r="BU245" s="219"/>
      <c r="BV245" s="219"/>
      <c r="BW245" s="219"/>
      <c r="BX245" s="220">
        <f>SUM(BU245:BW245)</f>
        <v>0</v>
      </c>
      <c r="BY245" s="269"/>
      <c r="BZ245" s="269"/>
      <c r="CA245" s="269"/>
      <c r="CB245" s="220">
        <f>SUM(Table1[[#This Row],[LEQ1]:[LEQ3]])</f>
        <v>0</v>
      </c>
      <c r="CC245" s="269"/>
      <c r="CD245" s="269"/>
      <c r="CE245" s="269"/>
      <c r="CF245" s="220">
        <f>SUM(Table1[[#This Row],[OthCostQ1]:[OthCostQ3]])</f>
        <v>0</v>
      </c>
      <c r="CG245" s="220">
        <f>(Table1[[#This Row],[T&amp;FTot]]+Table1[[#This Row],[B&amp;STot]]+Table1[[#This Row],[HousTot]]+Table1[[#This Row],[LETot]]+Table1[[#This Row],[OthCostTot]])</f>
        <v>0</v>
      </c>
      <c r="CH245" s="250"/>
      <c r="CI245" s="250"/>
      <c r="CJ245" s="250"/>
      <c r="CK245" s="251">
        <f>SUM(Table1[[#This Row],[SEOGQ1]:[SEOGQ3]])</f>
        <v>0</v>
      </c>
      <c r="CL245" s="250">
        <f>IFERROR(ROUNDUP(Table1[[#This Row],[PellTot]]/3,0),0)</f>
        <v>0</v>
      </c>
      <c r="CM245" s="250">
        <f>IFERROR(ROUND(Table1[[#This Row],[PellTot]]/3,0),0)</f>
        <v>0</v>
      </c>
      <c r="CN245" s="250">
        <f>IFERROR(ROUNDDOWN(Table1[[#This Row],[PellTot]]/3,0),0)</f>
        <v>0</v>
      </c>
      <c r="CO245" s="251">
        <f>IFERROR(LOOKUP(Table1[EFC],Pell_Table[#Data],Pell_Table[Pell Amt]),0)</f>
        <v>0</v>
      </c>
      <c r="CP245" s="250">
        <f>Table1[[#This Row],[AccessTot]]/3</f>
        <v>0</v>
      </c>
      <c r="CQ245" s="250">
        <f>Table1[[#This Row],[AccessTot]]/3</f>
        <v>0</v>
      </c>
      <c r="CR245" s="250">
        <f>Table1[[#This Row],[AccessTot]]/3</f>
        <v>0</v>
      </c>
      <c r="CS245" s="251">
        <f>IF(Table1[[#This Row],[PellTot]]&gt;0,1500,0)</f>
        <v>0</v>
      </c>
      <c r="CT245" s="250" t="e">
        <f>Table1[[#This Row],[AchiTot]]/3</f>
        <v>#N/A</v>
      </c>
      <c r="CU245" s="250" t="e">
        <f>Table1[[#This Row],[AchiTot]]/3</f>
        <v>#N/A</v>
      </c>
      <c r="CV245" s="250" t="e">
        <f>Table1[[#This Row],[AchiTot]]/3</f>
        <v>#N/A</v>
      </c>
      <c r="CW245" s="252" t="e">
        <f>IF(Table1[[#This Row],[Rank]]="","",IF(Table1[[#This Row],[Rank]]=1,5100,IF(Table1[[#This Row],[Rank]]=2,4500,IF(Table1[[#This Row],[Rank]]=3,3900,IF(Table1[[#This Row],[Rank]]=4,3750,IF(Table1[[#This Row],[Rank]]=5,3000,IF(Table1[[#This Row],[Rank]]=6,2250,0)))))))</f>
        <v>#N/A</v>
      </c>
      <c r="CX245" s="250" t="e">
        <f>Table1[[#This Row],[UTTot]]/3</f>
        <v>#N/A</v>
      </c>
      <c r="CY245" s="250" t="e">
        <f>Table1[[#This Row],[UTTot]]/3</f>
        <v>#N/A</v>
      </c>
      <c r="CZ245" s="250" t="e">
        <f>Table1[[#This Row],[UTTot]]/3</f>
        <v>#N/A</v>
      </c>
      <c r="DA245" s="251" t="e">
        <f>IF(Table1[[#This Row],[State]]="UT",9000,0)</f>
        <v>#N/A</v>
      </c>
      <c r="DB245" s="250" t="e">
        <f>Table1[[#This Row],[WITTot]]/3</f>
        <v>#N/A</v>
      </c>
      <c r="DC245" s="250" t="e">
        <f>Table1[[#This Row],[WITTot]]/3</f>
        <v>#N/A</v>
      </c>
      <c r="DD245" s="250" t="e">
        <f>Table1[[#This Row],[WITTot]]/3</f>
        <v>#N/A</v>
      </c>
      <c r="DE245" s="251" t="e">
        <f>IF(Table1[[#This Row],[Gender]]="Female",3000,0)</f>
        <v>#N/A</v>
      </c>
      <c r="DF245" s="250">
        <f>Table1[[#This Row],[SerTot]]/3</f>
        <v>0</v>
      </c>
      <c r="DG245" s="250">
        <f>Table1[[#This Row],[SerTot]]/3</f>
        <v>0</v>
      </c>
      <c r="DH245" s="250">
        <f>Table1[[#This Row],[SerTot]]/3</f>
        <v>0</v>
      </c>
      <c r="DI245" s="252"/>
      <c r="DJ245" s="250"/>
      <c r="DK245" s="250"/>
      <c r="DL245" s="250"/>
      <c r="DM245" s="252"/>
      <c r="DN245" s="250">
        <f>Table1[[#This Row],[MatTot]]/3</f>
        <v>0</v>
      </c>
      <c r="DO245" s="250">
        <f>Table1[[#This Row],[MatTot]]/3</f>
        <v>0</v>
      </c>
      <c r="DP245" s="250">
        <f>Table1[[#This Row],[MatTot]]/3</f>
        <v>0</v>
      </c>
      <c r="DQ245" s="252"/>
      <c r="DR245" s="250">
        <f>Table1[[#This Row],[OutTot]]/3</f>
        <v>0</v>
      </c>
      <c r="DS245" s="250">
        <f>Table1[[#This Row],[OutTot]]/3</f>
        <v>0</v>
      </c>
      <c r="DT245" s="250">
        <f>Table1[[#This Row],[OutTot]]/3</f>
        <v>0</v>
      </c>
      <c r="DU245" s="252"/>
      <c r="DV245" s="250"/>
      <c r="DW245" s="250"/>
      <c r="DX245" s="250"/>
      <c r="DY245" s="252">
        <f>SUM(Table1[[#This Row],[VAQ1]:[VAQ3]])</f>
        <v>0</v>
      </c>
      <c r="DZ245" s="250"/>
      <c r="EA245" s="250"/>
      <c r="EB245" s="250"/>
      <c r="EC245" s="270">
        <f>SUM(Table1[[#This Row],[OthGrantQ1]:[OthGrantQ3]])</f>
        <v>0</v>
      </c>
      <c r="ED245" s="263" t="e">
        <f>Table1[[#This Row],[SEOGTot]]+Table1[[#This Row],[PellTot]]+Table1[[#This Row],[AccessTot]]+Table1[[#This Row],[AchiTot]]+Table1[[#This Row],[UTTot]]+Table1[[#This Row],[WITTot]]+Table1[[#This Row],[SerTot]]+Table1[[#This Row],[TranTot]]+Table1[[#This Row],[MatTot]]+Table1[[#This Row],[OutTot]]+Table1[[#This Row],[VATot]]+Table1[[#This Row],[OthGrantTot]]</f>
        <v>#N/A</v>
      </c>
      <c r="EE245" s="282"/>
      <c r="EF245" s="237"/>
      <c r="EG245" s="237"/>
      <c r="EH245" s="232">
        <f>SUM(Table1[[#This Row],[CashQ1]]:Table1[[#This Row],[CashQ3]])</f>
        <v>0</v>
      </c>
      <c r="EI245" s="271">
        <f>ROUND((Table1[[#This Row],[SubTot]]/3)/1.01059,0)</f>
        <v>0</v>
      </c>
      <c r="EJ245" s="234">
        <f>ROUND((Table1[[#This Row],[SubTot]]/3)/1.01059,0)</f>
        <v>0</v>
      </c>
      <c r="EK245" s="234">
        <f>ROUNDUP((Table1[[#This Row],[SubTot]]/3)/1.01059,0)</f>
        <v>0</v>
      </c>
      <c r="EL245" s="235"/>
      <c r="EM245" s="240">
        <f>Table1[[#This Row],[SubTot]]*0.01059</f>
        <v>0</v>
      </c>
      <c r="EN245" s="234">
        <f>ROUND((Table1[[#This Row],[UnsubTot]]/3)/1.01062,0)</f>
        <v>660</v>
      </c>
      <c r="EO245" s="234">
        <f>ROUND((Table1[[#This Row],[UnsubTot]]/3)/1.01062,0)</f>
        <v>660</v>
      </c>
      <c r="EP245" s="234">
        <f>ROUNDDOWN((Table1[[#This Row],[UnsubTot]]/3)/1.01062,0)</f>
        <v>659</v>
      </c>
      <c r="EQ245" s="235">
        <f>IF(Table1[D/I]="I",6000,2000)</f>
        <v>2000</v>
      </c>
      <c r="ER245" s="240">
        <f>Table1[[#This Row],[UnsubTot]]*0.01062</f>
        <v>21.24</v>
      </c>
      <c r="ES245" s="234">
        <f>ROUND((Table1[[#This Row],[PLUSTot]]/3)/1.04248,0)</f>
        <v>0</v>
      </c>
      <c r="ET245" s="234">
        <f>ROUND((Table1[[#This Row],[PLUSTot]]/3)/1.04248,0)</f>
        <v>0</v>
      </c>
      <c r="EU245" s="234">
        <f>ROUND((Table1[[#This Row],[PLUSTot]]/3)/1.04248,0)</f>
        <v>0</v>
      </c>
      <c r="EV245" s="235"/>
      <c r="EW245" s="239">
        <f>Table1[[#This Row],[PLUSTot]]*0.04248</f>
        <v>0</v>
      </c>
      <c r="EX245" s="237"/>
      <c r="EY245" s="237"/>
      <c r="EZ245" s="237"/>
      <c r="FA245" s="232">
        <f>SUM(Table1[[#This Row],[PrivQ1]:[PrivQ3]])</f>
        <v>0</v>
      </c>
      <c r="FB245" s="237"/>
      <c r="FC245" s="237"/>
      <c r="FD245" s="237"/>
      <c r="FE245" s="232">
        <f>SUM(Table1[[#This Row],[TOQ1]:[TOQ3]])</f>
        <v>0</v>
      </c>
      <c r="FF245" s="237"/>
      <c r="FG245" s="237"/>
      <c r="FH245" s="237"/>
      <c r="FI245" s="232">
        <f>SUM(Table1[[#This Row],[OFundQ1]:[OFundQ3]])</f>
        <v>0</v>
      </c>
      <c r="FJ245" s="239">
        <f>(Table1[[#This Row],[SubTot]]-Table1[[#This Row],[SubFee]])+(Table1[[#This Row],[UnsubTot]]-Table1[[#This Row],[UnsubFee]])+(Table1[[#This Row],[PLUSTot]]-Table1[[#This Row],[PLUSFee]])+Table1[[#This Row],[PrivTot]]+Table1[[#This Row],[TOTot]]+Table1[[#This Row],[OFundTot]]</f>
        <v>1978.76</v>
      </c>
      <c r="FK245" s="125" t="e">
        <f>Table1[[#This Row],[CostTot]]-Table1[[#This Row],[GiftTot]]</f>
        <v>#N/A</v>
      </c>
      <c r="FL245" s="130" t="e">
        <f>Table1[[#This Row],[NetNeed]]/(1-0.04248)</f>
        <v>#N/A</v>
      </c>
      <c r="FM245" s="131" t="e">
        <f>Table1[[#This Row],[NetCost]]-Table1[[#This Row],[CashTot]]-(Table1[[#This Row],[SubTot]]-Table1[[#This Row],[SubFee]])-(Table1[[#This Row],[UnsubTot]]-Table1[[#This Row],[UnsubFee]])-(Table1[[#This Row],[PLUSTot]]-Table1[[#This Row],[PLUSFee]])-Table1[[#This Row],[PrivTot]]-Table1[[#This Row],[TOTot]]-Table1[[#This Row],[OFundTot]]</f>
        <v>#N/A</v>
      </c>
      <c r="FN245" s="156"/>
      <c r="FO245" s="113"/>
      <c r="FP245" s="113"/>
    </row>
    <row r="246" spans="1:172" x14ac:dyDescent="0.2">
      <c r="A246" s="112"/>
      <c r="B246" s="113" t="e">
        <f>VLOOKUP(Table1[[#This Row],[SyStudentId]],SSR!$A$2:$CC$4982,4,FALSE)</f>
        <v>#N/A</v>
      </c>
      <c r="C246" s="113" t="e">
        <f>VLOOKUP(Table1[[#This Row],[SyStudentId]],SSR!$A$2:$CC$4982,5,FALSE)</f>
        <v>#N/A</v>
      </c>
      <c r="D246" s="113" t="e">
        <f>VLOOKUP(Table1[[#This Row],[SyStudentId]],SSR!$A$2:$CC$4982,6,FALSE)</f>
        <v>#N/A</v>
      </c>
      <c r="E246" s="113"/>
      <c r="F246" s="112"/>
      <c r="G246" s="114"/>
      <c r="H246" s="114"/>
      <c r="I246" s="114"/>
      <c r="J246" s="115"/>
      <c r="K246" s="116"/>
      <c r="L246" s="112" t="str">
        <f>IFERROR(VLOOKUP(Table1[[#This Row],[SyStudentId]],ISIR!$A$2:$X$999,11,FALSE),"")</f>
        <v/>
      </c>
      <c r="M246" s="113" t="e">
        <f>VLOOKUP(Table1[[#This Row],[SyStudentId]],SSR!$A$2:$CC$4982,7,FALSE)</f>
        <v>#N/A</v>
      </c>
      <c r="N246" s="113" t="e">
        <f>VLOOKUP(Table1[[#This Row],[SyStudentId]],SSR!$A$2:$CC$4982,8,FALSE)</f>
        <v>#N/A</v>
      </c>
      <c r="O246" s="113" t="e">
        <f>VLOOKUP(Table1[[#This Row],[SyStudentId]],SSR!$A$2:$CC$4982,9,FALSE)</f>
        <v>#N/A</v>
      </c>
      <c r="P246" s="113" t="e">
        <f>VLOOKUP(Table1[[#This Row],[SyStudentId]],SSR!$A$2:$CC$4982,10,FALSE)</f>
        <v>#N/A</v>
      </c>
      <c r="Q246" s="117" t="e">
        <f>VLOOKUP(Table1[[#This Row],[SyStudentId]],SSR!$A$2:$CC$4982,11,FALSE)</f>
        <v>#N/A</v>
      </c>
      <c r="R246" s="118" t="e">
        <f>VLOOKUP(Table1[[#This Row],[SyStudentId]],SSR!$A$2:$CC$4982,15,FALSE)</f>
        <v>#N/A</v>
      </c>
      <c r="S246" s="119" t="e">
        <f>VLOOKUP(Table1[[#This Row],[SyStudentId]],SSR!$A$2:$CC$4982,22,FALSE)</f>
        <v>#N/A</v>
      </c>
      <c r="T246" s="113" t="e">
        <f>VLOOKUP(Table1[[#This Row],[SyStudentId]],SSR!$A$2:$CC$4982,24,FALSE)</f>
        <v>#N/A</v>
      </c>
      <c r="U246" s="113" t="e">
        <f>IF(VLOOKUP(Table1[[#This Row],[SyStudentId]],SSR!$A$2:$CC$4982,26,FALSE)=0,"Not Selected",VLOOKUP(Table1[[#This Row],[SyStudentId]],SSR!$A$2:$CC$4982,26,FALSE))</f>
        <v>#N/A</v>
      </c>
      <c r="V246" s="113" t="e">
        <f>VLOOKUP(Table1[[#This Row],[SyStudentId]],SSR!$A$2:$CC$4982,27,FALSE)</f>
        <v>#N/A</v>
      </c>
      <c r="W246" s="113" t="e">
        <f>VLOOKUP(LEFT(Table1[[#This Row],[LastName]],1),Alpha!$A$1:$B$26,2,FALSE)</f>
        <v>#N/A</v>
      </c>
      <c r="X246" s="149" t="e">
        <f>VLOOKUP(Table1[[#This Row],[FAA]],Alpha!$B$1:$D$26,2,FALSE)</f>
        <v>#N/A</v>
      </c>
      <c r="Y246" s="113" t="e">
        <f>VLOOKUP(Table1[[#This Row],[FAA]],Alpha!$B$1:$D$26,3,FALSE)</f>
        <v>#N/A</v>
      </c>
      <c r="Z246" s="113" t="e">
        <f>VLOOKUP(Table1[[#This Row],[SyStudentId]],SSR!$A$2:$CC$4982,30,FALSE)</f>
        <v>#N/A</v>
      </c>
      <c r="AA246" s="113" t="e">
        <f>IF(VLOOKUP(Table1[[#This Row],[SyStudentId]],SSR!$A$2:$CC$4982,36,FALSE)="Bachelor of Science","BS Computer Science","Check Program")</f>
        <v>#N/A</v>
      </c>
      <c r="AB246" s="113" t="e">
        <f>VLOOKUP(Table1[[#This Row],[SyStudentId]],SSR!$A$2:$CC$4982,37,FALSE)</f>
        <v>#N/A</v>
      </c>
      <c r="AC246" s="113" t="e">
        <f>VLOOKUP(Table1[[#This Row],[SyStudentId]],SSR!$A$2:$CC$4982,42,FALSE)</f>
        <v>#N/A</v>
      </c>
      <c r="AD246" s="113" t="e">
        <f>VLOOKUP(Table1[[#This Row],[SyStudentId]],SSR!$A$2:$CC$4982,46,FALSE)</f>
        <v>#N/A</v>
      </c>
      <c r="AE246" s="113" t="e">
        <f>VLOOKUP(Table1[[#This Row],[SyStudentId]],SSR!$A$2:$CC$4982,65,FALSE)</f>
        <v>#N/A</v>
      </c>
      <c r="AF246" s="120" t="e">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#N/A</v>
      </c>
      <c r="AG246" s="113" t="e">
        <f>VLOOKUP(Table1[[#This Row],[SyStudentId]],SSR!$A$2:$CC$4982,66,FALSE)</f>
        <v>#N/A</v>
      </c>
      <c r="AH246" s="113" t="str">
        <f>IFERROR(VLOOKUP(Table1[[#This Row],[SyStudentId]],ISIR!$A$2:$X$999,7,FALSE),"")</f>
        <v/>
      </c>
      <c r="AI246" s="121" t="str">
        <f>IF(Table1[[#This Row],[EFCRaw]]="","",IF(Table1[[#This Row],[EFCRaw]]="No EFC","No EFC",_xlfn.NUMBERVALUE(Table1[[#This Row],[EFCRaw]])))</f>
        <v/>
      </c>
      <c r="AJ246" s="119" t="str">
        <f>IFERROR(VLOOKUP(Table1[[#This Row],[SyStudentId]],ISIR!$A$2:$X$4999,19,FALSE),"")</f>
        <v/>
      </c>
      <c r="AK246" s="113" t="str">
        <f>IFERROR(VLOOKUP(Table1[[#This Row],[SyStudentId]],ISIR!$A$2:$X$4999,8,FALSE),"")</f>
        <v/>
      </c>
      <c r="AL246" s="156" t="str">
        <f>IF(Table1[[#This Row],[VerReq]]="N","n/a","")</f>
        <v/>
      </c>
      <c r="AM246" s="122"/>
      <c r="AN246" s="122"/>
      <c r="AO246" s="122"/>
      <c r="AP246" s="122"/>
      <c r="AQ246" s="122"/>
      <c r="AR246" s="122"/>
      <c r="AS246" s="122"/>
      <c r="AT246" s="122"/>
      <c r="AU246" s="122"/>
      <c r="AV246" s="122"/>
      <c r="AW246" s="122"/>
      <c r="AX246" s="122"/>
      <c r="AY246" s="122"/>
      <c r="AZ246" s="122"/>
      <c r="BA246" s="122"/>
      <c r="BB246" s="122"/>
      <c r="BC246" s="148"/>
      <c r="BD246" s="140" t="str">
        <f>IF(Table1[[#This Row],[VerReq]]="N","x","")</f>
        <v/>
      </c>
      <c r="BE246" s="140" t="str">
        <f>IF(Table1[[#This Row],[VerReq]]="N","x","")</f>
        <v/>
      </c>
      <c r="BF246" s="140" t="str">
        <f>IF(Table1[[#This Row],[VerReq]]="N","x","")</f>
        <v/>
      </c>
      <c r="BG246" s="140" t="str">
        <f>IF(Table1[[#This Row],[VerReq]]="N","x","")</f>
        <v/>
      </c>
      <c r="BH246" s="140" t="str">
        <f>IF(Table1[[#This Row],[VerReq]]="N","x","")</f>
        <v/>
      </c>
      <c r="BI246" s="140" t="str">
        <f>IF(Table1[[#This Row],[VerReq]]="N","x","")</f>
        <v/>
      </c>
      <c r="BJ246" s="123">
        <f>1-((COUNTBLANK(Table1[[#This Row],[ALESent]:[TaxTran]]))/(COUNT(Table1[[#This Row],[ALESent]:[TaxTran]])+COUNTBLANK(Table1[[#This Row],[ALESent]:[TaxTran]])))</f>
        <v>0</v>
      </c>
      <c r="BK246" s="150" t="e">
        <f>IF(VLOOKUP(Table1[[#This Row],[SyStudentId]],SSR!$A$2:$CC$4982,22,FALSE)=44109,44109,"Check Program")</f>
        <v>#N/A</v>
      </c>
      <c r="BL246" s="150" t="e">
        <f>IF(Table1[[#This Row],[AYStart]]=44109,44356,"Check Program")</f>
        <v>#N/A</v>
      </c>
      <c r="BM246" s="219"/>
      <c r="BN246" s="219"/>
      <c r="BO246" s="219"/>
      <c r="BP246" s="220">
        <f>SUM(BM246:BO246)</f>
        <v>0</v>
      </c>
      <c r="BQ246" s="221"/>
      <c r="BR246" s="219"/>
      <c r="BS246" s="219"/>
      <c r="BT246" s="220">
        <f>SUM(BQ246:BS246)</f>
        <v>0</v>
      </c>
      <c r="BU246" s="219"/>
      <c r="BV246" s="219"/>
      <c r="BW246" s="219"/>
      <c r="BX246" s="220">
        <f>SUM(BU246:BW246)</f>
        <v>0</v>
      </c>
      <c r="BY246" s="269"/>
      <c r="BZ246" s="269"/>
      <c r="CA246" s="269"/>
      <c r="CB246" s="220">
        <f>SUM(Table1[[#This Row],[LEQ1]:[LEQ3]])</f>
        <v>0</v>
      </c>
      <c r="CC246" s="269"/>
      <c r="CD246" s="269"/>
      <c r="CE246" s="269"/>
      <c r="CF246" s="220">
        <f>SUM(Table1[[#This Row],[OthCostQ1]:[OthCostQ3]])</f>
        <v>0</v>
      </c>
      <c r="CG246" s="220">
        <f>(Table1[[#This Row],[T&amp;FTot]]+Table1[[#This Row],[B&amp;STot]]+Table1[[#This Row],[HousTot]]+Table1[[#This Row],[LETot]]+Table1[[#This Row],[OthCostTot]])</f>
        <v>0</v>
      </c>
      <c r="CH246" s="250"/>
      <c r="CI246" s="250"/>
      <c r="CJ246" s="250"/>
      <c r="CK246" s="251">
        <f>SUM(Table1[[#This Row],[SEOGQ1]:[SEOGQ3]])</f>
        <v>0</v>
      </c>
      <c r="CL246" s="250">
        <f>IFERROR(ROUNDUP(Table1[[#This Row],[PellTot]]/3,0),0)</f>
        <v>0</v>
      </c>
      <c r="CM246" s="250">
        <f>IFERROR(ROUND(Table1[[#This Row],[PellTot]]/3,0),0)</f>
        <v>0</v>
      </c>
      <c r="CN246" s="250">
        <f>IFERROR(ROUNDDOWN(Table1[[#This Row],[PellTot]]/3,0),0)</f>
        <v>0</v>
      </c>
      <c r="CO246" s="251">
        <f>IFERROR(LOOKUP(Table1[EFC],Pell_Table[#Data],Pell_Table[Pell Amt]),0)</f>
        <v>0</v>
      </c>
      <c r="CP246" s="250">
        <f>Table1[[#This Row],[AccessTot]]/3</f>
        <v>0</v>
      </c>
      <c r="CQ246" s="250">
        <f>Table1[[#This Row],[AccessTot]]/3</f>
        <v>0</v>
      </c>
      <c r="CR246" s="250">
        <f>Table1[[#This Row],[AccessTot]]/3</f>
        <v>0</v>
      </c>
      <c r="CS246" s="251">
        <f>IF(Table1[[#This Row],[PellTot]]&gt;0,1500,0)</f>
        <v>0</v>
      </c>
      <c r="CT246" s="250" t="e">
        <f>Table1[[#This Row],[AchiTot]]/3</f>
        <v>#N/A</v>
      </c>
      <c r="CU246" s="250" t="e">
        <f>Table1[[#This Row],[AchiTot]]/3</f>
        <v>#N/A</v>
      </c>
      <c r="CV246" s="250" t="e">
        <f>Table1[[#This Row],[AchiTot]]/3</f>
        <v>#N/A</v>
      </c>
      <c r="CW246" s="252" t="e">
        <f>IF(Table1[[#This Row],[Rank]]="","",IF(Table1[[#This Row],[Rank]]=1,5100,IF(Table1[[#This Row],[Rank]]=2,4500,IF(Table1[[#This Row],[Rank]]=3,3900,IF(Table1[[#This Row],[Rank]]=4,3750,IF(Table1[[#This Row],[Rank]]=5,3000,IF(Table1[[#This Row],[Rank]]=6,2250,0)))))))</f>
        <v>#N/A</v>
      </c>
      <c r="CX246" s="250" t="e">
        <f>Table1[[#This Row],[UTTot]]/3</f>
        <v>#N/A</v>
      </c>
      <c r="CY246" s="250" t="e">
        <f>Table1[[#This Row],[UTTot]]/3</f>
        <v>#N/A</v>
      </c>
      <c r="CZ246" s="250" t="e">
        <f>Table1[[#This Row],[UTTot]]/3</f>
        <v>#N/A</v>
      </c>
      <c r="DA246" s="251" t="e">
        <f>IF(Table1[[#This Row],[State]]="UT",9000,0)</f>
        <v>#N/A</v>
      </c>
      <c r="DB246" s="250" t="e">
        <f>Table1[[#This Row],[WITTot]]/3</f>
        <v>#N/A</v>
      </c>
      <c r="DC246" s="250" t="e">
        <f>Table1[[#This Row],[WITTot]]/3</f>
        <v>#N/A</v>
      </c>
      <c r="DD246" s="250" t="e">
        <f>Table1[[#This Row],[WITTot]]/3</f>
        <v>#N/A</v>
      </c>
      <c r="DE246" s="251" t="e">
        <f>IF(Table1[[#This Row],[Gender]]="Female",3000,0)</f>
        <v>#N/A</v>
      </c>
      <c r="DF246" s="250">
        <f>Table1[[#This Row],[SerTot]]/3</f>
        <v>0</v>
      </c>
      <c r="DG246" s="250">
        <f>Table1[[#This Row],[SerTot]]/3</f>
        <v>0</v>
      </c>
      <c r="DH246" s="250">
        <f>Table1[[#This Row],[SerTot]]/3</f>
        <v>0</v>
      </c>
      <c r="DI246" s="252"/>
      <c r="DJ246" s="250"/>
      <c r="DK246" s="250"/>
      <c r="DL246" s="250"/>
      <c r="DM246" s="252"/>
      <c r="DN246" s="250">
        <f>Table1[[#This Row],[MatTot]]/3</f>
        <v>0</v>
      </c>
      <c r="DO246" s="250">
        <f>Table1[[#This Row],[MatTot]]/3</f>
        <v>0</v>
      </c>
      <c r="DP246" s="250">
        <f>Table1[[#This Row],[MatTot]]/3</f>
        <v>0</v>
      </c>
      <c r="DQ246" s="252"/>
      <c r="DR246" s="250">
        <f>Table1[[#This Row],[OutTot]]/3</f>
        <v>0</v>
      </c>
      <c r="DS246" s="250">
        <f>Table1[[#This Row],[OutTot]]/3</f>
        <v>0</v>
      </c>
      <c r="DT246" s="250">
        <f>Table1[[#This Row],[OutTot]]/3</f>
        <v>0</v>
      </c>
      <c r="DU246" s="252"/>
      <c r="DV246" s="250"/>
      <c r="DW246" s="250"/>
      <c r="DX246" s="250"/>
      <c r="DY246" s="252">
        <f>SUM(Table1[[#This Row],[VAQ1]:[VAQ3]])</f>
        <v>0</v>
      </c>
      <c r="DZ246" s="250"/>
      <c r="EA246" s="250"/>
      <c r="EB246" s="250"/>
      <c r="EC246" s="270">
        <f>SUM(Table1[[#This Row],[OthGrantQ1]:[OthGrantQ3]])</f>
        <v>0</v>
      </c>
      <c r="ED246" s="263" t="e">
        <f>Table1[[#This Row],[SEOGTot]]+Table1[[#This Row],[PellTot]]+Table1[[#This Row],[AccessTot]]+Table1[[#This Row],[AchiTot]]+Table1[[#This Row],[UTTot]]+Table1[[#This Row],[WITTot]]+Table1[[#This Row],[SerTot]]+Table1[[#This Row],[TranTot]]+Table1[[#This Row],[MatTot]]+Table1[[#This Row],[OutTot]]+Table1[[#This Row],[VATot]]+Table1[[#This Row],[OthGrantTot]]</f>
        <v>#N/A</v>
      </c>
      <c r="EE246" s="282"/>
      <c r="EF246" s="237"/>
      <c r="EG246" s="237"/>
      <c r="EH246" s="232">
        <f>SUM(Table1[[#This Row],[CashQ1]]:Table1[[#This Row],[CashQ3]])</f>
        <v>0</v>
      </c>
      <c r="EI246" s="271">
        <f>ROUND((Table1[[#This Row],[SubTot]]/3)/1.01059,0)</f>
        <v>0</v>
      </c>
      <c r="EJ246" s="234">
        <f>ROUND((Table1[[#This Row],[SubTot]]/3)/1.01059,0)</f>
        <v>0</v>
      </c>
      <c r="EK246" s="234">
        <f>ROUNDUP((Table1[[#This Row],[SubTot]]/3)/1.01059,0)</f>
        <v>0</v>
      </c>
      <c r="EL246" s="235"/>
      <c r="EM246" s="240">
        <f>Table1[[#This Row],[SubTot]]*0.01059</f>
        <v>0</v>
      </c>
      <c r="EN246" s="234">
        <f>ROUND((Table1[[#This Row],[UnsubTot]]/3)/1.01062,0)</f>
        <v>660</v>
      </c>
      <c r="EO246" s="234">
        <f>ROUND((Table1[[#This Row],[UnsubTot]]/3)/1.01062,0)</f>
        <v>660</v>
      </c>
      <c r="EP246" s="234">
        <f>ROUNDDOWN((Table1[[#This Row],[UnsubTot]]/3)/1.01062,0)</f>
        <v>659</v>
      </c>
      <c r="EQ246" s="235">
        <f>IF(Table1[D/I]="I",6000,2000)</f>
        <v>2000</v>
      </c>
      <c r="ER246" s="240">
        <f>Table1[[#This Row],[UnsubTot]]*0.01062</f>
        <v>21.24</v>
      </c>
      <c r="ES246" s="234">
        <f>ROUND((Table1[[#This Row],[PLUSTot]]/3)/1.04248,0)</f>
        <v>0</v>
      </c>
      <c r="ET246" s="234">
        <f>ROUND((Table1[[#This Row],[PLUSTot]]/3)/1.04248,0)</f>
        <v>0</v>
      </c>
      <c r="EU246" s="234">
        <f>ROUND((Table1[[#This Row],[PLUSTot]]/3)/1.04248,0)</f>
        <v>0</v>
      </c>
      <c r="EV246" s="235"/>
      <c r="EW246" s="239">
        <f>Table1[[#This Row],[PLUSTot]]*0.04248</f>
        <v>0</v>
      </c>
      <c r="EX246" s="237"/>
      <c r="EY246" s="237"/>
      <c r="EZ246" s="237"/>
      <c r="FA246" s="232">
        <f>SUM(Table1[[#This Row],[PrivQ1]:[PrivQ3]])</f>
        <v>0</v>
      </c>
      <c r="FB246" s="237"/>
      <c r="FC246" s="237"/>
      <c r="FD246" s="237"/>
      <c r="FE246" s="232">
        <f>SUM(Table1[[#This Row],[TOQ1]:[TOQ3]])</f>
        <v>0</v>
      </c>
      <c r="FF246" s="237"/>
      <c r="FG246" s="237"/>
      <c r="FH246" s="237"/>
      <c r="FI246" s="232">
        <f>SUM(Table1[[#This Row],[OFundQ1]:[OFundQ3]])</f>
        <v>0</v>
      </c>
      <c r="FJ246" s="239">
        <f>(Table1[[#This Row],[SubTot]]-Table1[[#This Row],[SubFee]])+(Table1[[#This Row],[UnsubTot]]-Table1[[#This Row],[UnsubFee]])+(Table1[[#This Row],[PLUSTot]]-Table1[[#This Row],[PLUSFee]])+Table1[[#This Row],[PrivTot]]+Table1[[#This Row],[TOTot]]+Table1[[#This Row],[OFundTot]]</f>
        <v>1978.76</v>
      </c>
      <c r="FK246" s="125" t="e">
        <f>Table1[[#This Row],[CostTot]]-Table1[[#This Row],[GiftTot]]</f>
        <v>#N/A</v>
      </c>
      <c r="FL246" s="130" t="e">
        <f>Table1[[#This Row],[NetNeed]]/(1-0.04248)</f>
        <v>#N/A</v>
      </c>
      <c r="FM246" s="131" t="e">
        <f>Table1[[#This Row],[NetCost]]-Table1[[#This Row],[CashTot]]-(Table1[[#This Row],[SubTot]]-Table1[[#This Row],[SubFee]])-(Table1[[#This Row],[UnsubTot]]-Table1[[#This Row],[UnsubFee]])-(Table1[[#This Row],[PLUSTot]]-Table1[[#This Row],[PLUSFee]])-Table1[[#This Row],[PrivTot]]-Table1[[#This Row],[TOTot]]-Table1[[#This Row],[OFundTot]]</f>
        <v>#N/A</v>
      </c>
      <c r="FN246" s="156"/>
      <c r="FO246" s="113"/>
      <c r="FP246" s="113"/>
    </row>
    <row r="247" spans="1:172" ht="15" x14ac:dyDescent="0.25">
      <c r="A247" s="329">
        <v>196428</v>
      </c>
      <c r="B247" s="113" t="str">
        <f>VLOOKUP(Table1[[#This Row],[SyStudentId]],SSR!$A$2:$CC$4982,4,FALSE)</f>
        <v>Wright</v>
      </c>
      <c r="C247" s="113" t="str">
        <f>VLOOKUP(Table1[[#This Row],[SyStudentId]],SSR!$A$2:$CC$4982,5,FALSE)</f>
        <v>Tristan</v>
      </c>
      <c r="D247" s="113" t="str">
        <f>VLOOKUP(Table1[[#This Row],[SyStudentId]],SSR!$A$2:$CC$4982,6,FALSE)</f>
        <v>Wright, Tristan</v>
      </c>
      <c r="E247" s="113"/>
      <c r="F247" s="112"/>
      <c r="G247" s="114"/>
      <c r="H247" s="114"/>
      <c r="I247" s="114"/>
      <c r="J247" s="115"/>
      <c r="K247" s="116"/>
      <c r="L247" s="112" t="str">
        <f>IFERROR(VLOOKUP(Table1[[#This Row],[SyStudentId]],ISIR!$A$2:$X$999,11,FALSE),"")</f>
        <v/>
      </c>
      <c r="M247" s="113" t="str">
        <f>VLOOKUP(Table1[[#This Row],[SyStudentId]],SSR!$A$2:$CC$4982,7,FALSE)</f>
        <v>wrighttristan02@gmail.com</v>
      </c>
      <c r="N247" s="113" t="str">
        <f>VLOOKUP(Table1[[#This Row],[SyStudentId]],SSR!$A$2:$CC$4982,8,FALSE)</f>
        <v>505 N Ocotillo St</v>
      </c>
      <c r="O247" s="113" t="str">
        <f>VLOOKUP(Table1[[#This Row],[SyStudentId]],SSR!$A$2:$CC$4982,9,FALSE)</f>
        <v>Cottonwood</v>
      </c>
      <c r="P247" s="113" t="str">
        <f>VLOOKUP(Table1[[#This Row],[SyStudentId]],SSR!$A$2:$CC$4982,10,FALSE)</f>
        <v>AZ</v>
      </c>
      <c r="Q247" s="117" t="str">
        <f>VLOOKUP(Table1[[#This Row],[SyStudentId]],SSR!$A$2:$CC$4982,11,FALSE)</f>
        <v xml:space="preserve">86326     </v>
      </c>
      <c r="R247" s="118">
        <f>VLOOKUP(Table1[[#This Row],[SyStudentId]],SSR!$A$2:$CC$4982,15,FALSE)</f>
        <v>3.5</v>
      </c>
      <c r="S247" s="119">
        <f>VLOOKUP(Table1[[#This Row],[SyStudentId]],SSR!$A$2:$CC$4982,22,FALSE)</f>
        <v>44109</v>
      </c>
      <c r="T247" s="113" t="str">
        <f>VLOOKUP(Table1[[#This Row],[SyStudentId]],SSR!$A$2:$CC$4982,24,FALSE)</f>
        <v>JT</v>
      </c>
      <c r="U247" s="113" t="str">
        <f>IF(VLOOKUP(Table1[[#This Row],[SyStudentId]],SSR!$A$2:$CC$4982,26,FALSE)=0,"Not Selected",VLOOKUP(Table1[[#This Row],[SyStudentId]],SSR!$A$2:$CC$4982,26,FALSE))</f>
        <v>Male</v>
      </c>
      <c r="V247" s="113" t="str">
        <f>VLOOKUP(Table1[[#This Row],[SyStudentId]],SSR!$A$2:$CC$4982,27,FALSE)</f>
        <v xml:space="preserve">HS2020  </v>
      </c>
      <c r="W247" s="113" t="str">
        <f>VLOOKUP(LEFT(Table1[[#This Row],[LastName]],1),Alpha!$A$1:$B$26,2,FALSE)</f>
        <v>Maureen Ranks</v>
      </c>
      <c r="X247" s="149" t="str">
        <f>VLOOKUP(Table1[[#This Row],[FAA]],Alpha!$B$1:$D$26,2,FALSE)</f>
        <v>mranks@neumont.edu</v>
      </c>
      <c r="Y247" s="113">
        <f>VLOOKUP(Table1[[#This Row],[FAA]],Alpha!$B$1:$D$26,3,FALSE)</f>
        <v>8883022894</v>
      </c>
      <c r="Z247" s="113" t="str">
        <f>VLOOKUP(Table1[[#This Row],[SyStudentId]],SSR!$A$2:$CC$4982,30,FALSE)</f>
        <v>16-Accepted</v>
      </c>
      <c r="AA247" s="113" t="str">
        <f>IF(VLOOKUP(Table1[[#This Row],[SyStudentId]],SSR!$A$2:$CC$4982,36,FALSE)="Bachelor of Science","BS Computer Science","Check Program")</f>
        <v>BS Computer Science</v>
      </c>
      <c r="AB247" s="113">
        <f>VLOOKUP(Table1[[#This Row],[SyStudentId]],SSR!$A$2:$CC$4982,37,FALSE)</f>
        <v>0</v>
      </c>
      <c r="AC247" s="113" t="str">
        <f>VLOOKUP(Table1[[#This Row],[SyStudentId]],SSR!$A$2:$CC$4982,42,FALSE)</f>
        <v xml:space="preserve">1090    </v>
      </c>
      <c r="AD247" s="113" t="str">
        <f>VLOOKUP(Table1[[#This Row],[SyStudentId]],SSR!$A$2:$CC$4982,46,FALSE)</f>
        <v>111</v>
      </c>
      <c r="AE247" s="113" t="str">
        <f>VLOOKUP(Table1[[#This Row],[SyStudentId]],SSR!$A$2:$CC$4982,65,FALSE)</f>
        <v>V</v>
      </c>
      <c r="AF247" s="120">
        <f>IF(Table1[[#This Row],[AccRating]]="I",1,IF(Table1[[#This Row],[AccRating]]="II",2,IF(Table1[[#This Row],[AccRating]]="III",3,IF(Table1[[#This Row],[AccRating]]="IV",4,IF(Table1[[#This Row],[AccRating]]="V",5,IF(Table1[[#This Row],[AccRating]]="VI",6,IF(Table1[[#This Row],[AccRating]]="VII",7,IF(Table1[[#This Row],[AccRating]]="VIII",8,IF(Table1[[#This Row],[AccRating]]="IX",9,IF(Table1[[#This Row],[AccRating]]="X",10,IF(Table1[[#This Row],[AccRating]]="XI",11,IF(Table1[[#This Row],[AccRating]]="XII",12,IF(Table1[[#This Row],[AccRating]]="XIII",13,IF(Table1[[#This Row],[AccRating]]="XIV",14,IF(Table1[[#This Row],[AccRating]]="XV",15,"")))))))))))))))</f>
        <v>5</v>
      </c>
      <c r="AG247" s="113" t="str">
        <f>VLOOKUP(Table1[[#This Row],[SyStudentId]],SSR!$A$2:$CC$4982,66,FALSE)</f>
        <v>December</v>
      </c>
      <c r="AH247" s="113" t="str">
        <f>IFERROR(VLOOKUP(Table1[[#This Row],[SyStudentId]],ISIR!$A$2:$X$999,7,FALSE),"")</f>
        <v/>
      </c>
      <c r="AI247" s="121" t="str">
        <f>IF(Table1[[#This Row],[EFCRaw]]="","",IF(Table1[[#This Row],[EFCRaw]]="No EFC","No EFC",_xlfn.NUMBERVALUE(Table1[[#This Row],[EFCRaw]])))</f>
        <v/>
      </c>
      <c r="AJ247" s="119" t="str">
        <f>IFERROR(VLOOKUP(Table1[[#This Row],[SyStudentId]],ISIR!$A$2:$X$4999,19,FALSE),"")</f>
        <v/>
      </c>
      <c r="AK247" s="113" t="str">
        <f>IFERROR(VLOOKUP(Table1[[#This Row],[SyStudentId]],ISIR!$A$2:$X$4999,8,FALSE),"")</f>
        <v/>
      </c>
      <c r="AL247" s="156" t="str">
        <f>IF(Table1[[#This Row],[VerReq]]="N","n/a","")</f>
        <v/>
      </c>
      <c r="AM247" s="122"/>
      <c r="AN247" s="122"/>
      <c r="AO247" s="122"/>
      <c r="AP247" s="122"/>
      <c r="AQ247" s="122"/>
      <c r="AR247" s="122"/>
      <c r="AS247" s="122"/>
      <c r="AT247" s="122"/>
      <c r="AU247" s="122"/>
      <c r="AV247" s="122"/>
      <c r="AW247" s="122"/>
      <c r="AX247" s="122"/>
      <c r="AY247" s="122"/>
      <c r="AZ247" s="122"/>
      <c r="BA247" s="122"/>
      <c r="BB247" s="122"/>
      <c r="BC247" s="148"/>
      <c r="BD247" s="140" t="str">
        <f>IF(Table1[[#This Row],[VerReq]]="N","x","")</f>
        <v/>
      </c>
      <c r="BE247" s="140" t="str">
        <f>IF(Table1[[#This Row],[VerReq]]="N","x","")</f>
        <v/>
      </c>
      <c r="BF247" s="140" t="str">
        <f>IF(Table1[[#This Row],[VerReq]]="N","x","")</f>
        <v/>
      </c>
      <c r="BG247" s="140" t="str">
        <f>IF(Table1[[#This Row],[VerReq]]="N","x","")</f>
        <v/>
      </c>
      <c r="BH247" s="140" t="str">
        <f>IF(Table1[[#This Row],[VerReq]]="N","x","")</f>
        <v/>
      </c>
      <c r="BI247" s="140" t="str">
        <f>IF(Table1[[#This Row],[VerReq]]="N","x","")</f>
        <v/>
      </c>
      <c r="BJ247" s="123">
        <f>1-((COUNTBLANK(Table1[[#This Row],[ALESent]:[TaxTran]]))/(COUNT(Table1[[#This Row],[ALESent]:[TaxTran]])+COUNTBLANK(Table1[[#This Row],[ALESent]:[TaxTran]])))</f>
        <v>0</v>
      </c>
      <c r="BK247" s="150">
        <f>IF(VLOOKUP(Table1[[#This Row],[SyStudentId]],SSR!$A$2:$CC$4982,22,FALSE)=44109,44109,"Check Program")</f>
        <v>44109</v>
      </c>
      <c r="BL247" s="150">
        <f>IF(Table1[[#This Row],[AYStart]]=44109,44356,"Check Program")</f>
        <v>44356</v>
      </c>
      <c r="BM247" s="219"/>
      <c r="BN247" s="219"/>
      <c r="BO247" s="219"/>
      <c r="BP247" s="220">
        <f t="shared" si="12"/>
        <v>0</v>
      </c>
      <c r="BQ247" s="221"/>
      <c r="BR247" s="219"/>
      <c r="BS247" s="219"/>
      <c r="BT247" s="220">
        <f t="shared" si="13"/>
        <v>0</v>
      </c>
      <c r="BU247" s="219"/>
      <c r="BV247" s="219"/>
      <c r="BW247" s="219"/>
      <c r="BX247" s="220">
        <f t="shared" si="14"/>
        <v>0</v>
      </c>
      <c r="BY247" s="269"/>
      <c r="BZ247" s="269"/>
      <c r="CA247" s="269"/>
      <c r="CB247" s="220">
        <f>SUM(Table1[[#This Row],[LEQ1]:[LEQ3]])</f>
        <v>0</v>
      </c>
      <c r="CC247" s="269"/>
      <c r="CD247" s="269"/>
      <c r="CE247" s="269"/>
      <c r="CF247" s="220">
        <f>SUM(Table1[[#This Row],[OthCostQ1]:[OthCostQ3]])</f>
        <v>0</v>
      </c>
      <c r="CG247" s="220">
        <f>(Table1[[#This Row],[T&amp;FTot]]+Table1[[#This Row],[B&amp;STot]]+Table1[[#This Row],[HousTot]]+Table1[[#This Row],[LETot]]+Table1[[#This Row],[OthCostTot]])</f>
        <v>0</v>
      </c>
      <c r="CH247" s="250"/>
      <c r="CI247" s="250"/>
      <c r="CJ247" s="250"/>
      <c r="CK247" s="251">
        <f>SUM(Table1[[#This Row],[SEOGQ1]:[SEOGQ3]])</f>
        <v>0</v>
      </c>
      <c r="CL247" s="250">
        <f>IFERROR(ROUNDUP(Table1[[#This Row],[PellTot]]/3,0),0)</f>
        <v>0</v>
      </c>
      <c r="CM247" s="250">
        <f>IFERROR(ROUND(Table1[[#This Row],[PellTot]]/3,0),0)</f>
        <v>0</v>
      </c>
      <c r="CN247" s="250">
        <f>IFERROR(ROUNDDOWN(Table1[[#This Row],[PellTot]]/3,0),0)</f>
        <v>0</v>
      </c>
      <c r="CO247" s="251">
        <f>IFERROR(LOOKUP(Table1[EFC],Pell_Table[#Data],Pell_Table[Pell Amt]),0)</f>
        <v>0</v>
      </c>
      <c r="CP247" s="250">
        <f>Table1[[#This Row],[AccessTot]]/3</f>
        <v>0</v>
      </c>
      <c r="CQ247" s="250">
        <f>Table1[[#This Row],[AccessTot]]/3</f>
        <v>0</v>
      </c>
      <c r="CR247" s="250">
        <f>Table1[[#This Row],[AccessTot]]/3</f>
        <v>0</v>
      </c>
      <c r="CS247" s="251">
        <f>IF(Table1[[#This Row],[PellTot]]&gt;0,1500,0)</f>
        <v>0</v>
      </c>
      <c r="CT247" s="250">
        <f>Table1[[#This Row],[AchiTot]]/3</f>
        <v>1000</v>
      </c>
      <c r="CU247" s="250">
        <f>Table1[[#This Row],[AchiTot]]/3</f>
        <v>1000</v>
      </c>
      <c r="CV247" s="250">
        <f>Table1[[#This Row],[AchiTot]]/3</f>
        <v>1000</v>
      </c>
      <c r="CW247" s="252">
        <f>IF(Table1[[#This Row],[Rank]]="","",IF(Table1[[#This Row],[Rank]]=1,5100,IF(Table1[[#This Row],[Rank]]=2,4500,IF(Table1[[#This Row],[Rank]]=3,3900,IF(Table1[[#This Row],[Rank]]=4,3750,IF(Table1[[#This Row],[Rank]]=5,3000,IF(Table1[[#This Row],[Rank]]=6,2250,0)))))))</f>
        <v>3000</v>
      </c>
      <c r="CX247" s="250">
        <f>Table1[[#This Row],[UTTot]]/3</f>
        <v>0</v>
      </c>
      <c r="CY247" s="250">
        <f>Table1[[#This Row],[UTTot]]/3</f>
        <v>0</v>
      </c>
      <c r="CZ247" s="250">
        <f>Table1[[#This Row],[UTTot]]/3</f>
        <v>0</v>
      </c>
      <c r="DA247" s="251">
        <f>IF(Table1[[#This Row],[State]]="UT",9000,0)</f>
        <v>0</v>
      </c>
      <c r="DB247" s="250">
        <f>Table1[[#This Row],[WITTot]]/3</f>
        <v>0</v>
      </c>
      <c r="DC247" s="250">
        <f>Table1[[#This Row],[WITTot]]/3</f>
        <v>0</v>
      </c>
      <c r="DD247" s="250">
        <f>Table1[[#This Row],[WITTot]]/3</f>
        <v>0</v>
      </c>
      <c r="DE247" s="251">
        <f>IF(Table1[[#This Row],[Gender]]="Female",3000,0)</f>
        <v>0</v>
      </c>
      <c r="DF247" s="250">
        <f>Table1[[#This Row],[SerTot]]/3</f>
        <v>0</v>
      </c>
      <c r="DG247" s="250">
        <f>Table1[[#This Row],[SerTot]]/3</f>
        <v>0</v>
      </c>
      <c r="DH247" s="250">
        <f>Table1[[#This Row],[SerTot]]/3</f>
        <v>0</v>
      </c>
      <c r="DI247" s="252"/>
      <c r="DJ247" s="250"/>
      <c r="DK247" s="250"/>
      <c r="DL247" s="250"/>
      <c r="DM247" s="252"/>
      <c r="DN247" s="250">
        <f>Table1[[#This Row],[MatTot]]/3</f>
        <v>0</v>
      </c>
      <c r="DO247" s="250">
        <f>Table1[[#This Row],[MatTot]]/3</f>
        <v>0</v>
      </c>
      <c r="DP247" s="250">
        <f>Table1[[#This Row],[MatTot]]/3</f>
        <v>0</v>
      </c>
      <c r="DQ247" s="252"/>
      <c r="DR247" s="250">
        <f>Table1[[#This Row],[OutTot]]/3</f>
        <v>0</v>
      </c>
      <c r="DS247" s="250">
        <f>Table1[[#This Row],[OutTot]]/3</f>
        <v>0</v>
      </c>
      <c r="DT247" s="250">
        <f>Table1[[#This Row],[OutTot]]/3</f>
        <v>0</v>
      </c>
      <c r="DU247" s="252"/>
      <c r="DV247" s="250"/>
      <c r="DW247" s="250"/>
      <c r="DX247" s="250"/>
      <c r="DY247" s="252">
        <f>SUM(Table1[[#This Row],[VAQ1]:[VAQ3]])</f>
        <v>0</v>
      </c>
      <c r="DZ247" s="250"/>
      <c r="EA247" s="250"/>
      <c r="EB247" s="250"/>
      <c r="EC247" s="270">
        <f>SUM(Table1[[#This Row],[OthGrantQ1]:[OthGrantQ3]])</f>
        <v>0</v>
      </c>
      <c r="ED247" s="263">
        <f>Table1[[#This Row],[SEOGTot]]+Table1[[#This Row],[PellTot]]+Table1[[#This Row],[AccessTot]]+Table1[[#This Row],[AchiTot]]+Table1[[#This Row],[UTTot]]+Table1[[#This Row],[WITTot]]+Table1[[#This Row],[SerTot]]+Table1[[#This Row],[TranTot]]+Table1[[#This Row],[MatTot]]+Table1[[#This Row],[OutTot]]+Table1[[#This Row],[VATot]]+Table1[[#This Row],[OthGrantTot]]</f>
        <v>3000</v>
      </c>
      <c r="EE247" s="282"/>
      <c r="EF247" s="237"/>
      <c r="EG247" s="237"/>
      <c r="EH247" s="232">
        <f>SUM(Table1[[#This Row],[CashQ1]]:Table1[[#This Row],[CashQ3]])</f>
        <v>0</v>
      </c>
      <c r="EI247" s="271">
        <f>ROUND((Table1[[#This Row],[SubTot]]/3)/1.01059,0)</f>
        <v>0</v>
      </c>
      <c r="EJ247" s="234">
        <f>ROUND((Table1[[#This Row],[SubTot]]/3)/1.01059,0)</f>
        <v>0</v>
      </c>
      <c r="EK247" s="234">
        <f>ROUNDUP((Table1[[#This Row],[SubTot]]/3)/1.01059,0)</f>
        <v>0</v>
      </c>
      <c r="EL247" s="235"/>
      <c r="EM247" s="240">
        <f>Table1[[#This Row],[SubTot]]*0.01059</f>
        <v>0</v>
      </c>
      <c r="EN247" s="234">
        <f>ROUND((Table1[[#This Row],[UnsubTot]]/3)/1.01062,0)</f>
        <v>660</v>
      </c>
      <c r="EO247" s="234">
        <f>ROUND((Table1[[#This Row],[UnsubTot]]/3)/1.01062,0)</f>
        <v>660</v>
      </c>
      <c r="EP247" s="234">
        <f>ROUNDDOWN((Table1[[#This Row],[UnsubTot]]/3)/1.01062,0)</f>
        <v>659</v>
      </c>
      <c r="EQ247" s="235">
        <f>IF(Table1[D/I]="I",6000,2000)</f>
        <v>2000</v>
      </c>
      <c r="ER247" s="240">
        <f>Table1[[#This Row],[UnsubTot]]*0.01062</f>
        <v>21.24</v>
      </c>
      <c r="ES247" s="234">
        <f>ROUND((Table1[[#This Row],[PLUSTot]]/3)/1.04248,0)</f>
        <v>0</v>
      </c>
      <c r="ET247" s="234">
        <f>ROUND((Table1[[#This Row],[PLUSTot]]/3)/1.04248,0)</f>
        <v>0</v>
      </c>
      <c r="EU247" s="234">
        <f>ROUND((Table1[[#This Row],[PLUSTot]]/3)/1.04248,0)</f>
        <v>0</v>
      </c>
      <c r="EV247" s="235"/>
      <c r="EW247" s="239">
        <f>Table1[[#This Row],[PLUSTot]]*0.04248</f>
        <v>0</v>
      </c>
      <c r="EX247" s="237"/>
      <c r="EY247" s="237"/>
      <c r="EZ247" s="237"/>
      <c r="FA247" s="232">
        <f>SUM(Table1[[#This Row],[PrivQ1]:[PrivQ3]])</f>
        <v>0</v>
      </c>
      <c r="FB247" s="237"/>
      <c r="FC247" s="237"/>
      <c r="FD247" s="237"/>
      <c r="FE247" s="232">
        <f>SUM(Table1[[#This Row],[TOQ1]:[TOQ3]])</f>
        <v>0</v>
      </c>
      <c r="FF247" s="237"/>
      <c r="FG247" s="237"/>
      <c r="FH247" s="237"/>
      <c r="FI247" s="232">
        <f>SUM(Table1[[#This Row],[OFundQ1]:[OFundQ3]])</f>
        <v>0</v>
      </c>
      <c r="FJ247" s="239">
        <f>(Table1[[#This Row],[SubTot]]-Table1[[#This Row],[SubFee]])+(Table1[[#This Row],[UnsubTot]]-Table1[[#This Row],[UnsubFee]])+(Table1[[#This Row],[PLUSTot]]-Table1[[#This Row],[PLUSFee]])+Table1[[#This Row],[PrivTot]]+Table1[[#This Row],[TOTot]]+Table1[[#This Row],[OFundTot]]</f>
        <v>1978.76</v>
      </c>
      <c r="FK247" s="125">
        <f>Table1[[#This Row],[CostTot]]-Table1[[#This Row],[GiftTot]]</f>
        <v>-3000</v>
      </c>
      <c r="FL247" s="130">
        <f>Table1[[#This Row],[NetNeed]]/(1-0.04248)</f>
        <v>-5199.6407385746516</v>
      </c>
      <c r="FM247" s="131">
        <f>Table1[[#This Row],[NetCost]]-Table1[[#This Row],[CashTot]]-(Table1[[#This Row],[SubTot]]-Table1[[#This Row],[SubFee]])-(Table1[[#This Row],[UnsubTot]]-Table1[[#This Row],[UnsubFee]])-(Table1[[#This Row],[PLUSTot]]-Table1[[#This Row],[PLUSFee]])-Table1[[#This Row],[PrivTot]]-Table1[[#This Row],[TOTot]]-Table1[[#This Row],[OFundTot]]</f>
        <v>-4978.76</v>
      </c>
      <c r="FN247" s="156"/>
      <c r="FO247" s="113"/>
      <c r="FP247" s="113"/>
    </row>
    <row r="248" spans="1:172" x14ac:dyDescent="0.2">
      <c r="AL248" s="301"/>
    </row>
    <row r="249" spans="1:172" x14ac:dyDescent="0.2">
      <c r="AL249" s="301"/>
    </row>
    <row r="250" spans="1:172" x14ac:dyDescent="0.2">
      <c r="A250" s="305" t="s">
        <v>4903</v>
      </c>
      <c r="AL250" s="301"/>
    </row>
    <row r="251" spans="1:172" x14ac:dyDescent="0.2">
      <c r="A251" s="293" t="s">
        <v>4904</v>
      </c>
      <c r="AL251" s="301"/>
    </row>
    <row r="252" spans="1:172" x14ac:dyDescent="0.2">
      <c r="A252" s="247" t="s">
        <v>4905</v>
      </c>
      <c r="AL252" s="301"/>
    </row>
    <row r="253" spans="1:172" x14ac:dyDescent="0.2">
      <c r="A253" s="291" t="s">
        <v>4906</v>
      </c>
      <c r="D253" s="160"/>
      <c r="AL253" s="301"/>
    </row>
  </sheetData>
  <sheetProtection selectLockedCells="1"/>
  <conditionalFormatting sqref="AH77:AI78 AH47:AI75 AH91:AI93 AH1:AI45 AH80:AI88 AH148:AI1048576">
    <cfRule type="containsText" dxfId="425" priority="591" operator="containsText" text="No EFC">
      <formula>NOT(ISERROR(SEARCH("No EFC",AH1)))</formula>
    </cfRule>
  </conditionalFormatting>
  <conditionalFormatting sqref="AK77:AK78 AK47:AK75 AK1:AK45 AK91:AK93 AK80:AK88 AK148:AK1048576">
    <cfRule type="containsText" dxfId="424" priority="590" operator="containsText" text="Y">
      <formula>NOT(ISERROR(SEARCH("Y",AK1)))</formula>
    </cfRule>
  </conditionalFormatting>
  <conditionalFormatting sqref="P148:P152 P1:P78 P154:P155 P157:P186 P188:P193 P80:P93 P195:P1048576">
    <cfRule type="containsText" dxfId="423" priority="585" operator="containsText" text="UT">
      <formula>NOT(ISERROR(SEARCH("UT",P1)))</formula>
    </cfRule>
  </conditionalFormatting>
  <conditionalFormatting sqref="ED1:ED78 ED88:ED93 ED80:ED86 ED148:ED1048576">
    <cfRule type="cellIs" dxfId="422" priority="583" operator="greaterThan">
      <formula>22950</formula>
    </cfRule>
  </conditionalFormatting>
  <conditionalFormatting sqref="U1:U78 U80:U93 U148:U1048576">
    <cfRule type="cellIs" dxfId="421" priority="587" operator="equal">
      <formula>"Not Selected"</formula>
    </cfRule>
    <cfRule type="containsText" dxfId="420" priority="588" operator="containsText" text="Not Specified">
      <formula>NOT(ISERROR(SEARCH("Not Specified",U1)))</formula>
    </cfRule>
    <cfRule type="containsText" dxfId="419" priority="589" operator="containsText" text="Female">
      <formula>NOT(ISERROR(SEARCH("Female",U1)))</formula>
    </cfRule>
  </conditionalFormatting>
  <conditionalFormatting sqref="BJ1:BJ78 BJ80:BJ93 BJ148:BJ1048576">
    <cfRule type="dataBar" priority="568">
      <dataBar>
        <cfvo type="num" val="0"/>
        <cfvo type="num" val="1"/>
        <color rgb="FF00FF00"/>
      </dataBar>
      <extLst>
        <ext xmlns:x14="http://schemas.microsoft.com/office/spreadsheetml/2009/9/main" uri="{B025F937-C7B1-47D3-B67F-A62EFF666E3E}">
          <x14:id>{B45ED9E3-38BB-4670-8842-D9F747C17536}</x14:id>
        </ext>
      </extLst>
    </cfRule>
  </conditionalFormatting>
  <conditionalFormatting sqref="AH46:AI46">
    <cfRule type="containsText" dxfId="418" priority="193" operator="containsText" text="No EFC">
      <formula>NOT(ISERROR(SEARCH("No EFC",AH46)))</formula>
    </cfRule>
  </conditionalFormatting>
  <conditionalFormatting sqref="AK46">
    <cfRule type="containsText" dxfId="417" priority="192" operator="containsText" text="Y">
      <formula>NOT(ISERROR(SEARCH("Y",AK46)))</formula>
    </cfRule>
  </conditionalFormatting>
  <conditionalFormatting sqref="AH79:AI79">
    <cfRule type="containsText" dxfId="416" priority="161" operator="containsText" text="No EFC">
      <formula>NOT(ISERROR(SEARCH("No EFC",AH79)))</formula>
    </cfRule>
  </conditionalFormatting>
  <conditionalFormatting sqref="AK79">
    <cfRule type="containsText" dxfId="415" priority="160" operator="containsText" text="Y">
      <formula>NOT(ISERROR(SEARCH("Y",AK79)))</formula>
    </cfRule>
  </conditionalFormatting>
  <conditionalFormatting sqref="P79">
    <cfRule type="containsText" dxfId="414" priority="155" operator="containsText" text="UT">
      <formula>NOT(ISERROR(SEARCH("UT",P79)))</formula>
    </cfRule>
  </conditionalFormatting>
  <conditionalFormatting sqref="ED79">
    <cfRule type="cellIs" dxfId="413" priority="154" operator="greaterThan">
      <formula>22950</formula>
    </cfRule>
  </conditionalFormatting>
  <conditionalFormatting sqref="U79">
    <cfRule type="cellIs" dxfId="412" priority="157" operator="equal">
      <formula>"Not Selected"</formula>
    </cfRule>
    <cfRule type="containsText" dxfId="411" priority="158" operator="containsText" text="Not Specified">
      <formula>NOT(ISERROR(SEARCH("Not Specified",U79)))</formula>
    </cfRule>
    <cfRule type="containsText" dxfId="410" priority="159" operator="containsText" text="Female">
      <formula>NOT(ISERROR(SEARCH("Female",U79)))</formula>
    </cfRule>
  </conditionalFormatting>
  <conditionalFormatting sqref="BJ79">
    <cfRule type="dataBar" priority="148">
      <dataBar>
        <cfvo type="num" val="0"/>
        <cfvo type="num" val="1"/>
        <color rgb="FF00FF00"/>
      </dataBar>
      <extLst>
        <ext xmlns:x14="http://schemas.microsoft.com/office/spreadsheetml/2009/9/main" uri="{B025F937-C7B1-47D3-B67F-A62EFF666E3E}">
          <x14:id>{2A8B72C2-32A3-4C2B-B03F-724A370659CA}</x14:id>
        </ext>
      </extLst>
    </cfRule>
  </conditionalFormatting>
  <conditionalFormatting sqref="AH76:AI76">
    <cfRule type="containsText" dxfId="409" priority="87" operator="containsText" text="No EFC">
      <formula>NOT(ISERROR(SEARCH("No EFC",AH76)))</formula>
    </cfRule>
  </conditionalFormatting>
  <conditionalFormatting sqref="AK76">
    <cfRule type="containsText" dxfId="408" priority="86" operator="containsText" text="Y">
      <formula>NOT(ISERROR(SEARCH("Y",AK76)))</formula>
    </cfRule>
  </conditionalFormatting>
  <conditionalFormatting sqref="ED87">
    <cfRule type="cellIs" dxfId="407" priority="54" operator="greaterThan">
      <formula>22950</formula>
    </cfRule>
  </conditionalFormatting>
  <conditionalFormatting sqref="AH89:AI90">
    <cfRule type="containsText" dxfId="406" priority="53" operator="containsText" text="No EFC">
      <formula>NOT(ISERROR(SEARCH("No EFC",AH89)))</formula>
    </cfRule>
  </conditionalFormatting>
  <conditionalFormatting sqref="AK89:AK90">
    <cfRule type="containsText" dxfId="405" priority="52" operator="containsText" text="Y">
      <formula>NOT(ISERROR(SEARCH("Y",AK89)))</formula>
    </cfRule>
  </conditionalFormatting>
  <conditionalFormatting sqref="AH94:AI94">
    <cfRule type="containsText" dxfId="404" priority="35" operator="containsText" text="No EFC">
      <formula>NOT(ISERROR(SEARCH("No EFC",AH94)))</formula>
    </cfRule>
  </conditionalFormatting>
  <conditionalFormatting sqref="AK94">
    <cfRule type="containsText" dxfId="403" priority="34" operator="containsText" text="Y">
      <formula>NOT(ISERROR(SEARCH("Y",AK94)))</formula>
    </cfRule>
  </conditionalFormatting>
  <conditionalFormatting sqref="P94">
    <cfRule type="containsText" dxfId="402" priority="30" operator="containsText" text="UT">
      <formula>NOT(ISERROR(SEARCH("UT",P94)))</formula>
    </cfRule>
  </conditionalFormatting>
  <conditionalFormatting sqref="ED94">
    <cfRule type="cellIs" dxfId="401" priority="29" operator="greaterThan">
      <formula>22950</formula>
    </cfRule>
  </conditionalFormatting>
  <conditionalFormatting sqref="U94">
    <cfRule type="cellIs" dxfId="400" priority="31" operator="equal">
      <formula>"Not Selected"</formula>
    </cfRule>
    <cfRule type="containsText" dxfId="399" priority="32" operator="containsText" text="Not Specified">
      <formula>NOT(ISERROR(SEARCH("Not Specified",U94)))</formula>
    </cfRule>
    <cfRule type="containsText" dxfId="398" priority="33" operator="containsText" text="Female">
      <formula>NOT(ISERROR(SEARCH("Female",U94)))</formula>
    </cfRule>
  </conditionalFormatting>
  <conditionalFormatting sqref="BJ94">
    <cfRule type="dataBar" priority="28">
      <dataBar>
        <cfvo type="num" val="0"/>
        <cfvo type="num" val="1"/>
        <color rgb="FF00FF00"/>
      </dataBar>
      <extLst>
        <ext xmlns:x14="http://schemas.microsoft.com/office/spreadsheetml/2009/9/main" uri="{B025F937-C7B1-47D3-B67F-A62EFF666E3E}">
          <x14:id>{82950D72-BC70-41BD-A4BD-9054123AE5FA}</x14:id>
        </ext>
      </extLst>
    </cfRule>
  </conditionalFormatting>
  <conditionalFormatting sqref="AH95:AI111">
    <cfRule type="containsText" dxfId="397" priority="27" operator="containsText" text="No EFC">
      <formula>NOT(ISERROR(SEARCH("No EFC",AH95)))</formula>
    </cfRule>
  </conditionalFormatting>
  <conditionalFormatting sqref="AK95:AK111">
    <cfRule type="containsText" dxfId="396" priority="26" operator="containsText" text="Y">
      <formula>NOT(ISERROR(SEARCH("Y",AK95)))</formula>
    </cfRule>
  </conditionalFormatting>
  <conditionalFormatting sqref="P95:P111">
    <cfRule type="containsText" dxfId="395" priority="22" operator="containsText" text="UT">
      <formula>NOT(ISERROR(SEARCH("UT",P95)))</formula>
    </cfRule>
  </conditionalFormatting>
  <conditionalFormatting sqref="ED95:ED111">
    <cfRule type="cellIs" dxfId="394" priority="21" operator="greaterThan">
      <formula>22950</formula>
    </cfRule>
  </conditionalFormatting>
  <conditionalFormatting sqref="U95:U111">
    <cfRule type="cellIs" dxfId="393" priority="23" operator="equal">
      <formula>"Not Selected"</formula>
    </cfRule>
    <cfRule type="containsText" dxfId="392" priority="24" operator="containsText" text="Not Specified">
      <formula>NOT(ISERROR(SEARCH("Not Specified",U95)))</formula>
    </cfRule>
    <cfRule type="containsText" dxfId="391" priority="25" operator="containsText" text="Female">
      <formula>NOT(ISERROR(SEARCH("Female",U95)))</formula>
    </cfRule>
  </conditionalFormatting>
  <conditionalFormatting sqref="BJ95:BJ111">
    <cfRule type="dataBar" priority="20">
      <dataBar>
        <cfvo type="num" val="0"/>
        <cfvo type="num" val="1"/>
        <color rgb="FF00FF00"/>
      </dataBar>
      <extLst>
        <ext xmlns:x14="http://schemas.microsoft.com/office/spreadsheetml/2009/9/main" uri="{B025F937-C7B1-47D3-B67F-A62EFF666E3E}">
          <x14:id>{F045915F-3AD1-45C0-9706-66357275F66B}</x14:id>
        </ext>
      </extLst>
    </cfRule>
  </conditionalFormatting>
  <conditionalFormatting sqref="AH112:AI147">
    <cfRule type="containsText" dxfId="390" priority="19" operator="containsText" text="No EFC">
      <formula>NOT(ISERROR(SEARCH("No EFC",AH112)))</formula>
    </cfRule>
  </conditionalFormatting>
  <conditionalFormatting sqref="AK112:AK147">
    <cfRule type="containsText" dxfId="389" priority="18" operator="containsText" text="Y">
      <formula>NOT(ISERROR(SEARCH("Y",AK112)))</formula>
    </cfRule>
  </conditionalFormatting>
  <conditionalFormatting sqref="P112:P132 P136:P147 P134">
    <cfRule type="containsText" dxfId="388" priority="14" operator="containsText" text="UT">
      <formula>NOT(ISERROR(SEARCH("UT",P112)))</formula>
    </cfRule>
  </conditionalFormatting>
  <conditionalFormatting sqref="ED112:ED147">
    <cfRule type="cellIs" dxfId="387" priority="13" operator="greaterThan">
      <formula>22950</formula>
    </cfRule>
  </conditionalFormatting>
  <conditionalFormatting sqref="U112:U147">
    <cfRule type="cellIs" dxfId="386" priority="15" operator="equal">
      <formula>"Not Selected"</formula>
    </cfRule>
    <cfRule type="containsText" dxfId="385" priority="16" operator="containsText" text="Not Specified">
      <formula>NOT(ISERROR(SEARCH("Not Specified",U112)))</formula>
    </cfRule>
    <cfRule type="containsText" dxfId="384" priority="17" operator="containsText" text="Female">
      <formula>NOT(ISERROR(SEARCH("Female",U112)))</formula>
    </cfRule>
  </conditionalFormatting>
  <conditionalFormatting sqref="BJ112:BJ147">
    <cfRule type="dataBar" priority="12">
      <dataBar>
        <cfvo type="num" val="0"/>
        <cfvo type="num" val="1"/>
        <color rgb="FF00FF00"/>
      </dataBar>
      <extLst>
        <ext xmlns:x14="http://schemas.microsoft.com/office/spreadsheetml/2009/9/main" uri="{B025F937-C7B1-47D3-B67F-A62EFF666E3E}">
          <x14:id>{CC807389-E8C3-46A1-85AA-388C9164F04D}</x14:id>
        </ext>
      </extLst>
    </cfRule>
  </conditionalFormatting>
  <conditionalFormatting sqref="K2:K247">
    <cfRule type="cellIs" dxfId="383" priority="9" operator="equal">
      <formula>"G"</formula>
    </cfRule>
    <cfRule type="cellIs" dxfId="382" priority="10" operator="equal">
      <formula>"R"</formula>
    </cfRule>
    <cfRule type="cellIs" dxfId="381" priority="11" operator="equal">
      <formula>"Y"</formula>
    </cfRule>
  </conditionalFormatting>
  <conditionalFormatting sqref="P135">
    <cfRule type="containsText" dxfId="380" priority="8" operator="containsText" text="UT">
      <formula>NOT(ISERROR(SEARCH("UT",P135)))</formula>
    </cfRule>
  </conditionalFormatting>
  <conditionalFormatting sqref="P194">
    <cfRule type="containsText" dxfId="379" priority="7" operator="containsText" text="UT">
      <formula>NOT(ISERROR(SEARCH("UT",P194)))</formula>
    </cfRule>
  </conditionalFormatting>
  <conditionalFormatting sqref="P133">
    <cfRule type="containsText" dxfId="378" priority="6" operator="containsText" text="UT">
      <formula>NOT(ISERROR(SEARCH("UT",P133)))</formula>
    </cfRule>
  </conditionalFormatting>
  <conditionalFormatting sqref="P153">
    <cfRule type="containsText" dxfId="377" priority="5" operator="containsText" text="UT">
      <formula>NOT(ISERROR(SEARCH("UT",P153)))</formula>
    </cfRule>
  </conditionalFormatting>
  <conditionalFormatting sqref="P156">
    <cfRule type="containsText" dxfId="376" priority="4" operator="containsText" text="UT">
      <formula>NOT(ISERROR(SEARCH("UT",P156)))</formula>
    </cfRule>
  </conditionalFormatting>
  <conditionalFormatting sqref="P187">
    <cfRule type="containsText" dxfId="375" priority="3" operator="containsText" text="UT">
      <formula>NOT(ISERROR(SEARCH("UT",P187)))</formula>
    </cfRule>
  </conditionalFormatting>
  <conditionalFormatting sqref="P2:P247">
    <cfRule type="containsText" dxfId="374" priority="2" operator="containsText" text="AZ">
      <formula>NOT(ISERROR(SEARCH("AZ",P2)))</formula>
    </cfRule>
  </conditionalFormatting>
  <conditionalFormatting sqref="AH2:AH247">
    <cfRule type="cellIs" dxfId="373" priority="1" operator="equal">
      <formula>0</formula>
    </cfRule>
  </conditionalFormatting>
  <hyperlinks>
    <hyperlink ref="X158" r:id="rId1" display="bmorris@neumont.edu" xr:uid="{EF620B0B-9ECF-498D-9BAE-028C03E6E892}"/>
    <hyperlink ref="X31:X32" r:id="rId2" display="bmorris@neumont.edu" xr:uid="{DBD6BE02-9B85-4ADE-828F-125A80B80BC2}"/>
    <hyperlink ref="X170" r:id="rId3" display="bmorris@neumont.edu" xr:uid="{286D80E7-6E4B-4DAC-9222-7BCD2DF0B35D}"/>
    <hyperlink ref="X133" r:id="rId4" display="bmorris@neumont.edu" xr:uid="{1F1EE597-AB47-4447-8154-CA9BF1868295}"/>
    <hyperlink ref="X187" r:id="rId5" display="bmorris@neumont.edu" xr:uid="{19138ADD-BB6A-4C33-B3AE-C46AF5DAF8B4}"/>
    <hyperlink ref="X34:X35" r:id="rId6" display="bmorris@neumont.edu" xr:uid="{CA2FC1B9-0F5A-46CB-AD79-4175FD3135EB}"/>
    <hyperlink ref="X36:X38" r:id="rId7" display="bmorris@neumont.edu" xr:uid="{EAB56297-15C9-4004-96E0-15CAF6783570}"/>
    <hyperlink ref="X140" r:id="rId8" display="bmorris@neumont.edu" xr:uid="{520617ED-28E3-43B2-A8AD-E251A5B10530}"/>
    <hyperlink ref="X185" r:id="rId9" display="bmorris@neumont.edu" xr:uid="{884FCFBE-F059-4883-AE9F-24DF422BCFC9}"/>
    <hyperlink ref="X39:X40" r:id="rId10" display="bmorris@neumont.edu" xr:uid="{D4882B80-6B3D-496A-BE62-3EAB5AD7F105}"/>
    <hyperlink ref="X41:X44" r:id="rId11" display="bmorris@neumont.edu" xr:uid="{C80AA06A-0EB8-4129-99CE-47F388F875AB}"/>
    <hyperlink ref="X116" r:id="rId12" display="bmorris@neumont.edu" xr:uid="{ED9B0F7D-3A40-40EA-8FD2-8E9981F15D58}"/>
    <hyperlink ref="X116" r:id="rId13" display="bmorris@neumont.edu" xr:uid="{F401DC75-E619-4D39-80DC-9A00336EEB6C}"/>
    <hyperlink ref="X150" r:id="rId14" display="bmorris@neumont.edu" xr:uid="{DDF88214-E54F-489C-9F10-BE507E290900}"/>
    <hyperlink ref="X149" r:id="rId15" display="bmorris@neumont.edu" xr:uid="{53F88A85-06DF-457C-A527-632693EF38B5}"/>
    <hyperlink ref="X114" r:id="rId16" display="bmorris@neumont.edu" xr:uid="{2CBD3399-9BEE-4A6E-889D-5D310742BFF7}"/>
    <hyperlink ref="X146" r:id="rId17" display="bmorris@neumont.edu" xr:uid="{6417DC4E-CE24-4009-A621-65494E9AC3A8}"/>
    <hyperlink ref="X132" r:id="rId18" display="bmorris@neumont.edu" xr:uid="{5A4AB3B4-4B5B-4622-A234-873D367D5FCF}"/>
    <hyperlink ref="X101" r:id="rId19" display="bmorris@neumont.edu" xr:uid="{1E81D4BD-9E1B-4F0C-989F-A5ACF26E2D08}"/>
    <hyperlink ref="X132" r:id="rId20" display="bmorris@neumont.edu" xr:uid="{418F170A-7DAF-46AE-86AD-CB7AFCD536E7}"/>
    <hyperlink ref="X162" r:id="rId21" display="bmorris@neumont.edu" xr:uid="{A264D465-3C97-4714-9D50-CCB7D7EE1DD0}"/>
    <hyperlink ref="X133" r:id="rId22" display="bmorris@neumont.edu" xr:uid="{FD1B8B8D-1949-494E-8E2B-D37B03F57553}"/>
    <hyperlink ref="X130" r:id="rId23" display="bmorris@neumont.edu" xr:uid="{34FEA629-765F-440B-8598-3F90F7AD7B54}"/>
    <hyperlink ref="X182" r:id="rId24" display="bmorris@neumont.edu" xr:uid="{8F0A4160-7B0C-4B70-B778-4299FFF032FD}"/>
    <hyperlink ref="X150" r:id="rId25" display="bmorris@neumont.edu" xr:uid="{287E42F6-7158-4DF2-B57C-82CBF2AABEE3}"/>
    <hyperlink ref="X188" r:id="rId26" display="bmorris@neumont.edu" xr:uid="{01E97905-7EAC-4063-AAA9-014E55076C6E}"/>
    <hyperlink ref="X109" r:id="rId27" display="bmorris@neumont.edu" xr:uid="{803CD1FE-3285-48A6-A9F6-4B05C6FAE32D}"/>
    <hyperlink ref="X151" r:id="rId28" display="bmorris@neumont.edu" xr:uid="{95F4401F-4BB1-4DFF-A091-342D49DC02C6}"/>
    <hyperlink ref="X149" r:id="rId29" display="bmorris@neumont.edu" xr:uid="{C9625936-7220-42A2-85CB-2169E17AA97C}"/>
    <hyperlink ref="X174" r:id="rId30" display="bmorris@neumont.edu" xr:uid="{DCF6A2E8-28C8-4B42-90A3-2D9E44C4D185}"/>
    <hyperlink ref="X154" r:id="rId31" display="bmorris@neumont.edu" xr:uid="{2CD3CA72-FCD8-4FBC-89C9-74F7569AF794}"/>
    <hyperlink ref="X110" r:id="rId32" display="bmorris@neumont.edu" xr:uid="{BB280202-0B1B-4BEE-A9AA-E3F890546E6C}"/>
    <hyperlink ref="X127" r:id="rId33" display="bmorris@neumont.edu" xr:uid="{724906EB-C750-4DB8-9C36-ECB6B5B20978}"/>
    <hyperlink ref="X170" r:id="rId34" display="bmorris@neumont.edu" xr:uid="{1062074B-3635-4827-85BB-20D72BA3A445}"/>
    <hyperlink ref="X134" r:id="rId35" display="bmorris@neumont.edu" xr:uid="{5695BFDD-DDF4-44EA-89FF-BCD690CC00BC}"/>
    <hyperlink ref="X180" r:id="rId36" display="bmorris@neumont.edu" xr:uid="{E4865401-2A69-4064-90B7-2A47E2599554}"/>
    <hyperlink ref="X107" r:id="rId37" display="bmorris@neumont.edu" xr:uid="{07AE1E58-9FAA-440E-B2FD-3133C64203FE}"/>
    <hyperlink ref="X184" r:id="rId38" display="bmorris@neumont.edu" xr:uid="{E9D758E9-9529-46DC-AC8E-6723B370CEB4}"/>
    <hyperlink ref="X120" r:id="rId39" display="bmorris@neumont.edu" xr:uid="{2E1B87E3-F984-48D4-824F-567D99C4CA4D}"/>
    <hyperlink ref="X171" r:id="rId40" display="bmorris@neumont.edu" xr:uid="{E41914EE-B3F2-4FDA-A44F-6C355C19C735}"/>
    <hyperlink ref="X168" r:id="rId41" display="bmorris@neumont.edu" xr:uid="{EA7ABF2E-785C-496C-AF5F-BA25E18CCA44}"/>
    <hyperlink ref="X223" r:id="rId42" display="mailto:mranks@neumont.edu" xr:uid="{225B52D5-F81D-45AC-8604-F0746F2C7ABE}"/>
    <hyperlink ref="X3:X25" r:id="rId43" display="mailto:mranks@neumont.edu" xr:uid="{261EA71D-77F8-40FB-86D9-495D8B588D06}"/>
  </hyperlinks>
  <pageMargins left="0.7" right="0.7" top="0.75" bottom="0.75" header="0.3" footer="0.3"/>
  <pageSetup orientation="portrait" horizontalDpi="1200" verticalDpi="1200" r:id="rId44"/>
  <tableParts count="1">
    <tablePart r:id="rId45"/>
  </tableParts>
  <extLst>
    <ext xmlns:x14="http://schemas.microsoft.com/office/spreadsheetml/2009/9/main" uri="{78C0D931-6437-407d-A8EE-F0AAD7539E65}">
      <x14:conditionalFormattings>
        <x14:conditionalFormatting xmlns:xm="http://schemas.microsoft.com/office/excel/2006/main">
          <x14:cfRule type="dataBar" id="{B45ED9E3-38BB-4670-8842-D9F747C17536}">
            <x14:dataBar minLength="0" maxLength="100" border="1" direction="leftToRight" negativeBarBorderColorSameAsPositive="0">
              <x14:cfvo type="num">
                <xm:f>0</xm:f>
              </x14:cfvo>
              <x14:cfvo type="num">
                <xm:f>1</xm:f>
              </x14:cfvo>
              <x14:borderColor theme="1"/>
              <x14:negativeFillColor rgb="FFFF0000"/>
              <x14:negativeBorderColor rgb="FFFF0000"/>
              <x14:axisColor rgb="FF000000"/>
            </x14:dataBar>
          </x14:cfRule>
          <xm:sqref>BJ1:BJ78 BJ80:BJ93 BJ148:BJ1048576</xm:sqref>
        </x14:conditionalFormatting>
        <x14:conditionalFormatting xmlns:xm="http://schemas.microsoft.com/office/excel/2006/main">
          <x14:cfRule type="dataBar" id="{2A8B72C2-32A3-4C2B-B03F-724A370659CA}">
            <x14:dataBar minLength="0" maxLength="100" border="1" direction="leftToRight" negativeBarBorderColorSameAsPositive="0">
              <x14:cfvo type="num">
                <xm:f>0</xm:f>
              </x14:cfvo>
              <x14:cfvo type="num">
                <xm:f>1</xm:f>
              </x14:cfvo>
              <x14:borderColor theme="1"/>
              <x14:negativeFillColor rgb="FFFF0000"/>
              <x14:negativeBorderColor rgb="FFFF0000"/>
              <x14:axisColor rgb="FF000000"/>
            </x14:dataBar>
          </x14:cfRule>
          <xm:sqref>BJ79</xm:sqref>
        </x14:conditionalFormatting>
        <x14:conditionalFormatting xmlns:xm="http://schemas.microsoft.com/office/excel/2006/main">
          <x14:cfRule type="dataBar" id="{82950D72-BC70-41BD-A4BD-9054123AE5FA}">
            <x14:dataBar minLength="0" maxLength="100" border="1" direction="leftToRight" negativeBarBorderColorSameAsPositive="0">
              <x14:cfvo type="num">
                <xm:f>0</xm:f>
              </x14:cfvo>
              <x14:cfvo type="num">
                <xm:f>1</xm:f>
              </x14:cfvo>
              <x14:borderColor theme="1"/>
              <x14:negativeFillColor rgb="FFFF0000"/>
              <x14:negativeBorderColor rgb="FFFF0000"/>
              <x14:axisColor rgb="FF000000"/>
            </x14:dataBar>
          </x14:cfRule>
          <xm:sqref>BJ94</xm:sqref>
        </x14:conditionalFormatting>
        <x14:conditionalFormatting xmlns:xm="http://schemas.microsoft.com/office/excel/2006/main">
          <x14:cfRule type="dataBar" id="{F045915F-3AD1-45C0-9706-66357275F66B}">
            <x14:dataBar minLength="0" maxLength="100" border="1" direction="leftToRight" negativeBarBorderColorSameAsPositive="0">
              <x14:cfvo type="num">
                <xm:f>0</xm:f>
              </x14:cfvo>
              <x14:cfvo type="num">
                <xm:f>1</xm:f>
              </x14:cfvo>
              <x14:borderColor theme="1"/>
              <x14:negativeFillColor rgb="FFFF0000"/>
              <x14:negativeBorderColor rgb="FFFF0000"/>
              <x14:axisColor rgb="FF000000"/>
            </x14:dataBar>
          </x14:cfRule>
          <xm:sqref>BJ95:BJ111</xm:sqref>
        </x14:conditionalFormatting>
        <x14:conditionalFormatting xmlns:xm="http://schemas.microsoft.com/office/excel/2006/main">
          <x14:cfRule type="dataBar" id="{CC807389-E8C3-46A1-85AA-388C9164F04D}">
            <x14:dataBar minLength="0" maxLength="100" border="1" direction="leftToRight" negativeBarBorderColorSameAsPositive="0">
              <x14:cfvo type="num">
                <xm:f>0</xm:f>
              </x14:cfvo>
              <x14:cfvo type="num">
                <xm:f>1</xm:f>
              </x14:cfvo>
              <x14:borderColor theme="1"/>
              <x14:negativeFillColor rgb="FFFF0000"/>
              <x14:negativeBorderColor rgb="FFFF0000"/>
              <x14:axisColor rgb="FF000000"/>
            </x14:dataBar>
          </x14:cfRule>
          <xm:sqref>BJ112:BJ147</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7056E5-4F63-4E7D-BC98-54EC64A40BB7}">
  <sheetPr codeName="Sheet2"/>
  <dimension ref="A1:FP349"/>
  <sheetViews>
    <sheetView workbookViewId="0">
      <selection activeCell="B43" sqref="B43"/>
    </sheetView>
  </sheetViews>
  <sheetFormatPr defaultColWidth="9" defaultRowHeight="12.75" x14ac:dyDescent="0.2"/>
  <cols>
    <col min="1" max="1" width="12.5703125" style="58" customWidth="1"/>
    <col min="2" max="2" width="16.5703125" style="1" customWidth="1"/>
    <col min="3" max="3" width="11.42578125" style="1" customWidth="1"/>
    <col min="4" max="4" width="24" style="1" bestFit="1" customWidth="1"/>
    <col min="5" max="5" width="23.5703125" style="1" customWidth="1"/>
    <col min="6" max="6" width="10" style="58" bestFit="1" customWidth="1"/>
    <col min="7" max="8" width="8.5703125" style="85" bestFit="1" customWidth="1"/>
    <col min="9" max="9" width="10.5703125" style="85" bestFit="1" customWidth="1"/>
    <col min="10" max="10" width="23.42578125" style="90" customWidth="1"/>
    <col min="11" max="11" width="4.42578125" style="74" customWidth="1"/>
    <col min="12" max="12" width="5.5703125" style="58" customWidth="1"/>
    <col min="13" max="13" width="36" style="1" customWidth="1"/>
    <col min="14" max="14" width="25.85546875" style="1" customWidth="1"/>
    <col min="15" max="15" width="16.85546875" style="1" customWidth="1"/>
    <col min="16" max="16" width="7.42578125" style="1" customWidth="1"/>
    <col min="17" max="17" width="10.5703125" style="57" customWidth="1"/>
    <col min="18" max="18" width="8.5703125" style="54" customWidth="1"/>
    <col min="19" max="19" width="13.5703125" style="55" customWidth="1"/>
    <col min="20" max="20" width="6.42578125" style="1" bestFit="1" customWidth="1"/>
    <col min="21" max="21" width="11.42578125" style="1" bestFit="1" customWidth="1"/>
    <col min="22" max="22" width="7.85546875" style="1" bestFit="1" customWidth="1"/>
    <col min="23" max="23" width="13.42578125" style="1" customWidth="1"/>
    <col min="24" max="24" width="22.42578125" style="1" customWidth="1"/>
    <col min="25" max="25" width="11.42578125" style="1" customWidth="1"/>
    <col min="26" max="26" width="19" style="1" bestFit="1" customWidth="1"/>
    <col min="27" max="27" width="9" style="1" customWidth="1"/>
    <col min="28" max="28" width="5.85546875" style="1" customWidth="1"/>
    <col min="29" max="29" width="6.5703125" style="1" customWidth="1"/>
    <col min="30" max="30" width="11.85546875" style="1" customWidth="1"/>
    <col min="31" max="31" width="5.5703125" style="1" customWidth="1"/>
    <col min="32" max="32" width="5" style="1" customWidth="1"/>
    <col min="33" max="33" width="10.85546875" style="1" customWidth="1"/>
    <col min="34" max="34" width="7.5703125" style="1" customWidth="1"/>
    <col min="35" max="35" width="7.5703125" style="64" customWidth="1"/>
    <col min="36" max="36" width="9.5703125" style="55" customWidth="1"/>
    <col min="37" max="37" width="9" style="1" bestFit="1"/>
    <col min="38" max="38" width="9.5703125" style="1" bestFit="1" customWidth="1"/>
    <col min="39" max="55" width="9.5703125" style="72" customWidth="1"/>
    <col min="56" max="61" width="9.5703125" style="74" customWidth="1"/>
    <col min="62" max="62" width="9.5703125" style="63" customWidth="1"/>
    <col min="63" max="63" width="9.42578125" style="55" customWidth="1"/>
    <col min="64" max="64" width="8.42578125" style="55" customWidth="1"/>
    <col min="65" max="67" width="8.5703125" style="58" customWidth="1"/>
    <col min="68" max="68" width="8.85546875" style="1" customWidth="1"/>
    <col min="69" max="71" width="8.5703125" style="58" customWidth="1"/>
    <col min="72" max="72" width="9" style="1" customWidth="1"/>
    <col min="73" max="75" width="8.5703125" style="58" customWidth="1"/>
    <col min="76" max="76" width="8.85546875" style="1" customWidth="1"/>
    <col min="77" max="79" width="8.5703125" style="58" customWidth="1"/>
    <col min="80" max="80" width="8.85546875" style="1" customWidth="1"/>
    <col min="81" max="83" width="8.5703125" style="58" customWidth="1"/>
    <col min="84" max="85" width="8.85546875" style="1" customWidth="1"/>
    <col min="86" max="88" width="9.5703125" style="1" customWidth="1"/>
    <col min="89" max="89" width="10" style="1" customWidth="1"/>
    <col min="90" max="92" width="9.5703125" style="1" customWidth="1"/>
    <col min="93" max="93" width="10" style="1" customWidth="1"/>
    <col min="94" max="96" width="9.5703125" style="1" customWidth="1"/>
    <col min="97" max="97" width="10" style="1" customWidth="1"/>
    <col min="98" max="100" width="9.5703125" style="1" customWidth="1"/>
    <col min="101" max="101" width="10" style="58" customWidth="1"/>
    <col min="102" max="104" width="9.5703125" style="1" customWidth="1"/>
    <col min="105" max="105" width="10" style="1" customWidth="1"/>
    <col min="106" max="108" width="9.5703125" style="1" customWidth="1"/>
    <col min="109" max="109" width="10" style="1" customWidth="1"/>
    <col min="110" max="112" width="9.5703125" style="1" customWidth="1"/>
    <col min="113" max="113" width="10" style="58" customWidth="1"/>
    <col min="114" max="116" width="8.42578125" style="1" customWidth="1"/>
    <col min="117" max="117" width="8.5703125" style="58" customWidth="1"/>
    <col min="118" max="120" width="8.42578125" style="1" customWidth="1"/>
    <col min="121" max="121" width="8.5703125" style="58" customWidth="1"/>
    <col min="122" max="124" width="8.42578125" style="1" customWidth="1"/>
    <col min="125" max="125" width="8.5703125" style="58" customWidth="1"/>
    <col min="126" max="128" width="7.85546875" style="1" customWidth="1"/>
    <col min="129" max="129" width="8" style="58" customWidth="1"/>
    <col min="130" max="132" width="10.42578125" style="1" customWidth="1"/>
    <col min="133" max="133" width="10.5703125" style="58" customWidth="1"/>
    <col min="134" max="134" width="10.5703125" style="1" customWidth="1"/>
    <col min="135" max="137" width="9" style="58" customWidth="1"/>
    <col min="138" max="138" width="9.42578125" style="1" customWidth="1"/>
    <col min="139" max="139" width="8.42578125" style="1" customWidth="1" collapsed="1"/>
    <col min="140" max="141" width="8.42578125" style="1" customWidth="1"/>
    <col min="142" max="142" width="8.5703125" style="58" customWidth="1"/>
    <col min="143" max="143" width="9" style="1" customWidth="1"/>
    <col min="144" max="146" width="10.42578125" style="1" customWidth="1"/>
    <col min="147" max="147" width="10.5703125" style="58" customWidth="1"/>
    <col min="148" max="148" width="11" style="1" customWidth="1"/>
    <col min="149" max="151" width="9.42578125" style="1" customWidth="1"/>
    <col min="152" max="152" width="9.5703125" style="58" customWidth="1"/>
    <col min="153" max="153" width="11" style="80" customWidth="1"/>
    <col min="154" max="156" width="8.5703125" style="58" customWidth="1"/>
    <col min="157" max="157" width="8.85546875" style="1" customWidth="1"/>
    <col min="158" max="160" width="7.5703125" style="58" customWidth="1"/>
    <col min="161" max="161" width="8" style="1" customWidth="1"/>
    <col min="162" max="164" width="10.5703125" style="58" customWidth="1"/>
    <col min="165" max="165" width="11" style="1" customWidth="1"/>
    <col min="166" max="166" width="11" style="80" customWidth="1"/>
    <col min="167" max="167" width="9" style="1"/>
    <col min="168" max="168" width="9.42578125" style="80" bestFit="1" customWidth="1"/>
    <col min="169" max="169" width="9.85546875" style="80" bestFit="1" customWidth="1"/>
    <col min="170" max="16384" width="9" style="1"/>
  </cols>
  <sheetData>
    <row r="1" spans="1:169" x14ac:dyDescent="0.2">
      <c r="A1" s="68" t="s">
        <v>99</v>
      </c>
      <c r="B1" s="43" t="s">
        <v>100</v>
      </c>
      <c r="C1" s="43" t="s">
        <v>101</v>
      </c>
      <c r="D1" s="43" t="s">
        <v>35</v>
      </c>
      <c r="E1" s="43" t="s">
        <v>173</v>
      </c>
      <c r="F1" s="68" t="s">
        <v>112</v>
      </c>
      <c r="G1" s="84" t="s">
        <v>113</v>
      </c>
      <c r="H1" s="84" t="s">
        <v>98</v>
      </c>
      <c r="I1" s="84" t="s">
        <v>97</v>
      </c>
      <c r="J1" s="89" t="s">
        <v>29</v>
      </c>
      <c r="K1" s="86" t="s">
        <v>0</v>
      </c>
      <c r="L1" s="68" t="s">
        <v>174</v>
      </c>
      <c r="M1" s="43" t="s">
        <v>102</v>
      </c>
      <c r="N1" s="43" t="s">
        <v>103</v>
      </c>
      <c r="O1" s="43" t="s">
        <v>104</v>
      </c>
      <c r="P1" s="43" t="s">
        <v>1</v>
      </c>
      <c r="Q1" s="44" t="s">
        <v>105</v>
      </c>
      <c r="R1" s="45" t="s">
        <v>33</v>
      </c>
      <c r="S1" s="46" t="s">
        <v>106</v>
      </c>
      <c r="T1" s="43" t="s">
        <v>2</v>
      </c>
      <c r="U1" s="43" t="s">
        <v>3</v>
      </c>
      <c r="V1" s="43" t="s">
        <v>4</v>
      </c>
      <c r="W1" s="43" t="s">
        <v>114</v>
      </c>
      <c r="X1" s="43" t="s">
        <v>643</v>
      </c>
      <c r="Y1" s="43" t="s">
        <v>115</v>
      </c>
      <c r="Z1" s="43" t="s">
        <v>5</v>
      </c>
      <c r="AA1" s="43" t="s">
        <v>607</v>
      </c>
      <c r="AB1" s="43" t="s">
        <v>108</v>
      </c>
      <c r="AC1" s="43" t="s">
        <v>109</v>
      </c>
      <c r="AD1" s="43" t="s">
        <v>110</v>
      </c>
      <c r="AE1" s="43" t="s">
        <v>111</v>
      </c>
      <c r="AF1" s="47" t="s">
        <v>169</v>
      </c>
      <c r="AG1" s="43" t="s">
        <v>181</v>
      </c>
      <c r="AH1" s="43" t="s">
        <v>712</v>
      </c>
      <c r="AI1" s="66" t="s">
        <v>6</v>
      </c>
      <c r="AJ1" s="46" t="s">
        <v>170</v>
      </c>
      <c r="AK1" s="43" t="s">
        <v>171</v>
      </c>
      <c r="AL1" s="59" t="s">
        <v>172</v>
      </c>
      <c r="AM1" s="69" t="s">
        <v>634</v>
      </c>
      <c r="AN1" s="69" t="s">
        <v>234</v>
      </c>
      <c r="AO1" s="69" t="s">
        <v>7</v>
      </c>
      <c r="AP1" s="69" t="s">
        <v>8</v>
      </c>
      <c r="AQ1" s="69" t="s">
        <v>9</v>
      </c>
      <c r="AR1" s="69" t="s">
        <v>10</v>
      </c>
      <c r="AS1" s="69" t="s">
        <v>11</v>
      </c>
      <c r="AT1" s="69" t="s">
        <v>12</v>
      </c>
      <c r="AU1" s="69" t="s">
        <v>13</v>
      </c>
      <c r="AV1" s="69" t="s">
        <v>635</v>
      </c>
      <c r="AW1" s="69" t="s">
        <v>14</v>
      </c>
      <c r="AX1" s="69" t="s">
        <v>15</v>
      </c>
      <c r="AY1" s="69" t="s">
        <v>16</v>
      </c>
      <c r="AZ1" s="69" t="s">
        <v>17</v>
      </c>
      <c r="BA1" s="69" t="s">
        <v>636</v>
      </c>
      <c r="BB1" s="69" t="s">
        <v>18</v>
      </c>
      <c r="BC1" s="70" t="s">
        <v>19</v>
      </c>
      <c r="BD1" s="71" t="s">
        <v>637</v>
      </c>
      <c r="BE1" s="71" t="s">
        <v>638</v>
      </c>
      <c r="BF1" s="71" t="s">
        <v>639</v>
      </c>
      <c r="BG1" s="71" t="s">
        <v>640</v>
      </c>
      <c r="BH1" s="71" t="s">
        <v>641</v>
      </c>
      <c r="BI1" s="71" t="s">
        <v>34</v>
      </c>
      <c r="BJ1" s="61" t="s">
        <v>642</v>
      </c>
      <c r="BK1" s="48" t="s">
        <v>116</v>
      </c>
      <c r="BL1" s="49" t="s">
        <v>117</v>
      </c>
      <c r="BM1" s="75" t="s">
        <v>118</v>
      </c>
      <c r="BN1" s="75" t="s">
        <v>119</v>
      </c>
      <c r="BO1" s="75" t="s">
        <v>120</v>
      </c>
      <c r="BP1" s="50" t="s">
        <v>121</v>
      </c>
      <c r="BQ1" s="75" t="s">
        <v>122</v>
      </c>
      <c r="BR1" s="75" t="s">
        <v>123</v>
      </c>
      <c r="BS1" s="75" t="s">
        <v>124</v>
      </c>
      <c r="BT1" s="50" t="s">
        <v>125</v>
      </c>
      <c r="BU1" s="75" t="s">
        <v>644</v>
      </c>
      <c r="BV1" s="75" t="s">
        <v>645</v>
      </c>
      <c r="BW1" s="75" t="s">
        <v>646</v>
      </c>
      <c r="BX1" s="50" t="s">
        <v>647</v>
      </c>
      <c r="BY1" s="75" t="s">
        <v>648</v>
      </c>
      <c r="BZ1" s="75" t="s">
        <v>649</v>
      </c>
      <c r="CA1" s="75" t="s">
        <v>650</v>
      </c>
      <c r="CB1" s="50" t="s">
        <v>651</v>
      </c>
      <c r="CC1" s="75" t="s">
        <v>652</v>
      </c>
      <c r="CD1" s="75" t="s">
        <v>653</v>
      </c>
      <c r="CE1" s="75" t="s">
        <v>654</v>
      </c>
      <c r="CF1" s="50" t="s">
        <v>655</v>
      </c>
      <c r="CG1" s="50" t="s">
        <v>175</v>
      </c>
      <c r="CH1" s="51" t="s">
        <v>126</v>
      </c>
      <c r="CI1" s="51" t="s">
        <v>127</v>
      </c>
      <c r="CJ1" s="51" t="s">
        <v>128</v>
      </c>
      <c r="CK1" s="52" t="s">
        <v>129</v>
      </c>
      <c r="CL1" s="51" t="s">
        <v>130</v>
      </c>
      <c r="CM1" s="51" t="s">
        <v>131</v>
      </c>
      <c r="CN1" s="51" t="s">
        <v>132</v>
      </c>
      <c r="CO1" s="52" t="s">
        <v>133</v>
      </c>
      <c r="CP1" s="51" t="s">
        <v>656</v>
      </c>
      <c r="CQ1" s="51" t="s">
        <v>657</v>
      </c>
      <c r="CR1" s="51" t="s">
        <v>658</v>
      </c>
      <c r="CS1" s="52" t="s">
        <v>659</v>
      </c>
      <c r="CT1" s="51" t="s">
        <v>660</v>
      </c>
      <c r="CU1" s="51" t="s">
        <v>661</v>
      </c>
      <c r="CV1" s="51" t="s">
        <v>662</v>
      </c>
      <c r="CW1" s="76" t="s">
        <v>663</v>
      </c>
      <c r="CX1" s="51" t="s">
        <v>664</v>
      </c>
      <c r="CY1" s="51" t="s">
        <v>665</v>
      </c>
      <c r="CZ1" s="51" t="s">
        <v>666</v>
      </c>
      <c r="DA1" s="52" t="s">
        <v>667</v>
      </c>
      <c r="DB1" s="51" t="s">
        <v>668</v>
      </c>
      <c r="DC1" s="51" t="s">
        <v>669</v>
      </c>
      <c r="DD1" s="51" t="s">
        <v>670</v>
      </c>
      <c r="DE1" s="52" t="s">
        <v>671</v>
      </c>
      <c r="DF1" s="51" t="s">
        <v>672</v>
      </c>
      <c r="DG1" s="51" t="s">
        <v>673</v>
      </c>
      <c r="DH1" s="51" t="s">
        <v>674</v>
      </c>
      <c r="DI1" s="76" t="s">
        <v>675</v>
      </c>
      <c r="DJ1" s="51" t="s">
        <v>676</v>
      </c>
      <c r="DK1" s="51" t="s">
        <v>677</v>
      </c>
      <c r="DL1" s="51" t="s">
        <v>678</v>
      </c>
      <c r="DM1" s="76" t="s">
        <v>679</v>
      </c>
      <c r="DN1" s="51" t="s">
        <v>688</v>
      </c>
      <c r="DO1" s="51" t="s">
        <v>689</v>
      </c>
      <c r="DP1" s="51" t="s">
        <v>690</v>
      </c>
      <c r="DQ1" s="76" t="s">
        <v>691</v>
      </c>
      <c r="DR1" s="51" t="s">
        <v>684</v>
      </c>
      <c r="DS1" s="51" t="s">
        <v>685</v>
      </c>
      <c r="DT1" s="51" t="s">
        <v>686</v>
      </c>
      <c r="DU1" s="76" t="s">
        <v>687</v>
      </c>
      <c r="DV1" s="51" t="s">
        <v>134</v>
      </c>
      <c r="DW1" s="51" t="s">
        <v>135</v>
      </c>
      <c r="DX1" s="51" t="s">
        <v>136</v>
      </c>
      <c r="DY1" s="76" t="s">
        <v>137</v>
      </c>
      <c r="DZ1" s="51" t="s">
        <v>680</v>
      </c>
      <c r="EA1" s="51" t="s">
        <v>681</v>
      </c>
      <c r="EB1" s="51" t="s">
        <v>682</v>
      </c>
      <c r="EC1" s="76" t="s">
        <v>683</v>
      </c>
      <c r="ED1" s="67" t="s">
        <v>176</v>
      </c>
      <c r="EE1" s="77" t="s">
        <v>138</v>
      </c>
      <c r="EF1" s="78" t="s">
        <v>139</v>
      </c>
      <c r="EG1" s="78" t="s">
        <v>140</v>
      </c>
      <c r="EH1" s="53" t="s">
        <v>141</v>
      </c>
      <c r="EI1" s="53" t="s">
        <v>142</v>
      </c>
      <c r="EJ1" s="53" t="s">
        <v>143</v>
      </c>
      <c r="EK1" s="53" t="s">
        <v>144</v>
      </c>
      <c r="EL1" s="78" t="s">
        <v>145</v>
      </c>
      <c r="EM1" s="53" t="s">
        <v>150</v>
      </c>
      <c r="EN1" s="53" t="s">
        <v>146</v>
      </c>
      <c r="EO1" s="53" t="s">
        <v>147</v>
      </c>
      <c r="EP1" s="53" t="s">
        <v>148</v>
      </c>
      <c r="EQ1" s="78" t="s">
        <v>149</v>
      </c>
      <c r="ER1" s="53" t="s">
        <v>151</v>
      </c>
      <c r="ES1" s="53" t="s">
        <v>152</v>
      </c>
      <c r="ET1" s="53" t="s">
        <v>153</v>
      </c>
      <c r="EU1" s="53" t="s">
        <v>154</v>
      </c>
      <c r="EV1" s="78" t="s">
        <v>155</v>
      </c>
      <c r="EW1" s="81" t="s">
        <v>156</v>
      </c>
      <c r="EX1" s="78" t="s">
        <v>157</v>
      </c>
      <c r="EY1" s="78" t="s">
        <v>158</v>
      </c>
      <c r="EZ1" s="78" t="s">
        <v>159</v>
      </c>
      <c r="FA1" s="53" t="s">
        <v>160</v>
      </c>
      <c r="FB1" s="78" t="s">
        <v>161</v>
      </c>
      <c r="FC1" s="78" t="s">
        <v>162</v>
      </c>
      <c r="FD1" s="78" t="s">
        <v>163</v>
      </c>
      <c r="FE1" s="53" t="s">
        <v>164</v>
      </c>
      <c r="FF1" s="78" t="s">
        <v>165</v>
      </c>
      <c r="FG1" s="78" t="s">
        <v>166</v>
      </c>
      <c r="FH1" s="78" t="s">
        <v>167</v>
      </c>
      <c r="FI1" s="53" t="s">
        <v>168</v>
      </c>
      <c r="FJ1" s="81" t="s">
        <v>177</v>
      </c>
      <c r="FK1" s="83" t="s">
        <v>693</v>
      </c>
      <c r="FL1" s="82" t="s">
        <v>180</v>
      </c>
      <c r="FM1" s="82" t="s">
        <v>179</v>
      </c>
    </row>
    <row r="2" spans="1:169" x14ac:dyDescent="0.2">
      <c r="A2" s="112">
        <v>198752</v>
      </c>
      <c r="B2" s="113" t="s">
        <v>732</v>
      </c>
      <c r="C2" s="113" t="s">
        <v>4472</v>
      </c>
      <c r="D2" s="113" t="s">
        <v>4473</v>
      </c>
      <c r="E2" s="113" t="s">
        <v>5314</v>
      </c>
      <c r="F2" s="112"/>
      <c r="G2" s="114"/>
      <c r="H2" s="114"/>
      <c r="I2" s="114"/>
      <c r="J2" s="115"/>
      <c r="K2" s="116"/>
      <c r="L2" s="112" t="s">
        <v>797</v>
      </c>
      <c r="M2" s="113" t="s">
        <v>4474</v>
      </c>
      <c r="N2" s="113" t="s">
        <v>4475</v>
      </c>
      <c r="O2" s="113" t="s">
        <v>1809</v>
      </c>
      <c r="P2" s="113" t="s">
        <v>279</v>
      </c>
      <c r="Q2" s="117" t="s">
        <v>4476</v>
      </c>
      <c r="R2" s="118">
        <v>3.46</v>
      </c>
      <c r="S2" s="119">
        <v>44109</v>
      </c>
      <c r="T2" s="113" t="s">
        <v>22</v>
      </c>
      <c r="U2" s="113" t="s">
        <v>23</v>
      </c>
      <c r="V2" s="113" t="s">
        <v>919</v>
      </c>
      <c r="W2" s="113" t="s">
        <v>593</v>
      </c>
      <c r="X2" s="113" t="s">
        <v>594</v>
      </c>
      <c r="Y2" s="113">
        <v>8883022894</v>
      </c>
      <c r="Z2" s="113" t="s">
        <v>24</v>
      </c>
      <c r="AA2" s="113" t="s">
        <v>798</v>
      </c>
      <c r="AB2" s="113" t="s">
        <v>300</v>
      </c>
      <c r="AC2" s="113" t="s">
        <v>832</v>
      </c>
      <c r="AD2" s="113" t="s">
        <v>394</v>
      </c>
      <c r="AE2" s="113" t="s">
        <v>310</v>
      </c>
      <c r="AF2" s="120">
        <v>2</v>
      </c>
      <c r="AG2" s="113" t="s">
        <v>713</v>
      </c>
      <c r="AH2" s="113" t="s">
        <v>797</v>
      </c>
      <c r="AI2" s="121" t="s">
        <v>797</v>
      </c>
      <c r="AJ2" s="119" t="s">
        <v>797</v>
      </c>
      <c r="AK2" s="113" t="s">
        <v>797</v>
      </c>
      <c r="AL2" s="132" t="s">
        <v>797</v>
      </c>
      <c r="AM2" s="122"/>
      <c r="AN2" s="122"/>
      <c r="AO2" s="122"/>
      <c r="AP2" s="122"/>
      <c r="AQ2" s="122"/>
      <c r="AR2" s="122"/>
      <c r="AS2" s="122"/>
      <c r="AT2" s="122"/>
      <c r="AU2" s="122"/>
      <c r="AV2" s="122"/>
      <c r="AW2" s="122"/>
      <c r="AX2" s="122"/>
      <c r="AY2" s="122"/>
      <c r="AZ2" s="122"/>
      <c r="BA2" s="122"/>
      <c r="BB2" s="122"/>
      <c r="BC2" s="133"/>
      <c r="BD2" s="116" t="s">
        <v>797</v>
      </c>
      <c r="BE2" s="116" t="s">
        <v>797</v>
      </c>
      <c r="BF2" s="116" t="s">
        <v>797</v>
      </c>
      <c r="BG2" s="116" t="s">
        <v>797</v>
      </c>
      <c r="BH2" s="116" t="s">
        <v>797</v>
      </c>
      <c r="BI2" s="116" t="s">
        <v>797</v>
      </c>
      <c r="BJ2" s="134">
        <v>0</v>
      </c>
      <c r="BK2" s="136">
        <v>44109</v>
      </c>
      <c r="BL2" s="124">
        <v>44356</v>
      </c>
      <c r="BM2" s="112"/>
      <c r="BN2" s="112"/>
      <c r="BO2" s="112"/>
      <c r="BP2" s="125">
        <v>0</v>
      </c>
      <c r="BQ2" s="126"/>
      <c r="BR2" s="112"/>
      <c r="BS2" s="112"/>
      <c r="BT2" s="125">
        <v>0</v>
      </c>
      <c r="BU2" s="112"/>
      <c r="BV2" s="112"/>
      <c r="BW2" s="112"/>
      <c r="BX2" s="125">
        <v>0</v>
      </c>
      <c r="BY2" s="137"/>
      <c r="BZ2" s="137"/>
      <c r="CA2" s="137"/>
      <c r="CB2" s="125">
        <v>0</v>
      </c>
      <c r="CC2" s="137"/>
      <c r="CD2" s="137"/>
      <c r="CE2" s="137"/>
      <c r="CF2" s="125">
        <v>0</v>
      </c>
      <c r="CG2" s="125">
        <v>0</v>
      </c>
      <c r="CH2" s="113"/>
      <c r="CI2" s="113"/>
      <c r="CJ2" s="113"/>
      <c r="CK2" s="125">
        <v>0</v>
      </c>
      <c r="CL2" s="113">
        <v>0</v>
      </c>
      <c r="CM2" s="113">
        <v>0</v>
      </c>
      <c r="CN2" s="113">
        <v>0</v>
      </c>
      <c r="CO2" s="125">
        <v>0</v>
      </c>
      <c r="CP2" s="113">
        <v>0</v>
      </c>
      <c r="CQ2" s="113">
        <v>0</v>
      </c>
      <c r="CR2" s="113">
        <v>0</v>
      </c>
      <c r="CS2" s="125">
        <v>0</v>
      </c>
      <c r="CT2" s="113">
        <v>1500</v>
      </c>
      <c r="CU2" s="113">
        <v>1500</v>
      </c>
      <c r="CV2" s="113">
        <v>1500</v>
      </c>
      <c r="CW2" s="127">
        <v>4500</v>
      </c>
      <c r="CX2" s="113">
        <v>0</v>
      </c>
      <c r="CY2" s="113">
        <v>0</v>
      </c>
      <c r="CZ2" s="113">
        <v>0</v>
      </c>
      <c r="DA2" s="125">
        <v>0</v>
      </c>
      <c r="DB2" s="113">
        <v>0</v>
      </c>
      <c r="DC2" s="113">
        <v>0</v>
      </c>
      <c r="DD2" s="113">
        <v>0</v>
      </c>
      <c r="DE2" s="125">
        <v>0</v>
      </c>
      <c r="DF2" s="113">
        <v>0</v>
      </c>
      <c r="DG2" s="113">
        <v>0</v>
      </c>
      <c r="DH2" s="113">
        <v>0</v>
      </c>
      <c r="DI2" s="127"/>
      <c r="DJ2" s="113"/>
      <c r="DK2" s="113"/>
      <c r="DL2" s="113"/>
      <c r="DM2" s="127"/>
      <c r="DN2" s="113">
        <v>0</v>
      </c>
      <c r="DO2" s="113">
        <v>0</v>
      </c>
      <c r="DP2" s="113">
        <v>0</v>
      </c>
      <c r="DQ2" s="127"/>
      <c r="DR2" s="113">
        <v>0</v>
      </c>
      <c r="DS2" s="113">
        <v>0</v>
      </c>
      <c r="DT2" s="113">
        <v>0</v>
      </c>
      <c r="DU2" s="127"/>
      <c r="DV2" s="113"/>
      <c r="DW2" s="113"/>
      <c r="DX2" s="113"/>
      <c r="DY2" s="127">
        <v>0</v>
      </c>
      <c r="DZ2" s="113"/>
      <c r="EA2" s="113"/>
      <c r="EB2" s="113"/>
      <c r="EC2" s="127">
        <v>0</v>
      </c>
      <c r="ED2" s="113">
        <v>4500</v>
      </c>
      <c r="EE2" s="126"/>
      <c r="EF2" s="112"/>
      <c r="EG2" s="112"/>
      <c r="EH2" s="125">
        <v>0</v>
      </c>
      <c r="EI2" s="128">
        <v>0</v>
      </c>
      <c r="EJ2" s="113">
        <v>0</v>
      </c>
      <c r="EK2" s="113">
        <v>0</v>
      </c>
      <c r="EL2" s="127"/>
      <c r="EM2" s="125">
        <v>0</v>
      </c>
      <c r="EN2" s="113">
        <v>660</v>
      </c>
      <c r="EO2" s="113">
        <v>660</v>
      </c>
      <c r="EP2" s="113">
        <v>659</v>
      </c>
      <c r="EQ2" s="127">
        <v>2000</v>
      </c>
      <c r="ER2" s="125">
        <v>21.24</v>
      </c>
      <c r="ES2" s="113">
        <v>0</v>
      </c>
      <c r="ET2" s="113">
        <v>0</v>
      </c>
      <c r="EU2" s="113">
        <v>0</v>
      </c>
      <c r="EV2" s="127"/>
      <c r="EW2" s="129">
        <v>0</v>
      </c>
      <c r="EX2" s="112"/>
      <c r="EY2" s="112"/>
      <c r="EZ2" s="112"/>
      <c r="FA2" s="125">
        <v>0</v>
      </c>
      <c r="FB2" s="112"/>
      <c r="FC2" s="112"/>
      <c r="FD2" s="112"/>
      <c r="FE2" s="125">
        <v>0</v>
      </c>
      <c r="FF2" s="112"/>
      <c r="FG2" s="112"/>
      <c r="FH2" s="112"/>
      <c r="FI2" s="125">
        <v>0</v>
      </c>
      <c r="FJ2" s="130">
        <v>1978.76</v>
      </c>
      <c r="FK2" s="125">
        <v>-4500</v>
      </c>
      <c r="FL2" s="139">
        <v>-6766.1876514328678</v>
      </c>
      <c r="FM2" s="131">
        <v>-6478.76</v>
      </c>
    </row>
    <row r="3" spans="1:169" ht="15" x14ac:dyDescent="0.25">
      <c r="A3" s="111"/>
      <c r="X3" s="56"/>
      <c r="AF3" s="92"/>
      <c r="AL3" s="60"/>
      <c r="BC3" s="73"/>
      <c r="BJ3" s="62"/>
      <c r="BK3" s="48"/>
      <c r="BL3" s="49"/>
      <c r="BP3" s="93"/>
      <c r="BQ3" s="94"/>
      <c r="BT3" s="93"/>
      <c r="BX3" s="93"/>
      <c r="CB3" s="93"/>
      <c r="CF3" s="93"/>
      <c r="CG3" s="93"/>
      <c r="CK3" s="93"/>
      <c r="CO3" s="93"/>
      <c r="CS3" s="93"/>
      <c r="CW3" s="95"/>
      <c r="DA3" s="93"/>
      <c r="DE3" s="93"/>
      <c r="DI3" s="95"/>
      <c r="DM3" s="95"/>
      <c r="DQ3" s="95"/>
      <c r="DU3" s="95"/>
      <c r="DY3" s="95"/>
      <c r="EC3" s="95"/>
      <c r="EE3" s="94"/>
      <c r="EH3" s="93"/>
      <c r="EI3" s="96"/>
      <c r="EL3" s="95"/>
      <c r="EM3" s="93"/>
      <c r="EQ3" s="95"/>
      <c r="ER3" s="93"/>
      <c r="EV3" s="95"/>
      <c r="EW3" s="97"/>
      <c r="FA3" s="93"/>
      <c r="FE3" s="93"/>
      <c r="FI3" s="93"/>
      <c r="FJ3" s="98"/>
      <c r="FK3" s="93"/>
    </row>
    <row r="4" spans="1:169" x14ac:dyDescent="0.2">
      <c r="X4" s="87"/>
      <c r="AF4" s="92"/>
      <c r="AL4" s="60"/>
      <c r="BC4" s="73"/>
      <c r="BJ4" s="62"/>
      <c r="BK4" s="48"/>
      <c r="BL4" s="49"/>
      <c r="BP4" s="93"/>
      <c r="BQ4" s="94"/>
      <c r="BT4" s="93"/>
      <c r="BX4" s="93"/>
      <c r="CB4" s="93"/>
      <c r="CF4" s="93"/>
      <c r="CG4" s="93"/>
      <c r="CK4" s="93"/>
      <c r="CO4" s="93"/>
      <c r="CS4" s="93"/>
      <c r="CW4" s="95"/>
      <c r="DA4" s="93"/>
      <c r="DE4" s="93"/>
      <c r="DI4" s="95"/>
      <c r="DM4" s="95"/>
      <c r="DQ4" s="95"/>
      <c r="DU4" s="95"/>
      <c r="DY4" s="95"/>
      <c r="EC4" s="95"/>
      <c r="EE4" s="94"/>
      <c r="EH4" s="93"/>
      <c r="EI4" s="96"/>
      <c r="EL4" s="95"/>
      <c r="EM4" s="93"/>
      <c r="EQ4" s="95"/>
      <c r="ER4" s="93"/>
      <c r="EV4" s="95"/>
      <c r="EW4" s="97"/>
      <c r="FA4" s="93"/>
      <c r="FE4" s="93"/>
      <c r="FI4" s="93"/>
      <c r="FJ4" s="98"/>
      <c r="FK4" s="93"/>
    </row>
    <row r="5" spans="1:169" ht="13.35" customHeight="1" x14ac:dyDescent="0.2">
      <c r="A5" s="112"/>
      <c r="B5" s="113"/>
      <c r="C5" s="113"/>
      <c r="D5" s="113"/>
      <c r="E5" s="113"/>
      <c r="F5" s="112"/>
      <c r="G5" s="114"/>
      <c r="H5" s="114"/>
      <c r="I5" s="114"/>
      <c r="J5" s="115"/>
      <c r="K5" s="116"/>
      <c r="L5" s="112"/>
      <c r="M5" s="113"/>
      <c r="N5" s="113"/>
      <c r="O5" s="113"/>
      <c r="P5" s="113"/>
      <c r="Q5" s="117"/>
      <c r="R5" s="118"/>
      <c r="S5" s="119"/>
      <c r="T5" s="113"/>
      <c r="U5" s="113"/>
      <c r="V5" s="113"/>
      <c r="W5" s="113"/>
      <c r="X5" s="113"/>
      <c r="Y5" s="113"/>
      <c r="Z5" s="113"/>
      <c r="AA5" s="113"/>
      <c r="AB5" s="113"/>
      <c r="AC5" s="113"/>
      <c r="AD5" s="113"/>
      <c r="AE5" s="113"/>
      <c r="AF5" s="120"/>
      <c r="AG5" s="113"/>
      <c r="AH5" s="113"/>
      <c r="AI5" s="121"/>
      <c r="AJ5" s="119"/>
      <c r="AK5" s="113"/>
      <c r="AL5" s="132"/>
      <c r="AM5" s="122"/>
      <c r="AN5" s="122"/>
      <c r="AO5" s="122"/>
      <c r="AP5" s="122"/>
      <c r="AQ5" s="122"/>
      <c r="AR5" s="122"/>
      <c r="AS5" s="122"/>
      <c r="AT5" s="122"/>
      <c r="AU5" s="122"/>
      <c r="AV5" s="122"/>
      <c r="AW5" s="122"/>
      <c r="AX5" s="122"/>
      <c r="AY5" s="122"/>
      <c r="AZ5" s="122"/>
      <c r="BA5" s="122"/>
      <c r="BB5" s="122"/>
      <c r="BC5" s="133"/>
      <c r="BD5" s="116"/>
      <c r="BE5" s="116"/>
      <c r="BF5" s="116"/>
      <c r="BG5" s="116"/>
      <c r="BH5" s="116"/>
      <c r="BI5" s="116"/>
      <c r="BJ5" s="134"/>
      <c r="BK5" s="136"/>
      <c r="BL5" s="124"/>
      <c r="BM5" s="112"/>
      <c r="BN5" s="112"/>
      <c r="BO5" s="112"/>
      <c r="BP5" s="125"/>
      <c r="BQ5" s="126"/>
      <c r="BR5" s="112"/>
      <c r="BS5" s="112"/>
      <c r="BT5" s="125"/>
      <c r="BU5" s="112"/>
      <c r="BV5" s="112"/>
      <c r="BW5" s="112"/>
      <c r="BX5" s="125"/>
      <c r="BY5" s="137"/>
      <c r="BZ5" s="137"/>
      <c r="CA5" s="137"/>
      <c r="CB5" s="125"/>
      <c r="CC5" s="137"/>
      <c r="CD5" s="137"/>
      <c r="CE5" s="137"/>
      <c r="CF5" s="125"/>
      <c r="CG5" s="125"/>
      <c r="CH5" s="113"/>
      <c r="CI5" s="113"/>
      <c r="CJ5" s="113"/>
      <c r="CK5" s="125"/>
      <c r="CL5" s="113"/>
      <c r="CM5" s="113"/>
      <c r="CN5" s="113"/>
      <c r="CO5" s="125"/>
      <c r="CP5" s="113"/>
      <c r="CQ5" s="113"/>
      <c r="CR5" s="113"/>
      <c r="CS5" s="125"/>
      <c r="CT5" s="113"/>
      <c r="CU5" s="113"/>
      <c r="CV5" s="113"/>
      <c r="CW5" s="127"/>
      <c r="CX5" s="113"/>
      <c r="CY5" s="113"/>
      <c r="CZ5" s="113"/>
      <c r="DA5" s="125"/>
      <c r="DB5" s="113"/>
      <c r="DC5" s="113"/>
      <c r="DD5" s="113"/>
      <c r="DE5" s="125"/>
      <c r="DF5" s="113"/>
      <c r="DG5" s="113"/>
      <c r="DH5" s="113"/>
      <c r="DI5" s="127"/>
      <c r="DJ5" s="113"/>
      <c r="DK5" s="113"/>
      <c r="DL5" s="113"/>
      <c r="DM5" s="127"/>
      <c r="DN5" s="113"/>
      <c r="DO5" s="113"/>
      <c r="DP5" s="113"/>
      <c r="DQ5" s="127"/>
      <c r="DR5" s="113"/>
      <c r="DS5" s="113"/>
      <c r="DT5" s="113"/>
      <c r="DU5" s="127"/>
      <c r="DV5" s="113"/>
      <c r="DW5" s="113"/>
      <c r="DX5" s="113"/>
      <c r="DY5" s="127"/>
      <c r="DZ5" s="113"/>
      <c r="EA5" s="113"/>
      <c r="EB5" s="113"/>
      <c r="EC5" s="127"/>
      <c r="ED5" s="113"/>
      <c r="EE5" s="126"/>
      <c r="EF5" s="112"/>
      <c r="EG5" s="112"/>
      <c r="EH5" s="125"/>
      <c r="EI5" s="128"/>
      <c r="EJ5" s="113"/>
      <c r="EK5" s="113"/>
      <c r="EL5" s="127"/>
      <c r="EM5" s="125"/>
      <c r="EN5" s="113"/>
      <c r="EO5" s="113"/>
      <c r="EP5" s="113"/>
      <c r="EQ5" s="127"/>
      <c r="ER5" s="125"/>
      <c r="ES5" s="113"/>
      <c r="ET5" s="113"/>
      <c r="EU5" s="113"/>
      <c r="EV5" s="127"/>
      <c r="EW5" s="129"/>
      <c r="EX5" s="112"/>
      <c r="EY5" s="112"/>
      <c r="EZ5" s="112"/>
      <c r="FA5" s="125"/>
      <c r="FB5" s="112"/>
      <c r="FC5" s="112"/>
      <c r="FD5" s="112"/>
      <c r="FE5" s="125"/>
      <c r="FF5" s="112"/>
      <c r="FG5" s="112"/>
      <c r="FH5" s="112"/>
      <c r="FI5" s="125"/>
      <c r="FJ5" s="130"/>
      <c r="FK5" s="125"/>
      <c r="FL5" s="139"/>
      <c r="FM5" s="131"/>
    </row>
    <row r="6" spans="1:169" x14ac:dyDescent="0.2">
      <c r="AF6" s="92"/>
      <c r="AL6" s="60"/>
      <c r="BC6" s="73"/>
      <c r="BJ6" s="62"/>
      <c r="BK6" s="48"/>
      <c r="BL6" s="49"/>
      <c r="BP6" s="93"/>
      <c r="BQ6" s="94"/>
      <c r="BT6" s="93"/>
      <c r="BX6" s="93"/>
      <c r="CB6" s="93"/>
      <c r="CF6" s="93"/>
      <c r="CG6" s="93"/>
      <c r="CK6" s="93"/>
      <c r="CO6" s="93"/>
      <c r="CS6" s="93"/>
      <c r="CW6" s="95"/>
      <c r="DA6" s="93"/>
      <c r="DE6" s="93"/>
      <c r="DI6" s="95"/>
      <c r="DM6" s="95"/>
      <c r="DQ6" s="95"/>
      <c r="DU6" s="95"/>
      <c r="DY6" s="95"/>
      <c r="EC6" s="95"/>
      <c r="EE6" s="94"/>
      <c r="EH6" s="93"/>
      <c r="EI6" s="96"/>
      <c r="EL6" s="95"/>
      <c r="EM6" s="93"/>
      <c r="EQ6" s="95"/>
      <c r="ER6" s="93"/>
      <c r="EV6" s="95"/>
      <c r="EW6" s="97"/>
      <c r="FA6" s="93"/>
      <c r="FE6" s="93"/>
      <c r="FI6" s="93"/>
      <c r="FJ6" s="98"/>
      <c r="FK6" s="93"/>
    </row>
    <row r="7" spans="1:169" x14ac:dyDescent="0.2">
      <c r="X7" s="87"/>
      <c r="AF7" s="92"/>
      <c r="AL7" s="60"/>
      <c r="BC7" s="73"/>
      <c r="BJ7" s="62"/>
      <c r="BK7" s="48"/>
      <c r="BL7" s="49"/>
      <c r="BP7" s="93"/>
      <c r="BQ7" s="94"/>
      <c r="BT7" s="93"/>
      <c r="BX7" s="93"/>
      <c r="CB7" s="93"/>
      <c r="CF7" s="93"/>
      <c r="CG7" s="93"/>
      <c r="CK7" s="93"/>
      <c r="CO7" s="93"/>
      <c r="CS7" s="93"/>
      <c r="CW7" s="95"/>
      <c r="DA7" s="93"/>
      <c r="DE7" s="93"/>
      <c r="DI7" s="95"/>
      <c r="DM7" s="95"/>
      <c r="DQ7" s="95"/>
      <c r="DU7" s="95"/>
      <c r="DY7" s="95"/>
      <c r="EC7" s="95"/>
      <c r="EE7" s="94"/>
      <c r="EH7" s="93"/>
      <c r="EI7" s="96"/>
      <c r="EL7" s="95"/>
      <c r="EM7" s="93"/>
      <c r="EQ7" s="95"/>
      <c r="ER7" s="93"/>
      <c r="EV7" s="95"/>
      <c r="EW7" s="97"/>
      <c r="FA7" s="93"/>
      <c r="FE7" s="93"/>
      <c r="FI7" s="93"/>
      <c r="FJ7" s="98"/>
      <c r="FK7" s="93"/>
    </row>
    <row r="8" spans="1:169" x14ac:dyDescent="0.2">
      <c r="X8" s="87"/>
      <c r="AF8" s="92"/>
      <c r="AL8" s="60"/>
      <c r="BC8" s="73"/>
      <c r="BJ8" s="62"/>
      <c r="BK8" s="48"/>
      <c r="BL8" s="49"/>
      <c r="BP8" s="93"/>
      <c r="BQ8" s="94"/>
      <c r="BT8" s="93"/>
      <c r="BX8" s="93"/>
      <c r="CB8" s="93"/>
      <c r="CF8" s="93"/>
      <c r="CG8" s="93"/>
      <c r="CK8" s="93"/>
      <c r="CO8" s="93"/>
      <c r="CS8" s="93"/>
      <c r="CW8" s="95"/>
      <c r="DA8" s="93"/>
      <c r="DE8" s="93"/>
      <c r="DI8" s="95"/>
      <c r="DM8" s="95"/>
      <c r="DQ8" s="95"/>
      <c r="DU8" s="95"/>
      <c r="DY8" s="95"/>
      <c r="EC8" s="95"/>
      <c r="EE8" s="94"/>
      <c r="EH8" s="93"/>
      <c r="EI8" s="96"/>
      <c r="EL8" s="95"/>
      <c r="EM8" s="93"/>
      <c r="EQ8" s="95"/>
      <c r="ER8" s="93"/>
      <c r="EV8" s="95"/>
      <c r="EW8" s="97"/>
      <c r="FA8" s="93"/>
      <c r="FE8" s="93"/>
      <c r="FI8" s="93"/>
      <c r="FJ8" s="98"/>
      <c r="FK8" s="93"/>
    </row>
    <row r="9" spans="1:169" x14ac:dyDescent="0.2">
      <c r="X9" s="87"/>
      <c r="AF9" s="92"/>
      <c r="AL9" s="60"/>
      <c r="BC9" s="73"/>
      <c r="BJ9" s="62"/>
      <c r="BK9" s="48"/>
      <c r="BL9" s="49"/>
      <c r="BP9" s="93"/>
      <c r="BQ9" s="94"/>
      <c r="BT9" s="93"/>
      <c r="BX9" s="93"/>
      <c r="CB9" s="93"/>
      <c r="CF9" s="93"/>
      <c r="CG9" s="93"/>
      <c r="CK9" s="93"/>
      <c r="CO9" s="93"/>
      <c r="CS9" s="93"/>
      <c r="CW9" s="95"/>
      <c r="DA9" s="93"/>
      <c r="DE9" s="93"/>
      <c r="DI9" s="95"/>
      <c r="DM9" s="95"/>
      <c r="DQ9" s="95"/>
      <c r="DU9" s="95"/>
      <c r="DY9" s="95"/>
      <c r="EC9" s="95"/>
      <c r="EE9" s="94"/>
      <c r="EH9" s="93"/>
      <c r="EI9" s="96"/>
      <c r="EL9" s="95"/>
      <c r="EM9" s="93"/>
      <c r="EQ9" s="95"/>
      <c r="ER9" s="93"/>
      <c r="EV9" s="95"/>
      <c r="EW9" s="97"/>
      <c r="FA9" s="93"/>
      <c r="FE9" s="93"/>
      <c r="FI9" s="93"/>
      <c r="FJ9" s="98"/>
      <c r="FK9" s="93"/>
    </row>
    <row r="10" spans="1:169" x14ac:dyDescent="0.2">
      <c r="X10" s="87"/>
      <c r="AF10" s="92"/>
      <c r="AL10" s="60"/>
      <c r="BC10" s="73"/>
      <c r="BJ10" s="62"/>
      <c r="BK10" s="48"/>
      <c r="BL10" s="49"/>
      <c r="BP10" s="93"/>
      <c r="BQ10" s="94"/>
      <c r="BT10" s="93"/>
      <c r="BX10" s="93"/>
      <c r="CB10" s="93"/>
      <c r="CF10" s="93"/>
      <c r="CG10" s="93"/>
      <c r="CK10" s="93"/>
      <c r="CO10" s="93"/>
      <c r="CS10" s="93"/>
      <c r="CW10" s="95"/>
      <c r="DA10" s="93"/>
      <c r="DE10" s="93"/>
      <c r="DI10" s="95"/>
      <c r="DM10" s="95"/>
      <c r="DQ10" s="95"/>
      <c r="DU10" s="95"/>
      <c r="DY10" s="95"/>
      <c r="EC10" s="95"/>
      <c r="EE10" s="94"/>
      <c r="EH10" s="93"/>
      <c r="EI10" s="96"/>
      <c r="EL10" s="95"/>
      <c r="EM10" s="93"/>
      <c r="EQ10" s="95"/>
      <c r="ER10" s="93"/>
      <c r="EV10" s="95"/>
      <c r="EW10" s="97"/>
      <c r="FA10" s="93"/>
      <c r="FE10" s="93"/>
      <c r="FI10" s="93"/>
      <c r="FJ10" s="98"/>
      <c r="FK10" s="93"/>
    </row>
    <row r="11" spans="1:169" x14ac:dyDescent="0.2">
      <c r="X11" s="56"/>
      <c r="AF11" s="92"/>
      <c r="AL11" s="60"/>
      <c r="BC11" s="73"/>
      <c r="BJ11" s="62"/>
      <c r="BK11" s="48"/>
      <c r="BL11" s="49"/>
      <c r="BP11" s="93"/>
      <c r="BQ11" s="94"/>
      <c r="BT11" s="93"/>
      <c r="BX11" s="93"/>
      <c r="CB11" s="93"/>
      <c r="CF11" s="93"/>
      <c r="CG11" s="93"/>
      <c r="CK11" s="93"/>
      <c r="CO11" s="93"/>
      <c r="CS11" s="93"/>
      <c r="CW11" s="95"/>
      <c r="DA11" s="93"/>
      <c r="DE11" s="93"/>
      <c r="DI11" s="95"/>
      <c r="DM11" s="95"/>
      <c r="DQ11" s="95"/>
      <c r="DU11" s="95"/>
      <c r="DY11" s="95"/>
      <c r="EC11" s="95"/>
      <c r="EE11" s="94"/>
      <c r="EH11" s="93"/>
      <c r="EI11" s="96"/>
      <c r="EL11" s="95"/>
      <c r="EM11" s="93"/>
      <c r="EQ11" s="95"/>
      <c r="ER11" s="93"/>
      <c r="EV11" s="95"/>
      <c r="EW11" s="97"/>
      <c r="FA11" s="93"/>
      <c r="FE11" s="93"/>
      <c r="FI11" s="93"/>
      <c r="FJ11" s="98"/>
      <c r="FK11" s="93"/>
    </row>
    <row r="12" spans="1:169" x14ac:dyDescent="0.2">
      <c r="A12" s="112"/>
      <c r="B12" s="113"/>
      <c r="C12" s="113"/>
      <c r="D12" s="113"/>
      <c r="E12" s="113"/>
      <c r="F12" s="112"/>
      <c r="G12" s="114"/>
      <c r="H12" s="114"/>
      <c r="I12" s="114"/>
      <c r="J12" s="115"/>
      <c r="K12" s="116"/>
      <c r="L12" s="112"/>
      <c r="M12" s="113"/>
      <c r="N12" s="113"/>
      <c r="O12" s="113"/>
      <c r="P12" s="113"/>
      <c r="Q12" s="117"/>
      <c r="R12" s="118"/>
      <c r="S12" s="119"/>
      <c r="T12" s="113"/>
      <c r="U12" s="113"/>
      <c r="V12" s="113"/>
      <c r="W12" s="113"/>
      <c r="X12" s="113"/>
      <c r="Y12" s="113"/>
      <c r="Z12" s="113"/>
      <c r="AA12" s="113"/>
      <c r="AB12" s="113"/>
      <c r="AC12" s="113"/>
      <c r="AD12" s="113"/>
      <c r="AE12" s="113"/>
      <c r="AF12" s="120"/>
      <c r="AG12" s="113"/>
      <c r="AH12" s="113"/>
      <c r="AI12" s="121"/>
      <c r="AJ12" s="119"/>
      <c r="AK12" s="113"/>
      <c r="AL12" s="132"/>
      <c r="AM12" s="122"/>
      <c r="AN12" s="122"/>
      <c r="AO12" s="122"/>
      <c r="AP12" s="122"/>
      <c r="AQ12" s="122"/>
      <c r="AR12" s="122"/>
      <c r="AS12" s="122"/>
      <c r="AT12" s="122"/>
      <c r="AU12" s="122"/>
      <c r="AV12" s="122"/>
      <c r="AW12" s="122"/>
      <c r="AX12" s="122"/>
      <c r="AY12" s="122"/>
      <c r="AZ12" s="122"/>
      <c r="BA12" s="122"/>
      <c r="BB12" s="122"/>
      <c r="BC12" s="133"/>
      <c r="BD12" s="116"/>
      <c r="BE12" s="116"/>
      <c r="BF12" s="116"/>
      <c r="BG12" s="116"/>
      <c r="BH12" s="116"/>
      <c r="BI12" s="116"/>
      <c r="BJ12" s="134"/>
      <c r="BK12" s="136"/>
      <c r="BL12" s="124"/>
      <c r="BM12" s="112"/>
      <c r="BN12" s="112"/>
      <c r="BO12" s="112"/>
      <c r="BP12" s="125"/>
      <c r="BQ12" s="126"/>
      <c r="BR12" s="112"/>
      <c r="BS12" s="112"/>
      <c r="BT12" s="125"/>
      <c r="BU12" s="112"/>
      <c r="BV12" s="112"/>
      <c r="BW12" s="112"/>
      <c r="BX12" s="125"/>
      <c r="BY12" s="137"/>
      <c r="BZ12" s="137"/>
      <c r="CA12" s="137"/>
      <c r="CB12" s="125"/>
      <c r="CC12" s="137"/>
      <c r="CD12" s="137"/>
      <c r="CE12" s="137"/>
      <c r="CF12" s="125"/>
      <c r="CG12" s="125"/>
      <c r="CH12" s="113"/>
      <c r="CI12" s="113"/>
      <c r="CJ12" s="113"/>
      <c r="CK12" s="125"/>
      <c r="CL12" s="113"/>
      <c r="CM12" s="113"/>
      <c r="CN12" s="113"/>
      <c r="CO12" s="125"/>
      <c r="CP12" s="113"/>
      <c r="CQ12" s="113"/>
      <c r="CR12" s="113"/>
      <c r="CS12" s="125"/>
      <c r="CT12" s="113"/>
      <c r="CU12" s="113"/>
      <c r="CV12" s="113"/>
      <c r="CW12" s="127"/>
      <c r="CX12" s="113"/>
      <c r="CY12" s="113"/>
      <c r="CZ12" s="113"/>
      <c r="DA12" s="125"/>
      <c r="DB12" s="113"/>
      <c r="DC12" s="113"/>
      <c r="DD12" s="113"/>
      <c r="DE12" s="125"/>
      <c r="DF12" s="113"/>
      <c r="DG12" s="113"/>
      <c r="DH12" s="113"/>
      <c r="DI12" s="127"/>
      <c r="DJ12" s="113"/>
      <c r="DK12" s="113"/>
      <c r="DL12" s="113"/>
      <c r="DM12" s="127"/>
      <c r="DN12" s="113"/>
      <c r="DO12" s="113"/>
      <c r="DP12" s="113"/>
      <c r="DQ12" s="127"/>
      <c r="DR12" s="113"/>
      <c r="DS12" s="113"/>
      <c r="DT12" s="113"/>
      <c r="DU12" s="127"/>
      <c r="DV12" s="113"/>
      <c r="DW12" s="113"/>
      <c r="DX12" s="113"/>
      <c r="DY12" s="127"/>
      <c r="DZ12" s="113"/>
      <c r="EA12" s="113"/>
      <c r="EB12" s="113"/>
      <c r="EC12" s="127"/>
      <c r="ED12" s="113"/>
      <c r="EE12" s="126"/>
      <c r="EF12" s="112"/>
      <c r="EG12" s="112"/>
      <c r="EH12" s="125"/>
      <c r="EI12" s="128"/>
      <c r="EJ12" s="113"/>
      <c r="EK12" s="113"/>
      <c r="EL12" s="127"/>
      <c r="EM12" s="125"/>
      <c r="EN12" s="113"/>
      <c r="EO12" s="113"/>
      <c r="EP12" s="113"/>
      <c r="EQ12" s="127"/>
      <c r="ER12" s="125"/>
      <c r="ES12" s="113"/>
      <c r="ET12" s="113"/>
      <c r="EU12" s="113"/>
      <c r="EV12" s="127"/>
      <c r="EW12" s="129"/>
      <c r="EX12" s="112"/>
      <c r="EY12" s="112"/>
      <c r="EZ12" s="112"/>
      <c r="FA12" s="125"/>
      <c r="FB12" s="112"/>
      <c r="FC12" s="112"/>
      <c r="FD12" s="112"/>
      <c r="FE12" s="125"/>
      <c r="FF12" s="112"/>
      <c r="FG12" s="112"/>
      <c r="FH12" s="112"/>
      <c r="FI12" s="125"/>
      <c r="FJ12" s="130"/>
      <c r="FK12" s="125"/>
      <c r="FL12" s="139"/>
      <c r="FM12" s="131"/>
    </row>
    <row r="13" spans="1:169" x14ac:dyDescent="0.2">
      <c r="X13" s="87"/>
      <c r="AF13" s="92"/>
      <c r="AL13" s="60"/>
      <c r="BC13" s="73"/>
      <c r="BJ13" s="62"/>
      <c r="BK13" s="48"/>
      <c r="BL13" s="49"/>
      <c r="BP13" s="93"/>
      <c r="BQ13" s="94"/>
      <c r="BT13" s="93"/>
      <c r="BX13" s="93"/>
      <c r="CB13" s="93"/>
      <c r="CF13" s="93"/>
      <c r="CG13" s="93"/>
      <c r="CK13" s="93"/>
      <c r="CO13" s="93"/>
      <c r="CS13" s="93"/>
      <c r="CW13" s="95"/>
      <c r="DA13" s="93"/>
      <c r="DE13" s="93"/>
      <c r="DI13" s="95"/>
      <c r="DM13" s="95"/>
      <c r="DQ13" s="95"/>
      <c r="DU13" s="95"/>
      <c r="DY13" s="95"/>
      <c r="EC13" s="95"/>
      <c r="EE13" s="94"/>
      <c r="EH13" s="93"/>
      <c r="EI13" s="96"/>
      <c r="EL13" s="95"/>
      <c r="EM13" s="93"/>
      <c r="EQ13" s="95"/>
      <c r="ER13" s="93"/>
      <c r="EV13" s="95"/>
      <c r="EW13" s="97"/>
      <c r="FA13" s="93"/>
      <c r="FE13" s="93"/>
      <c r="FI13" s="93"/>
      <c r="FJ13" s="98"/>
      <c r="FK13" s="93"/>
    </row>
    <row r="14" spans="1:169" x14ac:dyDescent="0.2">
      <c r="X14" s="87"/>
      <c r="AF14" s="92"/>
      <c r="AL14" s="60"/>
      <c r="BC14" s="73"/>
      <c r="BJ14" s="62"/>
      <c r="BK14" s="48"/>
      <c r="BL14" s="49"/>
      <c r="BP14" s="93"/>
      <c r="BQ14" s="94"/>
      <c r="BT14" s="93"/>
      <c r="BX14" s="93"/>
      <c r="CB14" s="93"/>
      <c r="CF14" s="93"/>
      <c r="CG14" s="93"/>
      <c r="CK14" s="93"/>
      <c r="CO14" s="93"/>
      <c r="CS14" s="93"/>
      <c r="CW14" s="95"/>
      <c r="DA14" s="93"/>
      <c r="DE14" s="93"/>
      <c r="DI14" s="95"/>
      <c r="DM14" s="95"/>
      <c r="DQ14" s="95"/>
      <c r="DU14" s="95"/>
      <c r="DY14" s="95"/>
      <c r="EC14" s="95"/>
      <c r="EE14" s="94"/>
      <c r="EH14" s="93"/>
      <c r="EI14" s="96"/>
      <c r="EL14" s="95"/>
      <c r="EM14" s="93"/>
      <c r="EQ14" s="95"/>
      <c r="ER14" s="93"/>
      <c r="EV14" s="95"/>
      <c r="EW14" s="97"/>
      <c r="FA14" s="93"/>
      <c r="FE14" s="93"/>
      <c r="FI14" s="93"/>
      <c r="FJ14" s="98"/>
      <c r="FK14" s="93"/>
    </row>
    <row r="15" spans="1:169" x14ac:dyDescent="0.2">
      <c r="X15" s="87"/>
      <c r="AF15" s="92"/>
      <c r="AL15" s="60"/>
      <c r="BC15" s="73"/>
      <c r="BJ15" s="62"/>
      <c r="BK15" s="48"/>
      <c r="BL15" s="49"/>
      <c r="BP15" s="93"/>
      <c r="BQ15" s="94"/>
      <c r="BT15" s="93"/>
      <c r="BX15" s="93"/>
      <c r="CB15" s="93"/>
      <c r="CF15" s="93"/>
      <c r="CG15" s="93"/>
      <c r="CK15" s="93"/>
      <c r="CO15" s="93"/>
      <c r="CS15" s="93"/>
      <c r="CW15" s="95"/>
      <c r="DA15" s="93"/>
      <c r="DE15" s="93"/>
      <c r="DI15" s="95"/>
      <c r="DM15" s="95"/>
      <c r="DQ15" s="95"/>
      <c r="DU15" s="95"/>
      <c r="DY15" s="95"/>
      <c r="EC15" s="95"/>
      <c r="EE15" s="94"/>
      <c r="EH15" s="93"/>
      <c r="EI15" s="96"/>
      <c r="EL15" s="95"/>
      <c r="EM15" s="93"/>
      <c r="EQ15" s="95"/>
      <c r="ER15" s="93"/>
      <c r="EV15" s="95"/>
      <c r="EW15" s="97"/>
      <c r="FA15" s="93"/>
      <c r="FE15" s="93"/>
      <c r="FI15" s="93"/>
      <c r="FJ15" s="98"/>
      <c r="FK15" s="93"/>
    </row>
    <row r="16" spans="1:169" x14ac:dyDescent="0.2">
      <c r="X16" s="87"/>
      <c r="AF16" s="92"/>
      <c r="AL16" s="60"/>
      <c r="BC16" s="73"/>
      <c r="BJ16" s="62"/>
      <c r="BK16" s="48"/>
      <c r="BL16" s="49"/>
      <c r="BP16" s="93"/>
      <c r="BQ16" s="94"/>
      <c r="BT16" s="93"/>
      <c r="BX16" s="93"/>
      <c r="CB16" s="93"/>
      <c r="CF16" s="93"/>
      <c r="CG16" s="93"/>
      <c r="CK16" s="93"/>
      <c r="CO16" s="93"/>
      <c r="CS16" s="93"/>
      <c r="CW16" s="95"/>
      <c r="DA16" s="93"/>
      <c r="DE16" s="93"/>
      <c r="DI16" s="95"/>
      <c r="DM16" s="95"/>
      <c r="DQ16" s="95"/>
      <c r="DU16" s="95"/>
      <c r="DY16" s="95"/>
      <c r="EC16" s="95"/>
      <c r="EE16" s="94"/>
      <c r="EH16" s="93"/>
      <c r="EI16" s="96"/>
      <c r="EL16" s="95"/>
      <c r="EM16" s="93"/>
      <c r="EQ16" s="95"/>
      <c r="ER16" s="93"/>
      <c r="EV16" s="95"/>
      <c r="EW16" s="97"/>
      <c r="FA16" s="93"/>
      <c r="FE16" s="93"/>
      <c r="FI16" s="93"/>
      <c r="FJ16" s="98"/>
      <c r="FK16" s="93"/>
    </row>
    <row r="17" spans="1:169" x14ac:dyDescent="0.2">
      <c r="X17" s="87"/>
      <c r="AF17" s="92"/>
      <c r="AL17" s="60"/>
      <c r="BC17" s="73"/>
      <c r="BJ17" s="62"/>
      <c r="BK17" s="48"/>
      <c r="BL17" s="49"/>
      <c r="BP17" s="93"/>
      <c r="BQ17" s="94"/>
      <c r="BT17" s="93"/>
      <c r="BX17" s="93"/>
      <c r="CB17" s="93"/>
      <c r="CF17" s="93"/>
      <c r="CG17" s="93"/>
      <c r="CK17" s="93"/>
      <c r="CO17" s="93"/>
      <c r="CS17" s="93"/>
      <c r="CW17" s="95"/>
      <c r="DA17" s="93"/>
      <c r="DE17" s="93"/>
      <c r="DI17" s="95"/>
      <c r="DM17" s="95"/>
      <c r="DQ17" s="95"/>
      <c r="DU17" s="95"/>
      <c r="DY17" s="95"/>
      <c r="EC17" s="95"/>
      <c r="EE17" s="94"/>
      <c r="EH17" s="93"/>
      <c r="EI17" s="96"/>
      <c r="EL17" s="95"/>
      <c r="EM17" s="93"/>
      <c r="EQ17" s="95"/>
      <c r="ER17" s="93"/>
      <c r="EV17" s="95"/>
      <c r="EW17" s="97"/>
      <c r="FA17" s="93"/>
      <c r="FE17" s="93"/>
      <c r="FI17" s="93"/>
      <c r="FJ17" s="98"/>
      <c r="FK17" s="93"/>
    </row>
    <row r="18" spans="1:169" x14ac:dyDescent="0.2">
      <c r="A18" s="112"/>
      <c r="B18" s="113"/>
      <c r="C18" s="113"/>
      <c r="D18" s="113"/>
      <c r="E18" s="113"/>
      <c r="F18" s="112"/>
      <c r="G18" s="114"/>
      <c r="H18" s="114"/>
      <c r="I18" s="114"/>
      <c r="J18" s="115"/>
      <c r="K18" s="116"/>
      <c r="L18" s="112"/>
      <c r="M18" s="113"/>
      <c r="N18" s="113"/>
      <c r="O18" s="113"/>
      <c r="P18" s="113"/>
      <c r="Q18" s="117"/>
      <c r="R18" s="118"/>
      <c r="S18" s="119"/>
      <c r="T18" s="113"/>
      <c r="U18" s="113"/>
      <c r="V18" s="113"/>
      <c r="W18" s="113"/>
      <c r="X18" s="113"/>
      <c r="Y18" s="113"/>
      <c r="Z18" s="113"/>
      <c r="AA18" s="113"/>
      <c r="AB18" s="113"/>
      <c r="AC18" s="113"/>
      <c r="AD18" s="113"/>
      <c r="AE18" s="113"/>
      <c r="AF18" s="120"/>
      <c r="AG18" s="113"/>
      <c r="AH18" s="113"/>
      <c r="AI18" s="121"/>
      <c r="AJ18" s="119"/>
      <c r="AK18" s="113"/>
      <c r="AL18" s="132"/>
      <c r="AM18" s="122"/>
      <c r="AN18" s="122"/>
      <c r="AO18" s="122"/>
      <c r="AP18" s="122"/>
      <c r="AQ18" s="122"/>
      <c r="AR18" s="122"/>
      <c r="AS18" s="122"/>
      <c r="AT18" s="122"/>
      <c r="AU18" s="122"/>
      <c r="AV18" s="122"/>
      <c r="AW18" s="122"/>
      <c r="AX18" s="122"/>
      <c r="AY18" s="122"/>
      <c r="AZ18" s="122"/>
      <c r="BA18" s="122"/>
      <c r="BB18" s="122"/>
      <c r="BC18" s="133"/>
      <c r="BD18" s="116"/>
      <c r="BE18" s="116"/>
      <c r="BF18" s="116"/>
      <c r="BG18" s="116"/>
      <c r="BH18" s="116"/>
      <c r="BI18" s="116"/>
      <c r="BJ18" s="134"/>
      <c r="BK18" s="136"/>
      <c r="BL18" s="124"/>
      <c r="BM18" s="112"/>
      <c r="BN18" s="112"/>
      <c r="BO18" s="112"/>
      <c r="BP18" s="125"/>
      <c r="BQ18" s="126"/>
      <c r="BR18" s="112"/>
      <c r="BS18" s="112"/>
      <c r="BT18" s="125"/>
      <c r="BU18" s="112"/>
      <c r="BV18" s="112"/>
      <c r="BW18" s="112"/>
      <c r="BX18" s="125"/>
      <c r="BY18" s="137"/>
      <c r="BZ18" s="137"/>
      <c r="CA18" s="137"/>
      <c r="CB18" s="125"/>
      <c r="CC18" s="137"/>
      <c r="CD18" s="137"/>
      <c r="CE18" s="137"/>
      <c r="CF18" s="125"/>
      <c r="CG18" s="125"/>
      <c r="CH18" s="113"/>
      <c r="CI18" s="113"/>
      <c r="CJ18" s="113"/>
      <c r="CK18" s="125"/>
      <c r="CL18" s="113"/>
      <c r="CM18" s="113"/>
      <c r="CN18" s="113"/>
      <c r="CO18" s="125"/>
      <c r="CP18" s="113"/>
      <c r="CQ18" s="113"/>
      <c r="CR18" s="113"/>
      <c r="CS18" s="125"/>
      <c r="CT18" s="113"/>
      <c r="CU18" s="113"/>
      <c r="CV18" s="113"/>
      <c r="CW18" s="127"/>
      <c r="CX18" s="113"/>
      <c r="CY18" s="113"/>
      <c r="CZ18" s="113"/>
      <c r="DA18" s="125"/>
      <c r="DB18" s="113"/>
      <c r="DC18" s="113"/>
      <c r="DD18" s="113"/>
      <c r="DE18" s="125"/>
      <c r="DF18" s="113"/>
      <c r="DG18" s="113"/>
      <c r="DH18" s="113"/>
      <c r="DI18" s="127"/>
      <c r="DJ18" s="113"/>
      <c r="DK18" s="113"/>
      <c r="DL18" s="113"/>
      <c r="DM18" s="127"/>
      <c r="DN18" s="113"/>
      <c r="DO18" s="113"/>
      <c r="DP18" s="113"/>
      <c r="DQ18" s="127"/>
      <c r="DR18" s="113"/>
      <c r="DS18" s="113"/>
      <c r="DT18" s="113"/>
      <c r="DU18" s="127"/>
      <c r="DV18" s="113"/>
      <c r="DW18" s="113"/>
      <c r="DX18" s="113"/>
      <c r="DY18" s="127"/>
      <c r="DZ18" s="113"/>
      <c r="EA18" s="113"/>
      <c r="EB18" s="113"/>
      <c r="EC18" s="127"/>
      <c r="ED18" s="113"/>
      <c r="EE18" s="126"/>
      <c r="EF18" s="112"/>
      <c r="EG18" s="112"/>
      <c r="EH18" s="125"/>
      <c r="EI18" s="128"/>
      <c r="EJ18" s="113"/>
      <c r="EK18" s="113"/>
      <c r="EL18" s="127"/>
      <c r="EM18" s="125"/>
      <c r="EN18" s="113"/>
      <c r="EO18" s="113"/>
      <c r="EP18" s="113"/>
      <c r="EQ18" s="127"/>
      <c r="ER18" s="125"/>
      <c r="ES18" s="113"/>
      <c r="ET18" s="113"/>
      <c r="EU18" s="113"/>
      <c r="EV18" s="127"/>
      <c r="EW18" s="129"/>
      <c r="EX18" s="112"/>
      <c r="EY18" s="112"/>
      <c r="EZ18" s="112"/>
      <c r="FA18" s="125"/>
      <c r="FB18" s="112"/>
      <c r="FC18" s="112"/>
      <c r="FD18" s="112"/>
      <c r="FE18" s="125"/>
      <c r="FF18" s="112"/>
      <c r="FG18" s="112"/>
      <c r="FH18" s="112"/>
      <c r="FI18" s="125"/>
      <c r="FJ18" s="130"/>
      <c r="FK18" s="125"/>
      <c r="FL18" s="139"/>
      <c r="FM18" s="131"/>
    </row>
    <row r="19" spans="1:169" x14ac:dyDescent="0.2">
      <c r="AF19" s="92"/>
      <c r="AL19" s="60"/>
      <c r="BC19" s="73"/>
      <c r="BJ19" s="62"/>
      <c r="BK19" s="48"/>
      <c r="BL19" s="49"/>
      <c r="BP19" s="93"/>
      <c r="BQ19" s="94"/>
      <c r="BT19" s="93"/>
      <c r="BX19" s="93"/>
      <c r="CB19" s="93"/>
      <c r="CF19" s="93"/>
      <c r="CG19" s="93"/>
      <c r="CK19" s="93"/>
      <c r="CO19" s="93"/>
      <c r="CS19" s="93"/>
      <c r="CW19" s="95"/>
      <c r="DA19" s="93"/>
      <c r="DE19" s="93"/>
      <c r="DI19" s="95"/>
      <c r="DM19" s="95"/>
      <c r="DQ19" s="95"/>
      <c r="DU19" s="95"/>
      <c r="DY19" s="95"/>
      <c r="EC19" s="95"/>
      <c r="EE19" s="94"/>
      <c r="EH19" s="93"/>
      <c r="EI19" s="96"/>
      <c r="EL19" s="95"/>
      <c r="EM19" s="93"/>
      <c r="EQ19" s="95"/>
      <c r="ER19" s="93"/>
      <c r="EV19" s="95"/>
      <c r="EW19" s="97"/>
      <c r="FA19" s="93"/>
      <c r="FE19" s="93"/>
      <c r="FI19" s="93"/>
      <c r="FJ19" s="98"/>
      <c r="FK19" s="93"/>
    </row>
    <row r="20" spans="1:169" x14ac:dyDescent="0.2">
      <c r="X20" s="87"/>
      <c r="AF20" s="92"/>
      <c r="AL20" s="60"/>
      <c r="BC20" s="73"/>
      <c r="BJ20" s="62"/>
      <c r="BK20" s="48"/>
      <c r="BL20" s="49"/>
      <c r="BP20" s="93"/>
      <c r="BQ20" s="94"/>
      <c r="BT20" s="93"/>
      <c r="BX20" s="93"/>
      <c r="CB20" s="93"/>
      <c r="CF20" s="93"/>
      <c r="CG20" s="93"/>
      <c r="CK20" s="93"/>
      <c r="CO20" s="93"/>
      <c r="CS20" s="93"/>
      <c r="CW20" s="95"/>
      <c r="DA20" s="93"/>
      <c r="DE20" s="93"/>
      <c r="DI20" s="95"/>
      <c r="DM20" s="95"/>
      <c r="DQ20" s="95"/>
      <c r="DU20" s="95"/>
      <c r="DY20" s="95"/>
      <c r="EC20" s="95"/>
      <c r="EE20" s="94"/>
      <c r="EH20" s="93"/>
      <c r="EI20" s="96"/>
      <c r="EL20" s="95"/>
      <c r="EM20" s="93"/>
      <c r="EQ20" s="95"/>
      <c r="ER20" s="93"/>
      <c r="EV20" s="95"/>
      <c r="EW20" s="97"/>
      <c r="FA20" s="93"/>
      <c r="FE20" s="93"/>
      <c r="FI20" s="93"/>
      <c r="FJ20" s="98"/>
      <c r="FK20" s="93"/>
    </row>
    <row r="21" spans="1:169" x14ac:dyDescent="0.2">
      <c r="X21" s="56"/>
      <c r="AF21" s="92"/>
      <c r="AL21" s="60"/>
      <c r="BC21" s="73"/>
      <c r="BJ21" s="62"/>
      <c r="BK21" s="48"/>
      <c r="BL21" s="49"/>
      <c r="BP21" s="93"/>
      <c r="BQ21" s="94"/>
      <c r="BT21" s="93"/>
      <c r="BX21" s="93"/>
      <c r="CB21" s="93"/>
      <c r="CF21" s="93"/>
      <c r="CG21" s="93"/>
      <c r="CK21" s="93"/>
      <c r="CO21" s="93"/>
      <c r="CS21" s="93"/>
      <c r="CW21" s="95"/>
      <c r="DA21" s="93"/>
      <c r="DE21" s="93"/>
      <c r="DI21" s="95"/>
      <c r="DM21" s="95"/>
      <c r="DQ21" s="95"/>
      <c r="DU21" s="95"/>
      <c r="DY21" s="95"/>
      <c r="EC21" s="95"/>
      <c r="EE21" s="94"/>
      <c r="EH21" s="93"/>
      <c r="EI21" s="96"/>
      <c r="EL21" s="95"/>
      <c r="EM21" s="93"/>
      <c r="EQ21" s="95"/>
      <c r="ER21" s="93"/>
      <c r="EV21" s="95"/>
      <c r="EW21" s="97"/>
      <c r="FA21" s="93"/>
      <c r="FE21" s="93"/>
      <c r="FI21" s="93"/>
      <c r="FJ21" s="98"/>
      <c r="FK21" s="93"/>
    </row>
    <row r="22" spans="1:169" x14ac:dyDescent="0.2">
      <c r="AF22" s="92"/>
      <c r="AL22" s="60"/>
      <c r="BC22" s="73"/>
      <c r="BJ22" s="62"/>
      <c r="BK22" s="48"/>
      <c r="BL22" s="49"/>
      <c r="BP22" s="93"/>
      <c r="BQ22" s="94"/>
      <c r="BT22" s="93"/>
      <c r="BX22" s="93"/>
      <c r="CB22" s="93"/>
      <c r="CF22" s="93"/>
      <c r="CG22" s="93"/>
      <c r="CK22" s="93"/>
      <c r="CO22" s="93"/>
      <c r="CS22" s="93"/>
      <c r="CW22" s="95"/>
      <c r="DA22" s="93"/>
      <c r="DE22" s="93"/>
      <c r="DI22" s="95"/>
      <c r="DM22" s="95"/>
      <c r="DQ22" s="95"/>
      <c r="DU22" s="95"/>
      <c r="DY22" s="95"/>
      <c r="EC22" s="95"/>
      <c r="EE22" s="94"/>
      <c r="EH22" s="93"/>
      <c r="EI22" s="96"/>
      <c r="EL22" s="95"/>
      <c r="EM22" s="93"/>
      <c r="EQ22" s="95"/>
      <c r="ER22" s="93"/>
      <c r="EV22" s="95"/>
      <c r="EW22" s="97"/>
      <c r="FA22" s="93"/>
      <c r="FE22" s="93"/>
      <c r="FI22" s="93"/>
      <c r="FJ22" s="98"/>
      <c r="FK22" s="93"/>
    </row>
    <row r="23" spans="1:169" x14ac:dyDescent="0.2">
      <c r="AF23" s="92"/>
      <c r="AL23" s="60"/>
      <c r="BC23" s="73"/>
      <c r="BJ23" s="62"/>
      <c r="BK23" s="48"/>
      <c r="BL23" s="49"/>
      <c r="BP23" s="93"/>
      <c r="BQ23" s="94"/>
      <c r="BT23" s="93"/>
      <c r="BX23" s="93"/>
      <c r="BY23" s="108"/>
      <c r="BZ23" s="108"/>
      <c r="CA23" s="108"/>
      <c r="CB23" s="93"/>
      <c r="CC23" s="108"/>
      <c r="CD23" s="108"/>
      <c r="CE23" s="108"/>
      <c r="CF23" s="93"/>
      <c r="CG23" s="93"/>
      <c r="CK23" s="93"/>
      <c r="CO23" s="93"/>
      <c r="CS23" s="93"/>
      <c r="CW23" s="95"/>
      <c r="DA23" s="93"/>
      <c r="DE23" s="93"/>
      <c r="DI23" s="95"/>
      <c r="DM23" s="95"/>
      <c r="DQ23" s="95"/>
      <c r="DU23" s="95"/>
      <c r="DY23" s="95"/>
      <c r="EC23" s="95"/>
      <c r="EE23" s="94"/>
      <c r="EH23" s="93"/>
      <c r="EI23" s="96"/>
      <c r="EL23" s="95"/>
      <c r="EM23" s="93"/>
      <c r="EQ23" s="95"/>
      <c r="ER23" s="93"/>
      <c r="EV23" s="95"/>
      <c r="EW23" s="97"/>
      <c r="FA23" s="93"/>
      <c r="FE23" s="93"/>
      <c r="FI23" s="93"/>
      <c r="FJ23" s="98"/>
      <c r="FK23" s="93"/>
      <c r="FL23" s="138"/>
    </row>
    <row r="24" spans="1:169" x14ac:dyDescent="0.2">
      <c r="A24" s="112"/>
      <c r="B24" s="113"/>
      <c r="C24" s="113"/>
      <c r="D24" s="113"/>
      <c r="E24" s="113"/>
      <c r="F24" s="112"/>
      <c r="G24" s="114"/>
      <c r="H24" s="114"/>
      <c r="I24" s="114"/>
      <c r="J24" s="115"/>
      <c r="K24" s="116"/>
      <c r="L24" s="112"/>
      <c r="M24" s="113"/>
      <c r="N24" s="113"/>
      <c r="O24" s="113"/>
      <c r="P24" s="113"/>
      <c r="Q24" s="117"/>
      <c r="R24" s="118"/>
      <c r="S24" s="119"/>
      <c r="T24" s="113"/>
      <c r="U24" s="113"/>
      <c r="V24" s="113"/>
      <c r="W24" s="113"/>
      <c r="X24" s="113"/>
      <c r="Y24" s="113"/>
      <c r="Z24" s="113"/>
      <c r="AA24" s="113"/>
      <c r="AB24" s="113"/>
      <c r="AC24" s="113"/>
      <c r="AD24" s="113"/>
      <c r="AE24" s="113"/>
      <c r="AF24" s="120"/>
      <c r="AG24" s="113"/>
      <c r="AH24" s="113"/>
      <c r="AI24" s="121"/>
      <c r="AJ24" s="119"/>
      <c r="AK24" s="113"/>
      <c r="AL24" s="132"/>
      <c r="AM24" s="122"/>
      <c r="AN24" s="122"/>
      <c r="AO24" s="122"/>
      <c r="AP24" s="122"/>
      <c r="AQ24" s="122"/>
      <c r="AR24" s="122"/>
      <c r="AS24" s="122"/>
      <c r="AT24" s="122"/>
      <c r="AU24" s="122"/>
      <c r="AV24" s="122"/>
      <c r="AW24" s="122"/>
      <c r="AX24" s="122"/>
      <c r="AY24" s="122"/>
      <c r="AZ24" s="122"/>
      <c r="BA24" s="122"/>
      <c r="BB24" s="122"/>
      <c r="BC24" s="133"/>
      <c r="BD24" s="116"/>
      <c r="BE24" s="116"/>
      <c r="BF24" s="116"/>
      <c r="BG24" s="116"/>
      <c r="BH24" s="116"/>
      <c r="BI24" s="116"/>
      <c r="BJ24" s="134"/>
      <c r="BK24" s="136"/>
      <c r="BL24" s="124"/>
      <c r="BM24" s="112"/>
      <c r="BN24" s="112"/>
      <c r="BO24" s="112"/>
      <c r="BP24" s="125"/>
      <c r="BQ24" s="126"/>
      <c r="BR24" s="112"/>
      <c r="BS24" s="112"/>
      <c r="BT24" s="125"/>
      <c r="BU24" s="112"/>
      <c r="BV24" s="112"/>
      <c r="BW24" s="112"/>
      <c r="BX24" s="125"/>
      <c r="BY24" s="137"/>
      <c r="BZ24" s="137"/>
      <c r="CA24" s="137"/>
      <c r="CB24" s="125"/>
      <c r="CC24" s="137"/>
      <c r="CD24" s="137"/>
      <c r="CE24" s="137"/>
      <c r="CF24" s="125"/>
      <c r="CG24" s="125"/>
      <c r="CH24" s="113"/>
      <c r="CI24" s="113"/>
      <c r="CJ24" s="113"/>
      <c r="CK24" s="125"/>
      <c r="CL24" s="113"/>
      <c r="CM24" s="113"/>
      <c r="CN24" s="113"/>
      <c r="CO24" s="125"/>
      <c r="CP24" s="113"/>
      <c r="CQ24" s="113"/>
      <c r="CR24" s="113"/>
      <c r="CS24" s="125"/>
      <c r="CT24" s="113"/>
      <c r="CU24" s="113"/>
      <c r="CV24" s="113"/>
      <c r="CW24" s="127"/>
      <c r="CX24" s="113"/>
      <c r="CY24" s="113"/>
      <c r="CZ24" s="113"/>
      <c r="DA24" s="125"/>
      <c r="DB24" s="113"/>
      <c r="DC24" s="113"/>
      <c r="DD24" s="113"/>
      <c r="DE24" s="125"/>
      <c r="DF24" s="113"/>
      <c r="DG24" s="113"/>
      <c r="DH24" s="113"/>
      <c r="DI24" s="127"/>
      <c r="DJ24" s="113"/>
      <c r="DK24" s="113"/>
      <c r="DL24" s="113"/>
      <c r="DM24" s="127"/>
      <c r="DN24" s="113"/>
      <c r="DO24" s="113"/>
      <c r="DP24" s="113"/>
      <c r="DQ24" s="127"/>
      <c r="DR24" s="113"/>
      <c r="DS24" s="113"/>
      <c r="DT24" s="113"/>
      <c r="DU24" s="127"/>
      <c r="DV24" s="113"/>
      <c r="DW24" s="113"/>
      <c r="DX24" s="113"/>
      <c r="DY24" s="127"/>
      <c r="DZ24" s="113"/>
      <c r="EA24" s="113"/>
      <c r="EB24" s="113"/>
      <c r="EC24" s="127"/>
      <c r="ED24" s="113"/>
      <c r="EE24" s="126"/>
      <c r="EF24" s="112"/>
      <c r="EG24" s="112"/>
      <c r="EH24" s="125"/>
      <c r="EI24" s="128"/>
      <c r="EJ24" s="113"/>
      <c r="EK24" s="113"/>
      <c r="EL24" s="127"/>
      <c r="EM24" s="125"/>
      <c r="EN24" s="113"/>
      <c r="EO24" s="113"/>
      <c r="EP24" s="113"/>
      <c r="EQ24" s="127"/>
      <c r="ER24" s="125"/>
      <c r="ES24" s="113"/>
      <c r="ET24" s="113"/>
      <c r="EU24" s="113"/>
      <c r="EV24" s="127"/>
      <c r="EW24" s="129"/>
      <c r="EX24" s="112"/>
      <c r="EY24" s="112"/>
      <c r="EZ24" s="112"/>
      <c r="FA24" s="125"/>
      <c r="FB24" s="112"/>
      <c r="FC24" s="112"/>
      <c r="FD24" s="112"/>
      <c r="FE24" s="125"/>
      <c r="FF24" s="112"/>
      <c r="FG24" s="112"/>
      <c r="FH24" s="112"/>
      <c r="FI24" s="125"/>
      <c r="FJ24" s="130"/>
      <c r="FK24" s="125"/>
      <c r="FL24" s="139"/>
      <c r="FM24" s="131"/>
    </row>
    <row r="25" spans="1:169" ht="33.75" customHeight="1" x14ac:dyDescent="0.2">
      <c r="X25" s="87"/>
      <c r="AF25" s="107"/>
      <c r="AL25" s="107"/>
      <c r="BC25" s="110"/>
      <c r="BJ25" s="135"/>
      <c r="BK25" s="109"/>
      <c r="BL25" s="109"/>
      <c r="BP25" s="107"/>
      <c r="BQ25" s="108"/>
      <c r="BT25" s="107"/>
      <c r="BX25" s="107"/>
      <c r="CB25" s="107"/>
      <c r="CF25" s="107"/>
      <c r="CG25" s="107"/>
      <c r="CK25" s="107"/>
      <c r="CO25" s="107"/>
      <c r="CS25" s="107"/>
      <c r="CW25" s="108"/>
      <c r="DA25" s="107"/>
      <c r="DE25" s="107"/>
      <c r="DI25" s="108"/>
      <c r="DM25" s="108"/>
      <c r="DQ25" s="108"/>
      <c r="DU25" s="108"/>
      <c r="DY25" s="108"/>
      <c r="EC25" s="108"/>
      <c r="EE25" s="108"/>
      <c r="EH25" s="107"/>
      <c r="EI25" s="107"/>
      <c r="EL25" s="108"/>
      <c r="EM25" s="107"/>
      <c r="EQ25" s="108"/>
      <c r="ER25" s="107"/>
      <c r="EV25" s="108"/>
      <c r="EW25" s="138"/>
      <c r="FA25" s="107"/>
      <c r="FE25" s="107"/>
      <c r="FI25" s="107"/>
      <c r="FJ25" s="138"/>
      <c r="FK25" s="107"/>
    </row>
    <row r="26" spans="1:169" x14ac:dyDescent="0.2">
      <c r="X26" s="87"/>
      <c r="AF26" s="92"/>
      <c r="AL26" s="107"/>
      <c r="BC26" s="110"/>
      <c r="BJ26" s="88"/>
      <c r="BK26" s="109"/>
      <c r="BL26" s="49"/>
      <c r="BP26" s="93"/>
      <c r="BQ26" s="94"/>
      <c r="BT26" s="93"/>
      <c r="BX26" s="93"/>
      <c r="BY26" s="95"/>
      <c r="BZ26" s="95"/>
      <c r="CA26" s="95"/>
      <c r="CB26" s="93"/>
      <c r="CC26" s="95"/>
      <c r="CD26" s="95"/>
      <c r="CE26" s="95"/>
      <c r="CF26" s="93"/>
      <c r="CG26" s="93"/>
      <c r="CK26" s="93"/>
      <c r="CO26" s="93"/>
      <c r="CS26" s="93"/>
      <c r="CW26" s="95"/>
      <c r="DA26" s="93"/>
      <c r="DE26" s="93"/>
      <c r="DI26" s="95"/>
      <c r="DM26" s="95"/>
      <c r="DQ26" s="95"/>
      <c r="DU26" s="95"/>
      <c r="DY26" s="95"/>
      <c r="EC26" s="95"/>
      <c r="EE26" s="94"/>
      <c r="EH26" s="93"/>
      <c r="EI26" s="96"/>
      <c r="EL26" s="95"/>
      <c r="EM26" s="93"/>
      <c r="EQ26" s="95"/>
      <c r="ER26" s="93"/>
      <c r="EV26" s="95"/>
      <c r="EW26" s="97"/>
      <c r="FA26" s="93"/>
      <c r="FE26" s="93"/>
      <c r="FI26" s="93"/>
      <c r="FJ26" s="97"/>
      <c r="FK26" s="93"/>
      <c r="FL26" s="98"/>
    </row>
    <row r="27" spans="1:169" x14ac:dyDescent="0.2">
      <c r="A27" s="112"/>
      <c r="B27" s="113"/>
      <c r="C27" s="113"/>
      <c r="D27" s="113"/>
      <c r="E27" s="113"/>
      <c r="F27" s="112"/>
      <c r="G27" s="114"/>
      <c r="H27" s="114"/>
      <c r="I27" s="114"/>
      <c r="J27" s="115"/>
      <c r="K27" s="116"/>
      <c r="L27" s="112"/>
      <c r="M27" s="113"/>
      <c r="N27" s="113"/>
      <c r="O27" s="113"/>
      <c r="P27" s="113"/>
      <c r="Q27" s="117"/>
      <c r="R27" s="118"/>
      <c r="S27" s="119"/>
      <c r="T27" s="113"/>
      <c r="U27" s="113"/>
      <c r="V27" s="113"/>
      <c r="W27" s="113"/>
      <c r="X27" s="113"/>
      <c r="Y27" s="113"/>
      <c r="Z27" s="113"/>
      <c r="AA27" s="113"/>
      <c r="AB27" s="113"/>
      <c r="AC27" s="113"/>
      <c r="AD27" s="113"/>
      <c r="AE27" s="113"/>
      <c r="AF27" s="120"/>
      <c r="AG27" s="113"/>
      <c r="AH27" s="113"/>
      <c r="AI27" s="121"/>
      <c r="AJ27" s="119"/>
      <c r="AK27" s="113"/>
      <c r="AL27" s="113"/>
      <c r="AM27" s="122"/>
      <c r="AN27" s="122"/>
      <c r="AO27" s="122"/>
      <c r="AP27" s="122"/>
      <c r="AQ27" s="122"/>
      <c r="AR27" s="122"/>
      <c r="AS27" s="122"/>
      <c r="AT27" s="122"/>
      <c r="AU27" s="122"/>
      <c r="AV27" s="122"/>
      <c r="AW27" s="122"/>
      <c r="AX27" s="122"/>
      <c r="AY27" s="122"/>
      <c r="AZ27" s="122"/>
      <c r="BA27" s="122"/>
      <c r="BB27" s="122"/>
      <c r="BC27" s="122"/>
      <c r="BD27" s="116"/>
      <c r="BE27" s="116"/>
      <c r="BF27" s="116"/>
      <c r="BG27" s="116"/>
      <c r="BH27" s="116"/>
      <c r="BI27" s="116"/>
      <c r="BJ27" s="123"/>
      <c r="BK27" s="119"/>
      <c r="BL27" s="124"/>
      <c r="BM27" s="112"/>
      <c r="BN27" s="112"/>
      <c r="BO27" s="112"/>
      <c r="BP27" s="125"/>
      <c r="BQ27" s="126"/>
      <c r="BR27" s="112"/>
      <c r="BS27" s="112"/>
      <c r="BT27" s="125"/>
      <c r="BU27" s="112"/>
      <c r="BV27" s="112"/>
      <c r="BW27" s="112"/>
      <c r="BX27" s="125"/>
      <c r="BY27" s="127"/>
      <c r="BZ27" s="127"/>
      <c r="CA27" s="127"/>
      <c r="CB27" s="125"/>
      <c r="CC27" s="127"/>
      <c r="CD27" s="127"/>
      <c r="CE27" s="127"/>
      <c r="CF27" s="125"/>
      <c r="CG27" s="125"/>
      <c r="CH27" s="113"/>
      <c r="CI27" s="113"/>
      <c r="CJ27" s="113"/>
      <c r="CK27" s="125"/>
      <c r="CL27" s="113"/>
      <c r="CM27" s="113"/>
      <c r="CN27" s="113"/>
      <c r="CO27" s="125"/>
      <c r="CP27" s="113"/>
      <c r="CQ27" s="113"/>
      <c r="CR27" s="113"/>
      <c r="CS27" s="125"/>
      <c r="CT27" s="113"/>
      <c r="CU27" s="113"/>
      <c r="CV27" s="113"/>
      <c r="CW27" s="127"/>
      <c r="CX27" s="113"/>
      <c r="CY27" s="113"/>
      <c r="CZ27" s="113"/>
      <c r="DA27" s="125"/>
      <c r="DB27" s="113"/>
      <c r="DC27" s="113"/>
      <c r="DD27" s="113"/>
      <c r="DE27" s="125"/>
      <c r="DF27" s="113"/>
      <c r="DG27" s="113"/>
      <c r="DH27" s="113"/>
      <c r="DI27" s="127"/>
      <c r="DJ27" s="113"/>
      <c r="DK27" s="113"/>
      <c r="DL27" s="113"/>
      <c r="DM27" s="127"/>
      <c r="DN27" s="113"/>
      <c r="DO27" s="113"/>
      <c r="DP27" s="113"/>
      <c r="DQ27" s="127"/>
      <c r="DR27" s="113"/>
      <c r="DS27" s="113"/>
      <c r="DT27" s="113"/>
      <c r="DU27" s="127"/>
      <c r="DV27" s="113"/>
      <c r="DW27" s="113"/>
      <c r="DX27" s="113"/>
      <c r="DY27" s="127"/>
      <c r="DZ27" s="113"/>
      <c r="EA27" s="113"/>
      <c r="EB27" s="113"/>
      <c r="EC27" s="127"/>
      <c r="ED27" s="113"/>
      <c r="EE27" s="126"/>
      <c r="EF27" s="112"/>
      <c r="EG27" s="112"/>
      <c r="EH27" s="125"/>
      <c r="EI27" s="128"/>
      <c r="EJ27" s="113"/>
      <c r="EK27" s="113"/>
      <c r="EL27" s="127"/>
      <c r="EM27" s="125"/>
      <c r="EN27" s="113"/>
      <c r="EO27" s="113"/>
      <c r="EP27" s="113"/>
      <c r="EQ27" s="127"/>
      <c r="ER27" s="125"/>
      <c r="ES27" s="113"/>
      <c r="ET27" s="113"/>
      <c r="EU27" s="113"/>
      <c r="EV27" s="127"/>
      <c r="EW27" s="129"/>
      <c r="EX27" s="112"/>
      <c r="EY27" s="112"/>
      <c r="EZ27" s="112"/>
      <c r="FA27" s="125"/>
      <c r="FB27" s="112"/>
      <c r="FC27" s="112"/>
      <c r="FD27" s="112"/>
      <c r="FE27" s="125"/>
      <c r="FF27" s="112"/>
      <c r="FG27" s="112"/>
      <c r="FH27" s="112"/>
      <c r="FI27" s="125"/>
      <c r="FJ27" s="129"/>
      <c r="FK27" s="125"/>
      <c r="FL27" s="130"/>
      <c r="FM27" s="131"/>
    </row>
    <row r="28" spans="1:169" x14ac:dyDescent="0.2">
      <c r="A28" s="112"/>
      <c r="B28" s="113"/>
      <c r="C28" s="113"/>
      <c r="D28" s="113"/>
      <c r="E28" s="113"/>
      <c r="F28" s="112"/>
      <c r="G28" s="114"/>
      <c r="H28" s="114"/>
      <c r="I28" s="114"/>
      <c r="J28" s="115"/>
      <c r="K28" s="116"/>
      <c r="L28" s="112"/>
      <c r="M28" s="113"/>
      <c r="N28" s="113"/>
      <c r="O28" s="113"/>
      <c r="P28" s="113"/>
      <c r="Q28" s="117"/>
      <c r="R28" s="118"/>
      <c r="S28" s="119"/>
      <c r="T28" s="113"/>
      <c r="U28" s="113"/>
      <c r="V28" s="113"/>
      <c r="W28" s="113"/>
      <c r="X28" s="113"/>
      <c r="Y28" s="113"/>
      <c r="Z28" s="113"/>
      <c r="AA28" s="113"/>
      <c r="AB28" s="113"/>
      <c r="AC28" s="113"/>
      <c r="AD28" s="113"/>
      <c r="AE28" s="113"/>
      <c r="AF28" s="120"/>
      <c r="AG28" s="113"/>
      <c r="AH28" s="113"/>
      <c r="AI28" s="121"/>
      <c r="AJ28" s="119"/>
      <c r="AK28" s="113"/>
      <c r="AL28" s="113"/>
      <c r="AM28" s="122"/>
      <c r="AN28" s="122"/>
      <c r="AO28" s="122"/>
      <c r="AP28" s="122"/>
      <c r="AQ28" s="122"/>
      <c r="AR28" s="122"/>
      <c r="AS28" s="122"/>
      <c r="AT28" s="122"/>
      <c r="AU28" s="122"/>
      <c r="AV28" s="122"/>
      <c r="AW28" s="122"/>
      <c r="AX28" s="122"/>
      <c r="AY28" s="122"/>
      <c r="AZ28" s="122"/>
      <c r="BA28" s="122"/>
      <c r="BB28" s="122"/>
      <c r="BC28" s="122"/>
      <c r="BD28" s="116"/>
      <c r="BE28" s="116"/>
      <c r="BF28" s="116"/>
      <c r="BG28" s="116"/>
      <c r="BH28" s="116"/>
      <c r="BI28" s="116"/>
      <c r="BJ28" s="123"/>
      <c r="BK28" s="119"/>
      <c r="BL28" s="124"/>
      <c r="BM28" s="112"/>
      <c r="BN28" s="112"/>
      <c r="BO28" s="112"/>
      <c r="BP28" s="125"/>
      <c r="BQ28" s="126"/>
      <c r="BR28" s="112"/>
      <c r="BS28" s="112"/>
      <c r="BT28" s="125"/>
      <c r="BU28" s="112"/>
      <c r="BV28" s="112"/>
      <c r="BW28" s="112"/>
      <c r="BX28" s="125"/>
      <c r="BY28" s="127"/>
      <c r="BZ28" s="127"/>
      <c r="CA28" s="127"/>
      <c r="CB28" s="125"/>
      <c r="CC28" s="127"/>
      <c r="CD28" s="127"/>
      <c r="CE28" s="127"/>
      <c r="CF28" s="125"/>
      <c r="CG28" s="125"/>
      <c r="CH28" s="113"/>
      <c r="CI28" s="113"/>
      <c r="CJ28" s="113"/>
      <c r="CK28" s="125"/>
      <c r="CL28" s="113"/>
      <c r="CM28" s="113"/>
      <c r="CN28" s="113"/>
      <c r="CO28" s="125"/>
      <c r="CP28" s="113"/>
      <c r="CQ28" s="113"/>
      <c r="CR28" s="113"/>
      <c r="CS28" s="125"/>
      <c r="CT28" s="113"/>
      <c r="CU28" s="113"/>
      <c r="CV28" s="113"/>
      <c r="CW28" s="127"/>
      <c r="CX28" s="113"/>
      <c r="CY28" s="113"/>
      <c r="CZ28" s="113"/>
      <c r="DA28" s="125"/>
      <c r="DB28" s="113"/>
      <c r="DC28" s="113"/>
      <c r="DD28" s="113"/>
      <c r="DE28" s="125"/>
      <c r="DF28" s="113"/>
      <c r="DG28" s="113"/>
      <c r="DH28" s="113"/>
      <c r="DI28" s="127"/>
      <c r="DJ28" s="113"/>
      <c r="DK28" s="113"/>
      <c r="DL28" s="113"/>
      <c r="DM28" s="127"/>
      <c r="DN28" s="113"/>
      <c r="DO28" s="113"/>
      <c r="DP28" s="113"/>
      <c r="DQ28" s="127"/>
      <c r="DR28" s="113"/>
      <c r="DS28" s="113"/>
      <c r="DT28" s="113"/>
      <c r="DU28" s="127"/>
      <c r="DV28" s="113"/>
      <c r="DW28" s="113"/>
      <c r="DX28" s="113"/>
      <c r="DY28" s="127"/>
      <c r="DZ28" s="113"/>
      <c r="EA28" s="113"/>
      <c r="EB28" s="113"/>
      <c r="EC28" s="127"/>
      <c r="ED28" s="113"/>
      <c r="EE28" s="126"/>
      <c r="EF28" s="112"/>
      <c r="EG28" s="112"/>
      <c r="EH28" s="125"/>
      <c r="EI28" s="128"/>
      <c r="EJ28" s="113"/>
      <c r="EK28" s="113"/>
      <c r="EL28" s="127"/>
      <c r="EM28" s="125"/>
      <c r="EN28" s="113"/>
      <c r="EO28" s="113"/>
      <c r="EP28" s="113"/>
      <c r="EQ28" s="127"/>
      <c r="ER28" s="125"/>
      <c r="ES28" s="113"/>
      <c r="ET28" s="113"/>
      <c r="EU28" s="113"/>
      <c r="EV28" s="127"/>
      <c r="EW28" s="129"/>
      <c r="EX28" s="112"/>
      <c r="EY28" s="112"/>
      <c r="EZ28" s="112"/>
      <c r="FA28" s="125"/>
      <c r="FB28" s="112"/>
      <c r="FC28" s="112"/>
      <c r="FD28" s="112"/>
      <c r="FE28" s="125"/>
      <c r="FF28" s="112"/>
      <c r="FG28" s="112"/>
      <c r="FH28" s="112"/>
      <c r="FI28" s="125"/>
      <c r="FJ28" s="129"/>
      <c r="FK28" s="125"/>
      <c r="FL28" s="130"/>
      <c r="FM28" s="131"/>
    </row>
    <row r="29" spans="1:169" x14ac:dyDescent="0.2">
      <c r="X29" s="87"/>
      <c r="AF29" s="92"/>
      <c r="AL29" s="107"/>
      <c r="BC29" s="110"/>
      <c r="BJ29" s="88"/>
      <c r="BK29" s="109"/>
      <c r="BL29" s="49"/>
      <c r="BP29" s="93"/>
      <c r="BQ29" s="94"/>
      <c r="BT29" s="93"/>
      <c r="BX29" s="93"/>
      <c r="BY29" s="95"/>
      <c r="BZ29" s="95"/>
      <c r="CA29" s="95"/>
      <c r="CB29" s="93"/>
      <c r="CC29" s="95"/>
      <c r="CD29" s="95"/>
      <c r="CE29" s="95"/>
      <c r="CF29" s="93"/>
      <c r="CG29" s="93"/>
      <c r="CK29" s="93"/>
      <c r="CO29" s="93"/>
      <c r="CS29" s="93"/>
      <c r="CW29" s="95"/>
      <c r="DA29" s="93"/>
      <c r="DE29" s="93"/>
      <c r="DI29" s="95"/>
      <c r="DM29" s="95"/>
      <c r="DQ29" s="95"/>
      <c r="DU29" s="95"/>
      <c r="DY29" s="95"/>
      <c r="EC29" s="95"/>
      <c r="EE29" s="94"/>
      <c r="EH29" s="93"/>
      <c r="EI29" s="96"/>
      <c r="EL29" s="95"/>
      <c r="EM29" s="93"/>
      <c r="EQ29" s="95"/>
      <c r="ER29" s="93"/>
      <c r="EV29" s="95"/>
      <c r="EW29" s="97"/>
      <c r="FA29" s="93"/>
      <c r="FE29" s="93"/>
      <c r="FI29" s="93"/>
      <c r="FJ29" s="97"/>
      <c r="FK29" s="93"/>
      <c r="FL29" s="98"/>
    </row>
    <row r="30" spans="1:169" x14ac:dyDescent="0.2">
      <c r="X30" s="87"/>
      <c r="AF30" s="92"/>
      <c r="AL30" s="107"/>
      <c r="BC30" s="110"/>
      <c r="BJ30" s="88"/>
      <c r="BK30" s="109"/>
      <c r="BL30" s="49"/>
      <c r="BP30" s="93"/>
      <c r="BQ30" s="94"/>
      <c r="BT30" s="93"/>
      <c r="BX30" s="93"/>
      <c r="BY30" s="95"/>
      <c r="BZ30" s="95"/>
      <c r="CA30" s="95"/>
      <c r="CB30" s="93"/>
      <c r="CC30" s="95"/>
      <c r="CD30" s="95"/>
      <c r="CE30" s="95"/>
      <c r="CF30" s="93"/>
      <c r="CG30" s="93"/>
      <c r="CK30" s="93"/>
      <c r="CO30" s="93"/>
      <c r="CS30" s="93"/>
      <c r="CW30" s="95"/>
      <c r="DA30" s="93"/>
      <c r="DE30" s="93"/>
      <c r="DI30" s="95"/>
      <c r="DM30" s="95"/>
      <c r="DQ30" s="95"/>
      <c r="DU30" s="95"/>
      <c r="DY30" s="95"/>
      <c r="EC30" s="95"/>
      <c r="EE30" s="94"/>
      <c r="EH30" s="93"/>
      <c r="EI30" s="96"/>
      <c r="EL30" s="95"/>
      <c r="EM30" s="93"/>
      <c r="EQ30" s="95"/>
      <c r="ER30" s="93"/>
      <c r="EV30" s="95"/>
      <c r="EW30" s="97"/>
      <c r="FA30" s="93"/>
      <c r="FE30" s="93"/>
      <c r="FI30" s="93"/>
      <c r="FJ30" s="97"/>
      <c r="FK30" s="93"/>
      <c r="FL30" s="98"/>
    </row>
    <row r="31" spans="1:169" x14ac:dyDescent="0.2">
      <c r="X31" s="87"/>
      <c r="AF31" s="92"/>
      <c r="AL31" s="107"/>
      <c r="BC31" s="110"/>
      <c r="BJ31" s="88"/>
      <c r="BK31" s="109"/>
      <c r="BL31" s="49"/>
      <c r="BP31" s="93"/>
      <c r="BQ31" s="94"/>
      <c r="BT31" s="93"/>
      <c r="BX31" s="93"/>
      <c r="BY31" s="95"/>
      <c r="BZ31" s="95"/>
      <c r="CA31" s="95"/>
      <c r="CB31" s="93"/>
      <c r="CC31" s="95"/>
      <c r="CD31" s="95"/>
      <c r="CE31" s="95"/>
      <c r="CF31" s="93"/>
      <c r="CG31" s="93"/>
      <c r="CK31" s="93"/>
      <c r="CO31" s="93"/>
      <c r="CS31" s="93"/>
      <c r="CW31" s="95"/>
      <c r="DA31" s="93"/>
      <c r="DE31" s="93"/>
      <c r="DI31" s="95"/>
      <c r="DM31" s="95"/>
      <c r="DQ31" s="95"/>
      <c r="DU31" s="95"/>
      <c r="DY31" s="95"/>
      <c r="EC31" s="95"/>
      <c r="EE31" s="94"/>
      <c r="EH31" s="93"/>
      <c r="EI31" s="96"/>
      <c r="EL31" s="95"/>
      <c r="EM31" s="93"/>
      <c r="EQ31" s="95"/>
      <c r="ER31" s="93"/>
      <c r="EV31" s="95"/>
      <c r="EW31" s="97"/>
      <c r="FA31" s="93"/>
      <c r="FE31" s="93"/>
      <c r="FI31" s="93"/>
      <c r="FJ31" s="97"/>
      <c r="FK31" s="93"/>
      <c r="FL31" s="98"/>
    </row>
    <row r="32" spans="1:169" x14ac:dyDescent="0.2">
      <c r="A32" s="112"/>
      <c r="B32" s="113"/>
      <c r="C32" s="113"/>
      <c r="D32" s="113"/>
      <c r="E32" s="113"/>
      <c r="F32" s="112"/>
      <c r="G32" s="114"/>
      <c r="H32" s="114"/>
      <c r="I32" s="114"/>
      <c r="J32" s="115"/>
      <c r="K32" s="116"/>
      <c r="L32" s="112"/>
      <c r="M32" s="113"/>
      <c r="N32" s="113"/>
      <c r="O32" s="113"/>
      <c r="P32" s="113"/>
      <c r="Q32" s="117"/>
      <c r="R32" s="118"/>
      <c r="S32" s="119"/>
      <c r="T32" s="113"/>
      <c r="U32" s="113"/>
      <c r="V32" s="113"/>
      <c r="W32" s="113"/>
      <c r="X32" s="113"/>
      <c r="Y32" s="113"/>
      <c r="Z32" s="113"/>
      <c r="AA32" s="113"/>
      <c r="AB32" s="113"/>
      <c r="AC32" s="113"/>
      <c r="AD32" s="113"/>
      <c r="AE32" s="113"/>
      <c r="AF32" s="120"/>
      <c r="AG32" s="113"/>
      <c r="AH32" s="113"/>
      <c r="AI32" s="121"/>
      <c r="AJ32" s="119"/>
      <c r="AK32" s="113"/>
      <c r="AL32" s="113"/>
      <c r="AM32" s="122"/>
      <c r="AN32" s="122"/>
      <c r="AO32" s="122"/>
      <c r="AP32" s="122"/>
      <c r="AQ32" s="122"/>
      <c r="AR32" s="122"/>
      <c r="AS32" s="122"/>
      <c r="AT32" s="122"/>
      <c r="AU32" s="122"/>
      <c r="AV32" s="122"/>
      <c r="AW32" s="122"/>
      <c r="AX32" s="122"/>
      <c r="AY32" s="122"/>
      <c r="AZ32" s="122"/>
      <c r="BA32" s="122"/>
      <c r="BB32" s="122"/>
      <c r="BC32" s="122"/>
      <c r="BD32" s="116"/>
      <c r="BE32" s="116"/>
      <c r="BF32" s="116"/>
      <c r="BG32" s="116"/>
      <c r="BH32" s="116"/>
      <c r="BI32" s="116"/>
      <c r="BJ32" s="123"/>
      <c r="BK32" s="119"/>
      <c r="BL32" s="124"/>
      <c r="BM32" s="112"/>
      <c r="BN32" s="112"/>
      <c r="BO32" s="112"/>
      <c r="BP32" s="125"/>
      <c r="BQ32" s="126"/>
      <c r="BR32" s="112"/>
      <c r="BS32" s="112"/>
      <c r="BT32" s="125"/>
      <c r="BU32" s="112"/>
      <c r="BV32" s="112"/>
      <c r="BW32" s="112"/>
      <c r="BX32" s="125"/>
      <c r="BY32" s="127"/>
      <c r="BZ32" s="127"/>
      <c r="CA32" s="127"/>
      <c r="CB32" s="125"/>
      <c r="CC32" s="127"/>
      <c r="CD32" s="127"/>
      <c r="CE32" s="127"/>
      <c r="CF32" s="125"/>
      <c r="CG32" s="125"/>
      <c r="CH32" s="113"/>
      <c r="CI32" s="113"/>
      <c r="CJ32" s="113"/>
      <c r="CK32" s="125"/>
      <c r="CL32" s="113"/>
      <c r="CM32" s="113"/>
      <c r="CN32" s="113"/>
      <c r="CO32" s="125"/>
      <c r="CP32" s="113"/>
      <c r="CQ32" s="113"/>
      <c r="CR32" s="113"/>
      <c r="CS32" s="125"/>
      <c r="CT32" s="113"/>
      <c r="CU32" s="113"/>
      <c r="CV32" s="113"/>
      <c r="CW32" s="127"/>
      <c r="CX32" s="113"/>
      <c r="CY32" s="113"/>
      <c r="CZ32" s="113"/>
      <c r="DA32" s="125"/>
      <c r="DB32" s="113"/>
      <c r="DC32" s="113"/>
      <c r="DD32" s="113"/>
      <c r="DE32" s="125"/>
      <c r="DF32" s="113"/>
      <c r="DG32" s="113"/>
      <c r="DH32" s="113"/>
      <c r="DI32" s="127"/>
      <c r="DJ32" s="113"/>
      <c r="DK32" s="113"/>
      <c r="DL32" s="113"/>
      <c r="DM32" s="127"/>
      <c r="DN32" s="113"/>
      <c r="DO32" s="113"/>
      <c r="DP32" s="113"/>
      <c r="DQ32" s="127"/>
      <c r="DR32" s="113"/>
      <c r="DS32" s="113"/>
      <c r="DT32" s="113"/>
      <c r="DU32" s="127"/>
      <c r="DV32" s="113"/>
      <c r="DW32" s="113"/>
      <c r="DX32" s="113"/>
      <c r="DY32" s="127"/>
      <c r="DZ32" s="113"/>
      <c r="EA32" s="113"/>
      <c r="EB32" s="113"/>
      <c r="EC32" s="127"/>
      <c r="ED32" s="113"/>
      <c r="EE32" s="126"/>
      <c r="EF32" s="112"/>
      <c r="EG32" s="112"/>
      <c r="EH32" s="125"/>
      <c r="EI32" s="128"/>
      <c r="EJ32" s="113"/>
      <c r="EK32" s="113"/>
      <c r="EL32" s="127"/>
      <c r="EM32" s="125"/>
      <c r="EN32" s="113"/>
      <c r="EO32" s="113"/>
      <c r="EP32" s="113"/>
      <c r="EQ32" s="127"/>
      <c r="ER32" s="125"/>
      <c r="ES32" s="113"/>
      <c r="ET32" s="113"/>
      <c r="EU32" s="113"/>
      <c r="EV32" s="127"/>
      <c r="EW32" s="129"/>
      <c r="EX32" s="112"/>
      <c r="EY32" s="112"/>
      <c r="EZ32" s="112"/>
      <c r="FA32" s="125"/>
      <c r="FB32" s="112"/>
      <c r="FC32" s="112"/>
      <c r="FD32" s="112"/>
      <c r="FE32" s="125"/>
      <c r="FF32" s="112"/>
      <c r="FG32" s="112"/>
      <c r="FH32" s="112"/>
      <c r="FI32" s="125"/>
      <c r="FJ32" s="129"/>
      <c r="FK32" s="125"/>
      <c r="FL32" s="130"/>
      <c r="FM32" s="131"/>
    </row>
    <row r="33" spans="1:169" x14ac:dyDescent="0.2">
      <c r="X33" s="87"/>
      <c r="AF33" s="92"/>
      <c r="AL33" s="107"/>
      <c r="BC33" s="110"/>
      <c r="BJ33" s="88"/>
      <c r="BK33" s="109"/>
      <c r="BL33" s="49"/>
      <c r="BP33" s="93"/>
      <c r="BQ33" s="94"/>
      <c r="BT33" s="93"/>
      <c r="BX33" s="93"/>
      <c r="BY33" s="95"/>
      <c r="BZ33" s="95"/>
      <c r="CA33" s="95"/>
      <c r="CB33" s="93"/>
      <c r="CC33" s="95"/>
      <c r="CD33" s="95"/>
      <c r="CE33" s="95"/>
      <c r="CF33" s="93"/>
      <c r="CG33" s="93"/>
      <c r="CK33" s="93"/>
      <c r="CO33" s="93"/>
      <c r="CS33" s="93"/>
      <c r="CW33" s="95"/>
      <c r="DA33" s="93"/>
      <c r="DE33" s="93"/>
      <c r="DI33" s="95"/>
      <c r="DM33" s="95"/>
      <c r="DQ33" s="95"/>
      <c r="DU33" s="95"/>
      <c r="DY33" s="95"/>
      <c r="EC33" s="95"/>
      <c r="EE33" s="94"/>
      <c r="EH33" s="93"/>
      <c r="EI33" s="96"/>
      <c r="EL33" s="95"/>
      <c r="EM33" s="93"/>
      <c r="EQ33" s="95"/>
      <c r="ER33" s="93"/>
      <c r="EV33" s="95"/>
      <c r="EW33" s="97"/>
      <c r="FA33" s="93"/>
      <c r="FE33" s="93"/>
      <c r="FI33" s="93"/>
      <c r="FJ33" s="97"/>
      <c r="FK33" s="93"/>
      <c r="FL33" s="98"/>
    </row>
    <row r="34" spans="1:169" x14ac:dyDescent="0.2">
      <c r="X34" s="56"/>
      <c r="AF34" s="92"/>
      <c r="BJ34" s="88"/>
      <c r="BL34" s="49"/>
      <c r="BP34" s="93"/>
      <c r="BQ34" s="94"/>
      <c r="BT34" s="93"/>
      <c r="BX34" s="93"/>
      <c r="BY34" s="95"/>
      <c r="BZ34" s="95"/>
      <c r="CA34" s="95"/>
      <c r="CB34" s="93"/>
      <c r="CC34" s="95"/>
      <c r="CD34" s="95"/>
      <c r="CE34" s="95"/>
      <c r="CF34" s="93"/>
      <c r="CG34" s="93"/>
      <c r="CK34" s="93"/>
      <c r="CO34" s="93"/>
      <c r="CS34" s="93"/>
      <c r="CW34" s="95"/>
      <c r="DA34" s="93"/>
      <c r="DE34" s="93"/>
      <c r="DI34" s="95"/>
      <c r="DM34" s="95"/>
      <c r="DQ34" s="95"/>
      <c r="DU34" s="95"/>
      <c r="DY34" s="95"/>
      <c r="EC34" s="95"/>
      <c r="EE34" s="94"/>
      <c r="EH34" s="93"/>
      <c r="EI34" s="96"/>
      <c r="EL34" s="95"/>
      <c r="EM34" s="93"/>
      <c r="EQ34" s="95"/>
      <c r="ER34" s="93"/>
      <c r="EV34" s="95"/>
      <c r="EW34" s="97"/>
      <c r="FA34" s="93"/>
      <c r="FE34" s="93"/>
      <c r="FI34" s="93"/>
      <c r="FJ34" s="97"/>
      <c r="FK34" s="93"/>
      <c r="FL34" s="98"/>
    </row>
    <row r="35" spans="1:169" x14ac:dyDescent="0.2">
      <c r="X35" s="87"/>
      <c r="AF35" s="92"/>
      <c r="BJ35" s="88"/>
      <c r="BL35" s="49"/>
      <c r="BP35" s="93"/>
      <c r="BQ35" s="94"/>
      <c r="BT35" s="93"/>
      <c r="BX35" s="93"/>
      <c r="BY35" s="95"/>
      <c r="BZ35" s="95"/>
      <c r="CA35" s="95"/>
      <c r="CB35" s="93"/>
      <c r="CC35" s="95"/>
      <c r="CD35" s="95"/>
      <c r="CE35" s="95"/>
      <c r="CF35" s="93"/>
      <c r="CG35" s="93"/>
      <c r="CK35" s="93"/>
      <c r="CO35" s="93"/>
      <c r="CS35" s="93"/>
      <c r="CW35" s="95"/>
      <c r="DA35" s="93"/>
      <c r="DE35" s="93"/>
      <c r="DI35" s="95"/>
      <c r="DM35" s="95"/>
      <c r="DQ35" s="95"/>
      <c r="DU35" s="95"/>
      <c r="DY35" s="95"/>
      <c r="EC35" s="95"/>
      <c r="EE35" s="94"/>
      <c r="EH35" s="93"/>
      <c r="EI35" s="96"/>
      <c r="EL35" s="95"/>
      <c r="EM35" s="93"/>
      <c r="EQ35" s="95"/>
      <c r="ER35" s="93"/>
      <c r="EV35" s="95"/>
      <c r="EW35" s="97"/>
      <c r="FA35" s="93"/>
      <c r="FE35" s="93"/>
      <c r="FI35" s="93"/>
      <c r="FJ35" s="97"/>
      <c r="FK35" s="93"/>
      <c r="FL35" s="98"/>
    </row>
    <row r="36" spans="1:169" x14ac:dyDescent="0.2">
      <c r="X36" s="87"/>
      <c r="AF36" s="92"/>
      <c r="BJ36" s="88"/>
      <c r="BL36" s="49"/>
      <c r="BP36" s="93"/>
      <c r="BQ36" s="94"/>
      <c r="BT36" s="93"/>
      <c r="BX36" s="93"/>
      <c r="BY36" s="95"/>
      <c r="BZ36" s="95"/>
      <c r="CA36" s="95"/>
      <c r="CB36" s="93"/>
      <c r="CC36" s="95"/>
      <c r="CD36" s="95"/>
      <c r="CE36" s="95"/>
      <c r="CF36" s="93"/>
      <c r="CG36" s="93"/>
      <c r="CK36" s="93"/>
      <c r="CO36" s="93"/>
      <c r="CS36" s="93"/>
      <c r="CW36" s="95"/>
      <c r="DA36" s="93"/>
      <c r="DE36" s="93"/>
      <c r="DI36" s="95"/>
      <c r="DM36" s="95"/>
      <c r="DQ36" s="95"/>
      <c r="DU36" s="95"/>
      <c r="DY36" s="95"/>
      <c r="EC36" s="95"/>
      <c r="EE36" s="94"/>
      <c r="EH36" s="93"/>
      <c r="EI36" s="96"/>
      <c r="EL36" s="95"/>
      <c r="EM36" s="93"/>
      <c r="EQ36" s="95"/>
      <c r="ER36" s="93"/>
      <c r="EV36" s="95"/>
      <c r="EW36" s="97"/>
      <c r="FA36" s="93"/>
      <c r="FE36" s="93"/>
      <c r="FI36" s="93"/>
      <c r="FJ36" s="97"/>
      <c r="FK36" s="93"/>
      <c r="FL36" s="98"/>
    </row>
    <row r="37" spans="1:169" x14ac:dyDescent="0.2">
      <c r="X37" s="87"/>
      <c r="AF37" s="92"/>
      <c r="BJ37" s="88"/>
      <c r="BL37" s="49"/>
      <c r="BP37" s="93"/>
      <c r="BQ37" s="94"/>
      <c r="BT37" s="93"/>
      <c r="BX37" s="93"/>
      <c r="BY37" s="95"/>
      <c r="BZ37" s="95"/>
      <c r="CA37" s="95"/>
      <c r="CB37" s="93"/>
      <c r="CC37" s="95"/>
      <c r="CD37" s="95"/>
      <c r="CE37" s="95"/>
      <c r="CF37" s="93"/>
      <c r="CG37" s="93"/>
      <c r="CK37" s="93"/>
      <c r="CO37" s="93"/>
      <c r="CS37" s="93"/>
      <c r="CW37" s="95"/>
      <c r="DA37" s="93"/>
      <c r="DE37" s="93"/>
      <c r="DI37" s="95"/>
      <c r="DM37" s="95"/>
      <c r="DQ37" s="95"/>
      <c r="DU37" s="95"/>
      <c r="DY37" s="95"/>
      <c r="EC37" s="95"/>
      <c r="EE37" s="94"/>
      <c r="EH37" s="93"/>
      <c r="EI37" s="96"/>
      <c r="EL37" s="95"/>
      <c r="EM37" s="93"/>
      <c r="EQ37" s="95"/>
      <c r="ER37" s="93"/>
      <c r="EV37" s="95"/>
      <c r="EW37" s="97"/>
      <c r="FA37" s="93"/>
      <c r="FE37" s="93"/>
      <c r="FI37" s="93"/>
      <c r="FJ37" s="97"/>
      <c r="FK37" s="93"/>
      <c r="FL37" s="98"/>
    </row>
    <row r="38" spans="1:169" x14ac:dyDescent="0.2">
      <c r="X38" s="87"/>
      <c r="AF38" s="92"/>
      <c r="BJ38" s="88"/>
      <c r="BL38" s="49"/>
      <c r="BP38" s="93"/>
      <c r="BQ38" s="94"/>
      <c r="BT38" s="93"/>
      <c r="BX38" s="93"/>
      <c r="BY38" s="95"/>
      <c r="BZ38" s="95"/>
      <c r="CA38" s="95"/>
      <c r="CB38" s="93"/>
      <c r="CC38" s="95"/>
      <c r="CD38" s="95"/>
      <c r="CE38" s="95"/>
      <c r="CF38" s="93"/>
      <c r="CG38" s="93"/>
      <c r="CK38" s="93"/>
      <c r="CO38" s="93"/>
      <c r="CS38" s="93"/>
      <c r="CW38" s="95"/>
      <c r="DA38" s="93"/>
      <c r="DE38" s="93"/>
      <c r="DI38" s="95"/>
      <c r="DM38" s="95"/>
      <c r="DQ38" s="95"/>
      <c r="DU38" s="95"/>
      <c r="DY38" s="95"/>
      <c r="EC38" s="95"/>
      <c r="EE38" s="94"/>
      <c r="EH38" s="93"/>
      <c r="EI38" s="96"/>
      <c r="EL38" s="95"/>
      <c r="EM38" s="93"/>
      <c r="EQ38" s="95"/>
      <c r="ER38" s="93"/>
      <c r="EV38" s="95"/>
      <c r="EW38" s="97"/>
      <c r="FA38" s="93"/>
      <c r="FE38" s="93"/>
      <c r="FI38" s="93"/>
      <c r="FJ38" s="97"/>
      <c r="FK38" s="93"/>
      <c r="FL38" s="98"/>
    </row>
    <row r="39" spans="1:169" x14ac:dyDescent="0.2">
      <c r="X39" s="56"/>
      <c r="AF39" s="92"/>
      <c r="BJ39" s="88"/>
      <c r="BL39" s="49"/>
      <c r="BP39" s="93"/>
      <c r="BQ39" s="94"/>
      <c r="BT39" s="93"/>
      <c r="BX39" s="93"/>
      <c r="BY39" s="95"/>
      <c r="BZ39" s="95"/>
      <c r="CA39" s="95"/>
      <c r="CB39" s="93"/>
      <c r="CC39" s="95"/>
      <c r="CD39" s="95"/>
      <c r="CE39" s="95"/>
      <c r="CF39" s="93"/>
      <c r="CG39" s="93"/>
      <c r="CK39" s="93"/>
      <c r="CO39" s="93"/>
      <c r="CS39" s="93"/>
      <c r="CW39" s="95"/>
      <c r="DA39" s="93"/>
      <c r="DE39" s="93"/>
      <c r="DI39" s="95"/>
      <c r="DM39" s="95"/>
      <c r="DQ39" s="95"/>
      <c r="DU39" s="95"/>
      <c r="DY39" s="95"/>
      <c r="EC39" s="95"/>
      <c r="EE39" s="94"/>
      <c r="EH39" s="93"/>
      <c r="EI39" s="96"/>
      <c r="EL39" s="95"/>
      <c r="EM39" s="93"/>
      <c r="EQ39" s="95"/>
      <c r="ER39" s="93"/>
      <c r="EV39" s="95"/>
      <c r="EW39" s="97"/>
      <c r="FA39" s="93"/>
      <c r="FE39" s="93"/>
      <c r="FI39" s="93"/>
      <c r="FJ39" s="97"/>
      <c r="FK39" s="93"/>
      <c r="FL39" s="98"/>
    </row>
    <row r="40" spans="1:169" x14ac:dyDescent="0.2">
      <c r="X40" s="87"/>
      <c r="AF40" s="92"/>
      <c r="BJ40" s="88"/>
      <c r="BL40" s="49"/>
      <c r="BP40" s="93"/>
      <c r="BQ40" s="94"/>
      <c r="BT40" s="93"/>
      <c r="BX40" s="93"/>
      <c r="BY40" s="95"/>
      <c r="BZ40" s="95"/>
      <c r="CA40" s="95"/>
      <c r="CB40" s="93"/>
      <c r="CC40" s="95"/>
      <c r="CD40" s="95"/>
      <c r="CE40" s="95"/>
      <c r="CF40" s="93"/>
      <c r="CG40" s="93"/>
      <c r="CK40" s="93"/>
      <c r="CO40" s="93"/>
      <c r="CS40" s="93"/>
      <c r="CW40" s="95"/>
      <c r="DA40" s="93"/>
      <c r="DE40" s="93"/>
      <c r="DI40" s="95"/>
      <c r="DM40" s="95"/>
      <c r="DQ40" s="95"/>
      <c r="DU40" s="95"/>
      <c r="DY40" s="95"/>
      <c r="EC40" s="95"/>
      <c r="EE40" s="94"/>
      <c r="EH40" s="93"/>
      <c r="EI40" s="96"/>
      <c r="EL40" s="95"/>
      <c r="EM40" s="93"/>
      <c r="EQ40" s="95"/>
      <c r="ER40" s="93"/>
      <c r="EV40" s="95"/>
      <c r="EW40" s="97"/>
      <c r="FA40" s="93"/>
      <c r="FE40" s="93"/>
      <c r="FI40" s="93"/>
      <c r="FJ40" s="97"/>
      <c r="FK40" s="93"/>
      <c r="FL40" s="98"/>
    </row>
    <row r="41" spans="1:169" x14ac:dyDescent="0.2">
      <c r="X41" s="56"/>
      <c r="AF41" s="92"/>
      <c r="BJ41" s="88"/>
      <c r="BL41" s="49"/>
      <c r="BP41" s="93"/>
      <c r="BQ41" s="94"/>
      <c r="BT41" s="93"/>
      <c r="BX41" s="93"/>
      <c r="BY41" s="95"/>
      <c r="BZ41" s="95"/>
      <c r="CA41" s="95"/>
      <c r="CB41" s="93"/>
      <c r="CC41" s="95"/>
      <c r="CD41" s="95"/>
      <c r="CE41" s="95"/>
      <c r="CF41" s="93"/>
      <c r="CG41" s="93"/>
      <c r="CK41" s="93"/>
      <c r="CO41" s="93"/>
      <c r="CS41" s="93"/>
      <c r="CW41" s="95"/>
      <c r="DA41" s="93"/>
      <c r="DE41" s="93"/>
      <c r="DI41" s="95"/>
      <c r="DM41" s="95"/>
      <c r="DQ41" s="95"/>
      <c r="DU41" s="95"/>
      <c r="DY41" s="95"/>
      <c r="EC41" s="95"/>
      <c r="EE41" s="94"/>
      <c r="EH41" s="93"/>
      <c r="EI41" s="96"/>
      <c r="EL41" s="95"/>
      <c r="EM41" s="93"/>
      <c r="EQ41" s="95"/>
      <c r="ER41" s="93"/>
      <c r="EV41" s="95"/>
      <c r="EW41" s="97"/>
      <c r="FA41" s="93"/>
      <c r="FE41" s="93"/>
      <c r="FI41" s="93"/>
      <c r="FJ41" s="97"/>
      <c r="FK41" s="93"/>
      <c r="FL41" s="98"/>
    </row>
    <row r="42" spans="1:169" x14ac:dyDescent="0.2">
      <c r="AF42" s="92"/>
      <c r="BJ42" s="88"/>
      <c r="BL42" s="49"/>
      <c r="BP42" s="93"/>
      <c r="BQ42" s="94"/>
      <c r="BT42" s="93"/>
      <c r="BX42" s="93"/>
      <c r="BY42" s="95"/>
      <c r="BZ42" s="95"/>
      <c r="CA42" s="95"/>
      <c r="CB42" s="93"/>
      <c r="CC42" s="95"/>
      <c r="CD42" s="95"/>
      <c r="CE42" s="95"/>
      <c r="CF42" s="93"/>
      <c r="CG42" s="93"/>
      <c r="CK42" s="93"/>
      <c r="CO42" s="93"/>
      <c r="CS42" s="93"/>
      <c r="CW42" s="95"/>
      <c r="DA42" s="93"/>
      <c r="DE42" s="93"/>
      <c r="DI42" s="95"/>
      <c r="DM42" s="95"/>
      <c r="DQ42" s="95"/>
      <c r="DU42" s="95"/>
      <c r="DY42" s="95"/>
      <c r="EC42" s="95"/>
      <c r="EE42" s="94"/>
      <c r="EH42" s="93"/>
      <c r="EI42" s="96"/>
      <c r="EL42" s="95"/>
      <c r="EM42" s="93"/>
      <c r="EQ42" s="95"/>
      <c r="ER42" s="93"/>
      <c r="EV42" s="95"/>
      <c r="EW42" s="97"/>
      <c r="FA42" s="93"/>
      <c r="FE42" s="93"/>
      <c r="FI42" s="93"/>
      <c r="FJ42" s="97"/>
      <c r="FK42" s="93"/>
      <c r="FL42" s="98"/>
    </row>
    <row r="43" spans="1:169" x14ac:dyDescent="0.2">
      <c r="A43" s="112"/>
      <c r="B43" s="113"/>
      <c r="C43" s="113"/>
      <c r="D43" s="113"/>
      <c r="E43" s="113"/>
      <c r="F43" s="112"/>
      <c r="G43" s="114"/>
      <c r="H43" s="114"/>
      <c r="I43" s="114"/>
      <c r="J43" s="115"/>
      <c r="K43" s="116"/>
      <c r="L43" s="112"/>
      <c r="M43" s="113"/>
      <c r="N43" s="113"/>
      <c r="O43" s="113"/>
      <c r="P43" s="113"/>
      <c r="Q43" s="117"/>
      <c r="R43" s="118"/>
      <c r="S43" s="119"/>
      <c r="T43" s="113"/>
      <c r="U43" s="113"/>
      <c r="V43" s="113"/>
      <c r="W43" s="113"/>
      <c r="X43" s="113"/>
      <c r="Y43" s="113"/>
      <c r="Z43" s="113"/>
      <c r="AA43" s="113"/>
      <c r="AB43" s="113"/>
      <c r="AC43" s="113"/>
      <c r="AD43" s="113"/>
      <c r="AE43" s="113"/>
      <c r="AF43" s="120"/>
      <c r="AG43" s="113"/>
      <c r="AH43" s="113"/>
      <c r="AI43" s="121"/>
      <c r="AJ43" s="119"/>
      <c r="AK43" s="113"/>
      <c r="AL43" s="113"/>
      <c r="AM43" s="122"/>
      <c r="AN43" s="122"/>
      <c r="AO43" s="122"/>
      <c r="AP43" s="122"/>
      <c r="AQ43" s="122"/>
      <c r="AR43" s="122"/>
      <c r="AS43" s="122"/>
      <c r="AT43" s="122"/>
      <c r="AU43" s="122"/>
      <c r="AV43" s="122"/>
      <c r="AW43" s="122"/>
      <c r="AX43" s="122"/>
      <c r="AY43" s="122"/>
      <c r="AZ43" s="122"/>
      <c r="BA43" s="122"/>
      <c r="BB43" s="122"/>
      <c r="BC43" s="122"/>
      <c r="BD43" s="116"/>
      <c r="BE43" s="116"/>
      <c r="BF43" s="116"/>
      <c r="BG43" s="116"/>
      <c r="BH43" s="116"/>
      <c r="BI43" s="116"/>
      <c r="BJ43" s="123"/>
      <c r="BK43" s="119"/>
      <c r="BL43" s="124"/>
      <c r="BM43" s="112"/>
      <c r="BN43" s="112"/>
      <c r="BO43" s="112"/>
      <c r="BP43" s="125"/>
      <c r="BQ43" s="126"/>
      <c r="BR43" s="112"/>
      <c r="BS43" s="112"/>
      <c r="BT43" s="125"/>
      <c r="BU43" s="112"/>
      <c r="BV43" s="112"/>
      <c r="BW43" s="112"/>
      <c r="BX43" s="125"/>
      <c r="BY43" s="127"/>
      <c r="BZ43" s="127"/>
      <c r="CA43" s="127"/>
      <c r="CB43" s="125"/>
      <c r="CC43" s="127"/>
      <c r="CD43" s="127"/>
      <c r="CE43" s="127"/>
      <c r="CF43" s="125"/>
      <c r="CG43" s="125"/>
      <c r="CH43" s="113"/>
      <c r="CI43" s="113"/>
      <c r="CJ43" s="113"/>
      <c r="CK43" s="125"/>
      <c r="CL43" s="113"/>
      <c r="CM43" s="113"/>
      <c r="CN43" s="113"/>
      <c r="CO43" s="125"/>
      <c r="CP43" s="113"/>
      <c r="CQ43" s="113"/>
      <c r="CR43" s="113"/>
      <c r="CS43" s="125"/>
      <c r="CT43" s="113"/>
      <c r="CU43" s="113"/>
      <c r="CV43" s="113"/>
      <c r="CW43" s="127"/>
      <c r="CX43" s="113"/>
      <c r="CY43" s="113"/>
      <c r="CZ43" s="113"/>
      <c r="DA43" s="125"/>
      <c r="DB43" s="113"/>
      <c r="DC43" s="113"/>
      <c r="DD43" s="113"/>
      <c r="DE43" s="125"/>
      <c r="DF43" s="113"/>
      <c r="DG43" s="113"/>
      <c r="DH43" s="113"/>
      <c r="DI43" s="127"/>
      <c r="DJ43" s="113"/>
      <c r="DK43" s="113"/>
      <c r="DL43" s="113"/>
      <c r="DM43" s="127"/>
      <c r="DN43" s="113"/>
      <c r="DO43" s="113"/>
      <c r="DP43" s="113"/>
      <c r="DQ43" s="127"/>
      <c r="DR43" s="113"/>
      <c r="DS43" s="113"/>
      <c r="DT43" s="113"/>
      <c r="DU43" s="127"/>
      <c r="DV43" s="113"/>
      <c r="DW43" s="113"/>
      <c r="DX43" s="113"/>
      <c r="DY43" s="127"/>
      <c r="DZ43" s="113"/>
      <c r="EA43" s="113"/>
      <c r="EB43" s="113"/>
      <c r="EC43" s="127"/>
      <c r="ED43" s="113"/>
      <c r="EE43" s="126"/>
      <c r="EF43" s="112"/>
      <c r="EG43" s="112"/>
      <c r="EH43" s="125"/>
      <c r="EI43" s="128"/>
      <c r="EJ43" s="113"/>
      <c r="EK43" s="113"/>
      <c r="EL43" s="127"/>
      <c r="EM43" s="125"/>
      <c r="EN43" s="113"/>
      <c r="EO43" s="113"/>
      <c r="EP43" s="113"/>
      <c r="EQ43" s="127"/>
      <c r="ER43" s="125"/>
      <c r="ES43" s="113"/>
      <c r="ET43" s="113"/>
      <c r="EU43" s="113"/>
      <c r="EV43" s="127"/>
      <c r="EW43" s="129"/>
      <c r="EX43" s="112"/>
      <c r="EY43" s="112"/>
      <c r="EZ43" s="112"/>
      <c r="FA43" s="125"/>
      <c r="FB43" s="112"/>
      <c r="FC43" s="112"/>
      <c r="FD43" s="112"/>
      <c r="FE43" s="125"/>
      <c r="FF43" s="112"/>
      <c r="FG43" s="112"/>
      <c r="FH43" s="112"/>
      <c r="FI43" s="125"/>
      <c r="FJ43" s="129"/>
      <c r="FK43" s="125"/>
      <c r="FL43" s="130"/>
      <c r="FM43" s="131"/>
    </row>
    <row r="44" spans="1:169" x14ac:dyDescent="0.2">
      <c r="X44" s="87"/>
      <c r="AF44" s="92"/>
      <c r="BJ44" s="88"/>
      <c r="BL44" s="49"/>
      <c r="BP44" s="93"/>
      <c r="BQ44" s="94"/>
      <c r="BT44" s="93"/>
      <c r="BX44" s="93"/>
      <c r="BY44" s="95"/>
      <c r="BZ44" s="95"/>
      <c r="CA44" s="95"/>
      <c r="CB44" s="93"/>
      <c r="CC44" s="95"/>
      <c r="CD44" s="95"/>
      <c r="CE44" s="95"/>
      <c r="CF44" s="93"/>
      <c r="CG44" s="93"/>
      <c r="CK44" s="93"/>
      <c r="CO44" s="93"/>
      <c r="CS44" s="93"/>
      <c r="CW44" s="95"/>
      <c r="DA44" s="93"/>
      <c r="DE44" s="93"/>
      <c r="DI44" s="95"/>
      <c r="DM44" s="95"/>
      <c r="DQ44" s="95"/>
      <c r="DU44" s="95"/>
      <c r="DY44" s="95"/>
      <c r="EC44" s="95"/>
      <c r="EE44" s="94"/>
      <c r="EH44" s="93"/>
      <c r="EI44" s="96"/>
      <c r="EL44" s="95"/>
      <c r="EM44" s="93"/>
      <c r="EQ44" s="95"/>
      <c r="ER44" s="93"/>
      <c r="EV44" s="95"/>
      <c r="EW44" s="97"/>
      <c r="FA44" s="93"/>
      <c r="FE44" s="93"/>
      <c r="FI44" s="93"/>
      <c r="FJ44" s="97"/>
      <c r="FK44" s="93"/>
      <c r="FL44" s="98"/>
    </row>
    <row r="45" spans="1:169" x14ac:dyDescent="0.2">
      <c r="X45" s="56"/>
      <c r="AF45" s="92"/>
      <c r="BJ45" s="88"/>
      <c r="BL45" s="49"/>
      <c r="BP45" s="93"/>
      <c r="BQ45" s="94"/>
      <c r="BT45" s="93"/>
      <c r="BX45" s="93"/>
      <c r="BY45" s="95"/>
      <c r="BZ45" s="95"/>
      <c r="CA45" s="95"/>
      <c r="CB45" s="93"/>
      <c r="CC45" s="95"/>
      <c r="CD45" s="95"/>
      <c r="CE45" s="95"/>
      <c r="CF45" s="93"/>
      <c r="CG45" s="93"/>
      <c r="CK45" s="93"/>
      <c r="CO45" s="93"/>
      <c r="CS45" s="93"/>
      <c r="CW45" s="95"/>
      <c r="DA45" s="93"/>
      <c r="DE45" s="93"/>
      <c r="DI45" s="95"/>
      <c r="DM45" s="95"/>
      <c r="DQ45" s="95"/>
      <c r="DU45" s="95"/>
      <c r="DY45" s="95"/>
      <c r="EC45" s="95"/>
      <c r="EE45" s="94"/>
      <c r="EH45" s="93"/>
      <c r="EI45" s="96"/>
      <c r="EL45" s="95"/>
      <c r="EM45" s="93"/>
      <c r="EQ45" s="95"/>
      <c r="ER45" s="93"/>
      <c r="EV45" s="95"/>
      <c r="EW45" s="97"/>
      <c r="FA45" s="93"/>
      <c r="FE45" s="93"/>
      <c r="FI45" s="93"/>
      <c r="FJ45" s="97"/>
      <c r="FK45" s="93"/>
      <c r="FL45" s="98"/>
    </row>
    <row r="46" spans="1:169" x14ac:dyDescent="0.2">
      <c r="X46" s="56"/>
      <c r="AF46" s="92"/>
      <c r="BJ46" s="88"/>
      <c r="BL46" s="49"/>
      <c r="BP46" s="93"/>
      <c r="BQ46" s="94"/>
      <c r="BT46" s="93"/>
      <c r="BX46" s="93"/>
      <c r="BY46" s="95"/>
      <c r="BZ46" s="95"/>
      <c r="CA46" s="95"/>
      <c r="CB46" s="93"/>
      <c r="CC46" s="95"/>
      <c r="CD46" s="95"/>
      <c r="CE46" s="95"/>
      <c r="CF46" s="93"/>
      <c r="CG46" s="93"/>
      <c r="CK46" s="93"/>
      <c r="CO46" s="93"/>
      <c r="CS46" s="93"/>
      <c r="CW46" s="95"/>
      <c r="DA46" s="93"/>
      <c r="DE46" s="93"/>
      <c r="DI46" s="95"/>
      <c r="DM46" s="95"/>
      <c r="DQ46" s="95"/>
      <c r="DU46" s="95"/>
      <c r="DY46" s="95"/>
      <c r="EC46" s="95"/>
      <c r="EE46" s="94"/>
      <c r="EH46" s="93"/>
      <c r="EI46" s="96"/>
      <c r="EL46" s="95"/>
      <c r="EM46" s="93"/>
      <c r="EQ46" s="95"/>
      <c r="ER46" s="93"/>
      <c r="EV46" s="95"/>
      <c r="EW46" s="97"/>
      <c r="FA46" s="93"/>
      <c r="FE46" s="93"/>
      <c r="FI46" s="93"/>
      <c r="FJ46" s="97"/>
      <c r="FK46" s="93"/>
      <c r="FL46" s="98"/>
    </row>
    <row r="47" spans="1:169" x14ac:dyDescent="0.2">
      <c r="AF47" s="92"/>
      <c r="BJ47" s="88"/>
      <c r="BL47" s="49"/>
      <c r="BP47" s="93"/>
      <c r="BQ47" s="94"/>
      <c r="BT47" s="93"/>
      <c r="BX47" s="93"/>
      <c r="BY47" s="95"/>
      <c r="BZ47" s="95"/>
      <c r="CA47" s="95"/>
      <c r="CB47" s="93"/>
      <c r="CC47" s="95"/>
      <c r="CD47" s="95"/>
      <c r="CE47" s="95"/>
      <c r="CF47" s="93"/>
      <c r="CG47" s="93"/>
      <c r="CK47" s="93"/>
      <c r="CO47" s="93"/>
      <c r="CS47" s="93"/>
      <c r="CW47" s="95"/>
      <c r="DA47" s="93"/>
      <c r="DE47" s="93"/>
      <c r="DI47" s="95"/>
      <c r="DM47" s="95"/>
      <c r="DQ47" s="95"/>
      <c r="DU47" s="95"/>
      <c r="DY47" s="95"/>
      <c r="EC47" s="95"/>
      <c r="EE47" s="94"/>
      <c r="EH47" s="93"/>
      <c r="EI47" s="96"/>
      <c r="EL47" s="95"/>
      <c r="EM47" s="93"/>
      <c r="EQ47" s="95"/>
      <c r="ER47" s="93"/>
      <c r="EV47" s="95"/>
      <c r="EW47" s="97"/>
      <c r="FA47" s="93"/>
      <c r="FE47" s="93"/>
      <c r="FI47" s="93"/>
      <c r="FJ47" s="97"/>
      <c r="FK47" s="93"/>
      <c r="FL47" s="98"/>
    </row>
    <row r="48" spans="1:169" x14ac:dyDescent="0.2">
      <c r="A48" s="112"/>
      <c r="B48" s="113"/>
      <c r="C48" s="113"/>
      <c r="D48" s="113"/>
      <c r="E48" s="113"/>
      <c r="F48" s="112"/>
      <c r="G48" s="114"/>
      <c r="H48" s="114"/>
      <c r="I48" s="114"/>
      <c r="J48" s="115"/>
      <c r="K48" s="116"/>
      <c r="L48" s="112"/>
      <c r="M48" s="113"/>
      <c r="N48" s="113"/>
      <c r="O48" s="113"/>
      <c r="P48" s="113"/>
      <c r="Q48" s="117"/>
      <c r="R48" s="118"/>
      <c r="S48" s="119"/>
      <c r="T48" s="113"/>
      <c r="U48" s="113"/>
      <c r="V48" s="113"/>
      <c r="W48" s="113"/>
      <c r="X48" s="113"/>
      <c r="Y48" s="113"/>
      <c r="Z48" s="113"/>
      <c r="AA48" s="113"/>
      <c r="AB48" s="113"/>
      <c r="AC48" s="113"/>
      <c r="AD48" s="113"/>
      <c r="AE48" s="113"/>
      <c r="AF48" s="120"/>
      <c r="AG48" s="113"/>
      <c r="AH48" s="113"/>
      <c r="AI48" s="121"/>
      <c r="AJ48" s="119"/>
      <c r="AK48" s="113"/>
      <c r="AL48" s="113"/>
      <c r="AM48" s="122"/>
      <c r="AN48" s="122"/>
      <c r="AO48" s="122"/>
      <c r="AP48" s="122"/>
      <c r="AQ48" s="122"/>
      <c r="AR48" s="122"/>
      <c r="AS48" s="122"/>
      <c r="AT48" s="122"/>
      <c r="AU48" s="122"/>
      <c r="AV48" s="122"/>
      <c r="AW48" s="122"/>
      <c r="AX48" s="122"/>
      <c r="AY48" s="122"/>
      <c r="AZ48" s="122"/>
      <c r="BA48" s="122"/>
      <c r="BB48" s="122"/>
      <c r="BC48" s="122"/>
      <c r="BD48" s="116"/>
      <c r="BE48" s="116"/>
      <c r="BF48" s="116"/>
      <c r="BG48" s="116"/>
      <c r="BH48" s="116"/>
      <c r="BI48" s="116"/>
      <c r="BJ48" s="123"/>
      <c r="BK48" s="119"/>
      <c r="BL48" s="124"/>
      <c r="BM48" s="112"/>
      <c r="BN48" s="112"/>
      <c r="BO48" s="112"/>
      <c r="BP48" s="125"/>
      <c r="BQ48" s="126"/>
      <c r="BR48" s="112"/>
      <c r="BS48" s="112"/>
      <c r="BT48" s="125"/>
      <c r="BU48" s="112"/>
      <c r="BV48" s="112"/>
      <c r="BW48" s="112"/>
      <c r="BX48" s="125"/>
      <c r="BY48" s="127"/>
      <c r="BZ48" s="127"/>
      <c r="CA48" s="127"/>
      <c r="CB48" s="125"/>
      <c r="CC48" s="127"/>
      <c r="CD48" s="127"/>
      <c r="CE48" s="127"/>
      <c r="CF48" s="125"/>
      <c r="CG48" s="125"/>
      <c r="CH48" s="113"/>
      <c r="CI48" s="113"/>
      <c r="CJ48" s="113"/>
      <c r="CK48" s="125"/>
      <c r="CL48" s="113"/>
      <c r="CM48" s="113"/>
      <c r="CN48" s="113"/>
      <c r="CO48" s="125"/>
      <c r="CP48" s="113"/>
      <c r="CQ48" s="113"/>
      <c r="CR48" s="113"/>
      <c r="CS48" s="125"/>
      <c r="CT48" s="113"/>
      <c r="CU48" s="113"/>
      <c r="CV48" s="113"/>
      <c r="CW48" s="127"/>
      <c r="CX48" s="113"/>
      <c r="CY48" s="113"/>
      <c r="CZ48" s="113"/>
      <c r="DA48" s="125"/>
      <c r="DB48" s="113"/>
      <c r="DC48" s="113"/>
      <c r="DD48" s="113"/>
      <c r="DE48" s="125"/>
      <c r="DF48" s="113"/>
      <c r="DG48" s="113"/>
      <c r="DH48" s="113"/>
      <c r="DI48" s="127"/>
      <c r="DJ48" s="113"/>
      <c r="DK48" s="113"/>
      <c r="DL48" s="113"/>
      <c r="DM48" s="127"/>
      <c r="DN48" s="113"/>
      <c r="DO48" s="113"/>
      <c r="DP48" s="113"/>
      <c r="DQ48" s="127"/>
      <c r="DR48" s="113"/>
      <c r="DS48" s="113"/>
      <c r="DT48" s="113"/>
      <c r="DU48" s="127"/>
      <c r="DV48" s="113"/>
      <c r="DW48" s="113"/>
      <c r="DX48" s="113"/>
      <c r="DY48" s="127"/>
      <c r="DZ48" s="113"/>
      <c r="EA48" s="113"/>
      <c r="EB48" s="113"/>
      <c r="EC48" s="127"/>
      <c r="ED48" s="113"/>
      <c r="EE48" s="126"/>
      <c r="EF48" s="112"/>
      <c r="EG48" s="112"/>
      <c r="EH48" s="125"/>
      <c r="EI48" s="128"/>
      <c r="EJ48" s="113"/>
      <c r="EK48" s="113"/>
      <c r="EL48" s="127"/>
      <c r="EM48" s="125"/>
      <c r="EN48" s="113"/>
      <c r="EO48" s="113"/>
      <c r="EP48" s="113"/>
      <c r="EQ48" s="127"/>
      <c r="ER48" s="125"/>
      <c r="ES48" s="113"/>
      <c r="ET48" s="113"/>
      <c r="EU48" s="113"/>
      <c r="EV48" s="127"/>
      <c r="EW48" s="129"/>
      <c r="EX48" s="112"/>
      <c r="EY48" s="112"/>
      <c r="EZ48" s="112"/>
      <c r="FA48" s="125"/>
      <c r="FB48" s="112"/>
      <c r="FC48" s="112"/>
      <c r="FD48" s="112"/>
      <c r="FE48" s="125"/>
      <c r="FF48" s="112"/>
      <c r="FG48" s="112"/>
      <c r="FH48" s="112"/>
      <c r="FI48" s="125"/>
      <c r="FJ48" s="129"/>
      <c r="FK48" s="125"/>
      <c r="FL48" s="130"/>
      <c r="FM48" s="131"/>
    </row>
    <row r="49" spans="1:169" x14ac:dyDescent="0.2">
      <c r="AF49" s="92"/>
      <c r="BJ49" s="88"/>
      <c r="BL49" s="49"/>
      <c r="BP49" s="93"/>
      <c r="BQ49" s="94"/>
      <c r="BT49" s="93"/>
      <c r="BX49" s="93"/>
      <c r="BY49" s="95"/>
      <c r="BZ49" s="95"/>
      <c r="CA49" s="95"/>
      <c r="CB49" s="93"/>
      <c r="CC49" s="95"/>
      <c r="CD49" s="95"/>
      <c r="CE49" s="95"/>
      <c r="CF49" s="93"/>
      <c r="CG49" s="93"/>
      <c r="CK49" s="93"/>
      <c r="CO49" s="93"/>
      <c r="CS49" s="93"/>
      <c r="CW49" s="95"/>
      <c r="DA49" s="93"/>
      <c r="DE49" s="93"/>
      <c r="DI49" s="95"/>
      <c r="DM49" s="95"/>
      <c r="DQ49" s="95"/>
      <c r="DU49" s="95"/>
      <c r="DY49" s="95"/>
      <c r="EC49" s="95"/>
      <c r="EE49" s="94"/>
      <c r="EH49" s="93"/>
      <c r="EI49" s="96"/>
      <c r="EL49" s="95"/>
      <c r="EM49" s="93"/>
      <c r="EQ49" s="95"/>
      <c r="ER49" s="93"/>
      <c r="EV49" s="95"/>
      <c r="EW49" s="97"/>
      <c r="FA49" s="93"/>
      <c r="FE49" s="93"/>
      <c r="FI49" s="93"/>
      <c r="FJ49" s="97"/>
      <c r="FK49" s="93"/>
      <c r="FL49" s="98"/>
    </row>
    <row r="50" spans="1:169" x14ac:dyDescent="0.2">
      <c r="X50" s="87"/>
      <c r="AF50" s="92"/>
      <c r="BJ50" s="88"/>
      <c r="BL50" s="49"/>
      <c r="BP50" s="93"/>
      <c r="BQ50" s="94"/>
      <c r="BT50" s="93"/>
      <c r="BX50" s="93"/>
      <c r="BY50" s="95"/>
      <c r="BZ50" s="95"/>
      <c r="CA50" s="95"/>
      <c r="CB50" s="93"/>
      <c r="CC50" s="95"/>
      <c r="CD50" s="95"/>
      <c r="CE50" s="95"/>
      <c r="CF50" s="93"/>
      <c r="CG50" s="93"/>
      <c r="CK50" s="93"/>
      <c r="CO50" s="93"/>
      <c r="CS50" s="93"/>
      <c r="CW50" s="95"/>
      <c r="DA50" s="93"/>
      <c r="DE50" s="93"/>
      <c r="DI50" s="95"/>
      <c r="DM50" s="95"/>
      <c r="DQ50" s="95"/>
      <c r="DU50" s="95"/>
      <c r="DY50" s="95"/>
      <c r="EC50" s="95"/>
      <c r="EE50" s="94"/>
      <c r="EH50" s="93"/>
      <c r="EI50" s="96"/>
      <c r="EL50" s="95"/>
      <c r="EM50" s="93"/>
      <c r="EQ50" s="95"/>
      <c r="ER50" s="93"/>
      <c r="EV50" s="95"/>
      <c r="EW50" s="97"/>
      <c r="FA50" s="93"/>
      <c r="FE50" s="93"/>
      <c r="FI50" s="93"/>
      <c r="FJ50" s="97"/>
      <c r="FK50" s="93"/>
      <c r="FL50" s="98"/>
    </row>
    <row r="51" spans="1:169" x14ac:dyDescent="0.2">
      <c r="X51" s="87"/>
      <c r="AF51" s="92"/>
      <c r="BJ51" s="88"/>
      <c r="BL51" s="49"/>
      <c r="BP51" s="93"/>
      <c r="BQ51" s="94"/>
      <c r="BT51" s="93"/>
      <c r="BX51" s="93"/>
      <c r="BY51" s="95"/>
      <c r="BZ51" s="95"/>
      <c r="CA51" s="95"/>
      <c r="CB51" s="93"/>
      <c r="CC51" s="95"/>
      <c r="CD51" s="95"/>
      <c r="CE51" s="95"/>
      <c r="CF51" s="93"/>
      <c r="CG51" s="93"/>
      <c r="CK51" s="93"/>
      <c r="CO51" s="93"/>
      <c r="CS51" s="93"/>
      <c r="CW51" s="95"/>
      <c r="DA51" s="93"/>
      <c r="DE51" s="93"/>
      <c r="DI51" s="95"/>
      <c r="DM51" s="95"/>
      <c r="DQ51" s="95"/>
      <c r="DU51" s="95"/>
      <c r="DY51" s="95"/>
      <c r="EC51" s="95"/>
      <c r="EE51" s="94"/>
      <c r="EH51" s="93"/>
      <c r="EI51" s="96"/>
      <c r="EL51" s="95"/>
      <c r="EM51" s="93"/>
      <c r="EQ51" s="95"/>
      <c r="ER51" s="93"/>
      <c r="EV51" s="95"/>
      <c r="EW51" s="97"/>
      <c r="FA51" s="93"/>
      <c r="FE51" s="93"/>
      <c r="FI51" s="93"/>
      <c r="FJ51" s="97"/>
      <c r="FK51" s="93"/>
      <c r="FL51" s="98"/>
    </row>
    <row r="52" spans="1:169" x14ac:dyDescent="0.2">
      <c r="X52" s="87"/>
      <c r="AF52" s="92"/>
      <c r="BJ52" s="88"/>
      <c r="BL52" s="49"/>
      <c r="BP52" s="93"/>
      <c r="BQ52" s="94"/>
      <c r="BT52" s="93"/>
      <c r="BX52" s="93"/>
      <c r="BY52" s="95"/>
      <c r="BZ52" s="95"/>
      <c r="CA52" s="95"/>
      <c r="CB52" s="93"/>
      <c r="CC52" s="95"/>
      <c r="CD52" s="95"/>
      <c r="CE52" s="95"/>
      <c r="CF52" s="93"/>
      <c r="CG52" s="93"/>
      <c r="CK52" s="93"/>
      <c r="CO52" s="93"/>
      <c r="CS52" s="93"/>
      <c r="CW52" s="95"/>
      <c r="DA52" s="93"/>
      <c r="DE52" s="93"/>
      <c r="DI52" s="95"/>
      <c r="DM52" s="95"/>
      <c r="DQ52" s="95"/>
      <c r="DU52" s="95"/>
      <c r="DY52" s="95"/>
      <c r="EC52" s="95"/>
      <c r="EE52" s="94"/>
      <c r="EH52" s="93"/>
      <c r="EI52" s="96"/>
      <c r="EL52" s="95"/>
      <c r="EM52" s="93"/>
      <c r="EQ52" s="95"/>
      <c r="ER52" s="93"/>
      <c r="EV52" s="95"/>
      <c r="EW52" s="97"/>
      <c r="FA52" s="93"/>
      <c r="FE52" s="93"/>
      <c r="FI52" s="93"/>
      <c r="FJ52" s="97"/>
      <c r="FK52" s="93"/>
      <c r="FL52" s="98"/>
    </row>
    <row r="53" spans="1:169" x14ac:dyDescent="0.2">
      <c r="A53" s="112"/>
      <c r="B53" s="113"/>
      <c r="C53" s="113"/>
      <c r="D53" s="113"/>
      <c r="E53" s="113"/>
      <c r="F53" s="112"/>
      <c r="G53" s="114"/>
      <c r="H53" s="114"/>
      <c r="I53" s="114"/>
      <c r="J53" s="115"/>
      <c r="K53" s="116"/>
      <c r="L53" s="112"/>
      <c r="M53" s="113"/>
      <c r="N53" s="113"/>
      <c r="O53" s="113"/>
      <c r="P53" s="113"/>
      <c r="Q53" s="117"/>
      <c r="R53" s="118"/>
      <c r="S53" s="119"/>
      <c r="T53" s="113"/>
      <c r="U53" s="113"/>
      <c r="V53" s="113"/>
      <c r="W53" s="113"/>
      <c r="X53" s="113"/>
      <c r="Y53" s="113"/>
      <c r="Z53" s="113"/>
      <c r="AA53" s="113"/>
      <c r="AB53" s="113"/>
      <c r="AC53" s="113"/>
      <c r="AD53" s="113"/>
      <c r="AE53" s="113"/>
      <c r="AF53" s="120"/>
      <c r="AG53" s="113"/>
      <c r="AH53" s="113"/>
      <c r="AI53" s="121"/>
      <c r="AJ53" s="119"/>
      <c r="AK53" s="113"/>
      <c r="AL53" s="113"/>
      <c r="AM53" s="122"/>
      <c r="AN53" s="122"/>
      <c r="AO53" s="122"/>
      <c r="AP53" s="122"/>
      <c r="AQ53" s="122"/>
      <c r="AR53" s="122"/>
      <c r="AS53" s="122"/>
      <c r="AT53" s="122"/>
      <c r="AU53" s="122"/>
      <c r="AV53" s="122"/>
      <c r="AW53" s="122"/>
      <c r="AX53" s="122"/>
      <c r="AY53" s="122"/>
      <c r="AZ53" s="122"/>
      <c r="BA53" s="122"/>
      <c r="BB53" s="122"/>
      <c r="BC53" s="122"/>
      <c r="BD53" s="116"/>
      <c r="BE53" s="116"/>
      <c r="BF53" s="116"/>
      <c r="BG53" s="116"/>
      <c r="BH53" s="116"/>
      <c r="BI53" s="116"/>
      <c r="BJ53" s="123"/>
      <c r="BK53" s="119"/>
      <c r="BL53" s="124"/>
      <c r="BM53" s="112"/>
      <c r="BN53" s="112"/>
      <c r="BO53" s="112"/>
      <c r="BP53" s="125"/>
      <c r="BQ53" s="126"/>
      <c r="BR53" s="112"/>
      <c r="BS53" s="112"/>
      <c r="BT53" s="125"/>
      <c r="BU53" s="112"/>
      <c r="BV53" s="112"/>
      <c r="BW53" s="112"/>
      <c r="BX53" s="125"/>
      <c r="BY53" s="127"/>
      <c r="BZ53" s="127"/>
      <c r="CA53" s="127"/>
      <c r="CB53" s="125"/>
      <c r="CC53" s="127"/>
      <c r="CD53" s="127"/>
      <c r="CE53" s="127"/>
      <c r="CF53" s="125"/>
      <c r="CG53" s="125"/>
      <c r="CH53" s="113"/>
      <c r="CI53" s="113"/>
      <c r="CJ53" s="113"/>
      <c r="CK53" s="125"/>
      <c r="CL53" s="113"/>
      <c r="CM53" s="113"/>
      <c r="CN53" s="113"/>
      <c r="CO53" s="125"/>
      <c r="CP53" s="113"/>
      <c r="CQ53" s="113"/>
      <c r="CR53" s="113"/>
      <c r="CS53" s="125"/>
      <c r="CT53" s="113"/>
      <c r="CU53" s="113"/>
      <c r="CV53" s="113"/>
      <c r="CW53" s="127"/>
      <c r="CX53" s="113"/>
      <c r="CY53" s="113"/>
      <c r="CZ53" s="113"/>
      <c r="DA53" s="125"/>
      <c r="DB53" s="113"/>
      <c r="DC53" s="113"/>
      <c r="DD53" s="113"/>
      <c r="DE53" s="125"/>
      <c r="DF53" s="113"/>
      <c r="DG53" s="113"/>
      <c r="DH53" s="113"/>
      <c r="DI53" s="127"/>
      <c r="DJ53" s="113"/>
      <c r="DK53" s="113"/>
      <c r="DL53" s="113"/>
      <c r="DM53" s="127"/>
      <c r="DN53" s="113"/>
      <c r="DO53" s="113"/>
      <c r="DP53" s="113"/>
      <c r="DQ53" s="127"/>
      <c r="DR53" s="113"/>
      <c r="DS53" s="113"/>
      <c r="DT53" s="113"/>
      <c r="DU53" s="127"/>
      <c r="DV53" s="113"/>
      <c r="DW53" s="113"/>
      <c r="DX53" s="113"/>
      <c r="DY53" s="127"/>
      <c r="DZ53" s="113"/>
      <c r="EA53" s="113"/>
      <c r="EB53" s="113"/>
      <c r="EC53" s="127"/>
      <c r="ED53" s="113"/>
      <c r="EE53" s="126"/>
      <c r="EF53" s="112"/>
      <c r="EG53" s="112"/>
      <c r="EH53" s="125"/>
      <c r="EI53" s="128"/>
      <c r="EJ53" s="113"/>
      <c r="EK53" s="113"/>
      <c r="EL53" s="127"/>
      <c r="EM53" s="125"/>
      <c r="EN53" s="113"/>
      <c r="EO53" s="113"/>
      <c r="EP53" s="113"/>
      <c r="EQ53" s="127"/>
      <c r="ER53" s="125"/>
      <c r="ES53" s="113"/>
      <c r="ET53" s="113"/>
      <c r="EU53" s="113"/>
      <c r="EV53" s="127"/>
      <c r="EW53" s="129"/>
      <c r="EX53" s="112"/>
      <c r="EY53" s="112"/>
      <c r="EZ53" s="112"/>
      <c r="FA53" s="125"/>
      <c r="FB53" s="112"/>
      <c r="FC53" s="112"/>
      <c r="FD53" s="112"/>
      <c r="FE53" s="125"/>
      <c r="FF53" s="112"/>
      <c r="FG53" s="112"/>
      <c r="FH53" s="112"/>
      <c r="FI53" s="125"/>
      <c r="FJ53" s="129"/>
      <c r="FK53" s="125"/>
      <c r="FL53" s="130"/>
      <c r="FM53" s="131"/>
    </row>
    <row r="54" spans="1:169" x14ac:dyDescent="0.2">
      <c r="A54" s="112"/>
      <c r="B54" s="113"/>
      <c r="C54" s="113"/>
      <c r="D54" s="113"/>
      <c r="E54" s="113"/>
      <c r="F54" s="112"/>
      <c r="G54" s="114"/>
      <c r="H54" s="114"/>
      <c r="I54" s="114"/>
      <c r="J54" s="115"/>
      <c r="K54" s="116"/>
      <c r="L54" s="112"/>
      <c r="M54" s="113"/>
      <c r="N54" s="113"/>
      <c r="O54" s="113"/>
      <c r="P54" s="113"/>
      <c r="Q54" s="117"/>
      <c r="R54" s="118"/>
      <c r="S54" s="119"/>
      <c r="T54" s="113"/>
      <c r="U54" s="113"/>
      <c r="V54" s="113"/>
      <c r="W54" s="113"/>
      <c r="X54" s="113"/>
      <c r="Y54" s="113"/>
      <c r="Z54" s="113"/>
      <c r="AA54" s="113"/>
      <c r="AB54" s="113"/>
      <c r="AC54" s="113"/>
      <c r="AD54" s="113"/>
      <c r="AE54" s="113"/>
      <c r="AF54" s="120"/>
      <c r="AG54" s="113"/>
      <c r="AH54" s="113"/>
      <c r="AI54" s="121"/>
      <c r="AJ54" s="119"/>
      <c r="AK54" s="113"/>
      <c r="AL54" s="113"/>
      <c r="AM54" s="122"/>
      <c r="AN54" s="122"/>
      <c r="AO54" s="122"/>
      <c r="AP54" s="122"/>
      <c r="AQ54" s="122"/>
      <c r="AR54" s="122"/>
      <c r="AS54" s="122"/>
      <c r="AT54" s="122"/>
      <c r="AU54" s="122"/>
      <c r="AV54" s="122"/>
      <c r="AW54" s="122"/>
      <c r="AX54" s="122"/>
      <c r="AY54" s="122"/>
      <c r="AZ54" s="122"/>
      <c r="BA54" s="122"/>
      <c r="BB54" s="122"/>
      <c r="BC54" s="122"/>
      <c r="BD54" s="116"/>
      <c r="BE54" s="116"/>
      <c r="BF54" s="116"/>
      <c r="BG54" s="116"/>
      <c r="BH54" s="116"/>
      <c r="BI54" s="116"/>
      <c r="BJ54" s="123"/>
      <c r="BK54" s="119"/>
      <c r="BL54" s="124"/>
      <c r="BM54" s="112"/>
      <c r="BN54" s="112"/>
      <c r="BO54" s="112"/>
      <c r="BP54" s="125"/>
      <c r="BQ54" s="126"/>
      <c r="BR54" s="112"/>
      <c r="BS54" s="112"/>
      <c r="BT54" s="125"/>
      <c r="BU54" s="112"/>
      <c r="BV54" s="112"/>
      <c r="BW54" s="112"/>
      <c r="BX54" s="125"/>
      <c r="BY54" s="127"/>
      <c r="BZ54" s="127"/>
      <c r="CA54" s="127"/>
      <c r="CB54" s="125"/>
      <c r="CC54" s="127"/>
      <c r="CD54" s="127"/>
      <c r="CE54" s="127"/>
      <c r="CF54" s="125"/>
      <c r="CG54" s="125"/>
      <c r="CH54" s="113"/>
      <c r="CI54" s="113"/>
      <c r="CJ54" s="113"/>
      <c r="CK54" s="125"/>
      <c r="CL54" s="113"/>
      <c r="CM54" s="113"/>
      <c r="CN54" s="113"/>
      <c r="CO54" s="125"/>
      <c r="CP54" s="113"/>
      <c r="CQ54" s="113"/>
      <c r="CR54" s="113"/>
      <c r="CS54" s="125"/>
      <c r="CT54" s="113"/>
      <c r="CU54" s="113"/>
      <c r="CV54" s="113"/>
      <c r="CW54" s="127"/>
      <c r="CX54" s="113"/>
      <c r="CY54" s="113"/>
      <c r="CZ54" s="113"/>
      <c r="DA54" s="125"/>
      <c r="DB54" s="113"/>
      <c r="DC54" s="113"/>
      <c r="DD54" s="113"/>
      <c r="DE54" s="125"/>
      <c r="DF54" s="113"/>
      <c r="DG54" s="113"/>
      <c r="DH54" s="113"/>
      <c r="DI54" s="127"/>
      <c r="DJ54" s="113"/>
      <c r="DK54" s="113"/>
      <c r="DL54" s="113"/>
      <c r="DM54" s="127"/>
      <c r="DN54" s="113"/>
      <c r="DO54" s="113"/>
      <c r="DP54" s="113"/>
      <c r="DQ54" s="127"/>
      <c r="DR54" s="113"/>
      <c r="DS54" s="113"/>
      <c r="DT54" s="113"/>
      <c r="DU54" s="127"/>
      <c r="DV54" s="113"/>
      <c r="DW54" s="113"/>
      <c r="DX54" s="113"/>
      <c r="DY54" s="127"/>
      <c r="DZ54" s="113"/>
      <c r="EA54" s="113"/>
      <c r="EB54" s="113"/>
      <c r="EC54" s="127"/>
      <c r="ED54" s="113"/>
      <c r="EE54" s="126"/>
      <c r="EF54" s="112"/>
      <c r="EG54" s="112"/>
      <c r="EH54" s="125"/>
      <c r="EI54" s="128"/>
      <c r="EJ54" s="113"/>
      <c r="EK54" s="113"/>
      <c r="EL54" s="127"/>
      <c r="EM54" s="125"/>
      <c r="EN54" s="113"/>
      <c r="EO54" s="113"/>
      <c r="EP54" s="113"/>
      <c r="EQ54" s="127"/>
      <c r="ER54" s="125"/>
      <c r="ES54" s="113"/>
      <c r="ET54" s="113"/>
      <c r="EU54" s="113"/>
      <c r="EV54" s="127"/>
      <c r="EW54" s="129"/>
      <c r="EX54" s="112"/>
      <c r="EY54" s="112"/>
      <c r="EZ54" s="112"/>
      <c r="FA54" s="125"/>
      <c r="FB54" s="112"/>
      <c r="FC54" s="112"/>
      <c r="FD54" s="112"/>
      <c r="FE54" s="125"/>
      <c r="FF54" s="112"/>
      <c r="FG54" s="112"/>
      <c r="FH54" s="112"/>
      <c r="FI54" s="125"/>
      <c r="FJ54" s="129"/>
      <c r="FK54" s="125"/>
      <c r="FL54" s="130"/>
      <c r="FM54" s="131"/>
    </row>
    <row r="55" spans="1:169" x14ac:dyDescent="0.2">
      <c r="A55" s="112"/>
      <c r="B55" s="113"/>
      <c r="C55" s="113"/>
      <c r="D55" s="113"/>
      <c r="E55" s="113"/>
      <c r="F55" s="112"/>
      <c r="G55" s="114"/>
      <c r="H55" s="114"/>
      <c r="I55" s="114"/>
      <c r="J55" s="115"/>
      <c r="K55" s="116"/>
      <c r="L55" s="112"/>
      <c r="M55" s="113"/>
      <c r="N55" s="113"/>
      <c r="O55" s="113"/>
      <c r="P55" s="113"/>
      <c r="Q55" s="117"/>
      <c r="R55" s="118"/>
      <c r="S55" s="119"/>
      <c r="T55" s="113"/>
      <c r="U55" s="113"/>
      <c r="V55" s="113"/>
      <c r="W55" s="113"/>
      <c r="X55" s="113"/>
      <c r="Y55" s="113"/>
      <c r="Z55" s="113"/>
      <c r="AA55" s="113"/>
      <c r="AB55" s="113"/>
      <c r="AC55" s="113"/>
      <c r="AD55" s="113"/>
      <c r="AE55" s="113"/>
      <c r="AF55" s="120"/>
      <c r="AG55" s="113"/>
      <c r="AH55" s="113"/>
      <c r="AI55" s="121"/>
      <c r="AJ55" s="119"/>
      <c r="AK55" s="113"/>
      <c r="AL55" s="113"/>
      <c r="AM55" s="122"/>
      <c r="AN55" s="122"/>
      <c r="AO55" s="122"/>
      <c r="AP55" s="122"/>
      <c r="AQ55" s="122"/>
      <c r="AR55" s="122"/>
      <c r="AS55" s="122"/>
      <c r="AT55" s="122"/>
      <c r="AU55" s="122"/>
      <c r="AV55" s="122"/>
      <c r="AW55" s="122"/>
      <c r="AX55" s="122"/>
      <c r="AY55" s="122"/>
      <c r="AZ55" s="122"/>
      <c r="BA55" s="122"/>
      <c r="BB55" s="122"/>
      <c r="BC55" s="122"/>
      <c r="BD55" s="116"/>
      <c r="BE55" s="116"/>
      <c r="BF55" s="116"/>
      <c r="BG55" s="116"/>
      <c r="BH55" s="116"/>
      <c r="BI55" s="116"/>
      <c r="BJ55" s="123"/>
      <c r="BK55" s="119"/>
      <c r="BL55" s="124"/>
      <c r="BM55" s="112"/>
      <c r="BN55" s="112"/>
      <c r="BO55" s="112"/>
      <c r="BP55" s="125"/>
      <c r="BQ55" s="126"/>
      <c r="BR55" s="112"/>
      <c r="BS55" s="112"/>
      <c r="BT55" s="125"/>
      <c r="BU55" s="112"/>
      <c r="BV55" s="112"/>
      <c r="BW55" s="112"/>
      <c r="BX55" s="125"/>
      <c r="BY55" s="127"/>
      <c r="BZ55" s="127"/>
      <c r="CA55" s="127"/>
      <c r="CB55" s="125"/>
      <c r="CC55" s="127"/>
      <c r="CD55" s="127"/>
      <c r="CE55" s="127"/>
      <c r="CF55" s="125"/>
      <c r="CG55" s="125"/>
      <c r="CH55" s="113"/>
      <c r="CI55" s="113"/>
      <c r="CJ55" s="113"/>
      <c r="CK55" s="125"/>
      <c r="CL55" s="113"/>
      <c r="CM55" s="113"/>
      <c r="CN55" s="113"/>
      <c r="CO55" s="125"/>
      <c r="CP55" s="113"/>
      <c r="CQ55" s="113"/>
      <c r="CR55" s="113"/>
      <c r="CS55" s="125"/>
      <c r="CT55" s="113"/>
      <c r="CU55" s="113"/>
      <c r="CV55" s="113"/>
      <c r="CW55" s="127"/>
      <c r="CX55" s="113"/>
      <c r="CY55" s="113"/>
      <c r="CZ55" s="113"/>
      <c r="DA55" s="125"/>
      <c r="DB55" s="113"/>
      <c r="DC55" s="113"/>
      <c r="DD55" s="113"/>
      <c r="DE55" s="125"/>
      <c r="DF55" s="113"/>
      <c r="DG55" s="113"/>
      <c r="DH55" s="113"/>
      <c r="DI55" s="127"/>
      <c r="DJ55" s="113"/>
      <c r="DK55" s="113"/>
      <c r="DL55" s="113"/>
      <c r="DM55" s="127"/>
      <c r="DN55" s="113"/>
      <c r="DO55" s="113"/>
      <c r="DP55" s="113"/>
      <c r="DQ55" s="127"/>
      <c r="DR55" s="113"/>
      <c r="DS55" s="113"/>
      <c r="DT55" s="113"/>
      <c r="DU55" s="127"/>
      <c r="DV55" s="113"/>
      <c r="DW55" s="113"/>
      <c r="DX55" s="113"/>
      <c r="DY55" s="127"/>
      <c r="DZ55" s="113"/>
      <c r="EA55" s="113"/>
      <c r="EB55" s="113"/>
      <c r="EC55" s="127"/>
      <c r="ED55" s="113"/>
      <c r="EE55" s="126"/>
      <c r="EF55" s="112"/>
      <c r="EG55" s="112"/>
      <c r="EH55" s="125"/>
      <c r="EI55" s="128"/>
      <c r="EJ55" s="113"/>
      <c r="EK55" s="113"/>
      <c r="EL55" s="127"/>
      <c r="EM55" s="125"/>
      <c r="EN55" s="113"/>
      <c r="EO55" s="113"/>
      <c r="EP55" s="113"/>
      <c r="EQ55" s="127"/>
      <c r="ER55" s="125"/>
      <c r="ES55" s="113"/>
      <c r="ET55" s="113"/>
      <c r="EU55" s="113"/>
      <c r="EV55" s="127"/>
      <c r="EW55" s="129"/>
      <c r="EX55" s="112"/>
      <c r="EY55" s="112"/>
      <c r="EZ55" s="112"/>
      <c r="FA55" s="125"/>
      <c r="FB55" s="112"/>
      <c r="FC55" s="112"/>
      <c r="FD55" s="112"/>
      <c r="FE55" s="125"/>
      <c r="FF55" s="112"/>
      <c r="FG55" s="112"/>
      <c r="FH55" s="112"/>
      <c r="FI55" s="125"/>
      <c r="FJ55" s="129"/>
      <c r="FK55" s="125"/>
      <c r="FL55" s="130"/>
      <c r="FM55" s="131"/>
    </row>
    <row r="56" spans="1:169" x14ac:dyDescent="0.2">
      <c r="X56" s="87"/>
      <c r="AF56" s="92"/>
      <c r="BJ56" s="88"/>
      <c r="BL56" s="49"/>
      <c r="BP56" s="93"/>
      <c r="BQ56" s="94"/>
      <c r="BT56" s="93"/>
      <c r="BX56" s="93"/>
      <c r="BY56" s="95"/>
      <c r="BZ56" s="95"/>
      <c r="CA56" s="95"/>
      <c r="CB56" s="93"/>
      <c r="CC56" s="95"/>
      <c r="CD56" s="95"/>
      <c r="CE56" s="95"/>
      <c r="CF56" s="93"/>
      <c r="CG56" s="93"/>
      <c r="CK56" s="93"/>
      <c r="CO56" s="93"/>
      <c r="CS56" s="93"/>
      <c r="CW56" s="95"/>
      <c r="DA56" s="93"/>
      <c r="DE56" s="93"/>
      <c r="DI56" s="95"/>
      <c r="DM56" s="95"/>
      <c r="DQ56" s="95"/>
      <c r="DU56" s="95"/>
      <c r="DY56" s="95"/>
      <c r="EC56" s="95"/>
      <c r="EE56" s="94"/>
      <c r="EH56" s="93"/>
      <c r="EI56" s="96"/>
      <c r="EL56" s="95"/>
      <c r="EM56" s="93"/>
      <c r="EQ56" s="95"/>
      <c r="ER56" s="93"/>
      <c r="EV56" s="95"/>
      <c r="EW56" s="97"/>
      <c r="FA56" s="93"/>
      <c r="FE56" s="93"/>
      <c r="FI56" s="93"/>
      <c r="FJ56" s="97"/>
      <c r="FK56" s="93"/>
      <c r="FL56" s="98"/>
    </row>
    <row r="57" spans="1:169" x14ac:dyDescent="0.2">
      <c r="A57" s="112"/>
      <c r="B57" s="113"/>
      <c r="C57" s="113"/>
      <c r="D57" s="113"/>
      <c r="E57" s="113"/>
      <c r="F57" s="112"/>
      <c r="G57" s="114"/>
      <c r="H57" s="114"/>
      <c r="I57" s="114"/>
      <c r="J57" s="115"/>
      <c r="K57" s="116"/>
      <c r="L57" s="112"/>
      <c r="M57" s="113"/>
      <c r="N57" s="113"/>
      <c r="O57" s="113"/>
      <c r="P57" s="113"/>
      <c r="Q57" s="117"/>
      <c r="R57" s="118"/>
      <c r="S57" s="119"/>
      <c r="T57" s="113"/>
      <c r="U57" s="113"/>
      <c r="V57" s="113"/>
      <c r="W57" s="113"/>
      <c r="X57" s="113"/>
      <c r="Y57" s="113"/>
      <c r="Z57" s="113"/>
      <c r="AA57" s="113"/>
      <c r="AB57" s="113"/>
      <c r="AC57" s="113"/>
      <c r="AD57" s="113"/>
      <c r="AE57" s="113"/>
      <c r="AF57" s="120"/>
      <c r="AG57" s="113"/>
      <c r="AH57" s="113"/>
      <c r="AI57" s="121"/>
      <c r="AJ57" s="119"/>
      <c r="AK57" s="113"/>
      <c r="AL57" s="113"/>
      <c r="AM57" s="122"/>
      <c r="AN57" s="122"/>
      <c r="AO57" s="122"/>
      <c r="AP57" s="122"/>
      <c r="AQ57" s="122"/>
      <c r="AR57" s="122"/>
      <c r="AS57" s="122"/>
      <c r="AT57" s="122"/>
      <c r="AU57" s="122"/>
      <c r="AV57" s="122"/>
      <c r="AW57" s="122"/>
      <c r="AX57" s="122"/>
      <c r="AY57" s="122"/>
      <c r="AZ57" s="122"/>
      <c r="BA57" s="122"/>
      <c r="BB57" s="122"/>
      <c r="BC57" s="122"/>
      <c r="BD57" s="116"/>
      <c r="BE57" s="116"/>
      <c r="BF57" s="116"/>
      <c r="BG57" s="116"/>
      <c r="BH57" s="116"/>
      <c r="BI57" s="116"/>
      <c r="BJ57" s="123"/>
      <c r="BK57" s="119"/>
      <c r="BL57" s="124"/>
      <c r="BM57" s="112"/>
      <c r="BN57" s="112"/>
      <c r="BO57" s="112"/>
      <c r="BP57" s="125"/>
      <c r="BQ57" s="126"/>
      <c r="BR57" s="112"/>
      <c r="BS57" s="112"/>
      <c r="BT57" s="125"/>
      <c r="BU57" s="112"/>
      <c r="BV57" s="112"/>
      <c r="BW57" s="112"/>
      <c r="BX57" s="125"/>
      <c r="BY57" s="127"/>
      <c r="BZ57" s="127"/>
      <c r="CA57" s="127"/>
      <c r="CB57" s="125"/>
      <c r="CC57" s="127"/>
      <c r="CD57" s="127"/>
      <c r="CE57" s="127"/>
      <c r="CF57" s="125"/>
      <c r="CG57" s="125"/>
      <c r="CH57" s="113"/>
      <c r="CI57" s="113"/>
      <c r="CJ57" s="113"/>
      <c r="CK57" s="125"/>
      <c r="CL57" s="113"/>
      <c r="CM57" s="113"/>
      <c r="CN57" s="113"/>
      <c r="CO57" s="125"/>
      <c r="CP57" s="113"/>
      <c r="CQ57" s="113"/>
      <c r="CR57" s="113"/>
      <c r="CS57" s="125"/>
      <c r="CT57" s="113"/>
      <c r="CU57" s="113"/>
      <c r="CV57" s="113"/>
      <c r="CW57" s="127"/>
      <c r="CX57" s="113"/>
      <c r="CY57" s="113"/>
      <c r="CZ57" s="113"/>
      <c r="DA57" s="125"/>
      <c r="DB57" s="113"/>
      <c r="DC57" s="113"/>
      <c r="DD57" s="113"/>
      <c r="DE57" s="125"/>
      <c r="DF57" s="113"/>
      <c r="DG57" s="113"/>
      <c r="DH57" s="113"/>
      <c r="DI57" s="127"/>
      <c r="DJ57" s="113"/>
      <c r="DK57" s="113"/>
      <c r="DL57" s="113"/>
      <c r="DM57" s="127"/>
      <c r="DN57" s="113"/>
      <c r="DO57" s="113"/>
      <c r="DP57" s="113"/>
      <c r="DQ57" s="127"/>
      <c r="DR57" s="113"/>
      <c r="DS57" s="113"/>
      <c r="DT57" s="113"/>
      <c r="DU57" s="127"/>
      <c r="DV57" s="113"/>
      <c r="DW57" s="113"/>
      <c r="DX57" s="113"/>
      <c r="DY57" s="127"/>
      <c r="DZ57" s="113"/>
      <c r="EA57" s="113"/>
      <c r="EB57" s="113"/>
      <c r="EC57" s="127"/>
      <c r="ED57" s="113"/>
      <c r="EE57" s="126"/>
      <c r="EF57" s="112"/>
      <c r="EG57" s="112"/>
      <c r="EH57" s="125"/>
      <c r="EI57" s="128"/>
      <c r="EJ57" s="113"/>
      <c r="EK57" s="113"/>
      <c r="EL57" s="127"/>
      <c r="EM57" s="125"/>
      <c r="EN57" s="113"/>
      <c r="EO57" s="113"/>
      <c r="EP57" s="113"/>
      <c r="EQ57" s="127"/>
      <c r="ER57" s="125"/>
      <c r="ES57" s="113"/>
      <c r="ET57" s="113"/>
      <c r="EU57" s="113"/>
      <c r="EV57" s="127"/>
      <c r="EW57" s="129"/>
      <c r="EX57" s="112"/>
      <c r="EY57" s="112"/>
      <c r="EZ57" s="112"/>
      <c r="FA57" s="125"/>
      <c r="FB57" s="112"/>
      <c r="FC57" s="112"/>
      <c r="FD57" s="112"/>
      <c r="FE57" s="125"/>
      <c r="FF57" s="112"/>
      <c r="FG57" s="112"/>
      <c r="FH57" s="112"/>
      <c r="FI57" s="125"/>
      <c r="FJ57" s="129"/>
      <c r="FK57" s="125"/>
      <c r="FL57" s="130"/>
      <c r="FM57" s="131"/>
    </row>
    <row r="58" spans="1:169" x14ac:dyDescent="0.2">
      <c r="AF58" s="92"/>
      <c r="BJ58" s="88"/>
      <c r="BL58" s="49"/>
      <c r="BP58" s="93"/>
      <c r="BQ58" s="94"/>
      <c r="BT58" s="93"/>
      <c r="BX58" s="93"/>
      <c r="BY58" s="95"/>
      <c r="BZ58" s="95"/>
      <c r="CA58" s="95"/>
      <c r="CB58" s="93"/>
      <c r="CC58" s="95"/>
      <c r="CD58" s="95"/>
      <c r="CE58" s="95"/>
      <c r="CF58" s="93"/>
      <c r="CG58" s="93"/>
      <c r="CK58" s="93"/>
      <c r="CO58" s="93"/>
      <c r="CS58" s="93"/>
      <c r="CW58" s="95"/>
      <c r="DA58" s="93"/>
      <c r="DE58" s="93"/>
      <c r="DI58" s="95"/>
      <c r="DM58" s="95"/>
      <c r="DQ58" s="95"/>
      <c r="DU58" s="95"/>
      <c r="DY58" s="95"/>
      <c r="EC58" s="95"/>
      <c r="EE58" s="94"/>
      <c r="EH58" s="93"/>
      <c r="EI58" s="96"/>
      <c r="EL58" s="95"/>
      <c r="EM58" s="93"/>
      <c r="EQ58" s="95"/>
      <c r="ER58" s="93"/>
      <c r="EV58" s="95"/>
      <c r="EW58" s="97"/>
      <c r="FA58" s="93"/>
      <c r="FE58" s="93"/>
      <c r="FI58" s="93"/>
      <c r="FJ58" s="97"/>
      <c r="FK58" s="93"/>
      <c r="FL58" s="98"/>
    </row>
    <row r="59" spans="1:169" x14ac:dyDescent="0.2">
      <c r="X59" s="87"/>
      <c r="AF59" s="92"/>
      <c r="BJ59" s="88"/>
      <c r="BL59" s="49"/>
      <c r="BP59" s="93"/>
      <c r="BQ59" s="94"/>
      <c r="BT59" s="93"/>
      <c r="BX59" s="93"/>
      <c r="BY59" s="95"/>
      <c r="BZ59" s="95"/>
      <c r="CA59" s="95"/>
      <c r="CB59" s="93"/>
      <c r="CC59" s="95"/>
      <c r="CD59" s="95"/>
      <c r="CE59" s="95"/>
      <c r="CF59" s="93"/>
      <c r="CG59" s="93"/>
      <c r="CK59" s="93"/>
      <c r="CO59" s="93"/>
      <c r="CS59" s="93"/>
      <c r="CW59" s="95"/>
      <c r="DA59" s="93"/>
      <c r="DE59" s="93"/>
      <c r="DI59" s="95"/>
      <c r="DM59" s="95"/>
      <c r="DQ59" s="95"/>
      <c r="DU59" s="95"/>
      <c r="DY59" s="95"/>
      <c r="EC59" s="95"/>
      <c r="EE59" s="94"/>
      <c r="EH59" s="93"/>
      <c r="EI59" s="96"/>
      <c r="EL59" s="95"/>
      <c r="EM59" s="93"/>
      <c r="EQ59" s="95"/>
      <c r="ER59" s="93"/>
      <c r="EV59" s="95"/>
      <c r="EW59" s="97"/>
      <c r="FA59" s="93"/>
      <c r="FE59" s="93"/>
      <c r="FI59" s="93"/>
      <c r="FJ59" s="97"/>
      <c r="FK59" s="93"/>
      <c r="FL59" s="98"/>
    </row>
    <row r="60" spans="1:169" x14ac:dyDescent="0.2">
      <c r="X60" s="56"/>
      <c r="AF60" s="92"/>
      <c r="BJ60" s="88"/>
      <c r="BL60" s="49"/>
      <c r="BP60" s="93"/>
      <c r="BQ60" s="94"/>
      <c r="BT60" s="93"/>
      <c r="BX60" s="93"/>
      <c r="BY60" s="95"/>
      <c r="BZ60" s="95"/>
      <c r="CA60" s="95"/>
      <c r="CB60" s="93"/>
      <c r="CC60" s="95"/>
      <c r="CD60" s="95"/>
      <c r="CE60" s="95"/>
      <c r="CF60" s="93"/>
      <c r="CG60" s="93"/>
      <c r="CK60" s="93"/>
      <c r="CO60" s="93"/>
      <c r="CS60" s="93"/>
      <c r="CW60" s="95"/>
      <c r="DA60" s="93"/>
      <c r="DE60" s="93"/>
      <c r="DI60" s="95"/>
      <c r="DM60" s="95"/>
      <c r="DQ60" s="95"/>
      <c r="DU60" s="95"/>
      <c r="DY60" s="95"/>
      <c r="EC60" s="95"/>
      <c r="EE60" s="94"/>
      <c r="EH60" s="93"/>
      <c r="EI60" s="96"/>
      <c r="EL60" s="95"/>
      <c r="EM60" s="93"/>
      <c r="EQ60" s="95"/>
      <c r="ER60" s="93"/>
      <c r="EV60" s="95"/>
      <c r="EW60" s="97"/>
      <c r="FA60" s="93"/>
      <c r="FE60" s="93"/>
      <c r="FI60" s="93"/>
      <c r="FJ60" s="97"/>
      <c r="FK60" s="93"/>
      <c r="FL60" s="98"/>
    </row>
    <row r="61" spans="1:169" x14ac:dyDescent="0.2">
      <c r="AF61" s="92"/>
      <c r="BJ61" s="88"/>
      <c r="BL61" s="49"/>
      <c r="BP61" s="93"/>
      <c r="BQ61" s="94"/>
      <c r="BT61" s="93"/>
      <c r="BX61" s="93"/>
      <c r="BY61" s="95"/>
      <c r="BZ61" s="95"/>
      <c r="CA61" s="95"/>
      <c r="CB61" s="93"/>
      <c r="CC61" s="95"/>
      <c r="CD61" s="95"/>
      <c r="CE61" s="95"/>
      <c r="CF61" s="93"/>
      <c r="CG61" s="93"/>
      <c r="CK61" s="93"/>
      <c r="CO61" s="93"/>
      <c r="CS61" s="93"/>
      <c r="CW61" s="95"/>
      <c r="DA61" s="93"/>
      <c r="DE61" s="93"/>
      <c r="DI61" s="95"/>
      <c r="DM61" s="95"/>
      <c r="DQ61" s="95"/>
      <c r="DU61" s="95"/>
      <c r="DY61" s="95"/>
      <c r="EC61" s="95"/>
      <c r="EE61" s="94"/>
      <c r="EH61" s="93"/>
      <c r="EI61" s="96"/>
      <c r="EL61" s="95"/>
      <c r="EM61" s="93"/>
      <c r="EQ61" s="95"/>
      <c r="ER61" s="93"/>
      <c r="EV61" s="95"/>
      <c r="EW61" s="97"/>
      <c r="FA61" s="93"/>
      <c r="FE61" s="93"/>
      <c r="FI61" s="93"/>
      <c r="FJ61" s="97"/>
      <c r="FK61" s="93"/>
      <c r="FL61" s="98"/>
    </row>
    <row r="62" spans="1:169" x14ac:dyDescent="0.2">
      <c r="X62" s="87"/>
      <c r="AF62" s="92"/>
      <c r="BJ62" s="88"/>
      <c r="BL62" s="49"/>
      <c r="BP62" s="93"/>
      <c r="BQ62" s="94"/>
      <c r="BT62" s="93"/>
      <c r="BX62" s="93"/>
      <c r="BY62" s="95"/>
      <c r="BZ62" s="95"/>
      <c r="CA62" s="95"/>
      <c r="CB62" s="93"/>
      <c r="CC62" s="95"/>
      <c r="CD62" s="95"/>
      <c r="CE62" s="95"/>
      <c r="CF62" s="93"/>
      <c r="CG62" s="93"/>
      <c r="CK62" s="93"/>
      <c r="CO62" s="93"/>
      <c r="CS62" s="93"/>
      <c r="CW62" s="95"/>
      <c r="DA62" s="93"/>
      <c r="DE62" s="93"/>
      <c r="DI62" s="95"/>
      <c r="DM62" s="95"/>
      <c r="DQ62" s="95"/>
      <c r="DU62" s="95"/>
      <c r="DY62" s="95"/>
      <c r="EC62" s="95"/>
      <c r="EE62" s="94"/>
      <c r="EH62" s="93"/>
      <c r="EI62" s="96"/>
      <c r="EL62" s="95"/>
      <c r="EM62" s="93"/>
      <c r="EQ62" s="95"/>
      <c r="ER62" s="93"/>
      <c r="EV62" s="95"/>
      <c r="EW62" s="97"/>
      <c r="FA62" s="93"/>
      <c r="FE62" s="93"/>
      <c r="FI62" s="93"/>
      <c r="FJ62" s="97"/>
      <c r="FK62" s="93"/>
      <c r="FL62" s="98"/>
    </row>
    <row r="63" spans="1:169" x14ac:dyDescent="0.2">
      <c r="X63" s="56"/>
      <c r="AF63" s="92"/>
      <c r="BJ63" s="88"/>
      <c r="BL63" s="49"/>
      <c r="BP63" s="93"/>
      <c r="BQ63" s="94"/>
      <c r="BT63" s="93"/>
      <c r="BX63" s="93"/>
      <c r="BY63" s="95"/>
      <c r="BZ63" s="95"/>
      <c r="CA63" s="95"/>
      <c r="CB63" s="93"/>
      <c r="CC63" s="95"/>
      <c r="CD63" s="95"/>
      <c r="CE63" s="95"/>
      <c r="CF63" s="93"/>
      <c r="CG63" s="93"/>
      <c r="CK63" s="93"/>
      <c r="CO63" s="93"/>
      <c r="CS63" s="93"/>
      <c r="CW63" s="95"/>
      <c r="DA63" s="93"/>
      <c r="DE63" s="93"/>
      <c r="DI63" s="95"/>
      <c r="DM63" s="95"/>
      <c r="DQ63" s="95"/>
      <c r="DU63" s="95"/>
      <c r="DY63" s="95"/>
      <c r="EC63" s="95"/>
      <c r="EE63" s="94"/>
      <c r="EH63" s="93"/>
      <c r="EI63" s="96"/>
      <c r="EL63" s="95"/>
      <c r="EM63" s="93"/>
      <c r="EQ63" s="95"/>
      <c r="ER63" s="93"/>
      <c r="EV63" s="95"/>
      <c r="EW63" s="97"/>
      <c r="FA63" s="93"/>
      <c r="FE63" s="93"/>
      <c r="FI63" s="93"/>
      <c r="FJ63" s="97"/>
      <c r="FK63" s="93"/>
      <c r="FL63" s="98"/>
    </row>
    <row r="64" spans="1:169" x14ac:dyDescent="0.2">
      <c r="A64" s="112"/>
      <c r="B64" s="113"/>
      <c r="C64" s="113"/>
      <c r="D64" s="113"/>
      <c r="E64" s="113"/>
      <c r="F64" s="112"/>
      <c r="G64" s="114"/>
      <c r="H64" s="114"/>
      <c r="I64" s="114"/>
      <c r="J64" s="115"/>
      <c r="K64" s="116"/>
      <c r="L64" s="112"/>
      <c r="M64" s="113"/>
      <c r="N64" s="113"/>
      <c r="O64" s="113"/>
      <c r="P64" s="113"/>
      <c r="Q64" s="117"/>
      <c r="R64" s="118"/>
      <c r="S64" s="119"/>
      <c r="T64" s="113"/>
      <c r="U64" s="113"/>
      <c r="V64" s="113"/>
      <c r="W64" s="113"/>
      <c r="X64" s="113"/>
      <c r="Y64" s="113"/>
      <c r="Z64" s="113"/>
      <c r="AA64" s="113"/>
      <c r="AB64" s="113"/>
      <c r="AC64" s="113"/>
      <c r="AD64" s="113"/>
      <c r="AE64" s="113"/>
      <c r="AF64" s="120"/>
      <c r="AG64" s="113"/>
      <c r="AH64" s="113"/>
      <c r="AI64" s="121"/>
      <c r="AJ64" s="119"/>
      <c r="AK64" s="113"/>
      <c r="AL64" s="113"/>
      <c r="AM64" s="122"/>
      <c r="AN64" s="122"/>
      <c r="AO64" s="122"/>
      <c r="AP64" s="122"/>
      <c r="AQ64" s="122"/>
      <c r="AR64" s="122"/>
      <c r="AS64" s="122"/>
      <c r="AT64" s="122"/>
      <c r="AU64" s="122"/>
      <c r="AV64" s="122"/>
      <c r="AW64" s="122"/>
      <c r="AX64" s="122"/>
      <c r="AY64" s="122"/>
      <c r="AZ64" s="122"/>
      <c r="BA64" s="122"/>
      <c r="BB64" s="122"/>
      <c r="BC64" s="122"/>
      <c r="BD64" s="116"/>
      <c r="BE64" s="116"/>
      <c r="BF64" s="116"/>
      <c r="BG64" s="116"/>
      <c r="BH64" s="116"/>
      <c r="BI64" s="116"/>
      <c r="BJ64" s="123"/>
      <c r="BK64" s="119"/>
      <c r="BL64" s="124"/>
      <c r="BM64" s="112"/>
      <c r="BN64" s="112"/>
      <c r="BO64" s="112"/>
      <c r="BP64" s="125"/>
      <c r="BQ64" s="126"/>
      <c r="BR64" s="112"/>
      <c r="BS64" s="112"/>
      <c r="BT64" s="125"/>
      <c r="BU64" s="112"/>
      <c r="BV64" s="112"/>
      <c r="BW64" s="112"/>
      <c r="BX64" s="125"/>
      <c r="BY64" s="127"/>
      <c r="BZ64" s="127"/>
      <c r="CA64" s="127"/>
      <c r="CB64" s="125"/>
      <c r="CC64" s="127"/>
      <c r="CD64" s="127"/>
      <c r="CE64" s="127"/>
      <c r="CF64" s="125"/>
      <c r="CG64" s="125"/>
      <c r="CH64" s="113"/>
      <c r="CI64" s="113"/>
      <c r="CJ64" s="113"/>
      <c r="CK64" s="125"/>
      <c r="CL64" s="113"/>
      <c r="CM64" s="113"/>
      <c r="CN64" s="113"/>
      <c r="CO64" s="125"/>
      <c r="CP64" s="113"/>
      <c r="CQ64" s="113"/>
      <c r="CR64" s="113"/>
      <c r="CS64" s="125"/>
      <c r="CT64" s="113"/>
      <c r="CU64" s="113"/>
      <c r="CV64" s="113"/>
      <c r="CW64" s="127"/>
      <c r="CX64" s="113"/>
      <c r="CY64" s="113"/>
      <c r="CZ64" s="113"/>
      <c r="DA64" s="125"/>
      <c r="DB64" s="113"/>
      <c r="DC64" s="113"/>
      <c r="DD64" s="113"/>
      <c r="DE64" s="125"/>
      <c r="DF64" s="113"/>
      <c r="DG64" s="113"/>
      <c r="DH64" s="113"/>
      <c r="DI64" s="127"/>
      <c r="DJ64" s="113"/>
      <c r="DK64" s="113"/>
      <c r="DL64" s="113"/>
      <c r="DM64" s="127"/>
      <c r="DN64" s="113"/>
      <c r="DO64" s="113"/>
      <c r="DP64" s="113"/>
      <c r="DQ64" s="127"/>
      <c r="DR64" s="113"/>
      <c r="DS64" s="113"/>
      <c r="DT64" s="113"/>
      <c r="DU64" s="127"/>
      <c r="DV64" s="113"/>
      <c r="DW64" s="113"/>
      <c r="DX64" s="113"/>
      <c r="DY64" s="127"/>
      <c r="DZ64" s="113"/>
      <c r="EA64" s="113"/>
      <c r="EB64" s="113"/>
      <c r="EC64" s="127"/>
      <c r="ED64" s="113"/>
      <c r="EE64" s="126"/>
      <c r="EF64" s="112"/>
      <c r="EG64" s="112"/>
      <c r="EH64" s="125"/>
      <c r="EI64" s="128"/>
      <c r="EJ64" s="113"/>
      <c r="EK64" s="113"/>
      <c r="EL64" s="127"/>
      <c r="EM64" s="125"/>
      <c r="EN64" s="113"/>
      <c r="EO64" s="113"/>
      <c r="EP64" s="113"/>
      <c r="EQ64" s="127"/>
      <c r="ER64" s="125"/>
      <c r="ES64" s="113"/>
      <c r="ET64" s="113"/>
      <c r="EU64" s="113"/>
      <c r="EV64" s="127"/>
      <c r="EW64" s="129"/>
      <c r="EX64" s="112"/>
      <c r="EY64" s="112"/>
      <c r="EZ64" s="112"/>
      <c r="FA64" s="125"/>
      <c r="FB64" s="112"/>
      <c r="FC64" s="112"/>
      <c r="FD64" s="112"/>
      <c r="FE64" s="125"/>
      <c r="FF64" s="112"/>
      <c r="FG64" s="112"/>
      <c r="FH64" s="112"/>
      <c r="FI64" s="125"/>
      <c r="FJ64" s="129"/>
      <c r="FK64" s="125"/>
      <c r="FL64" s="130"/>
      <c r="FM64" s="131"/>
    </row>
    <row r="65" spans="1:169" x14ac:dyDescent="0.2">
      <c r="A65" s="112"/>
      <c r="B65" s="113"/>
      <c r="C65" s="113"/>
      <c r="D65" s="113"/>
      <c r="E65" s="113"/>
      <c r="F65" s="112"/>
      <c r="G65" s="114"/>
      <c r="H65" s="114"/>
      <c r="I65" s="114"/>
      <c r="J65" s="115"/>
      <c r="K65" s="116"/>
      <c r="L65" s="112"/>
      <c r="M65" s="113"/>
      <c r="N65" s="113"/>
      <c r="O65" s="113"/>
      <c r="P65" s="113"/>
      <c r="Q65" s="117"/>
      <c r="R65" s="118"/>
      <c r="S65" s="119"/>
      <c r="T65" s="113"/>
      <c r="U65" s="113"/>
      <c r="V65" s="113"/>
      <c r="W65" s="113"/>
      <c r="X65" s="113"/>
      <c r="Y65" s="113"/>
      <c r="Z65" s="113"/>
      <c r="AA65" s="113"/>
      <c r="AB65" s="113"/>
      <c r="AC65" s="113"/>
      <c r="AD65" s="113"/>
      <c r="AE65" s="113"/>
      <c r="AF65" s="120"/>
      <c r="AG65" s="113"/>
      <c r="AH65" s="113"/>
      <c r="AI65" s="121"/>
      <c r="AJ65" s="119"/>
      <c r="AK65" s="113"/>
      <c r="AL65" s="113"/>
      <c r="AM65" s="122"/>
      <c r="AN65" s="122"/>
      <c r="AO65" s="122"/>
      <c r="AP65" s="122"/>
      <c r="AQ65" s="122"/>
      <c r="AR65" s="122"/>
      <c r="AS65" s="122"/>
      <c r="AT65" s="122"/>
      <c r="AU65" s="122"/>
      <c r="AV65" s="122"/>
      <c r="AW65" s="122"/>
      <c r="AX65" s="122"/>
      <c r="AY65" s="122"/>
      <c r="AZ65" s="122"/>
      <c r="BA65" s="122"/>
      <c r="BB65" s="122"/>
      <c r="BC65" s="122"/>
      <c r="BD65" s="116"/>
      <c r="BE65" s="116"/>
      <c r="BF65" s="116"/>
      <c r="BG65" s="116"/>
      <c r="BH65" s="116"/>
      <c r="BI65" s="116"/>
      <c r="BJ65" s="123"/>
      <c r="BK65" s="119"/>
      <c r="BL65" s="124"/>
      <c r="BM65" s="112"/>
      <c r="BN65" s="112"/>
      <c r="BO65" s="112"/>
      <c r="BP65" s="125"/>
      <c r="BQ65" s="126"/>
      <c r="BR65" s="112"/>
      <c r="BS65" s="112"/>
      <c r="BT65" s="125"/>
      <c r="BU65" s="112"/>
      <c r="BV65" s="112"/>
      <c r="BW65" s="112"/>
      <c r="BX65" s="125"/>
      <c r="BY65" s="127"/>
      <c r="BZ65" s="127"/>
      <c r="CA65" s="127"/>
      <c r="CB65" s="125"/>
      <c r="CC65" s="127"/>
      <c r="CD65" s="127"/>
      <c r="CE65" s="127"/>
      <c r="CF65" s="125"/>
      <c r="CG65" s="125"/>
      <c r="CH65" s="113"/>
      <c r="CI65" s="113"/>
      <c r="CJ65" s="113"/>
      <c r="CK65" s="125"/>
      <c r="CL65" s="113"/>
      <c r="CM65" s="113"/>
      <c r="CN65" s="113"/>
      <c r="CO65" s="125"/>
      <c r="CP65" s="113"/>
      <c r="CQ65" s="113"/>
      <c r="CR65" s="113"/>
      <c r="CS65" s="125"/>
      <c r="CT65" s="113"/>
      <c r="CU65" s="113"/>
      <c r="CV65" s="113"/>
      <c r="CW65" s="127"/>
      <c r="CX65" s="113"/>
      <c r="CY65" s="113"/>
      <c r="CZ65" s="113"/>
      <c r="DA65" s="125"/>
      <c r="DB65" s="113"/>
      <c r="DC65" s="113"/>
      <c r="DD65" s="113"/>
      <c r="DE65" s="125"/>
      <c r="DF65" s="113"/>
      <c r="DG65" s="113"/>
      <c r="DH65" s="113"/>
      <c r="DI65" s="127"/>
      <c r="DJ65" s="113"/>
      <c r="DK65" s="113"/>
      <c r="DL65" s="113"/>
      <c r="DM65" s="127"/>
      <c r="DN65" s="113"/>
      <c r="DO65" s="113"/>
      <c r="DP65" s="113"/>
      <c r="DQ65" s="127"/>
      <c r="DR65" s="113"/>
      <c r="DS65" s="113"/>
      <c r="DT65" s="113"/>
      <c r="DU65" s="127"/>
      <c r="DV65" s="113"/>
      <c r="DW65" s="113"/>
      <c r="DX65" s="113"/>
      <c r="DY65" s="127"/>
      <c r="DZ65" s="113"/>
      <c r="EA65" s="113"/>
      <c r="EB65" s="113"/>
      <c r="EC65" s="127"/>
      <c r="ED65" s="113"/>
      <c r="EE65" s="126"/>
      <c r="EF65" s="112"/>
      <c r="EG65" s="112"/>
      <c r="EH65" s="125"/>
      <c r="EI65" s="128"/>
      <c r="EJ65" s="113"/>
      <c r="EK65" s="113"/>
      <c r="EL65" s="127"/>
      <c r="EM65" s="125"/>
      <c r="EN65" s="113"/>
      <c r="EO65" s="113"/>
      <c r="EP65" s="113"/>
      <c r="EQ65" s="127"/>
      <c r="ER65" s="125"/>
      <c r="ES65" s="113"/>
      <c r="ET65" s="113"/>
      <c r="EU65" s="113"/>
      <c r="EV65" s="127"/>
      <c r="EW65" s="129"/>
      <c r="EX65" s="112"/>
      <c r="EY65" s="112"/>
      <c r="EZ65" s="112"/>
      <c r="FA65" s="125"/>
      <c r="FB65" s="112"/>
      <c r="FC65" s="112"/>
      <c r="FD65" s="112"/>
      <c r="FE65" s="125"/>
      <c r="FF65" s="112"/>
      <c r="FG65" s="112"/>
      <c r="FH65" s="112"/>
      <c r="FI65" s="125"/>
      <c r="FJ65" s="129"/>
      <c r="FK65" s="125"/>
      <c r="FL65" s="130"/>
      <c r="FM65" s="131"/>
    </row>
    <row r="66" spans="1:169" x14ac:dyDescent="0.2">
      <c r="X66" s="56"/>
      <c r="AF66" s="92"/>
      <c r="BJ66" s="88"/>
      <c r="BL66" s="49"/>
      <c r="BP66" s="93"/>
      <c r="BQ66" s="94"/>
      <c r="BT66" s="93"/>
      <c r="BX66" s="93"/>
      <c r="BY66" s="95"/>
      <c r="BZ66" s="95"/>
      <c r="CA66" s="95"/>
      <c r="CB66" s="93"/>
      <c r="CC66" s="95"/>
      <c r="CD66" s="95"/>
      <c r="CE66" s="95"/>
      <c r="CF66" s="93"/>
      <c r="CG66" s="93"/>
      <c r="CK66" s="93"/>
      <c r="CO66" s="93"/>
      <c r="CS66" s="93"/>
      <c r="CW66" s="95"/>
      <c r="DA66" s="93"/>
      <c r="DE66" s="93"/>
      <c r="DI66" s="95"/>
      <c r="DM66" s="95"/>
      <c r="DQ66" s="95"/>
      <c r="DU66" s="95"/>
      <c r="DY66" s="95"/>
      <c r="EC66" s="95"/>
      <c r="EE66" s="94"/>
      <c r="EH66" s="93"/>
      <c r="EI66" s="96"/>
      <c r="EL66" s="95"/>
      <c r="EM66" s="93"/>
      <c r="EQ66" s="95"/>
      <c r="ER66" s="93"/>
      <c r="EV66" s="95"/>
      <c r="EW66" s="97"/>
      <c r="FA66" s="93"/>
      <c r="FE66" s="93"/>
      <c r="FI66" s="93"/>
      <c r="FJ66" s="97"/>
      <c r="FK66" s="93"/>
      <c r="FL66" s="98"/>
    </row>
    <row r="67" spans="1:169" x14ac:dyDescent="0.2">
      <c r="A67" s="112"/>
      <c r="B67" s="113"/>
      <c r="C67" s="113"/>
      <c r="D67" s="113"/>
      <c r="E67" s="113"/>
      <c r="F67" s="112"/>
      <c r="G67" s="114"/>
      <c r="H67" s="114"/>
      <c r="I67" s="114"/>
      <c r="J67" s="115"/>
      <c r="K67" s="116"/>
      <c r="L67" s="112"/>
      <c r="M67" s="113"/>
      <c r="N67" s="113"/>
      <c r="O67" s="113"/>
      <c r="P67" s="113"/>
      <c r="Q67" s="117"/>
      <c r="R67" s="118"/>
      <c r="S67" s="119"/>
      <c r="T67" s="113"/>
      <c r="U67" s="113"/>
      <c r="V67" s="113"/>
      <c r="W67" s="113"/>
      <c r="X67" s="113"/>
      <c r="Y67" s="113"/>
      <c r="Z67" s="113"/>
      <c r="AA67" s="113"/>
      <c r="AB67" s="113"/>
      <c r="AC67" s="113"/>
      <c r="AD67" s="113"/>
      <c r="AE67" s="113"/>
      <c r="AF67" s="120"/>
      <c r="AG67" s="113"/>
      <c r="AH67" s="113"/>
      <c r="AI67" s="121"/>
      <c r="AJ67" s="119"/>
      <c r="AK67" s="113"/>
      <c r="AL67" s="113"/>
      <c r="AM67" s="122"/>
      <c r="AN67" s="122"/>
      <c r="AO67" s="122"/>
      <c r="AP67" s="122"/>
      <c r="AQ67" s="122"/>
      <c r="AR67" s="122"/>
      <c r="AS67" s="122"/>
      <c r="AT67" s="122"/>
      <c r="AU67" s="122"/>
      <c r="AV67" s="122"/>
      <c r="AW67" s="122"/>
      <c r="AX67" s="122"/>
      <c r="AY67" s="122"/>
      <c r="AZ67" s="122"/>
      <c r="BA67" s="122"/>
      <c r="BB67" s="122"/>
      <c r="BC67" s="122"/>
      <c r="BD67" s="116"/>
      <c r="BE67" s="116"/>
      <c r="BF67" s="116"/>
      <c r="BG67" s="116"/>
      <c r="BH67" s="116"/>
      <c r="BI67" s="116"/>
      <c r="BJ67" s="123"/>
      <c r="BK67" s="119"/>
      <c r="BL67" s="124"/>
      <c r="BM67" s="112"/>
      <c r="BN67" s="112"/>
      <c r="BO67" s="112"/>
      <c r="BP67" s="125"/>
      <c r="BQ67" s="126"/>
      <c r="BR67" s="112"/>
      <c r="BS67" s="112"/>
      <c r="BT67" s="125"/>
      <c r="BU67" s="112"/>
      <c r="BV67" s="112"/>
      <c r="BW67" s="112"/>
      <c r="BX67" s="125"/>
      <c r="BY67" s="127"/>
      <c r="BZ67" s="127"/>
      <c r="CA67" s="127"/>
      <c r="CB67" s="125"/>
      <c r="CC67" s="127"/>
      <c r="CD67" s="127"/>
      <c r="CE67" s="127"/>
      <c r="CF67" s="125"/>
      <c r="CG67" s="125"/>
      <c r="CH67" s="113"/>
      <c r="CI67" s="113"/>
      <c r="CJ67" s="113"/>
      <c r="CK67" s="125"/>
      <c r="CL67" s="113"/>
      <c r="CM67" s="113"/>
      <c r="CN67" s="113"/>
      <c r="CO67" s="125"/>
      <c r="CP67" s="113"/>
      <c r="CQ67" s="113"/>
      <c r="CR67" s="113"/>
      <c r="CS67" s="125"/>
      <c r="CT67" s="113"/>
      <c r="CU67" s="113"/>
      <c r="CV67" s="113"/>
      <c r="CW67" s="127"/>
      <c r="CX67" s="113"/>
      <c r="CY67" s="113"/>
      <c r="CZ67" s="113"/>
      <c r="DA67" s="125"/>
      <c r="DB67" s="113"/>
      <c r="DC67" s="113"/>
      <c r="DD67" s="113"/>
      <c r="DE67" s="125"/>
      <c r="DF67" s="113"/>
      <c r="DG67" s="113"/>
      <c r="DH67" s="113"/>
      <c r="DI67" s="127"/>
      <c r="DJ67" s="113"/>
      <c r="DK67" s="113"/>
      <c r="DL67" s="113"/>
      <c r="DM67" s="127"/>
      <c r="DN67" s="113"/>
      <c r="DO67" s="113"/>
      <c r="DP67" s="113"/>
      <c r="DQ67" s="127"/>
      <c r="DR67" s="113"/>
      <c r="DS67" s="113"/>
      <c r="DT67" s="113"/>
      <c r="DU67" s="127"/>
      <c r="DV67" s="113"/>
      <c r="DW67" s="113"/>
      <c r="DX67" s="113"/>
      <c r="DY67" s="127"/>
      <c r="DZ67" s="113"/>
      <c r="EA67" s="113"/>
      <c r="EB67" s="113"/>
      <c r="EC67" s="127"/>
      <c r="ED67" s="113"/>
      <c r="EE67" s="126"/>
      <c r="EF67" s="112"/>
      <c r="EG67" s="112"/>
      <c r="EH67" s="125"/>
      <c r="EI67" s="128"/>
      <c r="EJ67" s="113"/>
      <c r="EK67" s="113"/>
      <c r="EL67" s="127"/>
      <c r="EM67" s="125"/>
      <c r="EN67" s="113"/>
      <c r="EO67" s="113"/>
      <c r="EP67" s="113"/>
      <c r="EQ67" s="127"/>
      <c r="ER67" s="125"/>
      <c r="ES67" s="113"/>
      <c r="ET67" s="113"/>
      <c r="EU67" s="113"/>
      <c r="EV67" s="127"/>
      <c r="EW67" s="129"/>
      <c r="EX67" s="112"/>
      <c r="EY67" s="112"/>
      <c r="EZ67" s="112"/>
      <c r="FA67" s="125"/>
      <c r="FB67" s="112"/>
      <c r="FC67" s="112"/>
      <c r="FD67" s="112"/>
      <c r="FE67" s="125"/>
      <c r="FF67" s="112"/>
      <c r="FG67" s="112"/>
      <c r="FH67" s="112"/>
      <c r="FI67" s="125"/>
      <c r="FJ67" s="129"/>
      <c r="FK67" s="125"/>
      <c r="FL67" s="130"/>
      <c r="FM67" s="131"/>
    </row>
    <row r="68" spans="1:169" x14ac:dyDescent="0.2">
      <c r="A68" s="112"/>
      <c r="B68" s="113"/>
      <c r="C68" s="113"/>
      <c r="D68" s="113"/>
      <c r="E68" s="113"/>
      <c r="F68" s="112"/>
      <c r="G68" s="114"/>
      <c r="H68" s="114"/>
      <c r="I68" s="114"/>
      <c r="J68" s="115"/>
      <c r="K68" s="116"/>
      <c r="L68" s="112"/>
      <c r="M68" s="113"/>
      <c r="N68" s="113"/>
      <c r="O68" s="113"/>
      <c r="P68" s="113"/>
      <c r="Q68" s="117"/>
      <c r="R68" s="118"/>
      <c r="S68" s="119"/>
      <c r="T68" s="113"/>
      <c r="U68" s="113"/>
      <c r="V68" s="113"/>
      <c r="W68" s="113"/>
      <c r="X68" s="113"/>
      <c r="Y68" s="113"/>
      <c r="Z68" s="113"/>
      <c r="AA68" s="113"/>
      <c r="AB68" s="113"/>
      <c r="AC68" s="113"/>
      <c r="AD68" s="113"/>
      <c r="AE68" s="113"/>
      <c r="AF68" s="120"/>
      <c r="AG68" s="113"/>
      <c r="AH68" s="113"/>
      <c r="AI68" s="121"/>
      <c r="AJ68" s="119"/>
      <c r="AK68" s="113"/>
      <c r="AL68" s="113"/>
      <c r="AM68" s="122"/>
      <c r="AN68" s="122"/>
      <c r="AO68" s="122"/>
      <c r="AP68" s="122"/>
      <c r="AQ68" s="122"/>
      <c r="AR68" s="122"/>
      <c r="AS68" s="122"/>
      <c r="AT68" s="122"/>
      <c r="AU68" s="122"/>
      <c r="AV68" s="122"/>
      <c r="AW68" s="122"/>
      <c r="AX68" s="122"/>
      <c r="AY68" s="122"/>
      <c r="AZ68" s="122"/>
      <c r="BA68" s="122"/>
      <c r="BB68" s="122"/>
      <c r="BC68" s="122"/>
      <c r="BD68" s="116"/>
      <c r="BE68" s="116"/>
      <c r="BF68" s="116"/>
      <c r="BG68" s="116"/>
      <c r="BH68" s="116"/>
      <c r="BI68" s="116"/>
      <c r="BJ68" s="123"/>
      <c r="BK68" s="119"/>
      <c r="BL68" s="124"/>
      <c r="BM68" s="112"/>
      <c r="BN68" s="112"/>
      <c r="BO68" s="112"/>
      <c r="BP68" s="125"/>
      <c r="BQ68" s="126"/>
      <c r="BR68" s="112"/>
      <c r="BS68" s="112"/>
      <c r="BT68" s="125"/>
      <c r="BU68" s="112"/>
      <c r="BV68" s="112"/>
      <c r="BW68" s="112"/>
      <c r="BX68" s="125"/>
      <c r="BY68" s="127"/>
      <c r="BZ68" s="127"/>
      <c r="CA68" s="127"/>
      <c r="CB68" s="125"/>
      <c r="CC68" s="127"/>
      <c r="CD68" s="127"/>
      <c r="CE68" s="127"/>
      <c r="CF68" s="125"/>
      <c r="CG68" s="125"/>
      <c r="CH68" s="113"/>
      <c r="CI68" s="113"/>
      <c r="CJ68" s="113"/>
      <c r="CK68" s="125"/>
      <c r="CL68" s="113"/>
      <c r="CM68" s="113"/>
      <c r="CN68" s="113"/>
      <c r="CO68" s="125"/>
      <c r="CP68" s="113"/>
      <c r="CQ68" s="113"/>
      <c r="CR68" s="113"/>
      <c r="CS68" s="125"/>
      <c r="CT68" s="113"/>
      <c r="CU68" s="113"/>
      <c r="CV68" s="113"/>
      <c r="CW68" s="127"/>
      <c r="CX68" s="113"/>
      <c r="CY68" s="113"/>
      <c r="CZ68" s="113"/>
      <c r="DA68" s="125"/>
      <c r="DB68" s="113"/>
      <c r="DC68" s="113"/>
      <c r="DD68" s="113"/>
      <c r="DE68" s="125"/>
      <c r="DF68" s="113"/>
      <c r="DG68" s="113"/>
      <c r="DH68" s="113"/>
      <c r="DI68" s="127"/>
      <c r="DJ68" s="113"/>
      <c r="DK68" s="113"/>
      <c r="DL68" s="113"/>
      <c r="DM68" s="127"/>
      <c r="DN68" s="113"/>
      <c r="DO68" s="113"/>
      <c r="DP68" s="113"/>
      <c r="DQ68" s="127"/>
      <c r="DR68" s="113"/>
      <c r="DS68" s="113"/>
      <c r="DT68" s="113"/>
      <c r="DU68" s="127"/>
      <c r="DV68" s="113"/>
      <c r="DW68" s="113"/>
      <c r="DX68" s="113"/>
      <c r="DY68" s="127"/>
      <c r="DZ68" s="113"/>
      <c r="EA68" s="113"/>
      <c r="EB68" s="113"/>
      <c r="EC68" s="127"/>
      <c r="ED68" s="113"/>
      <c r="EE68" s="126"/>
      <c r="EF68" s="112"/>
      <c r="EG68" s="112"/>
      <c r="EH68" s="125"/>
      <c r="EI68" s="128"/>
      <c r="EJ68" s="113"/>
      <c r="EK68" s="113"/>
      <c r="EL68" s="127"/>
      <c r="EM68" s="125"/>
      <c r="EN68" s="113"/>
      <c r="EO68" s="113"/>
      <c r="EP68" s="113"/>
      <c r="EQ68" s="127"/>
      <c r="ER68" s="125"/>
      <c r="ES68" s="113"/>
      <c r="ET68" s="113"/>
      <c r="EU68" s="113"/>
      <c r="EV68" s="127"/>
      <c r="EW68" s="129"/>
      <c r="EX68" s="112"/>
      <c r="EY68" s="112"/>
      <c r="EZ68" s="112"/>
      <c r="FA68" s="125"/>
      <c r="FB68" s="112"/>
      <c r="FC68" s="112"/>
      <c r="FD68" s="112"/>
      <c r="FE68" s="125"/>
      <c r="FF68" s="112"/>
      <c r="FG68" s="112"/>
      <c r="FH68" s="112"/>
      <c r="FI68" s="125"/>
      <c r="FJ68" s="129"/>
      <c r="FK68" s="125"/>
      <c r="FL68" s="130"/>
      <c r="FM68" s="131"/>
    </row>
    <row r="69" spans="1:169" x14ac:dyDescent="0.2">
      <c r="A69" s="112"/>
      <c r="B69" s="113"/>
      <c r="C69" s="113"/>
      <c r="D69" s="113"/>
      <c r="E69" s="113"/>
      <c r="F69" s="112"/>
      <c r="G69" s="114"/>
      <c r="H69" s="114"/>
      <c r="I69" s="114"/>
      <c r="J69" s="115"/>
      <c r="K69" s="116"/>
      <c r="L69" s="112"/>
      <c r="M69" s="113"/>
      <c r="N69" s="113"/>
      <c r="O69" s="113"/>
      <c r="P69" s="113"/>
      <c r="Q69" s="117"/>
      <c r="R69" s="118"/>
      <c r="S69" s="119"/>
      <c r="T69" s="113"/>
      <c r="U69" s="113"/>
      <c r="V69" s="113"/>
      <c r="W69" s="113"/>
      <c r="X69" s="113"/>
      <c r="Y69" s="113"/>
      <c r="Z69" s="113"/>
      <c r="AA69" s="113"/>
      <c r="AB69" s="113"/>
      <c r="AC69" s="113"/>
      <c r="AD69" s="113"/>
      <c r="AE69" s="113"/>
      <c r="AF69" s="120"/>
      <c r="AG69" s="113"/>
      <c r="AH69" s="113"/>
      <c r="AI69" s="121"/>
      <c r="AJ69" s="119"/>
      <c r="AK69" s="113"/>
      <c r="AL69" s="113"/>
      <c r="AM69" s="122"/>
      <c r="AN69" s="122"/>
      <c r="AO69" s="122"/>
      <c r="AP69" s="122"/>
      <c r="AQ69" s="122"/>
      <c r="AR69" s="122"/>
      <c r="AS69" s="122"/>
      <c r="AT69" s="122"/>
      <c r="AU69" s="122"/>
      <c r="AV69" s="122"/>
      <c r="AW69" s="122"/>
      <c r="AX69" s="122"/>
      <c r="AY69" s="122"/>
      <c r="AZ69" s="122"/>
      <c r="BA69" s="122"/>
      <c r="BB69" s="122"/>
      <c r="BC69" s="122"/>
      <c r="BD69" s="116"/>
      <c r="BE69" s="116"/>
      <c r="BF69" s="116"/>
      <c r="BG69" s="116"/>
      <c r="BH69" s="116"/>
      <c r="BI69" s="116"/>
      <c r="BJ69" s="123"/>
      <c r="BK69" s="119"/>
      <c r="BL69" s="124"/>
      <c r="BM69" s="112"/>
      <c r="BN69" s="112"/>
      <c r="BO69" s="112"/>
      <c r="BP69" s="125"/>
      <c r="BQ69" s="126"/>
      <c r="BR69" s="112"/>
      <c r="BS69" s="112"/>
      <c r="BT69" s="125"/>
      <c r="BU69" s="112"/>
      <c r="BV69" s="112"/>
      <c r="BW69" s="112"/>
      <c r="BX69" s="125"/>
      <c r="BY69" s="127"/>
      <c r="BZ69" s="127"/>
      <c r="CA69" s="127"/>
      <c r="CB69" s="125"/>
      <c r="CC69" s="127"/>
      <c r="CD69" s="127"/>
      <c r="CE69" s="127"/>
      <c r="CF69" s="125"/>
      <c r="CG69" s="125"/>
      <c r="CH69" s="113"/>
      <c r="CI69" s="113"/>
      <c r="CJ69" s="113"/>
      <c r="CK69" s="125"/>
      <c r="CL69" s="113"/>
      <c r="CM69" s="113"/>
      <c r="CN69" s="113"/>
      <c r="CO69" s="125"/>
      <c r="CP69" s="113"/>
      <c r="CQ69" s="113"/>
      <c r="CR69" s="113"/>
      <c r="CS69" s="125"/>
      <c r="CT69" s="113"/>
      <c r="CU69" s="113"/>
      <c r="CV69" s="113"/>
      <c r="CW69" s="127"/>
      <c r="CX69" s="113"/>
      <c r="CY69" s="113"/>
      <c r="CZ69" s="113"/>
      <c r="DA69" s="125"/>
      <c r="DB69" s="113"/>
      <c r="DC69" s="113"/>
      <c r="DD69" s="113"/>
      <c r="DE69" s="125"/>
      <c r="DF69" s="113"/>
      <c r="DG69" s="113"/>
      <c r="DH69" s="113"/>
      <c r="DI69" s="127"/>
      <c r="DJ69" s="113"/>
      <c r="DK69" s="113"/>
      <c r="DL69" s="113"/>
      <c r="DM69" s="127"/>
      <c r="DN69" s="113"/>
      <c r="DO69" s="113"/>
      <c r="DP69" s="113"/>
      <c r="DQ69" s="127"/>
      <c r="DR69" s="113"/>
      <c r="DS69" s="113"/>
      <c r="DT69" s="113"/>
      <c r="DU69" s="127"/>
      <c r="DV69" s="113"/>
      <c r="DW69" s="113"/>
      <c r="DX69" s="113"/>
      <c r="DY69" s="127"/>
      <c r="DZ69" s="113"/>
      <c r="EA69" s="113"/>
      <c r="EB69" s="113"/>
      <c r="EC69" s="127"/>
      <c r="ED69" s="113"/>
      <c r="EE69" s="126"/>
      <c r="EF69" s="112"/>
      <c r="EG69" s="112"/>
      <c r="EH69" s="125"/>
      <c r="EI69" s="128"/>
      <c r="EJ69" s="113"/>
      <c r="EK69" s="113"/>
      <c r="EL69" s="127"/>
      <c r="EM69" s="125"/>
      <c r="EN69" s="113"/>
      <c r="EO69" s="113"/>
      <c r="EP69" s="113"/>
      <c r="EQ69" s="127"/>
      <c r="ER69" s="125"/>
      <c r="ES69" s="113"/>
      <c r="ET69" s="113"/>
      <c r="EU69" s="113"/>
      <c r="EV69" s="127"/>
      <c r="EW69" s="129"/>
      <c r="EX69" s="112"/>
      <c r="EY69" s="112"/>
      <c r="EZ69" s="112"/>
      <c r="FA69" s="125"/>
      <c r="FB69" s="112"/>
      <c r="FC69" s="112"/>
      <c r="FD69" s="112"/>
      <c r="FE69" s="125"/>
      <c r="FF69" s="112"/>
      <c r="FG69" s="112"/>
      <c r="FH69" s="112"/>
      <c r="FI69" s="125"/>
      <c r="FJ69" s="129"/>
      <c r="FK69" s="125"/>
      <c r="FL69" s="130"/>
      <c r="FM69" s="131"/>
    </row>
    <row r="70" spans="1:169" x14ac:dyDescent="0.2">
      <c r="X70" s="56"/>
      <c r="AF70" s="92"/>
      <c r="BJ70" s="88"/>
      <c r="BL70" s="49"/>
      <c r="BP70" s="93"/>
      <c r="BQ70" s="94"/>
      <c r="BT70" s="93"/>
      <c r="BX70" s="93"/>
      <c r="BY70" s="95"/>
      <c r="BZ70" s="95"/>
      <c r="CA70" s="95"/>
      <c r="CB70" s="93"/>
      <c r="CC70" s="95"/>
      <c r="CD70" s="95"/>
      <c r="CE70" s="95"/>
      <c r="CF70" s="93"/>
      <c r="CG70" s="93"/>
      <c r="CK70" s="93"/>
      <c r="CO70" s="93"/>
      <c r="CS70" s="93"/>
      <c r="CW70" s="95"/>
      <c r="DA70" s="93"/>
      <c r="DE70" s="93"/>
      <c r="DI70" s="95"/>
      <c r="DM70" s="95"/>
      <c r="DQ70" s="95"/>
      <c r="DU70" s="95"/>
      <c r="DY70" s="95"/>
      <c r="EC70" s="95"/>
      <c r="EE70" s="94"/>
      <c r="EH70" s="93"/>
      <c r="EI70" s="96"/>
      <c r="EL70" s="95"/>
      <c r="EM70" s="93"/>
      <c r="EQ70" s="95"/>
      <c r="ER70" s="93"/>
      <c r="EV70" s="95"/>
      <c r="EW70" s="97"/>
      <c r="FA70" s="93"/>
      <c r="FE70" s="93"/>
      <c r="FI70" s="93"/>
      <c r="FJ70" s="97"/>
      <c r="FK70" s="93"/>
      <c r="FL70" s="98"/>
    </row>
    <row r="71" spans="1:169" x14ac:dyDescent="0.2">
      <c r="X71" s="56"/>
      <c r="AF71" s="92"/>
      <c r="BJ71" s="88"/>
      <c r="BL71" s="49"/>
      <c r="BP71" s="93"/>
      <c r="BQ71" s="94"/>
      <c r="BT71" s="93"/>
      <c r="BX71" s="93"/>
      <c r="BY71" s="95"/>
      <c r="BZ71" s="95"/>
      <c r="CA71" s="95"/>
      <c r="CB71" s="93"/>
      <c r="CC71" s="95"/>
      <c r="CD71" s="95"/>
      <c r="CE71" s="95"/>
      <c r="CF71" s="93"/>
      <c r="CG71" s="93"/>
      <c r="CK71" s="93"/>
      <c r="CO71" s="93"/>
      <c r="CS71" s="93"/>
      <c r="CW71" s="95"/>
      <c r="DA71" s="93"/>
      <c r="DE71" s="93"/>
      <c r="DI71" s="95"/>
      <c r="DM71" s="95"/>
      <c r="DQ71" s="95"/>
      <c r="DU71" s="95"/>
      <c r="DY71" s="95"/>
      <c r="EC71" s="95"/>
      <c r="EE71" s="94"/>
      <c r="EH71" s="93"/>
      <c r="EI71" s="96"/>
      <c r="EL71" s="95"/>
      <c r="EM71" s="93"/>
      <c r="EQ71" s="95"/>
      <c r="ER71" s="93"/>
      <c r="EV71" s="95"/>
      <c r="EW71" s="97"/>
      <c r="FA71" s="93"/>
      <c r="FE71" s="93"/>
      <c r="FI71" s="93"/>
      <c r="FJ71" s="97"/>
      <c r="FK71" s="93"/>
      <c r="FL71" s="98"/>
    </row>
    <row r="72" spans="1:169" x14ac:dyDescent="0.2">
      <c r="X72" s="87"/>
      <c r="AF72" s="92"/>
      <c r="BJ72" s="88"/>
      <c r="BL72" s="49"/>
      <c r="BP72" s="93"/>
      <c r="BQ72" s="94"/>
      <c r="BT72" s="93"/>
      <c r="BX72" s="93"/>
      <c r="BY72" s="95"/>
      <c r="BZ72" s="95"/>
      <c r="CA72" s="95"/>
      <c r="CB72" s="93"/>
      <c r="CC72" s="95"/>
      <c r="CD72" s="95"/>
      <c r="CE72" s="95"/>
      <c r="CF72" s="93"/>
      <c r="CG72" s="93"/>
      <c r="CK72" s="93"/>
      <c r="CO72" s="93"/>
      <c r="CS72" s="93"/>
      <c r="CW72" s="95"/>
      <c r="DA72" s="93"/>
      <c r="DE72" s="93"/>
      <c r="DI72" s="95"/>
      <c r="DM72" s="95"/>
      <c r="DQ72" s="95"/>
      <c r="DU72" s="95"/>
      <c r="DY72" s="95"/>
      <c r="EC72" s="95"/>
      <c r="EE72" s="94"/>
      <c r="EH72" s="93"/>
      <c r="EI72" s="96"/>
      <c r="EL72" s="95"/>
      <c r="EM72" s="93"/>
      <c r="EQ72" s="95"/>
      <c r="ER72" s="93"/>
      <c r="EV72" s="95"/>
      <c r="EW72" s="97"/>
      <c r="FA72" s="93"/>
      <c r="FE72" s="93"/>
      <c r="FI72" s="93"/>
      <c r="FJ72" s="97"/>
      <c r="FK72" s="93"/>
      <c r="FL72" s="98"/>
    </row>
    <row r="73" spans="1:169" x14ac:dyDescent="0.2">
      <c r="X73" s="87"/>
      <c r="AF73" s="92"/>
      <c r="BJ73" s="88"/>
      <c r="BL73" s="49"/>
      <c r="BP73" s="93"/>
      <c r="BQ73" s="94"/>
      <c r="BT73" s="93"/>
      <c r="BX73" s="93"/>
      <c r="BY73" s="95"/>
      <c r="BZ73" s="95"/>
      <c r="CA73" s="95"/>
      <c r="CB73" s="93"/>
      <c r="CC73" s="95"/>
      <c r="CD73" s="95"/>
      <c r="CE73" s="95"/>
      <c r="CF73" s="93"/>
      <c r="CG73" s="93"/>
      <c r="CK73" s="93"/>
      <c r="CO73" s="93"/>
      <c r="CS73" s="93"/>
      <c r="CW73" s="95"/>
      <c r="DA73" s="93"/>
      <c r="DE73" s="93"/>
      <c r="DI73" s="95"/>
      <c r="DM73" s="95"/>
      <c r="DQ73" s="95"/>
      <c r="DU73" s="95"/>
      <c r="DY73" s="95"/>
      <c r="EC73" s="95"/>
      <c r="EE73" s="94"/>
      <c r="EH73" s="93"/>
      <c r="EI73" s="96"/>
      <c r="EL73" s="95"/>
      <c r="EM73" s="93"/>
      <c r="EQ73" s="95"/>
      <c r="ER73" s="93"/>
      <c r="EV73" s="95"/>
      <c r="EW73" s="97"/>
      <c r="FA73" s="93"/>
      <c r="FE73" s="93"/>
      <c r="FI73" s="93"/>
      <c r="FJ73" s="97"/>
      <c r="FK73" s="93"/>
      <c r="FL73" s="98"/>
    </row>
    <row r="74" spans="1:169" x14ac:dyDescent="0.2">
      <c r="AF74" s="92"/>
      <c r="BJ74" s="88"/>
      <c r="BL74" s="49"/>
      <c r="BP74" s="93"/>
      <c r="BQ74" s="94"/>
      <c r="BT74" s="93"/>
      <c r="BX74" s="93"/>
      <c r="BY74" s="95"/>
      <c r="BZ74" s="95"/>
      <c r="CA74" s="95"/>
      <c r="CB74" s="93"/>
      <c r="CC74" s="95"/>
      <c r="CD74" s="95"/>
      <c r="CE74" s="95"/>
      <c r="CF74" s="93"/>
      <c r="CG74" s="93"/>
      <c r="CK74" s="93"/>
      <c r="CO74" s="93"/>
      <c r="CS74" s="93"/>
      <c r="CW74" s="95"/>
      <c r="DA74" s="93"/>
      <c r="DE74" s="93"/>
      <c r="DI74" s="95"/>
      <c r="DM74" s="95"/>
      <c r="DQ74" s="95"/>
      <c r="DU74" s="95"/>
      <c r="DY74" s="95"/>
      <c r="EC74" s="95"/>
      <c r="EE74" s="94"/>
      <c r="EH74" s="93"/>
      <c r="EI74" s="96"/>
      <c r="EL74" s="95"/>
      <c r="EM74" s="93"/>
      <c r="EQ74" s="95"/>
      <c r="ER74" s="93"/>
      <c r="EV74" s="95"/>
      <c r="EW74" s="97"/>
      <c r="FA74" s="93"/>
      <c r="FE74" s="93"/>
      <c r="FI74" s="93"/>
      <c r="FJ74" s="97"/>
      <c r="FK74" s="93"/>
      <c r="FL74" s="98"/>
    </row>
    <row r="75" spans="1:169" x14ac:dyDescent="0.2">
      <c r="X75" s="56"/>
      <c r="AF75" s="92"/>
      <c r="BJ75" s="88"/>
      <c r="BL75" s="49"/>
      <c r="BP75" s="93"/>
      <c r="BQ75" s="94"/>
      <c r="BT75" s="93"/>
      <c r="BX75" s="93"/>
      <c r="BY75" s="95"/>
      <c r="BZ75" s="95"/>
      <c r="CA75" s="95"/>
      <c r="CB75" s="93"/>
      <c r="CC75" s="95"/>
      <c r="CD75" s="95"/>
      <c r="CE75" s="95"/>
      <c r="CF75" s="93"/>
      <c r="CG75" s="93"/>
      <c r="CK75" s="93"/>
      <c r="CO75" s="93"/>
      <c r="CS75" s="93"/>
      <c r="CW75" s="95"/>
      <c r="DA75" s="93"/>
      <c r="DE75" s="93"/>
      <c r="DI75" s="95"/>
      <c r="DM75" s="95"/>
      <c r="DQ75" s="95"/>
      <c r="DU75" s="95"/>
      <c r="DY75" s="95"/>
      <c r="EC75" s="95"/>
      <c r="EE75" s="94"/>
      <c r="EH75" s="93"/>
      <c r="EI75" s="96"/>
      <c r="EL75" s="95"/>
      <c r="EM75" s="93"/>
      <c r="EQ75" s="95"/>
      <c r="ER75" s="93"/>
      <c r="EV75" s="95"/>
      <c r="EW75" s="97"/>
      <c r="FA75" s="93"/>
      <c r="FE75" s="93"/>
      <c r="FI75" s="93"/>
      <c r="FJ75" s="97"/>
      <c r="FK75" s="93"/>
      <c r="FL75" s="98"/>
    </row>
    <row r="76" spans="1:169" x14ac:dyDescent="0.2">
      <c r="X76" s="87"/>
      <c r="AF76" s="92"/>
      <c r="BJ76" s="88"/>
      <c r="BL76" s="49"/>
      <c r="BP76" s="93"/>
      <c r="BQ76" s="94"/>
      <c r="BT76" s="93"/>
      <c r="BX76" s="93"/>
      <c r="BY76" s="95"/>
      <c r="BZ76" s="95"/>
      <c r="CA76" s="95"/>
      <c r="CB76" s="93"/>
      <c r="CC76" s="95"/>
      <c r="CD76" s="95"/>
      <c r="CE76" s="95"/>
      <c r="CF76" s="93"/>
      <c r="CG76" s="93"/>
      <c r="CK76" s="93"/>
      <c r="CO76" s="93"/>
      <c r="CS76" s="93"/>
      <c r="CW76" s="95"/>
      <c r="DA76" s="93"/>
      <c r="DE76" s="93"/>
      <c r="DI76" s="95"/>
      <c r="DM76" s="95"/>
      <c r="DQ76" s="95"/>
      <c r="DU76" s="95"/>
      <c r="DY76" s="95"/>
      <c r="EC76" s="95"/>
      <c r="EE76" s="94"/>
      <c r="EH76" s="93"/>
      <c r="EI76" s="96"/>
      <c r="EL76" s="95"/>
      <c r="EM76" s="93"/>
      <c r="EQ76" s="95"/>
      <c r="ER76" s="93"/>
      <c r="EV76" s="95"/>
      <c r="EW76" s="97"/>
      <c r="FA76" s="93"/>
      <c r="FE76" s="93"/>
      <c r="FI76" s="93"/>
      <c r="FJ76" s="97"/>
      <c r="FK76" s="93"/>
      <c r="FL76" s="98"/>
    </row>
    <row r="77" spans="1:169" x14ac:dyDescent="0.2">
      <c r="X77" s="87"/>
      <c r="AF77" s="92"/>
      <c r="BJ77" s="88"/>
      <c r="BL77" s="49"/>
      <c r="BP77" s="93"/>
      <c r="BQ77" s="94"/>
      <c r="BT77" s="93"/>
      <c r="BX77" s="93"/>
      <c r="BY77" s="95"/>
      <c r="BZ77" s="95"/>
      <c r="CA77" s="95"/>
      <c r="CB77" s="93"/>
      <c r="CC77" s="95"/>
      <c r="CD77" s="95"/>
      <c r="CE77" s="95"/>
      <c r="CF77" s="93"/>
      <c r="CG77" s="93"/>
      <c r="CK77" s="93"/>
      <c r="CO77" s="93"/>
      <c r="CS77" s="93"/>
      <c r="CW77" s="95"/>
      <c r="DA77" s="93"/>
      <c r="DE77" s="93"/>
      <c r="DI77" s="95"/>
      <c r="DM77" s="95"/>
      <c r="DQ77" s="95"/>
      <c r="DU77" s="95"/>
      <c r="DY77" s="95"/>
      <c r="EC77" s="95"/>
      <c r="EE77" s="94"/>
      <c r="EH77" s="93"/>
      <c r="EI77" s="96"/>
      <c r="EL77" s="95"/>
      <c r="EM77" s="93"/>
      <c r="EQ77" s="95"/>
      <c r="ER77" s="93"/>
      <c r="EV77" s="95"/>
      <c r="EW77" s="97"/>
      <c r="FA77" s="93"/>
      <c r="FE77" s="93"/>
      <c r="FI77" s="93"/>
      <c r="FJ77" s="97"/>
      <c r="FK77" s="93"/>
      <c r="FL77" s="98"/>
    </row>
    <row r="78" spans="1:169" x14ac:dyDescent="0.2">
      <c r="X78" s="87"/>
      <c r="AF78" s="92"/>
      <c r="BJ78" s="88"/>
      <c r="BL78" s="49"/>
      <c r="BP78" s="93"/>
      <c r="BQ78" s="94"/>
      <c r="BT78" s="93"/>
      <c r="BX78" s="93"/>
      <c r="BY78" s="95"/>
      <c r="BZ78" s="95"/>
      <c r="CA78" s="95"/>
      <c r="CB78" s="93"/>
      <c r="CC78" s="95"/>
      <c r="CD78" s="95"/>
      <c r="CE78" s="95"/>
      <c r="CF78" s="93"/>
      <c r="CG78" s="93"/>
      <c r="CK78" s="93"/>
      <c r="CO78" s="93"/>
      <c r="CS78" s="93"/>
      <c r="CW78" s="95"/>
      <c r="DA78" s="93"/>
      <c r="DE78" s="93"/>
      <c r="DI78" s="95"/>
      <c r="DM78" s="95"/>
      <c r="DQ78" s="95"/>
      <c r="DU78" s="95"/>
      <c r="DY78" s="95"/>
      <c r="EC78" s="95"/>
      <c r="EE78" s="94"/>
      <c r="EH78" s="93"/>
      <c r="EI78" s="96"/>
      <c r="EL78" s="95"/>
      <c r="EM78" s="93"/>
      <c r="EQ78" s="95"/>
      <c r="ER78" s="93"/>
      <c r="EV78" s="95"/>
      <c r="EW78" s="97"/>
      <c r="FA78" s="93"/>
      <c r="FE78" s="93"/>
      <c r="FI78" s="93"/>
      <c r="FJ78" s="97"/>
      <c r="FK78" s="93"/>
      <c r="FL78" s="98"/>
    </row>
    <row r="79" spans="1:169" x14ac:dyDescent="0.2">
      <c r="AF79" s="92"/>
      <c r="BJ79" s="88"/>
      <c r="BL79" s="49"/>
      <c r="BP79" s="93"/>
      <c r="BQ79" s="94"/>
      <c r="BT79" s="93"/>
      <c r="BX79" s="93"/>
      <c r="BY79" s="95"/>
      <c r="BZ79" s="95"/>
      <c r="CA79" s="95"/>
      <c r="CB79" s="93"/>
      <c r="CC79" s="95"/>
      <c r="CD79" s="95"/>
      <c r="CE79" s="95"/>
      <c r="CF79" s="93"/>
      <c r="CG79" s="93"/>
      <c r="CK79" s="93"/>
      <c r="CO79" s="93"/>
      <c r="CS79" s="93"/>
      <c r="CW79" s="95"/>
      <c r="DA79" s="93"/>
      <c r="DE79" s="93"/>
      <c r="DI79" s="95"/>
      <c r="DM79" s="95"/>
      <c r="DQ79" s="95"/>
      <c r="DU79" s="95"/>
      <c r="DY79" s="95"/>
      <c r="EC79" s="95"/>
      <c r="EE79" s="94"/>
      <c r="EH79" s="93"/>
      <c r="EI79" s="96"/>
      <c r="EL79" s="95"/>
      <c r="EM79" s="93"/>
      <c r="EQ79" s="95"/>
      <c r="ER79" s="93"/>
      <c r="EV79" s="95"/>
      <c r="EW79" s="97"/>
      <c r="FA79" s="93"/>
      <c r="FE79" s="93"/>
      <c r="FI79" s="93"/>
      <c r="FJ79" s="97"/>
      <c r="FK79" s="93"/>
      <c r="FL79" s="98"/>
    </row>
    <row r="80" spans="1:169" x14ac:dyDescent="0.2">
      <c r="A80" s="112"/>
      <c r="B80" s="113"/>
      <c r="C80" s="113"/>
      <c r="D80" s="113"/>
      <c r="E80" s="113"/>
      <c r="F80" s="112"/>
      <c r="G80" s="114"/>
      <c r="H80" s="114"/>
      <c r="I80" s="114"/>
      <c r="J80" s="115"/>
      <c r="K80" s="116"/>
      <c r="L80" s="112"/>
      <c r="M80" s="113"/>
      <c r="N80" s="113"/>
      <c r="O80" s="113"/>
      <c r="P80" s="113"/>
      <c r="Q80" s="117"/>
      <c r="R80" s="118"/>
      <c r="S80" s="119"/>
      <c r="T80" s="113"/>
      <c r="U80" s="113"/>
      <c r="V80" s="113"/>
      <c r="W80" s="113"/>
      <c r="X80" s="113"/>
      <c r="Y80" s="113"/>
      <c r="Z80" s="113"/>
      <c r="AA80" s="113"/>
      <c r="AB80" s="113"/>
      <c r="AC80" s="113"/>
      <c r="AD80" s="113"/>
      <c r="AE80" s="113"/>
      <c r="AF80" s="120"/>
      <c r="AG80" s="113"/>
      <c r="AH80" s="113"/>
      <c r="AI80" s="121"/>
      <c r="AJ80" s="119"/>
      <c r="AK80" s="113"/>
      <c r="AL80" s="113"/>
      <c r="AM80" s="122"/>
      <c r="AN80" s="122"/>
      <c r="AO80" s="122"/>
      <c r="AP80" s="122"/>
      <c r="AQ80" s="122"/>
      <c r="AR80" s="122"/>
      <c r="AS80" s="122"/>
      <c r="AT80" s="122"/>
      <c r="AU80" s="122"/>
      <c r="AV80" s="122"/>
      <c r="AW80" s="122"/>
      <c r="AX80" s="122"/>
      <c r="AY80" s="122"/>
      <c r="AZ80" s="122"/>
      <c r="BA80" s="122"/>
      <c r="BB80" s="122"/>
      <c r="BC80" s="122"/>
      <c r="BD80" s="116"/>
      <c r="BE80" s="116"/>
      <c r="BF80" s="116"/>
      <c r="BG80" s="116"/>
      <c r="BH80" s="116"/>
      <c r="BI80" s="116"/>
      <c r="BJ80" s="123"/>
      <c r="BK80" s="119"/>
      <c r="BL80" s="124"/>
      <c r="BM80" s="112"/>
      <c r="BN80" s="112"/>
      <c r="BO80" s="112"/>
      <c r="BP80" s="125"/>
      <c r="BQ80" s="126"/>
      <c r="BR80" s="112"/>
      <c r="BS80" s="112"/>
      <c r="BT80" s="125"/>
      <c r="BU80" s="112"/>
      <c r="BV80" s="112"/>
      <c r="BW80" s="112"/>
      <c r="BX80" s="125"/>
      <c r="BY80" s="127"/>
      <c r="BZ80" s="127"/>
      <c r="CA80" s="127"/>
      <c r="CB80" s="125"/>
      <c r="CC80" s="127"/>
      <c r="CD80" s="127"/>
      <c r="CE80" s="127"/>
      <c r="CF80" s="125"/>
      <c r="CG80" s="125"/>
      <c r="CH80" s="113"/>
      <c r="CI80" s="113"/>
      <c r="CJ80" s="113"/>
      <c r="CK80" s="125"/>
      <c r="CL80" s="113"/>
      <c r="CM80" s="113"/>
      <c r="CN80" s="113"/>
      <c r="CO80" s="125"/>
      <c r="CP80" s="113"/>
      <c r="CQ80" s="113"/>
      <c r="CR80" s="113"/>
      <c r="CS80" s="125"/>
      <c r="CT80" s="113"/>
      <c r="CU80" s="113"/>
      <c r="CV80" s="113"/>
      <c r="CW80" s="127"/>
      <c r="CX80" s="113"/>
      <c r="CY80" s="113"/>
      <c r="CZ80" s="113"/>
      <c r="DA80" s="125"/>
      <c r="DB80" s="113"/>
      <c r="DC80" s="113"/>
      <c r="DD80" s="113"/>
      <c r="DE80" s="125"/>
      <c r="DF80" s="113"/>
      <c r="DG80" s="113"/>
      <c r="DH80" s="113"/>
      <c r="DI80" s="127"/>
      <c r="DJ80" s="113"/>
      <c r="DK80" s="113"/>
      <c r="DL80" s="113"/>
      <c r="DM80" s="127"/>
      <c r="DN80" s="113"/>
      <c r="DO80" s="113"/>
      <c r="DP80" s="113"/>
      <c r="DQ80" s="127"/>
      <c r="DR80" s="113"/>
      <c r="DS80" s="113"/>
      <c r="DT80" s="113"/>
      <c r="DU80" s="127"/>
      <c r="DV80" s="113"/>
      <c r="DW80" s="113"/>
      <c r="DX80" s="113"/>
      <c r="DY80" s="127"/>
      <c r="DZ80" s="113"/>
      <c r="EA80" s="113"/>
      <c r="EB80" s="113"/>
      <c r="EC80" s="127"/>
      <c r="ED80" s="113"/>
      <c r="EE80" s="126"/>
      <c r="EF80" s="112"/>
      <c r="EG80" s="112"/>
      <c r="EH80" s="125"/>
      <c r="EI80" s="128"/>
      <c r="EJ80" s="113"/>
      <c r="EK80" s="113"/>
      <c r="EL80" s="127"/>
      <c r="EM80" s="125"/>
      <c r="EN80" s="113"/>
      <c r="EO80" s="113"/>
      <c r="EP80" s="113"/>
      <c r="EQ80" s="127"/>
      <c r="ER80" s="125"/>
      <c r="ES80" s="113"/>
      <c r="ET80" s="113"/>
      <c r="EU80" s="113"/>
      <c r="EV80" s="127"/>
      <c r="EW80" s="129"/>
      <c r="EX80" s="112"/>
      <c r="EY80" s="112"/>
      <c r="EZ80" s="112"/>
      <c r="FA80" s="125"/>
      <c r="FB80" s="112"/>
      <c r="FC80" s="112"/>
      <c r="FD80" s="112"/>
      <c r="FE80" s="125"/>
      <c r="FF80" s="112"/>
      <c r="FG80" s="112"/>
      <c r="FH80" s="112"/>
      <c r="FI80" s="125"/>
      <c r="FJ80" s="129"/>
      <c r="FK80" s="125"/>
      <c r="FL80" s="130"/>
      <c r="FM80" s="131"/>
    </row>
    <row r="81" spans="1:169" x14ac:dyDescent="0.2">
      <c r="A81" s="112"/>
      <c r="B81" s="113"/>
      <c r="C81" s="113"/>
      <c r="D81" s="113"/>
      <c r="E81" s="113"/>
      <c r="F81" s="112"/>
      <c r="G81" s="114"/>
      <c r="H81" s="114"/>
      <c r="I81" s="114"/>
      <c r="J81" s="115"/>
      <c r="K81" s="116"/>
      <c r="L81" s="112"/>
      <c r="M81" s="113"/>
      <c r="N81" s="113"/>
      <c r="O81" s="113"/>
      <c r="P81" s="113"/>
      <c r="Q81" s="117"/>
      <c r="R81" s="118"/>
      <c r="S81" s="119"/>
      <c r="T81" s="113"/>
      <c r="U81" s="113"/>
      <c r="V81" s="113"/>
      <c r="W81" s="113"/>
      <c r="X81" s="113"/>
      <c r="Y81" s="113"/>
      <c r="Z81" s="113"/>
      <c r="AA81" s="113"/>
      <c r="AB81" s="113"/>
      <c r="AC81" s="113"/>
      <c r="AD81" s="113"/>
      <c r="AE81" s="113"/>
      <c r="AF81" s="120"/>
      <c r="AG81" s="113"/>
      <c r="AH81" s="113"/>
      <c r="AI81" s="121"/>
      <c r="AJ81" s="119"/>
      <c r="AK81" s="113"/>
      <c r="AL81" s="113"/>
      <c r="AM81" s="122"/>
      <c r="AN81" s="122"/>
      <c r="AO81" s="122"/>
      <c r="AP81" s="122"/>
      <c r="AQ81" s="122"/>
      <c r="AR81" s="122"/>
      <c r="AS81" s="122"/>
      <c r="AT81" s="122"/>
      <c r="AU81" s="122"/>
      <c r="AV81" s="122"/>
      <c r="AW81" s="122"/>
      <c r="AX81" s="122"/>
      <c r="AY81" s="122"/>
      <c r="AZ81" s="122"/>
      <c r="BA81" s="122"/>
      <c r="BB81" s="122"/>
      <c r="BC81" s="122"/>
      <c r="BD81" s="116"/>
      <c r="BE81" s="116"/>
      <c r="BF81" s="116"/>
      <c r="BG81" s="116"/>
      <c r="BH81" s="116"/>
      <c r="BI81" s="116"/>
      <c r="BJ81" s="123"/>
      <c r="BK81" s="119"/>
      <c r="BL81" s="124"/>
      <c r="BM81" s="112"/>
      <c r="BN81" s="112"/>
      <c r="BO81" s="112"/>
      <c r="BP81" s="125"/>
      <c r="BQ81" s="126"/>
      <c r="BR81" s="112"/>
      <c r="BS81" s="112"/>
      <c r="BT81" s="125"/>
      <c r="BU81" s="112"/>
      <c r="BV81" s="112"/>
      <c r="BW81" s="112"/>
      <c r="BX81" s="125"/>
      <c r="BY81" s="127"/>
      <c r="BZ81" s="127"/>
      <c r="CA81" s="127"/>
      <c r="CB81" s="125"/>
      <c r="CC81" s="127"/>
      <c r="CD81" s="127"/>
      <c r="CE81" s="127"/>
      <c r="CF81" s="125"/>
      <c r="CG81" s="125"/>
      <c r="CH81" s="113"/>
      <c r="CI81" s="113"/>
      <c r="CJ81" s="113"/>
      <c r="CK81" s="125"/>
      <c r="CL81" s="113"/>
      <c r="CM81" s="113"/>
      <c r="CN81" s="113"/>
      <c r="CO81" s="125"/>
      <c r="CP81" s="113"/>
      <c r="CQ81" s="113"/>
      <c r="CR81" s="113"/>
      <c r="CS81" s="125"/>
      <c r="CT81" s="113"/>
      <c r="CU81" s="113"/>
      <c r="CV81" s="113"/>
      <c r="CW81" s="127"/>
      <c r="CX81" s="113"/>
      <c r="CY81" s="113"/>
      <c r="CZ81" s="113"/>
      <c r="DA81" s="125"/>
      <c r="DB81" s="113"/>
      <c r="DC81" s="113"/>
      <c r="DD81" s="113"/>
      <c r="DE81" s="125"/>
      <c r="DF81" s="113"/>
      <c r="DG81" s="113"/>
      <c r="DH81" s="113"/>
      <c r="DI81" s="127"/>
      <c r="DJ81" s="113"/>
      <c r="DK81" s="113"/>
      <c r="DL81" s="113"/>
      <c r="DM81" s="127"/>
      <c r="DN81" s="113"/>
      <c r="DO81" s="113"/>
      <c r="DP81" s="113"/>
      <c r="DQ81" s="127"/>
      <c r="DR81" s="113"/>
      <c r="DS81" s="113"/>
      <c r="DT81" s="113"/>
      <c r="DU81" s="127"/>
      <c r="DV81" s="113"/>
      <c r="DW81" s="113"/>
      <c r="DX81" s="113"/>
      <c r="DY81" s="127"/>
      <c r="DZ81" s="113"/>
      <c r="EA81" s="113"/>
      <c r="EB81" s="113"/>
      <c r="EC81" s="127"/>
      <c r="ED81" s="113"/>
      <c r="EE81" s="126"/>
      <c r="EF81" s="112"/>
      <c r="EG81" s="112"/>
      <c r="EH81" s="125"/>
      <c r="EI81" s="128"/>
      <c r="EJ81" s="113"/>
      <c r="EK81" s="113"/>
      <c r="EL81" s="127"/>
      <c r="EM81" s="125"/>
      <c r="EN81" s="113"/>
      <c r="EO81" s="113"/>
      <c r="EP81" s="113"/>
      <c r="EQ81" s="127"/>
      <c r="ER81" s="125"/>
      <c r="ES81" s="113"/>
      <c r="ET81" s="113"/>
      <c r="EU81" s="113"/>
      <c r="EV81" s="127"/>
      <c r="EW81" s="129"/>
      <c r="EX81" s="112"/>
      <c r="EY81" s="112"/>
      <c r="EZ81" s="112"/>
      <c r="FA81" s="125"/>
      <c r="FB81" s="112"/>
      <c r="FC81" s="112"/>
      <c r="FD81" s="112"/>
      <c r="FE81" s="125"/>
      <c r="FF81" s="112"/>
      <c r="FG81" s="112"/>
      <c r="FH81" s="112"/>
      <c r="FI81" s="125"/>
      <c r="FJ81" s="129"/>
      <c r="FK81" s="125"/>
      <c r="FL81" s="130"/>
      <c r="FM81" s="131"/>
    </row>
    <row r="82" spans="1:169" x14ac:dyDescent="0.2">
      <c r="AF82" s="92"/>
      <c r="BJ82" s="88"/>
      <c r="BL82" s="49"/>
      <c r="BP82" s="93"/>
      <c r="BQ82" s="94"/>
      <c r="BT82" s="93"/>
      <c r="BX82" s="93"/>
      <c r="BY82" s="95"/>
      <c r="BZ82" s="95"/>
      <c r="CA82" s="95"/>
      <c r="CB82" s="93"/>
      <c r="CC82" s="95"/>
      <c r="CD82" s="95"/>
      <c r="CE82" s="95"/>
      <c r="CF82" s="93"/>
      <c r="CG82" s="93"/>
      <c r="CK82" s="93"/>
      <c r="CO82" s="93"/>
      <c r="CS82" s="93"/>
      <c r="CW82" s="95"/>
      <c r="DA82" s="93"/>
      <c r="DE82" s="93"/>
      <c r="DI82" s="95"/>
      <c r="DM82" s="95"/>
      <c r="DQ82" s="95"/>
      <c r="DU82" s="95"/>
      <c r="DY82" s="95"/>
      <c r="EC82" s="95"/>
      <c r="EE82" s="94"/>
      <c r="EH82" s="93"/>
      <c r="EI82" s="96"/>
      <c r="EL82" s="95"/>
      <c r="EM82" s="93"/>
      <c r="EQ82" s="95"/>
      <c r="ER82" s="93"/>
      <c r="EV82" s="95"/>
      <c r="EW82" s="97"/>
      <c r="FA82" s="93"/>
      <c r="FE82" s="93"/>
      <c r="FI82" s="93"/>
      <c r="FJ82" s="97"/>
      <c r="FK82" s="93"/>
      <c r="FL82" s="98"/>
    </row>
    <row r="83" spans="1:169" x14ac:dyDescent="0.2">
      <c r="A83" s="112"/>
      <c r="B83" s="113"/>
      <c r="C83" s="113"/>
      <c r="D83" s="113"/>
      <c r="E83" s="113"/>
      <c r="F83" s="112"/>
      <c r="G83" s="114"/>
      <c r="H83" s="114"/>
      <c r="I83" s="114"/>
      <c r="J83" s="115"/>
      <c r="K83" s="116"/>
      <c r="L83" s="112"/>
      <c r="M83" s="113"/>
      <c r="N83" s="113"/>
      <c r="O83" s="113"/>
      <c r="P83" s="113"/>
      <c r="Q83" s="117"/>
      <c r="R83" s="118"/>
      <c r="S83" s="119"/>
      <c r="T83" s="113"/>
      <c r="U83" s="113"/>
      <c r="V83" s="113"/>
      <c r="W83" s="113"/>
      <c r="X83" s="113"/>
      <c r="Y83" s="113"/>
      <c r="Z83" s="113"/>
      <c r="AA83" s="113"/>
      <c r="AB83" s="113"/>
      <c r="AC83" s="113"/>
      <c r="AD83" s="113"/>
      <c r="AE83" s="113"/>
      <c r="AF83" s="120"/>
      <c r="AG83" s="113"/>
      <c r="AH83" s="113"/>
      <c r="AI83" s="121"/>
      <c r="AJ83" s="119"/>
      <c r="AK83" s="113"/>
      <c r="AL83" s="113"/>
      <c r="AM83" s="122"/>
      <c r="AN83" s="122"/>
      <c r="AO83" s="122"/>
      <c r="AP83" s="122"/>
      <c r="AQ83" s="122"/>
      <c r="AR83" s="122"/>
      <c r="AS83" s="122"/>
      <c r="AT83" s="122"/>
      <c r="AU83" s="122"/>
      <c r="AV83" s="122"/>
      <c r="AW83" s="122"/>
      <c r="AX83" s="122"/>
      <c r="AY83" s="122"/>
      <c r="AZ83" s="122"/>
      <c r="BA83" s="122"/>
      <c r="BB83" s="122"/>
      <c r="BC83" s="122"/>
      <c r="BD83" s="116"/>
      <c r="BE83" s="116"/>
      <c r="BF83" s="116"/>
      <c r="BG83" s="116"/>
      <c r="BH83" s="116"/>
      <c r="BI83" s="116"/>
      <c r="BJ83" s="123"/>
      <c r="BK83" s="119"/>
      <c r="BL83" s="124"/>
      <c r="BM83" s="112"/>
      <c r="BN83" s="112"/>
      <c r="BO83" s="112"/>
      <c r="BP83" s="125"/>
      <c r="BQ83" s="126"/>
      <c r="BR83" s="112"/>
      <c r="BS83" s="112"/>
      <c r="BT83" s="125"/>
      <c r="BU83" s="112"/>
      <c r="BV83" s="112"/>
      <c r="BW83" s="112"/>
      <c r="BX83" s="125"/>
      <c r="BY83" s="127"/>
      <c r="BZ83" s="127"/>
      <c r="CA83" s="127"/>
      <c r="CB83" s="125"/>
      <c r="CC83" s="127"/>
      <c r="CD83" s="127"/>
      <c r="CE83" s="127"/>
      <c r="CF83" s="125"/>
      <c r="CG83" s="125"/>
      <c r="CH83" s="113"/>
      <c r="CI83" s="113"/>
      <c r="CJ83" s="113"/>
      <c r="CK83" s="125"/>
      <c r="CL83" s="113"/>
      <c r="CM83" s="113"/>
      <c r="CN83" s="113"/>
      <c r="CO83" s="125"/>
      <c r="CP83" s="113"/>
      <c r="CQ83" s="113"/>
      <c r="CR83" s="113"/>
      <c r="CS83" s="125"/>
      <c r="CT83" s="113"/>
      <c r="CU83" s="113"/>
      <c r="CV83" s="113"/>
      <c r="CW83" s="127"/>
      <c r="CX83" s="113"/>
      <c r="CY83" s="113"/>
      <c r="CZ83" s="113"/>
      <c r="DA83" s="125"/>
      <c r="DB83" s="113"/>
      <c r="DC83" s="113"/>
      <c r="DD83" s="113"/>
      <c r="DE83" s="125"/>
      <c r="DF83" s="113"/>
      <c r="DG83" s="113"/>
      <c r="DH83" s="113"/>
      <c r="DI83" s="127"/>
      <c r="DJ83" s="113"/>
      <c r="DK83" s="113"/>
      <c r="DL83" s="113"/>
      <c r="DM83" s="127"/>
      <c r="DN83" s="113"/>
      <c r="DO83" s="113"/>
      <c r="DP83" s="113"/>
      <c r="DQ83" s="127"/>
      <c r="DR83" s="113"/>
      <c r="DS83" s="113"/>
      <c r="DT83" s="113"/>
      <c r="DU83" s="127"/>
      <c r="DV83" s="113"/>
      <c r="DW83" s="113"/>
      <c r="DX83" s="113"/>
      <c r="DY83" s="127"/>
      <c r="DZ83" s="113"/>
      <c r="EA83" s="113"/>
      <c r="EB83" s="113"/>
      <c r="EC83" s="127"/>
      <c r="ED83" s="113"/>
      <c r="EE83" s="126"/>
      <c r="EF83" s="112"/>
      <c r="EG83" s="112"/>
      <c r="EH83" s="125"/>
      <c r="EI83" s="128"/>
      <c r="EJ83" s="113"/>
      <c r="EK83" s="113"/>
      <c r="EL83" s="127"/>
      <c r="EM83" s="125"/>
      <c r="EN83" s="113"/>
      <c r="EO83" s="113"/>
      <c r="EP83" s="113"/>
      <c r="EQ83" s="127"/>
      <c r="ER83" s="125"/>
      <c r="ES83" s="113"/>
      <c r="ET83" s="113"/>
      <c r="EU83" s="113"/>
      <c r="EV83" s="127"/>
      <c r="EW83" s="129"/>
      <c r="EX83" s="112"/>
      <c r="EY83" s="112"/>
      <c r="EZ83" s="112"/>
      <c r="FA83" s="125"/>
      <c r="FB83" s="112"/>
      <c r="FC83" s="112"/>
      <c r="FD83" s="112"/>
      <c r="FE83" s="125"/>
      <c r="FF83" s="112"/>
      <c r="FG83" s="112"/>
      <c r="FH83" s="112"/>
      <c r="FI83" s="125"/>
      <c r="FJ83" s="129"/>
      <c r="FK83" s="125"/>
      <c r="FL83" s="130"/>
      <c r="FM83" s="131"/>
    </row>
    <row r="84" spans="1:169" x14ac:dyDescent="0.2">
      <c r="X84" s="56"/>
      <c r="AF84" s="92"/>
      <c r="BJ84" s="88"/>
      <c r="BL84" s="49"/>
      <c r="BP84" s="93"/>
      <c r="BQ84" s="94"/>
      <c r="BT84" s="93"/>
      <c r="BX84" s="93"/>
      <c r="BY84" s="95"/>
      <c r="BZ84" s="95"/>
      <c r="CA84" s="95"/>
      <c r="CB84" s="93"/>
      <c r="CC84" s="95"/>
      <c r="CD84" s="95"/>
      <c r="CE84" s="95"/>
      <c r="CF84" s="93"/>
      <c r="CG84" s="93"/>
      <c r="CK84" s="93"/>
      <c r="CO84" s="93"/>
      <c r="CS84" s="93"/>
      <c r="CW84" s="95"/>
      <c r="DA84" s="93"/>
      <c r="DE84" s="93"/>
      <c r="DI84" s="95"/>
      <c r="DM84" s="95"/>
      <c r="DQ84" s="95"/>
      <c r="DU84" s="95"/>
      <c r="DY84" s="95"/>
      <c r="EC84" s="95"/>
      <c r="EE84" s="94"/>
      <c r="EH84" s="93"/>
      <c r="EI84" s="96"/>
      <c r="EL84" s="95"/>
      <c r="EM84" s="93"/>
      <c r="EQ84" s="95"/>
      <c r="ER84" s="93"/>
      <c r="EV84" s="95"/>
      <c r="EW84" s="97"/>
      <c r="FA84" s="93"/>
      <c r="FE84" s="93"/>
      <c r="FI84" s="93"/>
      <c r="FJ84" s="97"/>
      <c r="FK84" s="93"/>
      <c r="FL84" s="98"/>
    </row>
    <row r="85" spans="1:169" x14ac:dyDescent="0.2">
      <c r="AF85" s="92"/>
      <c r="BJ85" s="88"/>
      <c r="BL85" s="49"/>
      <c r="BP85" s="93"/>
      <c r="BQ85" s="94"/>
      <c r="BT85" s="93"/>
      <c r="BX85" s="93"/>
      <c r="BY85" s="95"/>
      <c r="BZ85" s="95"/>
      <c r="CA85" s="95"/>
      <c r="CB85" s="93"/>
      <c r="CC85" s="95"/>
      <c r="CD85" s="95"/>
      <c r="CE85" s="95"/>
      <c r="CF85" s="93"/>
      <c r="CG85" s="93"/>
      <c r="CK85" s="93"/>
      <c r="CO85" s="93"/>
      <c r="CS85" s="93"/>
      <c r="CW85" s="95"/>
      <c r="DA85" s="93"/>
      <c r="DE85" s="93"/>
      <c r="DI85" s="95"/>
      <c r="DM85" s="95"/>
      <c r="DQ85" s="95"/>
      <c r="DU85" s="95"/>
      <c r="DY85" s="95"/>
      <c r="EC85" s="95"/>
      <c r="EE85" s="94"/>
      <c r="EH85" s="93"/>
      <c r="EI85" s="96"/>
      <c r="EL85" s="95"/>
      <c r="EM85" s="93"/>
      <c r="EQ85" s="95"/>
      <c r="ER85" s="93"/>
      <c r="EV85" s="95"/>
      <c r="EW85" s="97"/>
      <c r="FA85" s="93"/>
      <c r="FE85" s="93"/>
      <c r="FI85" s="93"/>
      <c r="FJ85" s="97"/>
      <c r="FK85" s="93"/>
      <c r="FL85" s="98"/>
    </row>
    <row r="86" spans="1:169" x14ac:dyDescent="0.2">
      <c r="X86" s="87"/>
      <c r="AF86" s="92"/>
      <c r="BJ86" s="88"/>
      <c r="BL86" s="49"/>
      <c r="BP86" s="93"/>
      <c r="BQ86" s="94"/>
      <c r="BT86" s="93"/>
      <c r="BX86" s="93"/>
      <c r="BY86" s="95"/>
      <c r="BZ86" s="95"/>
      <c r="CA86" s="95"/>
      <c r="CB86" s="93"/>
      <c r="CC86" s="95"/>
      <c r="CD86" s="95"/>
      <c r="CE86" s="95"/>
      <c r="CF86" s="93"/>
      <c r="CG86" s="93"/>
      <c r="CK86" s="93"/>
      <c r="CO86" s="93"/>
      <c r="CS86" s="93"/>
      <c r="CW86" s="95"/>
      <c r="DA86" s="93"/>
      <c r="DE86" s="93"/>
      <c r="DI86" s="95"/>
      <c r="DM86" s="95"/>
      <c r="DQ86" s="95"/>
      <c r="DU86" s="95"/>
      <c r="DY86" s="95"/>
      <c r="EC86" s="95"/>
      <c r="EE86" s="94"/>
      <c r="EH86" s="93"/>
      <c r="EI86" s="96"/>
      <c r="EL86" s="95"/>
      <c r="EM86" s="93"/>
      <c r="EQ86" s="95"/>
      <c r="ER86" s="93"/>
      <c r="EV86" s="95"/>
      <c r="EW86" s="97"/>
      <c r="FA86" s="93"/>
      <c r="FE86" s="93"/>
      <c r="FI86" s="93"/>
      <c r="FJ86" s="97"/>
      <c r="FK86" s="93"/>
      <c r="FL86" s="98"/>
    </row>
    <row r="87" spans="1:169" x14ac:dyDescent="0.2">
      <c r="X87" s="56"/>
      <c r="AF87" s="92"/>
      <c r="BJ87" s="88"/>
      <c r="BL87" s="49"/>
      <c r="BP87" s="93"/>
      <c r="BQ87" s="94"/>
      <c r="BT87" s="93"/>
      <c r="BX87" s="93"/>
      <c r="BY87" s="95"/>
      <c r="BZ87" s="95"/>
      <c r="CA87" s="95"/>
      <c r="CB87" s="93"/>
      <c r="CC87" s="95"/>
      <c r="CD87" s="95"/>
      <c r="CE87" s="95"/>
      <c r="CF87" s="93"/>
      <c r="CG87" s="93"/>
      <c r="CK87" s="93"/>
      <c r="CO87" s="93"/>
      <c r="CS87" s="93"/>
      <c r="CW87" s="95"/>
      <c r="DA87" s="93"/>
      <c r="DE87" s="93"/>
      <c r="DI87" s="95"/>
      <c r="DM87" s="95"/>
      <c r="DQ87" s="95"/>
      <c r="DU87" s="95"/>
      <c r="DY87" s="95"/>
      <c r="EC87" s="95"/>
      <c r="EE87" s="94"/>
      <c r="EH87" s="93"/>
      <c r="EI87" s="96"/>
      <c r="EL87" s="95"/>
      <c r="EM87" s="93"/>
      <c r="EQ87" s="95"/>
      <c r="ER87" s="93"/>
      <c r="EV87" s="95"/>
      <c r="EW87" s="97"/>
      <c r="FA87" s="93"/>
      <c r="FE87" s="93"/>
      <c r="FI87" s="93"/>
      <c r="FJ87" s="97"/>
      <c r="FK87" s="93"/>
      <c r="FL87" s="98"/>
    </row>
    <row r="88" spans="1:169" x14ac:dyDescent="0.2">
      <c r="AF88" s="92"/>
      <c r="BJ88" s="88"/>
      <c r="BL88" s="49"/>
      <c r="BP88" s="93"/>
      <c r="BQ88" s="94"/>
      <c r="BT88" s="93"/>
      <c r="BX88" s="93"/>
      <c r="BY88" s="95"/>
      <c r="BZ88" s="95"/>
      <c r="CA88" s="95"/>
      <c r="CB88" s="93"/>
      <c r="CC88" s="95"/>
      <c r="CD88" s="95"/>
      <c r="CE88" s="95"/>
      <c r="CF88" s="93"/>
      <c r="CG88" s="93"/>
      <c r="CK88" s="93"/>
      <c r="CO88" s="93"/>
      <c r="CS88" s="93"/>
      <c r="CW88" s="95"/>
      <c r="DA88" s="93"/>
      <c r="DE88" s="93"/>
      <c r="DI88" s="95"/>
      <c r="DM88" s="95"/>
      <c r="DQ88" s="95"/>
      <c r="DU88" s="95"/>
      <c r="DY88" s="95"/>
      <c r="EC88" s="95"/>
      <c r="EE88" s="94"/>
      <c r="EH88" s="93"/>
      <c r="EI88" s="96"/>
      <c r="EL88" s="95"/>
      <c r="EM88" s="93"/>
      <c r="EQ88" s="95"/>
      <c r="ER88" s="93"/>
      <c r="EV88" s="95"/>
      <c r="EW88" s="97"/>
      <c r="FA88" s="93"/>
      <c r="FE88" s="93"/>
      <c r="FI88" s="93"/>
      <c r="FJ88" s="97"/>
      <c r="FK88" s="93"/>
      <c r="FL88" s="98"/>
    </row>
    <row r="89" spans="1:169" x14ac:dyDescent="0.2">
      <c r="X89" s="87"/>
      <c r="AF89" s="92"/>
      <c r="BJ89" s="88"/>
      <c r="BL89" s="49"/>
      <c r="BP89" s="93"/>
      <c r="BQ89" s="94"/>
      <c r="BT89" s="93"/>
      <c r="BX89" s="93"/>
      <c r="BY89" s="95"/>
      <c r="BZ89" s="95"/>
      <c r="CA89" s="95"/>
      <c r="CB89" s="93"/>
      <c r="CC89" s="95"/>
      <c r="CD89" s="95"/>
      <c r="CE89" s="95"/>
      <c r="CF89" s="93"/>
      <c r="CG89" s="93"/>
      <c r="CK89" s="93"/>
      <c r="CO89" s="93"/>
      <c r="CS89" s="93"/>
      <c r="CW89" s="95"/>
      <c r="DA89" s="93"/>
      <c r="DE89" s="93"/>
      <c r="DI89" s="95"/>
      <c r="DM89" s="95"/>
      <c r="DQ89" s="95"/>
      <c r="DU89" s="95"/>
      <c r="DY89" s="95"/>
      <c r="EC89" s="95"/>
      <c r="EE89" s="94"/>
      <c r="EH89" s="93"/>
      <c r="EI89" s="96"/>
      <c r="EL89" s="95"/>
      <c r="EM89" s="93"/>
      <c r="EQ89" s="95"/>
      <c r="ER89" s="93"/>
      <c r="EV89" s="95"/>
      <c r="EW89" s="97"/>
      <c r="FA89" s="93"/>
      <c r="FE89" s="93"/>
      <c r="FI89" s="93"/>
      <c r="FJ89" s="97"/>
      <c r="FK89" s="93"/>
      <c r="FL89" s="98"/>
    </row>
    <row r="90" spans="1:169" x14ac:dyDescent="0.2">
      <c r="X90" s="87"/>
      <c r="AF90" s="92"/>
      <c r="BJ90" s="88"/>
      <c r="BL90" s="49"/>
      <c r="BP90" s="93"/>
      <c r="BQ90" s="94"/>
      <c r="BT90" s="93"/>
      <c r="BX90" s="93"/>
      <c r="BY90" s="95"/>
      <c r="BZ90" s="95"/>
      <c r="CA90" s="95"/>
      <c r="CB90" s="93"/>
      <c r="CC90" s="95"/>
      <c r="CD90" s="95"/>
      <c r="CE90" s="95"/>
      <c r="CF90" s="93"/>
      <c r="CG90" s="93"/>
      <c r="CK90" s="93"/>
      <c r="CO90" s="93"/>
      <c r="CS90" s="93"/>
      <c r="CW90" s="95"/>
      <c r="DA90" s="93"/>
      <c r="DE90" s="93"/>
      <c r="DI90" s="95"/>
      <c r="DM90" s="95"/>
      <c r="DQ90" s="95"/>
      <c r="DU90" s="95"/>
      <c r="DY90" s="95"/>
      <c r="EC90" s="95"/>
      <c r="EE90" s="94"/>
      <c r="EH90" s="93"/>
      <c r="EI90" s="96"/>
      <c r="EL90" s="95"/>
      <c r="EM90" s="93"/>
      <c r="EQ90" s="95"/>
      <c r="ER90" s="93"/>
      <c r="EV90" s="95"/>
      <c r="EW90" s="97"/>
      <c r="FA90" s="93"/>
      <c r="FE90" s="93"/>
      <c r="FI90" s="93"/>
      <c r="FJ90" s="97"/>
      <c r="FK90" s="93"/>
      <c r="FL90" s="98"/>
    </row>
    <row r="91" spans="1:169" x14ac:dyDescent="0.2">
      <c r="X91" s="87"/>
      <c r="AF91" s="92"/>
      <c r="BJ91" s="88"/>
      <c r="BL91" s="49"/>
      <c r="BP91" s="93"/>
      <c r="BQ91" s="94"/>
      <c r="BT91" s="93"/>
      <c r="BX91" s="93"/>
      <c r="BY91" s="95"/>
      <c r="BZ91" s="95"/>
      <c r="CA91" s="95"/>
      <c r="CB91" s="93"/>
      <c r="CC91" s="95"/>
      <c r="CD91" s="95"/>
      <c r="CE91" s="95"/>
      <c r="CF91" s="93"/>
      <c r="CG91" s="93"/>
      <c r="CK91" s="93"/>
      <c r="CO91" s="93"/>
      <c r="CS91" s="93"/>
      <c r="CW91" s="95"/>
      <c r="DA91" s="93"/>
      <c r="DE91" s="93"/>
      <c r="DI91" s="95"/>
      <c r="DM91" s="95"/>
      <c r="DQ91" s="95"/>
      <c r="DU91" s="95"/>
      <c r="DY91" s="95"/>
      <c r="EC91" s="95"/>
      <c r="EE91" s="94"/>
      <c r="EH91" s="93"/>
      <c r="EI91" s="96"/>
      <c r="EL91" s="95"/>
      <c r="EM91" s="93"/>
      <c r="EQ91" s="95"/>
      <c r="ER91" s="93"/>
      <c r="EV91" s="95"/>
      <c r="EW91" s="97"/>
      <c r="FA91" s="93"/>
      <c r="FE91" s="93"/>
      <c r="FI91" s="93"/>
      <c r="FJ91" s="97"/>
      <c r="FK91" s="93"/>
      <c r="FL91" s="98"/>
    </row>
    <row r="92" spans="1:169" x14ac:dyDescent="0.2">
      <c r="X92" s="87"/>
      <c r="AF92" s="92"/>
      <c r="BJ92" s="88"/>
      <c r="BL92" s="49"/>
      <c r="BP92" s="93"/>
      <c r="BQ92" s="94"/>
      <c r="BT92" s="93"/>
      <c r="BX92" s="93"/>
      <c r="BY92" s="95"/>
      <c r="BZ92" s="95"/>
      <c r="CA92" s="95"/>
      <c r="CB92" s="93"/>
      <c r="CC92" s="95"/>
      <c r="CD92" s="95"/>
      <c r="CE92" s="95"/>
      <c r="CF92" s="93"/>
      <c r="CG92" s="93"/>
      <c r="CK92" s="93"/>
      <c r="CO92" s="93"/>
      <c r="CS92" s="93"/>
      <c r="CW92" s="95"/>
      <c r="DA92" s="93"/>
      <c r="DE92" s="93"/>
      <c r="DI92" s="95"/>
      <c r="DM92" s="95"/>
      <c r="DQ92" s="95"/>
      <c r="DU92" s="95"/>
      <c r="DY92" s="95"/>
      <c r="EC92" s="95"/>
      <c r="EE92" s="94"/>
      <c r="EH92" s="93"/>
      <c r="EI92" s="96"/>
      <c r="EL92" s="95"/>
      <c r="EM92" s="93"/>
      <c r="EQ92" s="95"/>
      <c r="ER92" s="93"/>
      <c r="EV92" s="95"/>
      <c r="EW92" s="97"/>
      <c r="FA92" s="93"/>
      <c r="FE92" s="93"/>
      <c r="FI92" s="93"/>
      <c r="FJ92" s="97"/>
      <c r="FK92" s="93"/>
      <c r="FL92" s="98"/>
    </row>
    <row r="93" spans="1:169" x14ac:dyDescent="0.2">
      <c r="A93" s="112"/>
      <c r="B93" s="113"/>
      <c r="C93" s="113"/>
      <c r="D93" s="113"/>
      <c r="E93" s="113"/>
      <c r="F93" s="112"/>
      <c r="G93" s="114"/>
      <c r="H93" s="114"/>
      <c r="I93" s="114"/>
      <c r="J93" s="115"/>
      <c r="K93" s="116"/>
      <c r="L93" s="112"/>
      <c r="M93" s="113"/>
      <c r="N93" s="113"/>
      <c r="O93" s="113"/>
      <c r="P93" s="113"/>
      <c r="Q93" s="117"/>
      <c r="R93" s="118"/>
      <c r="S93" s="119"/>
      <c r="T93" s="113"/>
      <c r="U93" s="113"/>
      <c r="V93" s="113"/>
      <c r="W93" s="113"/>
      <c r="X93" s="113"/>
      <c r="Y93" s="113"/>
      <c r="Z93" s="113"/>
      <c r="AA93" s="113"/>
      <c r="AB93" s="113"/>
      <c r="AC93" s="113"/>
      <c r="AD93" s="113"/>
      <c r="AE93" s="113"/>
      <c r="AF93" s="120"/>
      <c r="AG93" s="113"/>
      <c r="AH93" s="113"/>
      <c r="AI93" s="121"/>
      <c r="AJ93" s="119"/>
      <c r="AK93" s="113"/>
      <c r="AL93" s="113"/>
      <c r="AM93" s="122"/>
      <c r="AN93" s="122"/>
      <c r="AO93" s="122"/>
      <c r="AP93" s="122"/>
      <c r="AQ93" s="122"/>
      <c r="AR93" s="122"/>
      <c r="AS93" s="122"/>
      <c r="AT93" s="122"/>
      <c r="AU93" s="122"/>
      <c r="AV93" s="122"/>
      <c r="AW93" s="122"/>
      <c r="AX93" s="122"/>
      <c r="AY93" s="122"/>
      <c r="AZ93" s="122"/>
      <c r="BA93" s="122"/>
      <c r="BB93" s="122"/>
      <c r="BC93" s="122"/>
      <c r="BD93" s="116"/>
      <c r="BE93" s="116"/>
      <c r="BF93" s="116"/>
      <c r="BG93" s="116"/>
      <c r="BH93" s="116"/>
      <c r="BI93" s="116"/>
      <c r="BJ93" s="123"/>
      <c r="BK93" s="119"/>
      <c r="BL93" s="124"/>
      <c r="BM93" s="112"/>
      <c r="BN93" s="112"/>
      <c r="BO93" s="112"/>
      <c r="BP93" s="125"/>
      <c r="BQ93" s="126"/>
      <c r="BR93" s="112"/>
      <c r="BS93" s="112"/>
      <c r="BT93" s="125"/>
      <c r="BU93" s="112"/>
      <c r="BV93" s="112"/>
      <c r="BW93" s="112"/>
      <c r="BX93" s="125"/>
      <c r="BY93" s="127"/>
      <c r="BZ93" s="127"/>
      <c r="CA93" s="127"/>
      <c r="CB93" s="125"/>
      <c r="CC93" s="127"/>
      <c r="CD93" s="127"/>
      <c r="CE93" s="127"/>
      <c r="CF93" s="125"/>
      <c r="CG93" s="125"/>
      <c r="CH93" s="113"/>
      <c r="CI93" s="113"/>
      <c r="CJ93" s="113"/>
      <c r="CK93" s="125"/>
      <c r="CL93" s="113"/>
      <c r="CM93" s="113"/>
      <c r="CN93" s="113"/>
      <c r="CO93" s="125"/>
      <c r="CP93" s="113"/>
      <c r="CQ93" s="113"/>
      <c r="CR93" s="113"/>
      <c r="CS93" s="125"/>
      <c r="CT93" s="113"/>
      <c r="CU93" s="113"/>
      <c r="CV93" s="113"/>
      <c r="CW93" s="127"/>
      <c r="CX93" s="113"/>
      <c r="CY93" s="113"/>
      <c r="CZ93" s="113"/>
      <c r="DA93" s="125"/>
      <c r="DB93" s="113"/>
      <c r="DC93" s="113"/>
      <c r="DD93" s="113"/>
      <c r="DE93" s="125"/>
      <c r="DF93" s="113"/>
      <c r="DG93" s="113"/>
      <c r="DH93" s="113"/>
      <c r="DI93" s="127"/>
      <c r="DJ93" s="113"/>
      <c r="DK93" s="113"/>
      <c r="DL93" s="113"/>
      <c r="DM93" s="127"/>
      <c r="DN93" s="113"/>
      <c r="DO93" s="113"/>
      <c r="DP93" s="113"/>
      <c r="DQ93" s="127"/>
      <c r="DR93" s="113"/>
      <c r="DS93" s="113"/>
      <c r="DT93" s="113"/>
      <c r="DU93" s="127"/>
      <c r="DV93" s="113"/>
      <c r="DW93" s="113"/>
      <c r="DX93" s="113"/>
      <c r="DY93" s="127"/>
      <c r="DZ93" s="113"/>
      <c r="EA93" s="113"/>
      <c r="EB93" s="113"/>
      <c r="EC93" s="127"/>
      <c r="ED93" s="113"/>
      <c r="EE93" s="126"/>
      <c r="EF93" s="112"/>
      <c r="EG93" s="112"/>
      <c r="EH93" s="125"/>
      <c r="EI93" s="128"/>
      <c r="EJ93" s="113"/>
      <c r="EK93" s="113"/>
      <c r="EL93" s="127"/>
      <c r="EM93" s="125"/>
      <c r="EN93" s="113"/>
      <c r="EO93" s="113"/>
      <c r="EP93" s="113"/>
      <c r="EQ93" s="127"/>
      <c r="ER93" s="125"/>
      <c r="ES93" s="113"/>
      <c r="ET93" s="113"/>
      <c r="EU93" s="113"/>
      <c r="EV93" s="127"/>
      <c r="EW93" s="129"/>
      <c r="EX93" s="112"/>
      <c r="EY93" s="112"/>
      <c r="EZ93" s="112"/>
      <c r="FA93" s="125"/>
      <c r="FB93" s="112"/>
      <c r="FC93" s="112"/>
      <c r="FD93" s="112"/>
      <c r="FE93" s="125"/>
      <c r="FF93" s="112"/>
      <c r="FG93" s="112"/>
      <c r="FH93" s="112"/>
      <c r="FI93" s="125"/>
      <c r="FJ93" s="129"/>
      <c r="FK93" s="125"/>
      <c r="FL93" s="130"/>
      <c r="FM93" s="131"/>
    </row>
    <row r="94" spans="1:169" x14ac:dyDescent="0.2">
      <c r="X94" s="87"/>
      <c r="AF94" s="92"/>
      <c r="BJ94" s="88"/>
      <c r="BL94" s="49"/>
      <c r="BP94" s="93"/>
      <c r="BQ94" s="94"/>
      <c r="BT94" s="93"/>
      <c r="BX94" s="93"/>
      <c r="BY94" s="95"/>
      <c r="BZ94" s="95"/>
      <c r="CA94" s="95"/>
      <c r="CB94" s="93"/>
      <c r="CC94" s="95"/>
      <c r="CD94" s="95"/>
      <c r="CE94" s="95"/>
      <c r="CF94" s="93"/>
      <c r="CG94" s="93"/>
      <c r="CK94" s="93"/>
      <c r="CO94" s="93"/>
      <c r="CS94" s="93"/>
      <c r="CW94" s="95"/>
      <c r="DA94" s="93"/>
      <c r="DE94" s="93"/>
      <c r="DI94" s="95"/>
      <c r="DM94" s="95"/>
      <c r="DQ94" s="95"/>
      <c r="DU94" s="95"/>
      <c r="DY94" s="95"/>
      <c r="EC94" s="95"/>
      <c r="EE94" s="94"/>
      <c r="EH94" s="93"/>
      <c r="EI94" s="96"/>
      <c r="EL94" s="95"/>
      <c r="EM94" s="93"/>
      <c r="EQ94" s="95"/>
      <c r="ER94" s="93"/>
      <c r="EV94" s="95"/>
      <c r="EW94" s="97"/>
      <c r="FA94" s="93"/>
      <c r="FE94" s="93"/>
      <c r="FI94" s="93"/>
      <c r="FJ94" s="97"/>
      <c r="FK94" s="93"/>
      <c r="FL94" s="98"/>
    </row>
    <row r="95" spans="1:169" x14ac:dyDescent="0.2">
      <c r="A95" s="112"/>
      <c r="B95" s="113"/>
      <c r="C95" s="113"/>
      <c r="D95" s="113"/>
      <c r="E95" s="113"/>
      <c r="F95" s="112"/>
      <c r="G95" s="114"/>
      <c r="H95" s="114"/>
      <c r="I95" s="114"/>
      <c r="J95" s="115"/>
      <c r="K95" s="116"/>
      <c r="L95" s="112"/>
      <c r="M95" s="113"/>
      <c r="N95" s="113"/>
      <c r="O95" s="113"/>
      <c r="P95" s="113"/>
      <c r="Q95" s="117"/>
      <c r="R95" s="118"/>
      <c r="S95" s="119"/>
      <c r="T95" s="113"/>
      <c r="U95" s="113"/>
      <c r="V95" s="113"/>
      <c r="W95" s="113"/>
      <c r="X95" s="113"/>
      <c r="Y95" s="113"/>
      <c r="Z95" s="113"/>
      <c r="AA95" s="113"/>
      <c r="AB95" s="113"/>
      <c r="AC95" s="113"/>
      <c r="AD95" s="113"/>
      <c r="AE95" s="113"/>
      <c r="AF95" s="120"/>
      <c r="AG95" s="113"/>
      <c r="AH95" s="113"/>
      <c r="AI95" s="121"/>
      <c r="AJ95" s="119"/>
      <c r="AK95" s="113"/>
      <c r="AL95" s="113"/>
      <c r="AM95" s="122"/>
      <c r="AN95" s="122"/>
      <c r="AO95" s="122"/>
      <c r="AP95" s="122"/>
      <c r="AQ95" s="122"/>
      <c r="AR95" s="122"/>
      <c r="AS95" s="122"/>
      <c r="AT95" s="122"/>
      <c r="AU95" s="122"/>
      <c r="AV95" s="122"/>
      <c r="AW95" s="122"/>
      <c r="AX95" s="122"/>
      <c r="AY95" s="122"/>
      <c r="AZ95" s="122"/>
      <c r="BA95" s="122"/>
      <c r="BB95" s="122"/>
      <c r="BC95" s="122"/>
      <c r="BD95" s="116"/>
      <c r="BE95" s="116"/>
      <c r="BF95" s="116"/>
      <c r="BG95" s="116"/>
      <c r="BH95" s="116"/>
      <c r="BI95" s="116"/>
      <c r="BJ95" s="123"/>
      <c r="BK95" s="119"/>
      <c r="BL95" s="124"/>
      <c r="BM95" s="112"/>
      <c r="BN95" s="112"/>
      <c r="BO95" s="112"/>
      <c r="BP95" s="125"/>
      <c r="BQ95" s="126"/>
      <c r="BR95" s="112"/>
      <c r="BS95" s="112"/>
      <c r="BT95" s="125"/>
      <c r="BU95" s="112"/>
      <c r="BV95" s="112"/>
      <c r="BW95" s="112"/>
      <c r="BX95" s="125"/>
      <c r="BY95" s="127"/>
      <c r="BZ95" s="127"/>
      <c r="CA95" s="127"/>
      <c r="CB95" s="125"/>
      <c r="CC95" s="127"/>
      <c r="CD95" s="127"/>
      <c r="CE95" s="127"/>
      <c r="CF95" s="125"/>
      <c r="CG95" s="125"/>
      <c r="CH95" s="113"/>
      <c r="CI95" s="113"/>
      <c r="CJ95" s="113"/>
      <c r="CK95" s="125"/>
      <c r="CL95" s="113"/>
      <c r="CM95" s="113"/>
      <c r="CN95" s="113"/>
      <c r="CO95" s="125"/>
      <c r="CP95" s="113"/>
      <c r="CQ95" s="113"/>
      <c r="CR95" s="113"/>
      <c r="CS95" s="125"/>
      <c r="CT95" s="113"/>
      <c r="CU95" s="113"/>
      <c r="CV95" s="113"/>
      <c r="CW95" s="127"/>
      <c r="CX95" s="113"/>
      <c r="CY95" s="113"/>
      <c r="CZ95" s="113"/>
      <c r="DA95" s="125"/>
      <c r="DB95" s="113"/>
      <c r="DC95" s="113"/>
      <c r="DD95" s="113"/>
      <c r="DE95" s="125"/>
      <c r="DF95" s="113"/>
      <c r="DG95" s="113"/>
      <c r="DH95" s="113"/>
      <c r="DI95" s="127"/>
      <c r="DJ95" s="113"/>
      <c r="DK95" s="113"/>
      <c r="DL95" s="113"/>
      <c r="DM95" s="127"/>
      <c r="DN95" s="113"/>
      <c r="DO95" s="113"/>
      <c r="DP95" s="113"/>
      <c r="DQ95" s="127"/>
      <c r="DR95" s="113"/>
      <c r="DS95" s="113"/>
      <c r="DT95" s="113"/>
      <c r="DU95" s="127"/>
      <c r="DV95" s="113"/>
      <c r="DW95" s="113"/>
      <c r="DX95" s="113"/>
      <c r="DY95" s="127"/>
      <c r="DZ95" s="113"/>
      <c r="EA95" s="113"/>
      <c r="EB95" s="113"/>
      <c r="EC95" s="127"/>
      <c r="ED95" s="113"/>
      <c r="EE95" s="126"/>
      <c r="EF95" s="112"/>
      <c r="EG95" s="112"/>
      <c r="EH95" s="125"/>
      <c r="EI95" s="128"/>
      <c r="EJ95" s="113"/>
      <c r="EK95" s="113"/>
      <c r="EL95" s="127"/>
      <c r="EM95" s="125"/>
      <c r="EN95" s="113"/>
      <c r="EO95" s="113"/>
      <c r="EP95" s="113"/>
      <c r="EQ95" s="127"/>
      <c r="ER95" s="125"/>
      <c r="ES95" s="113"/>
      <c r="ET95" s="113"/>
      <c r="EU95" s="113"/>
      <c r="EV95" s="127"/>
      <c r="EW95" s="129"/>
      <c r="EX95" s="112"/>
      <c r="EY95" s="112"/>
      <c r="EZ95" s="112"/>
      <c r="FA95" s="125"/>
      <c r="FB95" s="112"/>
      <c r="FC95" s="112"/>
      <c r="FD95" s="112"/>
      <c r="FE95" s="125"/>
      <c r="FF95" s="112"/>
      <c r="FG95" s="112"/>
      <c r="FH95" s="112"/>
      <c r="FI95" s="125"/>
      <c r="FJ95" s="129"/>
      <c r="FK95" s="125"/>
      <c r="FL95" s="130"/>
      <c r="FM95" s="131"/>
    </row>
    <row r="96" spans="1:169" x14ac:dyDescent="0.2">
      <c r="AF96" s="92"/>
      <c r="BJ96" s="88"/>
      <c r="BL96" s="49"/>
      <c r="BP96" s="93"/>
      <c r="BQ96" s="94"/>
      <c r="BT96" s="93"/>
      <c r="BX96" s="93"/>
      <c r="BY96" s="95"/>
      <c r="BZ96" s="95"/>
      <c r="CA96" s="95"/>
      <c r="CB96" s="93"/>
      <c r="CC96" s="95"/>
      <c r="CD96" s="95"/>
      <c r="CE96" s="95"/>
      <c r="CF96" s="93"/>
      <c r="CG96" s="93"/>
      <c r="CK96" s="93"/>
      <c r="CO96" s="93"/>
      <c r="CS96" s="93"/>
      <c r="CW96" s="95"/>
      <c r="DA96" s="93"/>
      <c r="DE96" s="93"/>
      <c r="DI96" s="95"/>
      <c r="DM96" s="95"/>
      <c r="DQ96" s="95"/>
      <c r="DU96" s="95"/>
      <c r="DY96" s="95"/>
      <c r="EC96" s="95"/>
      <c r="EE96" s="94"/>
      <c r="EH96" s="93"/>
      <c r="EI96" s="96"/>
      <c r="EL96" s="95"/>
      <c r="EM96" s="93"/>
      <c r="EQ96" s="95"/>
      <c r="ER96" s="93"/>
      <c r="EV96" s="95"/>
      <c r="EW96" s="97"/>
      <c r="FA96" s="93"/>
      <c r="FE96" s="93"/>
      <c r="FI96" s="93"/>
      <c r="FJ96" s="97"/>
      <c r="FK96" s="93"/>
      <c r="FL96" s="98"/>
    </row>
    <row r="97" spans="1:169" x14ac:dyDescent="0.2">
      <c r="X97" s="87"/>
      <c r="AF97" s="92"/>
      <c r="BJ97" s="88"/>
      <c r="BL97" s="49"/>
      <c r="BP97" s="93"/>
      <c r="BQ97" s="94"/>
      <c r="BT97" s="93"/>
      <c r="BX97" s="93"/>
      <c r="BY97" s="95"/>
      <c r="BZ97" s="95"/>
      <c r="CA97" s="95"/>
      <c r="CB97" s="93"/>
      <c r="CC97" s="95"/>
      <c r="CD97" s="95"/>
      <c r="CE97" s="95"/>
      <c r="CF97" s="93"/>
      <c r="CG97" s="93"/>
      <c r="CK97" s="93"/>
      <c r="CO97" s="93"/>
      <c r="CS97" s="93"/>
      <c r="CW97" s="95"/>
      <c r="DA97" s="93"/>
      <c r="DE97" s="93"/>
      <c r="DI97" s="95"/>
      <c r="DM97" s="95"/>
      <c r="DQ97" s="95"/>
      <c r="DU97" s="95"/>
      <c r="DY97" s="95"/>
      <c r="EC97" s="95"/>
      <c r="EE97" s="94"/>
      <c r="EH97" s="93"/>
      <c r="EI97" s="96"/>
      <c r="EL97" s="95"/>
      <c r="EM97" s="93"/>
      <c r="EQ97" s="95"/>
      <c r="ER97" s="93"/>
      <c r="EV97" s="95"/>
      <c r="EW97" s="97"/>
      <c r="FA97" s="93"/>
      <c r="FE97" s="93"/>
      <c r="FI97" s="93"/>
      <c r="FJ97" s="97"/>
      <c r="FK97" s="93"/>
      <c r="FL97" s="98"/>
    </row>
    <row r="98" spans="1:169" x14ac:dyDescent="0.2">
      <c r="A98" s="112"/>
      <c r="B98" s="113"/>
      <c r="C98" s="113"/>
      <c r="D98" s="113"/>
      <c r="E98" s="113"/>
      <c r="F98" s="112"/>
      <c r="G98" s="114"/>
      <c r="H98" s="114"/>
      <c r="I98" s="114"/>
      <c r="J98" s="115"/>
      <c r="K98" s="116"/>
      <c r="L98" s="112"/>
      <c r="M98" s="113"/>
      <c r="N98" s="113"/>
      <c r="O98" s="113"/>
      <c r="P98" s="113"/>
      <c r="Q98" s="117"/>
      <c r="R98" s="118"/>
      <c r="S98" s="119"/>
      <c r="T98" s="113"/>
      <c r="U98" s="113"/>
      <c r="V98" s="113"/>
      <c r="W98" s="113"/>
      <c r="X98" s="113"/>
      <c r="Y98" s="113"/>
      <c r="Z98" s="113"/>
      <c r="AA98" s="113"/>
      <c r="AB98" s="113"/>
      <c r="AC98" s="113"/>
      <c r="AD98" s="113"/>
      <c r="AE98" s="113"/>
      <c r="AF98" s="120"/>
      <c r="AG98" s="113"/>
      <c r="AH98" s="113"/>
      <c r="AI98" s="121"/>
      <c r="AJ98" s="119"/>
      <c r="AK98" s="113"/>
      <c r="AL98" s="113"/>
      <c r="AM98" s="122"/>
      <c r="AN98" s="122"/>
      <c r="AO98" s="122"/>
      <c r="AP98" s="122"/>
      <c r="AQ98" s="122"/>
      <c r="AR98" s="122"/>
      <c r="AS98" s="122"/>
      <c r="AT98" s="122"/>
      <c r="AU98" s="122"/>
      <c r="AV98" s="122"/>
      <c r="AW98" s="122"/>
      <c r="AX98" s="122"/>
      <c r="AY98" s="122"/>
      <c r="AZ98" s="122"/>
      <c r="BA98" s="122"/>
      <c r="BB98" s="122"/>
      <c r="BC98" s="122"/>
      <c r="BD98" s="116"/>
      <c r="BE98" s="116"/>
      <c r="BF98" s="116"/>
      <c r="BG98" s="116"/>
      <c r="BH98" s="116"/>
      <c r="BI98" s="116"/>
      <c r="BJ98" s="123"/>
      <c r="BK98" s="119"/>
      <c r="BL98" s="124"/>
      <c r="BM98" s="112"/>
      <c r="BN98" s="112"/>
      <c r="BO98" s="112"/>
      <c r="BP98" s="125"/>
      <c r="BQ98" s="126"/>
      <c r="BR98" s="112"/>
      <c r="BS98" s="112"/>
      <c r="BT98" s="125"/>
      <c r="BU98" s="112"/>
      <c r="BV98" s="112"/>
      <c r="BW98" s="112"/>
      <c r="BX98" s="125"/>
      <c r="BY98" s="127"/>
      <c r="BZ98" s="127"/>
      <c r="CA98" s="127"/>
      <c r="CB98" s="125"/>
      <c r="CC98" s="127"/>
      <c r="CD98" s="127"/>
      <c r="CE98" s="127"/>
      <c r="CF98" s="125"/>
      <c r="CG98" s="125"/>
      <c r="CH98" s="113"/>
      <c r="CI98" s="113"/>
      <c r="CJ98" s="113"/>
      <c r="CK98" s="125"/>
      <c r="CL98" s="113"/>
      <c r="CM98" s="113"/>
      <c r="CN98" s="113"/>
      <c r="CO98" s="125"/>
      <c r="CP98" s="113"/>
      <c r="CQ98" s="113"/>
      <c r="CR98" s="113"/>
      <c r="CS98" s="125"/>
      <c r="CT98" s="113"/>
      <c r="CU98" s="113"/>
      <c r="CV98" s="113"/>
      <c r="CW98" s="127"/>
      <c r="CX98" s="113"/>
      <c r="CY98" s="113"/>
      <c r="CZ98" s="113"/>
      <c r="DA98" s="125"/>
      <c r="DB98" s="113"/>
      <c r="DC98" s="113"/>
      <c r="DD98" s="113"/>
      <c r="DE98" s="125"/>
      <c r="DF98" s="113"/>
      <c r="DG98" s="113"/>
      <c r="DH98" s="113"/>
      <c r="DI98" s="127"/>
      <c r="DJ98" s="113"/>
      <c r="DK98" s="113"/>
      <c r="DL98" s="113"/>
      <c r="DM98" s="127"/>
      <c r="DN98" s="113"/>
      <c r="DO98" s="113"/>
      <c r="DP98" s="113"/>
      <c r="DQ98" s="127"/>
      <c r="DR98" s="113"/>
      <c r="DS98" s="113"/>
      <c r="DT98" s="113"/>
      <c r="DU98" s="127"/>
      <c r="DV98" s="113"/>
      <c r="DW98" s="113"/>
      <c r="DX98" s="113"/>
      <c r="DY98" s="127"/>
      <c r="DZ98" s="113"/>
      <c r="EA98" s="113"/>
      <c r="EB98" s="113"/>
      <c r="EC98" s="127"/>
      <c r="ED98" s="113"/>
      <c r="EE98" s="126"/>
      <c r="EF98" s="112"/>
      <c r="EG98" s="112"/>
      <c r="EH98" s="125"/>
      <c r="EI98" s="128"/>
      <c r="EJ98" s="113"/>
      <c r="EK98" s="113"/>
      <c r="EL98" s="127"/>
      <c r="EM98" s="125"/>
      <c r="EN98" s="113"/>
      <c r="EO98" s="113"/>
      <c r="EP98" s="113"/>
      <c r="EQ98" s="127"/>
      <c r="ER98" s="125"/>
      <c r="ES98" s="113"/>
      <c r="ET98" s="113"/>
      <c r="EU98" s="113"/>
      <c r="EV98" s="127"/>
      <c r="EW98" s="129"/>
      <c r="EX98" s="112"/>
      <c r="EY98" s="112"/>
      <c r="EZ98" s="112"/>
      <c r="FA98" s="125"/>
      <c r="FB98" s="112"/>
      <c r="FC98" s="112"/>
      <c r="FD98" s="112"/>
      <c r="FE98" s="125"/>
      <c r="FF98" s="112"/>
      <c r="FG98" s="112"/>
      <c r="FH98" s="112"/>
      <c r="FI98" s="125"/>
      <c r="FJ98" s="129"/>
      <c r="FK98" s="125"/>
      <c r="FL98" s="130"/>
      <c r="FM98" s="131"/>
    </row>
    <row r="99" spans="1:169" x14ac:dyDescent="0.2">
      <c r="X99" s="87"/>
      <c r="AF99" s="92"/>
      <c r="BJ99" s="88"/>
      <c r="BL99" s="49"/>
      <c r="BP99" s="93"/>
      <c r="BQ99" s="94"/>
      <c r="BT99" s="93"/>
      <c r="BX99" s="93"/>
      <c r="BY99" s="95"/>
      <c r="BZ99" s="95"/>
      <c r="CA99" s="95"/>
      <c r="CB99" s="93"/>
      <c r="CC99" s="95"/>
      <c r="CD99" s="95"/>
      <c r="CE99" s="95"/>
      <c r="CF99" s="93"/>
      <c r="CG99" s="93"/>
      <c r="CK99" s="93"/>
      <c r="CO99" s="93"/>
      <c r="CS99" s="93"/>
      <c r="CW99" s="95"/>
      <c r="DA99" s="93"/>
      <c r="DE99" s="93"/>
      <c r="DI99" s="95"/>
      <c r="DM99" s="95"/>
      <c r="DQ99" s="95"/>
      <c r="DU99" s="95"/>
      <c r="DY99" s="95"/>
      <c r="EC99" s="95"/>
      <c r="EE99" s="94"/>
      <c r="EH99" s="93"/>
      <c r="EI99" s="96"/>
      <c r="EL99" s="95"/>
      <c r="EM99" s="93"/>
      <c r="EQ99" s="95"/>
      <c r="ER99" s="93"/>
      <c r="EV99" s="95"/>
      <c r="EW99" s="97"/>
      <c r="FA99" s="93"/>
      <c r="FE99" s="93"/>
      <c r="FI99" s="93"/>
      <c r="FJ99" s="97"/>
      <c r="FK99" s="93"/>
      <c r="FL99" s="98"/>
    </row>
    <row r="100" spans="1:169" x14ac:dyDescent="0.2">
      <c r="X100" s="87"/>
      <c r="AF100" s="92"/>
      <c r="BJ100" s="88"/>
      <c r="BL100" s="49"/>
      <c r="BP100" s="93"/>
      <c r="BQ100" s="94"/>
      <c r="BT100" s="93"/>
      <c r="BX100" s="93"/>
      <c r="BY100" s="95"/>
      <c r="BZ100" s="95"/>
      <c r="CA100" s="95"/>
      <c r="CB100" s="93"/>
      <c r="CC100" s="95"/>
      <c r="CD100" s="95"/>
      <c r="CE100" s="95"/>
      <c r="CF100" s="93"/>
      <c r="CG100" s="93"/>
      <c r="CK100" s="93"/>
      <c r="CO100" s="93"/>
      <c r="CS100" s="93"/>
      <c r="CW100" s="95"/>
      <c r="DA100" s="93"/>
      <c r="DE100" s="93"/>
      <c r="DI100" s="95"/>
      <c r="DM100" s="95"/>
      <c r="DQ100" s="95"/>
      <c r="DU100" s="95"/>
      <c r="DY100" s="95"/>
      <c r="EC100" s="95"/>
      <c r="EE100" s="94"/>
      <c r="EH100" s="93"/>
      <c r="EI100" s="96"/>
      <c r="EL100" s="95"/>
      <c r="EM100" s="93"/>
      <c r="EQ100" s="95"/>
      <c r="ER100" s="93"/>
      <c r="EV100" s="95"/>
      <c r="EW100" s="97"/>
      <c r="FA100" s="93"/>
      <c r="FE100" s="93"/>
      <c r="FI100" s="93"/>
      <c r="FJ100" s="97"/>
      <c r="FK100" s="93"/>
      <c r="FL100" s="98"/>
    </row>
    <row r="101" spans="1:169" x14ac:dyDescent="0.2">
      <c r="X101" s="87"/>
      <c r="AF101" s="92"/>
      <c r="BJ101" s="88"/>
      <c r="BL101" s="49"/>
      <c r="BP101" s="93"/>
      <c r="BQ101" s="94"/>
      <c r="BT101" s="93"/>
      <c r="BX101" s="93"/>
      <c r="BY101" s="95"/>
      <c r="BZ101" s="95"/>
      <c r="CA101" s="95"/>
      <c r="CB101" s="93"/>
      <c r="CC101" s="95"/>
      <c r="CD101" s="95"/>
      <c r="CE101" s="95"/>
      <c r="CF101" s="93"/>
      <c r="CG101" s="93"/>
      <c r="CK101" s="93"/>
      <c r="CO101" s="93"/>
      <c r="CS101" s="93"/>
      <c r="CW101" s="95"/>
      <c r="DA101" s="93"/>
      <c r="DE101" s="93"/>
      <c r="DI101" s="95"/>
      <c r="DM101" s="95"/>
      <c r="DQ101" s="95"/>
      <c r="DU101" s="95"/>
      <c r="DY101" s="95"/>
      <c r="EC101" s="95"/>
      <c r="EE101" s="94"/>
      <c r="EH101" s="93"/>
      <c r="EI101" s="96"/>
      <c r="EL101" s="95"/>
      <c r="EM101" s="93"/>
      <c r="EQ101" s="95"/>
      <c r="ER101" s="93"/>
      <c r="EV101" s="95"/>
      <c r="EW101" s="97"/>
      <c r="FA101" s="93"/>
      <c r="FE101" s="93"/>
      <c r="FI101" s="93"/>
      <c r="FJ101" s="97"/>
      <c r="FK101" s="93"/>
      <c r="FL101" s="98"/>
    </row>
    <row r="102" spans="1:169" x14ac:dyDescent="0.2">
      <c r="X102" s="56"/>
      <c r="AF102" s="92"/>
      <c r="BJ102" s="88"/>
      <c r="BL102" s="49"/>
      <c r="BP102" s="93"/>
      <c r="BQ102" s="94"/>
      <c r="BT102" s="93"/>
      <c r="BX102" s="93"/>
      <c r="BY102" s="95"/>
      <c r="BZ102" s="95"/>
      <c r="CA102" s="95"/>
      <c r="CB102" s="93"/>
      <c r="CC102" s="95"/>
      <c r="CD102" s="95"/>
      <c r="CE102" s="95"/>
      <c r="CF102" s="93"/>
      <c r="CG102" s="93"/>
      <c r="CK102" s="93"/>
      <c r="CO102" s="93"/>
      <c r="CS102" s="93"/>
      <c r="CW102" s="95"/>
      <c r="DA102" s="93"/>
      <c r="DE102" s="93"/>
      <c r="DI102" s="95"/>
      <c r="DM102" s="95"/>
      <c r="DQ102" s="95"/>
      <c r="DU102" s="95"/>
      <c r="DY102" s="95"/>
      <c r="EC102" s="95"/>
      <c r="EE102" s="94"/>
      <c r="EH102" s="93"/>
      <c r="EI102" s="96"/>
      <c r="EL102" s="95"/>
      <c r="EM102" s="93"/>
      <c r="EQ102" s="95"/>
      <c r="ER102" s="93"/>
      <c r="EV102" s="95"/>
      <c r="EW102" s="97"/>
      <c r="FA102" s="93"/>
      <c r="FE102" s="93"/>
      <c r="FI102" s="93"/>
      <c r="FJ102" s="97"/>
      <c r="FK102" s="93"/>
      <c r="FL102" s="98"/>
    </row>
    <row r="103" spans="1:169" x14ac:dyDescent="0.2">
      <c r="X103" s="56"/>
      <c r="AF103" s="92"/>
      <c r="BJ103" s="88"/>
      <c r="BL103" s="49"/>
      <c r="BP103" s="93"/>
      <c r="BQ103" s="94"/>
      <c r="BT103" s="93"/>
      <c r="BX103" s="93"/>
      <c r="BY103" s="95"/>
      <c r="BZ103" s="95"/>
      <c r="CA103" s="95"/>
      <c r="CB103" s="93"/>
      <c r="CC103" s="95"/>
      <c r="CD103" s="95"/>
      <c r="CE103" s="95"/>
      <c r="CF103" s="93"/>
      <c r="CG103" s="93"/>
      <c r="CK103" s="93"/>
      <c r="CO103" s="93"/>
      <c r="CS103" s="93"/>
      <c r="CW103" s="95"/>
      <c r="DA103" s="93"/>
      <c r="DE103" s="93"/>
      <c r="DI103" s="95"/>
      <c r="DM103" s="95"/>
      <c r="DQ103" s="95"/>
      <c r="DU103" s="95"/>
      <c r="DY103" s="95"/>
      <c r="EC103" s="95"/>
      <c r="EE103" s="94"/>
      <c r="EH103" s="93"/>
      <c r="EI103" s="96"/>
      <c r="EL103" s="95"/>
      <c r="EM103" s="93"/>
      <c r="EQ103" s="95"/>
      <c r="ER103" s="93"/>
      <c r="EV103" s="95"/>
      <c r="EW103" s="97"/>
      <c r="FA103" s="93"/>
      <c r="FE103" s="93"/>
      <c r="FI103" s="93"/>
      <c r="FJ103" s="97"/>
      <c r="FK103" s="93"/>
      <c r="FL103" s="98"/>
    </row>
    <row r="104" spans="1:169" x14ac:dyDescent="0.2">
      <c r="X104" s="87"/>
      <c r="AF104" s="92"/>
      <c r="BJ104" s="88"/>
      <c r="BL104" s="49"/>
      <c r="BP104" s="93"/>
      <c r="BQ104" s="94"/>
      <c r="BT104" s="93"/>
      <c r="BX104" s="93"/>
      <c r="BY104" s="95"/>
      <c r="BZ104" s="95"/>
      <c r="CA104" s="95"/>
      <c r="CB104" s="93"/>
      <c r="CC104" s="95"/>
      <c r="CD104" s="95"/>
      <c r="CE104" s="95"/>
      <c r="CF104" s="93"/>
      <c r="CG104" s="93"/>
      <c r="CK104" s="93"/>
      <c r="CO104" s="93"/>
      <c r="CS104" s="93"/>
      <c r="CW104" s="95"/>
      <c r="DA104" s="93"/>
      <c r="DE104" s="93"/>
      <c r="DI104" s="95"/>
      <c r="DM104" s="95"/>
      <c r="DQ104" s="95"/>
      <c r="DU104" s="95"/>
      <c r="DY104" s="95"/>
      <c r="EC104" s="95"/>
      <c r="EE104" s="94"/>
      <c r="EH104" s="93"/>
      <c r="EI104" s="96"/>
      <c r="EL104" s="95"/>
      <c r="EM104" s="93"/>
      <c r="EQ104" s="95"/>
      <c r="ER104" s="93"/>
      <c r="EV104" s="95"/>
      <c r="EW104" s="97"/>
      <c r="FA104" s="93"/>
      <c r="FE104" s="93"/>
      <c r="FI104" s="93"/>
      <c r="FJ104" s="97"/>
      <c r="FK104" s="93"/>
      <c r="FL104" s="98"/>
    </row>
    <row r="105" spans="1:169" x14ac:dyDescent="0.2">
      <c r="A105" s="112"/>
      <c r="B105" s="113"/>
      <c r="C105" s="113"/>
      <c r="D105" s="113"/>
      <c r="E105" s="113"/>
      <c r="F105" s="112"/>
      <c r="G105" s="114"/>
      <c r="H105" s="114"/>
      <c r="I105" s="114"/>
      <c r="J105" s="115"/>
      <c r="K105" s="116"/>
      <c r="L105" s="112"/>
      <c r="M105" s="113"/>
      <c r="N105" s="113"/>
      <c r="O105" s="113"/>
      <c r="P105" s="113"/>
      <c r="Q105" s="117"/>
      <c r="R105" s="118"/>
      <c r="S105" s="119"/>
      <c r="T105" s="113"/>
      <c r="U105" s="113"/>
      <c r="V105" s="113"/>
      <c r="W105" s="113"/>
      <c r="X105" s="113"/>
      <c r="Y105" s="113"/>
      <c r="Z105" s="113"/>
      <c r="AA105" s="113"/>
      <c r="AB105" s="113"/>
      <c r="AC105" s="113"/>
      <c r="AD105" s="113"/>
      <c r="AE105" s="113"/>
      <c r="AF105" s="120"/>
      <c r="AG105" s="113"/>
      <c r="AH105" s="113"/>
      <c r="AI105" s="121"/>
      <c r="AJ105" s="119"/>
      <c r="AK105" s="113"/>
      <c r="AL105" s="113"/>
      <c r="AM105" s="122"/>
      <c r="AN105" s="122"/>
      <c r="AO105" s="122"/>
      <c r="AP105" s="122"/>
      <c r="AQ105" s="122"/>
      <c r="AR105" s="122"/>
      <c r="AS105" s="122"/>
      <c r="AT105" s="122"/>
      <c r="AU105" s="122"/>
      <c r="AV105" s="122"/>
      <c r="AW105" s="122"/>
      <c r="AX105" s="122"/>
      <c r="AY105" s="122"/>
      <c r="AZ105" s="122"/>
      <c r="BA105" s="122"/>
      <c r="BB105" s="122"/>
      <c r="BC105" s="122"/>
      <c r="BD105" s="116"/>
      <c r="BE105" s="116"/>
      <c r="BF105" s="116"/>
      <c r="BG105" s="116"/>
      <c r="BH105" s="116"/>
      <c r="BI105" s="116"/>
      <c r="BJ105" s="123"/>
      <c r="BK105" s="119"/>
      <c r="BL105" s="124"/>
      <c r="BM105" s="112"/>
      <c r="BN105" s="112"/>
      <c r="BO105" s="112"/>
      <c r="BP105" s="125"/>
      <c r="BQ105" s="126"/>
      <c r="BR105" s="112"/>
      <c r="BS105" s="112"/>
      <c r="BT105" s="125"/>
      <c r="BU105" s="112"/>
      <c r="BV105" s="112"/>
      <c r="BW105" s="112"/>
      <c r="BX105" s="125"/>
      <c r="BY105" s="127"/>
      <c r="BZ105" s="127"/>
      <c r="CA105" s="127"/>
      <c r="CB105" s="125"/>
      <c r="CC105" s="127"/>
      <c r="CD105" s="127"/>
      <c r="CE105" s="127"/>
      <c r="CF105" s="125"/>
      <c r="CG105" s="125"/>
      <c r="CH105" s="113"/>
      <c r="CI105" s="113"/>
      <c r="CJ105" s="113"/>
      <c r="CK105" s="125"/>
      <c r="CL105" s="113"/>
      <c r="CM105" s="113"/>
      <c r="CN105" s="113"/>
      <c r="CO105" s="125"/>
      <c r="CP105" s="113"/>
      <c r="CQ105" s="113"/>
      <c r="CR105" s="113"/>
      <c r="CS105" s="125"/>
      <c r="CT105" s="113"/>
      <c r="CU105" s="113"/>
      <c r="CV105" s="113"/>
      <c r="CW105" s="127"/>
      <c r="CX105" s="113"/>
      <c r="CY105" s="113"/>
      <c r="CZ105" s="113"/>
      <c r="DA105" s="125"/>
      <c r="DB105" s="113"/>
      <c r="DC105" s="113"/>
      <c r="DD105" s="113"/>
      <c r="DE105" s="125"/>
      <c r="DF105" s="113"/>
      <c r="DG105" s="113"/>
      <c r="DH105" s="113"/>
      <c r="DI105" s="127"/>
      <c r="DJ105" s="113"/>
      <c r="DK105" s="113"/>
      <c r="DL105" s="113"/>
      <c r="DM105" s="127"/>
      <c r="DN105" s="113"/>
      <c r="DO105" s="113"/>
      <c r="DP105" s="113"/>
      <c r="DQ105" s="127"/>
      <c r="DR105" s="113"/>
      <c r="DS105" s="113"/>
      <c r="DT105" s="113"/>
      <c r="DU105" s="127"/>
      <c r="DV105" s="113"/>
      <c r="DW105" s="113"/>
      <c r="DX105" s="113"/>
      <c r="DY105" s="127"/>
      <c r="DZ105" s="113"/>
      <c r="EA105" s="113"/>
      <c r="EB105" s="113"/>
      <c r="EC105" s="127"/>
      <c r="ED105" s="113"/>
      <c r="EE105" s="126"/>
      <c r="EF105" s="112"/>
      <c r="EG105" s="112"/>
      <c r="EH105" s="125"/>
      <c r="EI105" s="128"/>
      <c r="EJ105" s="113"/>
      <c r="EK105" s="113"/>
      <c r="EL105" s="127"/>
      <c r="EM105" s="125"/>
      <c r="EN105" s="113"/>
      <c r="EO105" s="113"/>
      <c r="EP105" s="113"/>
      <c r="EQ105" s="127"/>
      <c r="ER105" s="125"/>
      <c r="ES105" s="113"/>
      <c r="ET105" s="113"/>
      <c r="EU105" s="113"/>
      <c r="EV105" s="127"/>
      <c r="EW105" s="129"/>
      <c r="EX105" s="112"/>
      <c r="EY105" s="112"/>
      <c r="EZ105" s="112"/>
      <c r="FA105" s="125"/>
      <c r="FB105" s="112"/>
      <c r="FC105" s="112"/>
      <c r="FD105" s="112"/>
      <c r="FE105" s="125"/>
      <c r="FF105" s="112"/>
      <c r="FG105" s="112"/>
      <c r="FH105" s="112"/>
      <c r="FI105" s="125"/>
      <c r="FJ105" s="129"/>
      <c r="FK105" s="125"/>
      <c r="FL105" s="130"/>
      <c r="FM105" s="131"/>
    </row>
    <row r="106" spans="1:169" x14ac:dyDescent="0.2">
      <c r="A106" s="112"/>
      <c r="B106" s="113"/>
      <c r="C106" s="113"/>
      <c r="D106" s="113"/>
      <c r="E106" s="113"/>
      <c r="F106" s="112"/>
      <c r="G106" s="114"/>
      <c r="H106" s="114"/>
      <c r="I106" s="114"/>
      <c r="J106" s="115"/>
      <c r="K106" s="116"/>
      <c r="L106" s="112"/>
      <c r="M106" s="113"/>
      <c r="N106" s="113"/>
      <c r="O106" s="113"/>
      <c r="P106" s="113"/>
      <c r="Q106" s="117"/>
      <c r="R106" s="118"/>
      <c r="S106" s="119"/>
      <c r="T106" s="113"/>
      <c r="U106" s="113"/>
      <c r="V106" s="113"/>
      <c r="W106" s="113"/>
      <c r="X106" s="113"/>
      <c r="Y106" s="113"/>
      <c r="Z106" s="113"/>
      <c r="AA106" s="113"/>
      <c r="AB106" s="113"/>
      <c r="AC106" s="113"/>
      <c r="AD106" s="113"/>
      <c r="AE106" s="113"/>
      <c r="AF106" s="120"/>
      <c r="AG106" s="113"/>
      <c r="AH106" s="113"/>
      <c r="AI106" s="121"/>
      <c r="AJ106" s="119"/>
      <c r="AK106" s="113"/>
      <c r="AL106" s="113"/>
      <c r="AM106" s="122"/>
      <c r="AN106" s="122"/>
      <c r="AO106" s="122"/>
      <c r="AP106" s="122"/>
      <c r="AQ106" s="122"/>
      <c r="AR106" s="122"/>
      <c r="AS106" s="122"/>
      <c r="AT106" s="122"/>
      <c r="AU106" s="122"/>
      <c r="AV106" s="122"/>
      <c r="AW106" s="122"/>
      <c r="AX106" s="122"/>
      <c r="AY106" s="122"/>
      <c r="AZ106" s="122"/>
      <c r="BA106" s="122"/>
      <c r="BB106" s="122"/>
      <c r="BC106" s="122"/>
      <c r="BD106" s="116"/>
      <c r="BE106" s="116"/>
      <c r="BF106" s="116"/>
      <c r="BG106" s="116"/>
      <c r="BH106" s="116"/>
      <c r="BI106" s="116"/>
      <c r="BJ106" s="123"/>
      <c r="BK106" s="119"/>
      <c r="BL106" s="124"/>
      <c r="BM106" s="112"/>
      <c r="BN106" s="112"/>
      <c r="BO106" s="112"/>
      <c r="BP106" s="125"/>
      <c r="BQ106" s="126"/>
      <c r="BR106" s="112"/>
      <c r="BS106" s="112"/>
      <c r="BT106" s="125"/>
      <c r="BU106" s="112"/>
      <c r="BV106" s="112"/>
      <c r="BW106" s="112"/>
      <c r="BX106" s="125"/>
      <c r="BY106" s="127"/>
      <c r="BZ106" s="127"/>
      <c r="CA106" s="127"/>
      <c r="CB106" s="125"/>
      <c r="CC106" s="127"/>
      <c r="CD106" s="127"/>
      <c r="CE106" s="127"/>
      <c r="CF106" s="125"/>
      <c r="CG106" s="125"/>
      <c r="CH106" s="113"/>
      <c r="CI106" s="113"/>
      <c r="CJ106" s="113"/>
      <c r="CK106" s="125"/>
      <c r="CL106" s="113"/>
      <c r="CM106" s="113"/>
      <c r="CN106" s="113"/>
      <c r="CO106" s="125"/>
      <c r="CP106" s="113"/>
      <c r="CQ106" s="113"/>
      <c r="CR106" s="113"/>
      <c r="CS106" s="125"/>
      <c r="CT106" s="113"/>
      <c r="CU106" s="113"/>
      <c r="CV106" s="113"/>
      <c r="CW106" s="127"/>
      <c r="CX106" s="113"/>
      <c r="CY106" s="113"/>
      <c r="CZ106" s="113"/>
      <c r="DA106" s="125"/>
      <c r="DB106" s="113"/>
      <c r="DC106" s="113"/>
      <c r="DD106" s="113"/>
      <c r="DE106" s="125"/>
      <c r="DF106" s="113"/>
      <c r="DG106" s="113"/>
      <c r="DH106" s="113"/>
      <c r="DI106" s="127"/>
      <c r="DJ106" s="113"/>
      <c r="DK106" s="113"/>
      <c r="DL106" s="113"/>
      <c r="DM106" s="127"/>
      <c r="DN106" s="113"/>
      <c r="DO106" s="113"/>
      <c r="DP106" s="113"/>
      <c r="DQ106" s="127"/>
      <c r="DR106" s="113"/>
      <c r="DS106" s="113"/>
      <c r="DT106" s="113"/>
      <c r="DU106" s="127"/>
      <c r="DV106" s="113"/>
      <c r="DW106" s="113"/>
      <c r="DX106" s="113"/>
      <c r="DY106" s="127"/>
      <c r="DZ106" s="113"/>
      <c r="EA106" s="113"/>
      <c r="EB106" s="113"/>
      <c r="EC106" s="127"/>
      <c r="ED106" s="113"/>
      <c r="EE106" s="126"/>
      <c r="EF106" s="112"/>
      <c r="EG106" s="112"/>
      <c r="EH106" s="125"/>
      <c r="EI106" s="128"/>
      <c r="EJ106" s="113"/>
      <c r="EK106" s="113"/>
      <c r="EL106" s="127"/>
      <c r="EM106" s="125"/>
      <c r="EN106" s="113"/>
      <c r="EO106" s="113"/>
      <c r="EP106" s="113"/>
      <c r="EQ106" s="127"/>
      <c r="ER106" s="125"/>
      <c r="ES106" s="113"/>
      <c r="ET106" s="113"/>
      <c r="EU106" s="113"/>
      <c r="EV106" s="127"/>
      <c r="EW106" s="129"/>
      <c r="EX106" s="112"/>
      <c r="EY106" s="112"/>
      <c r="EZ106" s="112"/>
      <c r="FA106" s="125"/>
      <c r="FB106" s="112"/>
      <c r="FC106" s="112"/>
      <c r="FD106" s="112"/>
      <c r="FE106" s="125"/>
      <c r="FF106" s="112"/>
      <c r="FG106" s="112"/>
      <c r="FH106" s="112"/>
      <c r="FI106" s="125"/>
      <c r="FJ106" s="129"/>
      <c r="FK106" s="125"/>
      <c r="FL106" s="130"/>
      <c r="FM106" s="131"/>
    </row>
    <row r="107" spans="1:169" x14ac:dyDescent="0.2">
      <c r="X107" s="56"/>
      <c r="AF107" s="92"/>
      <c r="BJ107" s="88"/>
      <c r="BL107" s="49"/>
      <c r="BP107" s="93"/>
      <c r="BQ107" s="94"/>
      <c r="BT107" s="93"/>
      <c r="BX107" s="93"/>
      <c r="BY107" s="95"/>
      <c r="BZ107" s="95"/>
      <c r="CA107" s="95"/>
      <c r="CB107" s="93"/>
      <c r="CC107" s="95"/>
      <c r="CD107" s="95"/>
      <c r="CE107" s="95"/>
      <c r="CF107" s="93"/>
      <c r="CG107" s="93"/>
      <c r="CK107" s="93"/>
      <c r="CO107" s="93"/>
      <c r="CS107" s="93"/>
      <c r="CW107" s="95"/>
      <c r="DA107" s="93"/>
      <c r="DE107" s="93"/>
      <c r="DI107" s="95"/>
      <c r="DM107" s="95"/>
      <c r="DQ107" s="95"/>
      <c r="DU107" s="95"/>
      <c r="DY107" s="95"/>
      <c r="EC107" s="95"/>
      <c r="EE107" s="94"/>
      <c r="EH107" s="93"/>
      <c r="EI107" s="96"/>
      <c r="EL107" s="95"/>
      <c r="EM107" s="93"/>
      <c r="EQ107" s="95"/>
      <c r="ER107" s="93"/>
      <c r="EV107" s="95"/>
      <c r="EW107" s="97"/>
      <c r="FA107" s="93"/>
      <c r="FE107" s="93"/>
      <c r="FI107" s="93"/>
      <c r="FJ107" s="97"/>
      <c r="FK107" s="93"/>
      <c r="FL107" s="98"/>
    </row>
    <row r="108" spans="1:169" x14ac:dyDescent="0.2">
      <c r="X108" s="87"/>
      <c r="AF108" s="92"/>
      <c r="BJ108" s="88"/>
      <c r="BL108" s="49"/>
      <c r="BP108" s="93"/>
      <c r="BQ108" s="94"/>
      <c r="BT108" s="93"/>
      <c r="BX108" s="93"/>
      <c r="BY108" s="95"/>
      <c r="BZ108" s="95"/>
      <c r="CA108" s="95"/>
      <c r="CB108" s="93"/>
      <c r="CC108" s="95"/>
      <c r="CD108" s="95"/>
      <c r="CE108" s="95"/>
      <c r="CF108" s="93"/>
      <c r="CG108" s="93"/>
      <c r="CK108" s="93"/>
      <c r="CO108" s="93"/>
      <c r="CS108" s="93"/>
      <c r="CW108" s="95"/>
      <c r="DA108" s="93"/>
      <c r="DE108" s="93"/>
      <c r="DI108" s="95"/>
      <c r="DM108" s="95"/>
      <c r="DQ108" s="95"/>
      <c r="DU108" s="95"/>
      <c r="DY108" s="95"/>
      <c r="EC108" s="95"/>
      <c r="EE108" s="94"/>
      <c r="EH108" s="93"/>
      <c r="EI108" s="96"/>
      <c r="EL108" s="95"/>
      <c r="EM108" s="93"/>
      <c r="EQ108" s="95"/>
      <c r="ER108" s="93"/>
      <c r="EV108" s="95"/>
      <c r="EW108" s="97"/>
      <c r="FA108" s="93"/>
      <c r="FE108" s="93"/>
      <c r="FI108" s="93"/>
      <c r="FJ108" s="97"/>
      <c r="FK108" s="93"/>
      <c r="FL108" s="98"/>
    </row>
    <row r="109" spans="1:169" x14ac:dyDescent="0.2">
      <c r="X109" s="87"/>
      <c r="AF109" s="92"/>
      <c r="BJ109" s="88"/>
      <c r="BL109" s="49"/>
      <c r="BP109" s="93"/>
      <c r="BQ109" s="94"/>
      <c r="BT109" s="93"/>
      <c r="BX109" s="93"/>
      <c r="BY109" s="95"/>
      <c r="BZ109" s="95"/>
      <c r="CA109" s="95"/>
      <c r="CB109" s="93"/>
      <c r="CC109" s="95"/>
      <c r="CD109" s="95"/>
      <c r="CE109" s="95"/>
      <c r="CF109" s="93"/>
      <c r="CG109" s="93"/>
      <c r="CK109" s="93"/>
      <c r="CO109" s="93"/>
      <c r="CS109" s="93"/>
      <c r="CW109" s="95"/>
      <c r="DA109" s="93"/>
      <c r="DE109" s="93"/>
      <c r="DI109" s="95"/>
      <c r="DM109" s="95"/>
      <c r="DQ109" s="95"/>
      <c r="DU109" s="95"/>
      <c r="DY109" s="95"/>
      <c r="EC109" s="95"/>
      <c r="EE109" s="94"/>
      <c r="EH109" s="93"/>
      <c r="EI109" s="96"/>
      <c r="EL109" s="95"/>
      <c r="EM109" s="93"/>
      <c r="EQ109" s="95"/>
      <c r="ER109" s="93"/>
      <c r="EV109" s="95"/>
      <c r="EW109" s="97"/>
      <c r="FA109" s="93"/>
      <c r="FE109" s="93"/>
      <c r="FI109" s="93"/>
      <c r="FJ109" s="97"/>
      <c r="FK109" s="93"/>
      <c r="FL109" s="98"/>
    </row>
    <row r="110" spans="1:169" x14ac:dyDescent="0.2">
      <c r="X110" s="87"/>
      <c r="AF110" s="92"/>
      <c r="BJ110" s="88"/>
      <c r="BL110" s="49"/>
      <c r="BP110" s="93"/>
      <c r="BQ110" s="94"/>
      <c r="BT110" s="93"/>
      <c r="BX110" s="93"/>
      <c r="BY110" s="95"/>
      <c r="BZ110" s="95"/>
      <c r="CA110" s="95"/>
      <c r="CB110" s="93"/>
      <c r="CC110" s="95"/>
      <c r="CD110" s="95"/>
      <c r="CE110" s="95"/>
      <c r="CF110" s="93"/>
      <c r="CG110" s="93"/>
      <c r="CK110" s="93"/>
      <c r="CO110" s="93"/>
      <c r="CS110" s="93"/>
      <c r="CW110" s="95"/>
      <c r="DA110" s="93"/>
      <c r="DE110" s="93"/>
      <c r="DI110" s="95"/>
      <c r="DM110" s="95"/>
      <c r="DQ110" s="95"/>
      <c r="DU110" s="95"/>
      <c r="DY110" s="95"/>
      <c r="EC110" s="95"/>
      <c r="EE110" s="94"/>
      <c r="EH110" s="93"/>
      <c r="EI110" s="96"/>
      <c r="EL110" s="95"/>
      <c r="EM110" s="93"/>
      <c r="EQ110" s="95"/>
      <c r="ER110" s="93"/>
      <c r="EV110" s="95"/>
      <c r="EW110" s="97"/>
      <c r="FA110" s="93"/>
      <c r="FE110" s="93"/>
      <c r="FI110" s="93"/>
      <c r="FJ110" s="97"/>
      <c r="FK110" s="93"/>
      <c r="FL110" s="98"/>
    </row>
    <row r="111" spans="1:169" x14ac:dyDescent="0.2">
      <c r="A111" s="112"/>
      <c r="B111" s="113"/>
      <c r="C111" s="113"/>
      <c r="D111" s="113"/>
      <c r="E111" s="113"/>
      <c r="F111" s="112"/>
      <c r="G111" s="114"/>
      <c r="H111" s="114"/>
      <c r="I111" s="114"/>
      <c r="J111" s="115"/>
      <c r="K111" s="116"/>
      <c r="L111" s="112"/>
      <c r="M111" s="113"/>
      <c r="N111" s="113"/>
      <c r="O111" s="113"/>
      <c r="P111" s="113"/>
      <c r="Q111" s="117"/>
      <c r="R111" s="118"/>
      <c r="S111" s="119"/>
      <c r="T111" s="113"/>
      <c r="U111" s="113"/>
      <c r="V111" s="113"/>
      <c r="W111" s="113"/>
      <c r="X111" s="113"/>
      <c r="Y111" s="113"/>
      <c r="Z111" s="113"/>
      <c r="AA111" s="113"/>
      <c r="AB111" s="113"/>
      <c r="AC111" s="113"/>
      <c r="AD111" s="113"/>
      <c r="AE111" s="113"/>
      <c r="AF111" s="120"/>
      <c r="AG111" s="113"/>
      <c r="AH111" s="113"/>
      <c r="AI111" s="121"/>
      <c r="AJ111" s="119"/>
      <c r="AK111" s="113"/>
      <c r="AL111" s="113"/>
      <c r="AM111" s="122"/>
      <c r="AN111" s="122"/>
      <c r="AO111" s="122"/>
      <c r="AP111" s="122"/>
      <c r="AQ111" s="122"/>
      <c r="AR111" s="122"/>
      <c r="AS111" s="122"/>
      <c r="AT111" s="122"/>
      <c r="AU111" s="122"/>
      <c r="AV111" s="122"/>
      <c r="AW111" s="122"/>
      <c r="AX111" s="122"/>
      <c r="AY111" s="122"/>
      <c r="AZ111" s="122"/>
      <c r="BA111" s="122"/>
      <c r="BB111" s="122"/>
      <c r="BC111" s="122"/>
      <c r="BD111" s="116"/>
      <c r="BE111" s="116"/>
      <c r="BF111" s="116"/>
      <c r="BG111" s="116"/>
      <c r="BH111" s="116"/>
      <c r="BI111" s="116"/>
      <c r="BJ111" s="123"/>
      <c r="BK111" s="119"/>
      <c r="BL111" s="124"/>
      <c r="BM111" s="112"/>
      <c r="BN111" s="112"/>
      <c r="BO111" s="112"/>
      <c r="BP111" s="125"/>
      <c r="BQ111" s="126"/>
      <c r="BR111" s="112"/>
      <c r="BS111" s="112"/>
      <c r="BT111" s="125"/>
      <c r="BU111" s="112"/>
      <c r="BV111" s="112"/>
      <c r="BW111" s="112"/>
      <c r="BX111" s="125"/>
      <c r="BY111" s="127"/>
      <c r="BZ111" s="127"/>
      <c r="CA111" s="127"/>
      <c r="CB111" s="125"/>
      <c r="CC111" s="127"/>
      <c r="CD111" s="127"/>
      <c r="CE111" s="127"/>
      <c r="CF111" s="125"/>
      <c r="CG111" s="125"/>
      <c r="CH111" s="113"/>
      <c r="CI111" s="113"/>
      <c r="CJ111" s="113"/>
      <c r="CK111" s="125"/>
      <c r="CL111" s="113"/>
      <c r="CM111" s="113"/>
      <c r="CN111" s="113"/>
      <c r="CO111" s="125"/>
      <c r="CP111" s="113"/>
      <c r="CQ111" s="113"/>
      <c r="CR111" s="113"/>
      <c r="CS111" s="125"/>
      <c r="CT111" s="113"/>
      <c r="CU111" s="113"/>
      <c r="CV111" s="113"/>
      <c r="CW111" s="127"/>
      <c r="CX111" s="113"/>
      <c r="CY111" s="113"/>
      <c r="CZ111" s="113"/>
      <c r="DA111" s="125"/>
      <c r="DB111" s="113"/>
      <c r="DC111" s="113"/>
      <c r="DD111" s="113"/>
      <c r="DE111" s="125"/>
      <c r="DF111" s="113"/>
      <c r="DG111" s="113"/>
      <c r="DH111" s="113"/>
      <c r="DI111" s="127"/>
      <c r="DJ111" s="113"/>
      <c r="DK111" s="113"/>
      <c r="DL111" s="113"/>
      <c r="DM111" s="127"/>
      <c r="DN111" s="113"/>
      <c r="DO111" s="113"/>
      <c r="DP111" s="113"/>
      <c r="DQ111" s="127"/>
      <c r="DR111" s="113"/>
      <c r="DS111" s="113"/>
      <c r="DT111" s="113"/>
      <c r="DU111" s="127"/>
      <c r="DV111" s="113"/>
      <c r="DW111" s="113"/>
      <c r="DX111" s="113"/>
      <c r="DY111" s="127"/>
      <c r="DZ111" s="113"/>
      <c r="EA111" s="113"/>
      <c r="EB111" s="113"/>
      <c r="EC111" s="127"/>
      <c r="ED111" s="113"/>
      <c r="EE111" s="126"/>
      <c r="EF111" s="112"/>
      <c r="EG111" s="112"/>
      <c r="EH111" s="125"/>
      <c r="EI111" s="128"/>
      <c r="EJ111" s="113"/>
      <c r="EK111" s="113"/>
      <c r="EL111" s="127"/>
      <c r="EM111" s="125"/>
      <c r="EN111" s="113"/>
      <c r="EO111" s="113"/>
      <c r="EP111" s="113"/>
      <c r="EQ111" s="127"/>
      <c r="ER111" s="125"/>
      <c r="ES111" s="113"/>
      <c r="ET111" s="113"/>
      <c r="EU111" s="113"/>
      <c r="EV111" s="127"/>
      <c r="EW111" s="129"/>
      <c r="EX111" s="112"/>
      <c r="EY111" s="112"/>
      <c r="EZ111" s="112"/>
      <c r="FA111" s="125"/>
      <c r="FB111" s="112"/>
      <c r="FC111" s="112"/>
      <c r="FD111" s="112"/>
      <c r="FE111" s="125"/>
      <c r="FF111" s="112"/>
      <c r="FG111" s="112"/>
      <c r="FH111" s="112"/>
      <c r="FI111" s="125"/>
      <c r="FJ111" s="129"/>
      <c r="FK111" s="125"/>
      <c r="FL111" s="130"/>
      <c r="FM111" s="131"/>
    </row>
    <row r="112" spans="1:169" x14ac:dyDescent="0.2">
      <c r="A112" s="112"/>
      <c r="B112" s="113"/>
      <c r="C112" s="113"/>
      <c r="D112" s="113"/>
      <c r="E112" s="113"/>
      <c r="F112" s="112"/>
      <c r="G112" s="114"/>
      <c r="H112" s="114"/>
      <c r="I112" s="114"/>
      <c r="J112" s="115"/>
      <c r="K112" s="116"/>
      <c r="L112" s="112"/>
      <c r="M112" s="113"/>
      <c r="N112" s="113"/>
      <c r="O112" s="113"/>
      <c r="P112" s="113"/>
      <c r="Q112" s="117"/>
      <c r="R112" s="118"/>
      <c r="S112" s="119"/>
      <c r="T112" s="113"/>
      <c r="U112" s="113"/>
      <c r="V112" s="113"/>
      <c r="W112" s="113"/>
      <c r="X112" s="113"/>
      <c r="Y112" s="113"/>
      <c r="Z112" s="113"/>
      <c r="AA112" s="113"/>
      <c r="AB112" s="113"/>
      <c r="AC112" s="113"/>
      <c r="AD112" s="113"/>
      <c r="AE112" s="113"/>
      <c r="AF112" s="120"/>
      <c r="AG112" s="113"/>
      <c r="AH112" s="113"/>
      <c r="AI112" s="121"/>
      <c r="AJ112" s="119"/>
      <c r="AK112" s="113"/>
      <c r="AL112" s="113"/>
      <c r="AM112" s="122"/>
      <c r="AN112" s="122"/>
      <c r="AO112" s="122"/>
      <c r="AP112" s="122"/>
      <c r="AQ112" s="122"/>
      <c r="AR112" s="122"/>
      <c r="AS112" s="122"/>
      <c r="AT112" s="122"/>
      <c r="AU112" s="122"/>
      <c r="AV112" s="122"/>
      <c r="AW112" s="122"/>
      <c r="AX112" s="122"/>
      <c r="AY112" s="122"/>
      <c r="AZ112" s="122"/>
      <c r="BA112" s="122"/>
      <c r="BB112" s="122"/>
      <c r="BC112" s="122"/>
      <c r="BD112" s="116"/>
      <c r="BE112" s="116"/>
      <c r="BF112" s="116"/>
      <c r="BG112" s="116"/>
      <c r="BH112" s="116"/>
      <c r="BI112" s="116"/>
      <c r="BJ112" s="123"/>
      <c r="BK112" s="119"/>
      <c r="BL112" s="124"/>
      <c r="BM112" s="112"/>
      <c r="BN112" s="112"/>
      <c r="BO112" s="112"/>
      <c r="BP112" s="125"/>
      <c r="BQ112" s="126"/>
      <c r="BR112" s="112"/>
      <c r="BS112" s="112"/>
      <c r="BT112" s="125"/>
      <c r="BU112" s="112"/>
      <c r="BV112" s="112"/>
      <c r="BW112" s="112"/>
      <c r="BX112" s="125"/>
      <c r="BY112" s="127"/>
      <c r="BZ112" s="127"/>
      <c r="CA112" s="127"/>
      <c r="CB112" s="125"/>
      <c r="CC112" s="127"/>
      <c r="CD112" s="127"/>
      <c r="CE112" s="127"/>
      <c r="CF112" s="125"/>
      <c r="CG112" s="125"/>
      <c r="CH112" s="113"/>
      <c r="CI112" s="113"/>
      <c r="CJ112" s="113"/>
      <c r="CK112" s="125"/>
      <c r="CL112" s="113"/>
      <c r="CM112" s="113"/>
      <c r="CN112" s="113"/>
      <c r="CO112" s="125"/>
      <c r="CP112" s="113"/>
      <c r="CQ112" s="113"/>
      <c r="CR112" s="113"/>
      <c r="CS112" s="125"/>
      <c r="CT112" s="113"/>
      <c r="CU112" s="113"/>
      <c r="CV112" s="113"/>
      <c r="CW112" s="127"/>
      <c r="CX112" s="113"/>
      <c r="CY112" s="113"/>
      <c r="CZ112" s="113"/>
      <c r="DA112" s="125"/>
      <c r="DB112" s="113"/>
      <c r="DC112" s="113"/>
      <c r="DD112" s="113"/>
      <c r="DE112" s="125"/>
      <c r="DF112" s="113"/>
      <c r="DG112" s="113"/>
      <c r="DH112" s="113"/>
      <c r="DI112" s="127"/>
      <c r="DJ112" s="113"/>
      <c r="DK112" s="113"/>
      <c r="DL112" s="113"/>
      <c r="DM112" s="127"/>
      <c r="DN112" s="113"/>
      <c r="DO112" s="113"/>
      <c r="DP112" s="113"/>
      <c r="DQ112" s="127"/>
      <c r="DR112" s="113"/>
      <c r="DS112" s="113"/>
      <c r="DT112" s="113"/>
      <c r="DU112" s="127"/>
      <c r="DV112" s="113"/>
      <c r="DW112" s="113"/>
      <c r="DX112" s="113"/>
      <c r="DY112" s="127"/>
      <c r="DZ112" s="113"/>
      <c r="EA112" s="113"/>
      <c r="EB112" s="113"/>
      <c r="EC112" s="127"/>
      <c r="ED112" s="113"/>
      <c r="EE112" s="126"/>
      <c r="EF112" s="112"/>
      <c r="EG112" s="112"/>
      <c r="EH112" s="125"/>
      <c r="EI112" s="128"/>
      <c r="EJ112" s="113"/>
      <c r="EK112" s="113"/>
      <c r="EL112" s="127"/>
      <c r="EM112" s="125"/>
      <c r="EN112" s="113"/>
      <c r="EO112" s="113"/>
      <c r="EP112" s="113"/>
      <c r="EQ112" s="127"/>
      <c r="ER112" s="125"/>
      <c r="ES112" s="113"/>
      <c r="ET112" s="113"/>
      <c r="EU112" s="113"/>
      <c r="EV112" s="127"/>
      <c r="EW112" s="129"/>
      <c r="EX112" s="112"/>
      <c r="EY112" s="112"/>
      <c r="EZ112" s="112"/>
      <c r="FA112" s="125"/>
      <c r="FB112" s="112"/>
      <c r="FC112" s="112"/>
      <c r="FD112" s="112"/>
      <c r="FE112" s="125"/>
      <c r="FF112" s="112"/>
      <c r="FG112" s="112"/>
      <c r="FH112" s="112"/>
      <c r="FI112" s="125"/>
      <c r="FJ112" s="129"/>
      <c r="FK112" s="125"/>
      <c r="FL112" s="130"/>
      <c r="FM112" s="131"/>
    </row>
    <row r="113" spans="1:169" x14ac:dyDescent="0.2">
      <c r="A113" s="112"/>
      <c r="B113" s="113"/>
      <c r="C113" s="113"/>
      <c r="D113" s="113"/>
      <c r="E113" s="113"/>
      <c r="F113" s="112"/>
      <c r="G113" s="114"/>
      <c r="H113" s="114"/>
      <c r="I113" s="114"/>
      <c r="J113" s="115"/>
      <c r="K113" s="116"/>
      <c r="L113" s="112"/>
      <c r="M113" s="113"/>
      <c r="N113" s="113"/>
      <c r="O113" s="113"/>
      <c r="P113" s="113"/>
      <c r="Q113" s="117"/>
      <c r="R113" s="118"/>
      <c r="S113" s="119"/>
      <c r="T113" s="113"/>
      <c r="U113" s="113"/>
      <c r="V113" s="113"/>
      <c r="W113" s="113"/>
      <c r="X113" s="113"/>
      <c r="Y113" s="113"/>
      <c r="Z113" s="113"/>
      <c r="AA113" s="113"/>
      <c r="AB113" s="113"/>
      <c r="AC113" s="113"/>
      <c r="AD113" s="113"/>
      <c r="AE113" s="113"/>
      <c r="AF113" s="120"/>
      <c r="AG113" s="113"/>
      <c r="AH113" s="113"/>
      <c r="AI113" s="121"/>
      <c r="AJ113" s="119"/>
      <c r="AK113" s="113"/>
      <c r="AL113" s="113"/>
      <c r="AM113" s="122"/>
      <c r="AN113" s="122"/>
      <c r="AO113" s="122"/>
      <c r="AP113" s="122"/>
      <c r="AQ113" s="122"/>
      <c r="AR113" s="122"/>
      <c r="AS113" s="122"/>
      <c r="AT113" s="122"/>
      <c r="AU113" s="122"/>
      <c r="AV113" s="122"/>
      <c r="AW113" s="122"/>
      <c r="AX113" s="122"/>
      <c r="AY113" s="122"/>
      <c r="AZ113" s="122"/>
      <c r="BA113" s="122"/>
      <c r="BB113" s="122"/>
      <c r="BC113" s="122"/>
      <c r="BD113" s="116"/>
      <c r="BE113" s="116"/>
      <c r="BF113" s="116"/>
      <c r="BG113" s="116"/>
      <c r="BH113" s="116"/>
      <c r="BI113" s="116"/>
      <c r="BJ113" s="123"/>
      <c r="BK113" s="119"/>
      <c r="BL113" s="124"/>
      <c r="BM113" s="112"/>
      <c r="BN113" s="112"/>
      <c r="BO113" s="112"/>
      <c r="BP113" s="125"/>
      <c r="BQ113" s="126"/>
      <c r="BR113" s="112"/>
      <c r="BS113" s="112"/>
      <c r="BT113" s="125"/>
      <c r="BU113" s="112"/>
      <c r="BV113" s="112"/>
      <c r="BW113" s="112"/>
      <c r="BX113" s="125"/>
      <c r="BY113" s="127"/>
      <c r="BZ113" s="127"/>
      <c r="CA113" s="127"/>
      <c r="CB113" s="125"/>
      <c r="CC113" s="127"/>
      <c r="CD113" s="127"/>
      <c r="CE113" s="127"/>
      <c r="CF113" s="125"/>
      <c r="CG113" s="125"/>
      <c r="CH113" s="113"/>
      <c r="CI113" s="113"/>
      <c r="CJ113" s="113"/>
      <c r="CK113" s="125"/>
      <c r="CL113" s="113"/>
      <c r="CM113" s="113"/>
      <c r="CN113" s="113"/>
      <c r="CO113" s="125"/>
      <c r="CP113" s="113"/>
      <c r="CQ113" s="113"/>
      <c r="CR113" s="113"/>
      <c r="CS113" s="125"/>
      <c r="CT113" s="113"/>
      <c r="CU113" s="113"/>
      <c r="CV113" s="113"/>
      <c r="CW113" s="127"/>
      <c r="CX113" s="113"/>
      <c r="CY113" s="113"/>
      <c r="CZ113" s="113"/>
      <c r="DA113" s="125"/>
      <c r="DB113" s="113"/>
      <c r="DC113" s="113"/>
      <c r="DD113" s="113"/>
      <c r="DE113" s="125"/>
      <c r="DF113" s="113"/>
      <c r="DG113" s="113"/>
      <c r="DH113" s="113"/>
      <c r="DI113" s="127"/>
      <c r="DJ113" s="113"/>
      <c r="DK113" s="113"/>
      <c r="DL113" s="113"/>
      <c r="DM113" s="127"/>
      <c r="DN113" s="113"/>
      <c r="DO113" s="113"/>
      <c r="DP113" s="113"/>
      <c r="DQ113" s="127"/>
      <c r="DR113" s="113"/>
      <c r="DS113" s="113"/>
      <c r="DT113" s="113"/>
      <c r="DU113" s="127"/>
      <c r="DV113" s="113"/>
      <c r="DW113" s="113"/>
      <c r="DX113" s="113"/>
      <c r="DY113" s="127"/>
      <c r="DZ113" s="113"/>
      <c r="EA113" s="113"/>
      <c r="EB113" s="113"/>
      <c r="EC113" s="127"/>
      <c r="ED113" s="113"/>
      <c r="EE113" s="126"/>
      <c r="EF113" s="112"/>
      <c r="EG113" s="112"/>
      <c r="EH113" s="125"/>
      <c r="EI113" s="128"/>
      <c r="EJ113" s="113"/>
      <c r="EK113" s="113"/>
      <c r="EL113" s="127"/>
      <c r="EM113" s="125"/>
      <c r="EN113" s="113"/>
      <c r="EO113" s="113"/>
      <c r="EP113" s="113"/>
      <c r="EQ113" s="127"/>
      <c r="ER113" s="125"/>
      <c r="ES113" s="113"/>
      <c r="ET113" s="113"/>
      <c r="EU113" s="113"/>
      <c r="EV113" s="127"/>
      <c r="EW113" s="129"/>
      <c r="EX113" s="112"/>
      <c r="EY113" s="112"/>
      <c r="EZ113" s="112"/>
      <c r="FA113" s="125"/>
      <c r="FB113" s="112"/>
      <c r="FC113" s="112"/>
      <c r="FD113" s="112"/>
      <c r="FE113" s="125"/>
      <c r="FF113" s="112"/>
      <c r="FG113" s="112"/>
      <c r="FH113" s="112"/>
      <c r="FI113" s="125"/>
      <c r="FJ113" s="129"/>
      <c r="FK113" s="125"/>
      <c r="FL113" s="130"/>
      <c r="FM113" s="131"/>
    </row>
    <row r="114" spans="1:169" x14ac:dyDescent="0.2">
      <c r="A114" s="112"/>
      <c r="B114" s="113"/>
      <c r="C114" s="113"/>
      <c r="D114" s="113"/>
      <c r="E114" s="113"/>
      <c r="F114" s="112"/>
      <c r="G114" s="114"/>
      <c r="H114" s="114"/>
      <c r="I114" s="114"/>
      <c r="J114" s="115"/>
      <c r="K114" s="116"/>
      <c r="L114" s="112"/>
      <c r="M114" s="113"/>
      <c r="N114" s="113"/>
      <c r="O114" s="113"/>
      <c r="P114" s="113"/>
      <c r="Q114" s="117"/>
      <c r="R114" s="118"/>
      <c r="S114" s="119"/>
      <c r="T114" s="113"/>
      <c r="U114" s="113"/>
      <c r="V114" s="113"/>
      <c r="W114" s="113"/>
      <c r="X114" s="113"/>
      <c r="Y114" s="113"/>
      <c r="Z114" s="113"/>
      <c r="AA114" s="113"/>
      <c r="AB114" s="113"/>
      <c r="AC114" s="113"/>
      <c r="AD114" s="113"/>
      <c r="AE114" s="113"/>
      <c r="AF114" s="120"/>
      <c r="AG114" s="113"/>
      <c r="AH114" s="113"/>
      <c r="AI114" s="121"/>
      <c r="AJ114" s="119"/>
      <c r="AK114" s="113"/>
      <c r="AL114" s="113"/>
      <c r="AM114" s="122"/>
      <c r="AN114" s="122"/>
      <c r="AO114" s="122"/>
      <c r="AP114" s="122"/>
      <c r="AQ114" s="122"/>
      <c r="AR114" s="122"/>
      <c r="AS114" s="122"/>
      <c r="AT114" s="122"/>
      <c r="AU114" s="122"/>
      <c r="AV114" s="122"/>
      <c r="AW114" s="122"/>
      <c r="AX114" s="122"/>
      <c r="AY114" s="122"/>
      <c r="AZ114" s="122"/>
      <c r="BA114" s="122"/>
      <c r="BB114" s="122"/>
      <c r="BC114" s="122"/>
      <c r="BD114" s="116"/>
      <c r="BE114" s="116"/>
      <c r="BF114" s="116"/>
      <c r="BG114" s="116"/>
      <c r="BH114" s="116"/>
      <c r="BI114" s="116"/>
      <c r="BJ114" s="123"/>
      <c r="BK114" s="119"/>
      <c r="BL114" s="124"/>
      <c r="BM114" s="112"/>
      <c r="BN114" s="112"/>
      <c r="BO114" s="112"/>
      <c r="BP114" s="125"/>
      <c r="BQ114" s="126"/>
      <c r="BR114" s="112"/>
      <c r="BS114" s="112"/>
      <c r="BT114" s="125"/>
      <c r="BU114" s="112"/>
      <c r="BV114" s="112"/>
      <c r="BW114" s="112"/>
      <c r="BX114" s="125"/>
      <c r="BY114" s="127"/>
      <c r="BZ114" s="127"/>
      <c r="CA114" s="127"/>
      <c r="CB114" s="125"/>
      <c r="CC114" s="127"/>
      <c r="CD114" s="127"/>
      <c r="CE114" s="127"/>
      <c r="CF114" s="125"/>
      <c r="CG114" s="125"/>
      <c r="CH114" s="113"/>
      <c r="CI114" s="113"/>
      <c r="CJ114" s="113"/>
      <c r="CK114" s="125"/>
      <c r="CL114" s="113"/>
      <c r="CM114" s="113"/>
      <c r="CN114" s="113"/>
      <c r="CO114" s="125"/>
      <c r="CP114" s="113"/>
      <c r="CQ114" s="113"/>
      <c r="CR114" s="113"/>
      <c r="CS114" s="125"/>
      <c r="CT114" s="113"/>
      <c r="CU114" s="113"/>
      <c r="CV114" s="113"/>
      <c r="CW114" s="127"/>
      <c r="CX114" s="113"/>
      <c r="CY114" s="113"/>
      <c r="CZ114" s="113"/>
      <c r="DA114" s="125"/>
      <c r="DB114" s="113"/>
      <c r="DC114" s="113"/>
      <c r="DD114" s="113"/>
      <c r="DE114" s="125"/>
      <c r="DF114" s="113"/>
      <c r="DG114" s="113"/>
      <c r="DH114" s="113"/>
      <c r="DI114" s="127"/>
      <c r="DJ114" s="113"/>
      <c r="DK114" s="113"/>
      <c r="DL114" s="113"/>
      <c r="DM114" s="127"/>
      <c r="DN114" s="113"/>
      <c r="DO114" s="113"/>
      <c r="DP114" s="113"/>
      <c r="DQ114" s="127"/>
      <c r="DR114" s="113"/>
      <c r="DS114" s="113"/>
      <c r="DT114" s="113"/>
      <c r="DU114" s="127"/>
      <c r="DV114" s="113"/>
      <c r="DW114" s="113"/>
      <c r="DX114" s="113"/>
      <c r="DY114" s="127"/>
      <c r="DZ114" s="113"/>
      <c r="EA114" s="113"/>
      <c r="EB114" s="113"/>
      <c r="EC114" s="127"/>
      <c r="ED114" s="113"/>
      <c r="EE114" s="126"/>
      <c r="EF114" s="112"/>
      <c r="EG114" s="112"/>
      <c r="EH114" s="125"/>
      <c r="EI114" s="128"/>
      <c r="EJ114" s="113"/>
      <c r="EK114" s="113"/>
      <c r="EL114" s="127"/>
      <c r="EM114" s="125"/>
      <c r="EN114" s="113"/>
      <c r="EO114" s="113"/>
      <c r="EP114" s="113"/>
      <c r="EQ114" s="127"/>
      <c r="ER114" s="125"/>
      <c r="ES114" s="113"/>
      <c r="ET114" s="113"/>
      <c r="EU114" s="113"/>
      <c r="EV114" s="127"/>
      <c r="EW114" s="129"/>
      <c r="EX114" s="112"/>
      <c r="EY114" s="112"/>
      <c r="EZ114" s="112"/>
      <c r="FA114" s="125"/>
      <c r="FB114" s="112"/>
      <c r="FC114" s="112"/>
      <c r="FD114" s="112"/>
      <c r="FE114" s="125"/>
      <c r="FF114" s="112"/>
      <c r="FG114" s="112"/>
      <c r="FH114" s="112"/>
      <c r="FI114" s="125"/>
      <c r="FJ114" s="129"/>
      <c r="FK114" s="125"/>
      <c r="FL114" s="130"/>
      <c r="FM114" s="131"/>
    </row>
    <row r="115" spans="1:169" x14ac:dyDescent="0.2">
      <c r="X115" s="56"/>
      <c r="AF115" s="92"/>
      <c r="BJ115" s="88"/>
      <c r="BL115" s="49"/>
      <c r="BP115" s="93"/>
      <c r="BQ115" s="94"/>
      <c r="BT115" s="93"/>
      <c r="BX115" s="93"/>
      <c r="BY115" s="95"/>
      <c r="BZ115" s="95"/>
      <c r="CA115" s="95"/>
      <c r="CB115" s="93"/>
      <c r="CC115" s="95"/>
      <c r="CD115" s="95"/>
      <c r="CE115" s="95"/>
      <c r="CF115" s="93"/>
      <c r="CG115" s="93"/>
      <c r="CK115" s="93"/>
      <c r="CO115" s="93"/>
      <c r="CS115" s="93"/>
      <c r="CW115" s="95"/>
      <c r="DA115" s="93"/>
      <c r="DE115" s="93"/>
      <c r="DI115" s="95"/>
      <c r="DM115" s="95"/>
      <c r="DQ115" s="95"/>
      <c r="DU115" s="95"/>
      <c r="DY115" s="95"/>
      <c r="EC115" s="95"/>
      <c r="EE115" s="94"/>
      <c r="EH115" s="93"/>
      <c r="EI115" s="96"/>
      <c r="EL115" s="95"/>
      <c r="EM115" s="93"/>
      <c r="EQ115" s="95"/>
      <c r="ER115" s="93"/>
      <c r="EV115" s="95"/>
      <c r="EW115" s="97"/>
      <c r="FA115" s="93"/>
      <c r="FE115" s="93"/>
      <c r="FI115" s="93"/>
      <c r="FJ115" s="97"/>
      <c r="FK115" s="93"/>
      <c r="FL115" s="98"/>
    </row>
    <row r="116" spans="1:169" x14ac:dyDescent="0.2">
      <c r="X116" s="87"/>
      <c r="AF116" s="92"/>
      <c r="BJ116" s="88"/>
      <c r="BL116" s="49"/>
      <c r="BP116" s="93"/>
      <c r="BQ116" s="94"/>
      <c r="BT116" s="93"/>
      <c r="BX116" s="93"/>
      <c r="BY116" s="95"/>
      <c r="BZ116" s="95"/>
      <c r="CA116" s="95"/>
      <c r="CB116" s="93"/>
      <c r="CC116" s="95"/>
      <c r="CD116" s="95"/>
      <c r="CE116" s="95"/>
      <c r="CF116" s="93"/>
      <c r="CG116" s="93"/>
      <c r="CK116" s="93"/>
      <c r="CO116" s="93"/>
      <c r="CS116" s="93"/>
      <c r="CW116" s="95"/>
      <c r="DA116" s="93"/>
      <c r="DE116" s="93"/>
      <c r="DI116" s="95"/>
      <c r="DM116" s="95"/>
      <c r="DQ116" s="95"/>
      <c r="DU116" s="95"/>
      <c r="DY116" s="95"/>
      <c r="EC116" s="95"/>
      <c r="EE116" s="94"/>
      <c r="EH116" s="93"/>
      <c r="EI116" s="96"/>
      <c r="EL116" s="95"/>
      <c r="EM116" s="93"/>
      <c r="EQ116" s="95"/>
      <c r="ER116" s="93"/>
      <c r="EV116" s="95"/>
      <c r="EW116" s="97"/>
      <c r="FA116" s="93"/>
      <c r="FE116" s="93"/>
      <c r="FI116" s="93"/>
      <c r="FJ116" s="97"/>
      <c r="FK116" s="93"/>
      <c r="FL116" s="98"/>
    </row>
    <row r="117" spans="1:169" x14ac:dyDescent="0.2">
      <c r="X117" s="87"/>
      <c r="AF117" s="92"/>
      <c r="BJ117" s="88"/>
      <c r="BL117" s="49"/>
      <c r="BP117" s="93"/>
      <c r="BQ117" s="94"/>
      <c r="BT117" s="93"/>
      <c r="BX117" s="93"/>
      <c r="BY117" s="95"/>
      <c r="BZ117" s="95"/>
      <c r="CA117" s="95"/>
      <c r="CB117" s="93"/>
      <c r="CC117" s="95"/>
      <c r="CD117" s="95"/>
      <c r="CE117" s="95"/>
      <c r="CF117" s="93"/>
      <c r="CG117" s="93"/>
      <c r="CK117" s="93"/>
      <c r="CO117" s="93"/>
      <c r="CS117" s="93"/>
      <c r="CW117" s="95"/>
      <c r="DA117" s="93"/>
      <c r="DE117" s="93"/>
      <c r="DI117" s="95"/>
      <c r="DM117" s="95"/>
      <c r="DQ117" s="95"/>
      <c r="DU117" s="95"/>
      <c r="DY117" s="95"/>
      <c r="EC117" s="95"/>
      <c r="EE117" s="94"/>
      <c r="EH117" s="93"/>
      <c r="EI117" s="96"/>
      <c r="EL117" s="95"/>
      <c r="EM117" s="93"/>
      <c r="EQ117" s="95"/>
      <c r="ER117" s="93"/>
      <c r="EV117" s="95"/>
      <c r="EW117" s="97"/>
      <c r="FA117" s="93"/>
      <c r="FE117" s="93"/>
      <c r="FI117" s="93"/>
      <c r="FJ117" s="97"/>
      <c r="FK117" s="93"/>
      <c r="FL117" s="98"/>
    </row>
    <row r="118" spans="1:169" x14ac:dyDescent="0.2">
      <c r="X118" s="87"/>
      <c r="AF118" s="92"/>
      <c r="BJ118" s="88"/>
      <c r="BL118" s="49"/>
      <c r="BP118" s="93"/>
      <c r="BQ118" s="94"/>
      <c r="BT118" s="93"/>
      <c r="BX118" s="93"/>
      <c r="BY118" s="95"/>
      <c r="BZ118" s="95"/>
      <c r="CA118" s="95"/>
      <c r="CB118" s="93"/>
      <c r="CC118" s="95"/>
      <c r="CD118" s="95"/>
      <c r="CE118" s="95"/>
      <c r="CF118" s="93"/>
      <c r="CG118" s="93"/>
      <c r="CK118" s="93"/>
      <c r="CO118" s="93"/>
      <c r="CS118" s="93"/>
      <c r="CW118" s="95"/>
      <c r="DA118" s="93"/>
      <c r="DE118" s="93"/>
      <c r="DI118" s="95"/>
      <c r="DM118" s="95"/>
      <c r="DQ118" s="95"/>
      <c r="DU118" s="95"/>
      <c r="DY118" s="95"/>
      <c r="EC118" s="95"/>
      <c r="EE118" s="94"/>
      <c r="EH118" s="93"/>
      <c r="EI118" s="96"/>
      <c r="EL118" s="95"/>
      <c r="EM118" s="93"/>
      <c r="EQ118" s="95"/>
      <c r="ER118" s="93"/>
      <c r="EV118" s="95"/>
      <c r="EW118" s="97"/>
      <c r="FA118" s="93"/>
      <c r="FE118" s="93"/>
      <c r="FI118" s="93"/>
      <c r="FJ118" s="97"/>
      <c r="FK118" s="93"/>
      <c r="FL118" s="98"/>
    </row>
    <row r="119" spans="1:169" x14ac:dyDescent="0.2">
      <c r="AF119" s="92"/>
      <c r="BJ119" s="88"/>
      <c r="BL119" s="49"/>
      <c r="BP119" s="93"/>
      <c r="BQ119" s="94"/>
      <c r="BT119" s="93"/>
      <c r="BX119" s="93"/>
      <c r="BY119" s="95"/>
      <c r="BZ119" s="95"/>
      <c r="CA119" s="95"/>
      <c r="CB119" s="93"/>
      <c r="CC119" s="95"/>
      <c r="CD119" s="95"/>
      <c r="CE119" s="95"/>
      <c r="CF119" s="93"/>
      <c r="CG119" s="93"/>
      <c r="CK119" s="93"/>
      <c r="CO119" s="93"/>
      <c r="CS119" s="93"/>
      <c r="CW119" s="95"/>
      <c r="DA119" s="93"/>
      <c r="DE119" s="93"/>
      <c r="DI119" s="95"/>
      <c r="DM119" s="95"/>
      <c r="DQ119" s="95"/>
      <c r="DU119" s="95"/>
      <c r="DY119" s="95"/>
      <c r="EC119" s="95"/>
      <c r="EE119" s="94"/>
      <c r="EH119" s="93"/>
      <c r="EI119" s="96"/>
      <c r="EL119" s="95"/>
      <c r="EM119" s="93"/>
      <c r="EQ119" s="95"/>
      <c r="ER119" s="93"/>
      <c r="EV119" s="95"/>
      <c r="EW119" s="97"/>
      <c r="FA119" s="93"/>
      <c r="FE119" s="93"/>
      <c r="FI119" s="93"/>
      <c r="FJ119" s="97"/>
      <c r="FK119" s="93"/>
      <c r="FL119" s="98"/>
    </row>
    <row r="120" spans="1:169" x14ac:dyDescent="0.2">
      <c r="X120" s="87"/>
      <c r="AF120" s="92"/>
      <c r="BJ120" s="88"/>
      <c r="BL120" s="49"/>
      <c r="BP120" s="93"/>
      <c r="BQ120" s="94"/>
      <c r="BT120" s="93"/>
      <c r="BX120" s="93"/>
      <c r="BY120" s="95"/>
      <c r="BZ120" s="95"/>
      <c r="CA120" s="95"/>
      <c r="CB120" s="93"/>
      <c r="CC120" s="95"/>
      <c r="CD120" s="95"/>
      <c r="CE120" s="95"/>
      <c r="CF120" s="93"/>
      <c r="CG120" s="93"/>
      <c r="CK120" s="93"/>
      <c r="CO120" s="93"/>
      <c r="CS120" s="93"/>
      <c r="CW120" s="95"/>
      <c r="DA120" s="93"/>
      <c r="DE120" s="93"/>
      <c r="DI120" s="95"/>
      <c r="DM120" s="95"/>
      <c r="DQ120" s="95"/>
      <c r="DU120" s="95"/>
      <c r="DY120" s="95"/>
      <c r="EC120" s="95"/>
      <c r="EE120" s="94"/>
      <c r="EH120" s="93"/>
      <c r="EI120" s="96"/>
      <c r="EL120" s="95"/>
      <c r="EM120" s="93"/>
      <c r="EQ120" s="95"/>
      <c r="ER120" s="93"/>
      <c r="EV120" s="95"/>
      <c r="EW120" s="97"/>
      <c r="FA120" s="93"/>
      <c r="FE120" s="93"/>
      <c r="FI120" s="93"/>
      <c r="FJ120" s="97"/>
      <c r="FK120" s="93"/>
      <c r="FL120" s="98"/>
    </row>
    <row r="121" spans="1:169" x14ac:dyDescent="0.2">
      <c r="X121" s="87"/>
      <c r="AF121" s="92"/>
      <c r="BJ121" s="88"/>
      <c r="BL121" s="49"/>
      <c r="BP121" s="93"/>
      <c r="BQ121" s="94"/>
      <c r="BT121" s="93"/>
      <c r="BX121" s="93"/>
      <c r="BY121" s="95"/>
      <c r="BZ121" s="95"/>
      <c r="CA121" s="95"/>
      <c r="CB121" s="93"/>
      <c r="CC121" s="95"/>
      <c r="CD121" s="95"/>
      <c r="CE121" s="95"/>
      <c r="CF121" s="93"/>
      <c r="CG121" s="93"/>
      <c r="CK121" s="93"/>
      <c r="CO121" s="93"/>
      <c r="CS121" s="93"/>
      <c r="CW121" s="95"/>
      <c r="DA121" s="93"/>
      <c r="DE121" s="93"/>
      <c r="DI121" s="95"/>
      <c r="DM121" s="95"/>
      <c r="DQ121" s="95"/>
      <c r="DU121" s="95"/>
      <c r="DY121" s="95"/>
      <c r="EC121" s="95"/>
      <c r="EE121" s="94"/>
      <c r="EH121" s="93"/>
      <c r="EI121" s="96"/>
      <c r="EL121" s="95"/>
      <c r="EM121" s="93"/>
      <c r="EQ121" s="95"/>
      <c r="ER121" s="93"/>
      <c r="EV121" s="95"/>
      <c r="EW121" s="97"/>
      <c r="FA121" s="93"/>
      <c r="FE121" s="93"/>
      <c r="FI121" s="93"/>
      <c r="FJ121" s="97"/>
      <c r="FK121" s="93"/>
      <c r="FL121" s="98"/>
    </row>
    <row r="122" spans="1:169" x14ac:dyDescent="0.2">
      <c r="A122" s="112"/>
      <c r="B122" s="113"/>
      <c r="C122" s="113"/>
      <c r="D122" s="113"/>
      <c r="E122" s="113"/>
      <c r="F122" s="112"/>
      <c r="G122" s="114"/>
      <c r="H122" s="114"/>
      <c r="I122" s="114"/>
      <c r="J122" s="115"/>
      <c r="K122" s="116"/>
      <c r="L122" s="112"/>
      <c r="M122" s="113"/>
      <c r="N122" s="113"/>
      <c r="O122" s="113"/>
      <c r="P122" s="113"/>
      <c r="Q122" s="117"/>
      <c r="R122" s="118"/>
      <c r="S122" s="119"/>
      <c r="T122" s="113"/>
      <c r="U122" s="113"/>
      <c r="V122" s="113"/>
      <c r="W122" s="113"/>
      <c r="X122" s="113"/>
      <c r="Y122" s="113"/>
      <c r="Z122" s="113"/>
      <c r="AA122" s="113"/>
      <c r="AB122" s="113"/>
      <c r="AC122" s="113"/>
      <c r="AD122" s="113"/>
      <c r="AE122" s="113"/>
      <c r="AF122" s="120"/>
      <c r="AG122" s="113"/>
      <c r="AH122" s="113"/>
      <c r="AI122" s="121"/>
      <c r="AJ122" s="119"/>
      <c r="AK122" s="113"/>
      <c r="AL122" s="113"/>
      <c r="AM122" s="122"/>
      <c r="AN122" s="122"/>
      <c r="AO122" s="122"/>
      <c r="AP122" s="122"/>
      <c r="AQ122" s="122"/>
      <c r="AR122" s="122"/>
      <c r="AS122" s="122"/>
      <c r="AT122" s="122"/>
      <c r="AU122" s="122"/>
      <c r="AV122" s="122"/>
      <c r="AW122" s="122"/>
      <c r="AX122" s="122"/>
      <c r="AY122" s="122"/>
      <c r="AZ122" s="122"/>
      <c r="BA122" s="122"/>
      <c r="BB122" s="122"/>
      <c r="BC122" s="122"/>
      <c r="BD122" s="116"/>
      <c r="BE122" s="116"/>
      <c r="BF122" s="116"/>
      <c r="BG122" s="116"/>
      <c r="BH122" s="116"/>
      <c r="BI122" s="116"/>
      <c r="BJ122" s="123"/>
      <c r="BK122" s="119"/>
      <c r="BL122" s="124"/>
      <c r="BM122" s="112"/>
      <c r="BN122" s="112"/>
      <c r="BO122" s="112"/>
      <c r="BP122" s="125"/>
      <c r="BQ122" s="126"/>
      <c r="BR122" s="112"/>
      <c r="BS122" s="112"/>
      <c r="BT122" s="125"/>
      <c r="BU122" s="112"/>
      <c r="BV122" s="112"/>
      <c r="BW122" s="112"/>
      <c r="BX122" s="125"/>
      <c r="BY122" s="127"/>
      <c r="BZ122" s="127"/>
      <c r="CA122" s="127"/>
      <c r="CB122" s="125"/>
      <c r="CC122" s="127"/>
      <c r="CD122" s="127"/>
      <c r="CE122" s="127"/>
      <c r="CF122" s="125"/>
      <c r="CG122" s="125"/>
      <c r="CH122" s="113"/>
      <c r="CI122" s="113"/>
      <c r="CJ122" s="113"/>
      <c r="CK122" s="125"/>
      <c r="CL122" s="113"/>
      <c r="CM122" s="113"/>
      <c r="CN122" s="113"/>
      <c r="CO122" s="125"/>
      <c r="CP122" s="113"/>
      <c r="CQ122" s="113"/>
      <c r="CR122" s="113"/>
      <c r="CS122" s="125"/>
      <c r="CT122" s="113"/>
      <c r="CU122" s="113"/>
      <c r="CV122" s="113"/>
      <c r="CW122" s="127"/>
      <c r="CX122" s="113"/>
      <c r="CY122" s="113"/>
      <c r="CZ122" s="113"/>
      <c r="DA122" s="125"/>
      <c r="DB122" s="113"/>
      <c r="DC122" s="113"/>
      <c r="DD122" s="113"/>
      <c r="DE122" s="125"/>
      <c r="DF122" s="113"/>
      <c r="DG122" s="113"/>
      <c r="DH122" s="113"/>
      <c r="DI122" s="127"/>
      <c r="DJ122" s="113"/>
      <c r="DK122" s="113"/>
      <c r="DL122" s="113"/>
      <c r="DM122" s="127"/>
      <c r="DN122" s="113"/>
      <c r="DO122" s="113"/>
      <c r="DP122" s="113"/>
      <c r="DQ122" s="127"/>
      <c r="DR122" s="113"/>
      <c r="DS122" s="113"/>
      <c r="DT122" s="113"/>
      <c r="DU122" s="127"/>
      <c r="DV122" s="113"/>
      <c r="DW122" s="113"/>
      <c r="DX122" s="113"/>
      <c r="DY122" s="127"/>
      <c r="DZ122" s="113"/>
      <c r="EA122" s="113"/>
      <c r="EB122" s="113"/>
      <c r="EC122" s="127"/>
      <c r="ED122" s="113"/>
      <c r="EE122" s="126"/>
      <c r="EF122" s="112"/>
      <c r="EG122" s="112"/>
      <c r="EH122" s="125"/>
      <c r="EI122" s="128"/>
      <c r="EJ122" s="113"/>
      <c r="EK122" s="113"/>
      <c r="EL122" s="127"/>
      <c r="EM122" s="125"/>
      <c r="EN122" s="113"/>
      <c r="EO122" s="113"/>
      <c r="EP122" s="113"/>
      <c r="EQ122" s="127"/>
      <c r="ER122" s="125"/>
      <c r="ES122" s="113"/>
      <c r="ET122" s="113"/>
      <c r="EU122" s="113"/>
      <c r="EV122" s="127"/>
      <c r="EW122" s="129"/>
      <c r="EX122" s="112"/>
      <c r="EY122" s="112"/>
      <c r="EZ122" s="112"/>
      <c r="FA122" s="125"/>
      <c r="FB122" s="112"/>
      <c r="FC122" s="112"/>
      <c r="FD122" s="112"/>
      <c r="FE122" s="125"/>
      <c r="FF122" s="112"/>
      <c r="FG122" s="112"/>
      <c r="FH122" s="112"/>
      <c r="FI122" s="125"/>
      <c r="FJ122" s="129"/>
      <c r="FK122" s="125"/>
      <c r="FL122" s="130"/>
      <c r="FM122" s="131"/>
    </row>
    <row r="123" spans="1:169" x14ac:dyDescent="0.2">
      <c r="A123" s="112"/>
      <c r="B123" s="113"/>
      <c r="C123" s="113"/>
      <c r="D123" s="113"/>
      <c r="E123" s="113"/>
      <c r="F123" s="112"/>
      <c r="G123" s="114"/>
      <c r="H123" s="114"/>
      <c r="I123" s="114"/>
      <c r="J123" s="115"/>
      <c r="K123" s="116"/>
      <c r="L123" s="112"/>
      <c r="M123" s="113"/>
      <c r="N123" s="113"/>
      <c r="O123" s="113"/>
      <c r="P123" s="113"/>
      <c r="Q123" s="117"/>
      <c r="R123" s="118"/>
      <c r="S123" s="119"/>
      <c r="T123" s="113"/>
      <c r="U123" s="113"/>
      <c r="V123" s="113"/>
      <c r="W123" s="113"/>
      <c r="X123" s="113"/>
      <c r="Y123" s="113"/>
      <c r="Z123" s="113"/>
      <c r="AA123" s="113"/>
      <c r="AB123" s="113"/>
      <c r="AC123" s="113"/>
      <c r="AD123" s="113"/>
      <c r="AE123" s="113"/>
      <c r="AF123" s="120"/>
      <c r="AG123" s="113"/>
      <c r="AH123" s="113"/>
      <c r="AI123" s="121"/>
      <c r="AJ123" s="119"/>
      <c r="AK123" s="113"/>
      <c r="AL123" s="113"/>
      <c r="AM123" s="122"/>
      <c r="AN123" s="122"/>
      <c r="AO123" s="122"/>
      <c r="AP123" s="122"/>
      <c r="AQ123" s="122"/>
      <c r="AR123" s="122"/>
      <c r="AS123" s="122"/>
      <c r="AT123" s="122"/>
      <c r="AU123" s="122"/>
      <c r="AV123" s="122"/>
      <c r="AW123" s="122"/>
      <c r="AX123" s="122"/>
      <c r="AY123" s="122"/>
      <c r="AZ123" s="122"/>
      <c r="BA123" s="122"/>
      <c r="BB123" s="122"/>
      <c r="BC123" s="122"/>
      <c r="BD123" s="116"/>
      <c r="BE123" s="116"/>
      <c r="BF123" s="116"/>
      <c r="BG123" s="116"/>
      <c r="BH123" s="116"/>
      <c r="BI123" s="116"/>
      <c r="BJ123" s="123"/>
      <c r="BK123" s="119"/>
      <c r="BL123" s="124"/>
      <c r="BM123" s="112"/>
      <c r="BN123" s="112"/>
      <c r="BO123" s="112"/>
      <c r="BP123" s="125"/>
      <c r="BQ123" s="126"/>
      <c r="BR123" s="112"/>
      <c r="BS123" s="112"/>
      <c r="BT123" s="125"/>
      <c r="BU123" s="112"/>
      <c r="BV123" s="112"/>
      <c r="BW123" s="112"/>
      <c r="BX123" s="125"/>
      <c r="BY123" s="127"/>
      <c r="BZ123" s="127"/>
      <c r="CA123" s="127"/>
      <c r="CB123" s="125"/>
      <c r="CC123" s="127"/>
      <c r="CD123" s="127"/>
      <c r="CE123" s="127"/>
      <c r="CF123" s="125"/>
      <c r="CG123" s="125"/>
      <c r="CH123" s="113"/>
      <c r="CI123" s="113"/>
      <c r="CJ123" s="113"/>
      <c r="CK123" s="125"/>
      <c r="CL123" s="113"/>
      <c r="CM123" s="113"/>
      <c r="CN123" s="113"/>
      <c r="CO123" s="125"/>
      <c r="CP123" s="113"/>
      <c r="CQ123" s="113"/>
      <c r="CR123" s="113"/>
      <c r="CS123" s="125"/>
      <c r="CT123" s="113"/>
      <c r="CU123" s="113"/>
      <c r="CV123" s="113"/>
      <c r="CW123" s="127"/>
      <c r="CX123" s="113"/>
      <c r="CY123" s="113"/>
      <c r="CZ123" s="113"/>
      <c r="DA123" s="125"/>
      <c r="DB123" s="113"/>
      <c r="DC123" s="113"/>
      <c r="DD123" s="113"/>
      <c r="DE123" s="125"/>
      <c r="DF123" s="113"/>
      <c r="DG123" s="113"/>
      <c r="DH123" s="113"/>
      <c r="DI123" s="127"/>
      <c r="DJ123" s="113"/>
      <c r="DK123" s="113"/>
      <c r="DL123" s="113"/>
      <c r="DM123" s="127"/>
      <c r="DN123" s="113"/>
      <c r="DO123" s="113"/>
      <c r="DP123" s="113"/>
      <c r="DQ123" s="127"/>
      <c r="DR123" s="113"/>
      <c r="DS123" s="113"/>
      <c r="DT123" s="113"/>
      <c r="DU123" s="127"/>
      <c r="DV123" s="113"/>
      <c r="DW123" s="113"/>
      <c r="DX123" s="113"/>
      <c r="DY123" s="127"/>
      <c r="DZ123" s="113"/>
      <c r="EA123" s="113"/>
      <c r="EB123" s="113"/>
      <c r="EC123" s="127"/>
      <c r="ED123" s="113"/>
      <c r="EE123" s="126"/>
      <c r="EF123" s="112"/>
      <c r="EG123" s="112"/>
      <c r="EH123" s="125"/>
      <c r="EI123" s="128"/>
      <c r="EJ123" s="113"/>
      <c r="EK123" s="113"/>
      <c r="EL123" s="127"/>
      <c r="EM123" s="125"/>
      <c r="EN123" s="113"/>
      <c r="EO123" s="113"/>
      <c r="EP123" s="113"/>
      <c r="EQ123" s="127"/>
      <c r="ER123" s="125"/>
      <c r="ES123" s="113"/>
      <c r="ET123" s="113"/>
      <c r="EU123" s="113"/>
      <c r="EV123" s="127"/>
      <c r="EW123" s="129"/>
      <c r="EX123" s="112"/>
      <c r="EY123" s="112"/>
      <c r="EZ123" s="112"/>
      <c r="FA123" s="125"/>
      <c r="FB123" s="112"/>
      <c r="FC123" s="112"/>
      <c r="FD123" s="112"/>
      <c r="FE123" s="125"/>
      <c r="FF123" s="112"/>
      <c r="FG123" s="112"/>
      <c r="FH123" s="112"/>
      <c r="FI123" s="125"/>
      <c r="FJ123" s="129"/>
      <c r="FK123" s="125"/>
      <c r="FL123" s="130"/>
      <c r="FM123" s="131"/>
    </row>
    <row r="124" spans="1:169" x14ac:dyDescent="0.2">
      <c r="A124" s="112"/>
      <c r="B124" s="113"/>
      <c r="C124" s="113"/>
      <c r="D124" s="113"/>
      <c r="E124" s="113"/>
      <c r="F124" s="112"/>
      <c r="G124" s="114"/>
      <c r="H124" s="114"/>
      <c r="I124" s="114"/>
      <c r="J124" s="115"/>
      <c r="K124" s="116"/>
      <c r="L124" s="112"/>
      <c r="M124" s="113"/>
      <c r="N124" s="113"/>
      <c r="O124" s="113"/>
      <c r="P124" s="113"/>
      <c r="Q124" s="117"/>
      <c r="R124" s="118"/>
      <c r="S124" s="119"/>
      <c r="T124" s="113"/>
      <c r="U124" s="113"/>
      <c r="V124" s="113"/>
      <c r="W124" s="113"/>
      <c r="X124" s="113"/>
      <c r="Y124" s="113"/>
      <c r="Z124" s="113"/>
      <c r="AA124" s="113"/>
      <c r="AB124" s="113"/>
      <c r="AC124" s="113"/>
      <c r="AD124" s="113"/>
      <c r="AE124" s="113"/>
      <c r="AF124" s="120"/>
      <c r="AG124" s="113"/>
      <c r="AH124" s="113"/>
      <c r="AI124" s="121"/>
      <c r="AJ124" s="119"/>
      <c r="AK124" s="113"/>
      <c r="AL124" s="113"/>
      <c r="AM124" s="122"/>
      <c r="AN124" s="122"/>
      <c r="AO124" s="122"/>
      <c r="AP124" s="122"/>
      <c r="AQ124" s="122"/>
      <c r="AR124" s="122"/>
      <c r="AS124" s="122"/>
      <c r="AT124" s="122"/>
      <c r="AU124" s="122"/>
      <c r="AV124" s="122"/>
      <c r="AW124" s="122"/>
      <c r="AX124" s="122"/>
      <c r="AY124" s="122"/>
      <c r="AZ124" s="122"/>
      <c r="BA124" s="122"/>
      <c r="BB124" s="122"/>
      <c r="BC124" s="122"/>
      <c r="BD124" s="116"/>
      <c r="BE124" s="116"/>
      <c r="BF124" s="116"/>
      <c r="BG124" s="116"/>
      <c r="BH124" s="116"/>
      <c r="BI124" s="116"/>
      <c r="BJ124" s="123"/>
      <c r="BK124" s="119"/>
      <c r="BL124" s="124"/>
      <c r="BM124" s="112"/>
      <c r="BN124" s="112"/>
      <c r="BO124" s="112"/>
      <c r="BP124" s="125"/>
      <c r="BQ124" s="126"/>
      <c r="BR124" s="112"/>
      <c r="BS124" s="112"/>
      <c r="BT124" s="125"/>
      <c r="BU124" s="112"/>
      <c r="BV124" s="112"/>
      <c r="BW124" s="112"/>
      <c r="BX124" s="125"/>
      <c r="BY124" s="127"/>
      <c r="BZ124" s="127"/>
      <c r="CA124" s="127"/>
      <c r="CB124" s="125"/>
      <c r="CC124" s="127"/>
      <c r="CD124" s="127"/>
      <c r="CE124" s="127"/>
      <c r="CF124" s="125"/>
      <c r="CG124" s="125"/>
      <c r="CH124" s="113"/>
      <c r="CI124" s="113"/>
      <c r="CJ124" s="113"/>
      <c r="CK124" s="125"/>
      <c r="CL124" s="113"/>
      <c r="CM124" s="113"/>
      <c r="CN124" s="113"/>
      <c r="CO124" s="125"/>
      <c r="CP124" s="113"/>
      <c r="CQ124" s="113"/>
      <c r="CR124" s="113"/>
      <c r="CS124" s="125"/>
      <c r="CT124" s="113"/>
      <c r="CU124" s="113"/>
      <c r="CV124" s="113"/>
      <c r="CW124" s="127"/>
      <c r="CX124" s="113"/>
      <c r="CY124" s="113"/>
      <c r="CZ124" s="113"/>
      <c r="DA124" s="125"/>
      <c r="DB124" s="113"/>
      <c r="DC124" s="113"/>
      <c r="DD124" s="113"/>
      <c r="DE124" s="125"/>
      <c r="DF124" s="113"/>
      <c r="DG124" s="113"/>
      <c r="DH124" s="113"/>
      <c r="DI124" s="127"/>
      <c r="DJ124" s="113"/>
      <c r="DK124" s="113"/>
      <c r="DL124" s="113"/>
      <c r="DM124" s="127"/>
      <c r="DN124" s="113"/>
      <c r="DO124" s="113"/>
      <c r="DP124" s="113"/>
      <c r="DQ124" s="127"/>
      <c r="DR124" s="113"/>
      <c r="DS124" s="113"/>
      <c r="DT124" s="113"/>
      <c r="DU124" s="127"/>
      <c r="DV124" s="113"/>
      <c r="DW124" s="113"/>
      <c r="DX124" s="113"/>
      <c r="DY124" s="127"/>
      <c r="DZ124" s="113"/>
      <c r="EA124" s="113"/>
      <c r="EB124" s="113"/>
      <c r="EC124" s="127"/>
      <c r="ED124" s="113"/>
      <c r="EE124" s="126"/>
      <c r="EF124" s="112"/>
      <c r="EG124" s="112"/>
      <c r="EH124" s="125"/>
      <c r="EI124" s="128"/>
      <c r="EJ124" s="113"/>
      <c r="EK124" s="113"/>
      <c r="EL124" s="127"/>
      <c r="EM124" s="125"/>
      <c r="EN124" s="113"/>
      <c r="EO124" s="113"/>
      <c r="EP124" s="113"/>
      <c r="EQ124" s="127"/>
      <c r="ER124" s="125"/>
      <c r="ES124" s="113"/>
      <c r="ET124" s="113"/>
      <c r="EU124" s="113"/>
      <c r="EV124" s="127"/>
      <c r="EW124" s="129"/>
      <c r="EX124" s="112"/>
      <c r="EY124" s="112"/>
      <c r="EZ124" s="112"/>
      <c r="FA124" s="125"/>
      <c r="FB124" s="112"/>
      <c r="FC124" s="112"/>
      <c r="FD124" s="112"/>
      <c r="FE124" s="125"/>
      <c r="FF124" s="112"/>
      <c r="FG124" s="112"/>
      <c r="FH124" s="112"/>
      <c r="FI124" s="125"/>
      <c r="FJ124" s="129"/>
      <c r="FK124" s="125"/>
      <c r="FL124" s="130"/>
      <c r="FM124" s="131"/>
    </row>
    <row r="125" spans="1:169" x14ac:dyDescent="0.2">
      <c r="X125" s="87"/>
      <c r="AF125" s="92"/>
      <c r="BJ125" s="88"/>
      <c r="BL125" s="49"/>
      <c r="BP125" s="93"/>
      <c r="BQ125" s="94"/>
      <c r="BT125" s="93"/>
      <c r="BX125" s="93"/>
      <c r="BY125" s="95"/>
      <c r="BZ125" s="95"/>
      <c r="CA125" s="95"/>
      <c r="CB125" s="93"/>
      <c r="CC125" s="95"/>
      <c r="CD125" s="95"/>
      <c r="CE125" s="95"/>
      <c r="CF125" s="93"/>
      <c r="CG125" s="93"/>
      <c r="CK125" s="93"/>
      <c r="CO125" s="93"/>
      <c r="CS125" s="93"/>
      <c r="CW125" s="95"/>
      <c r="DA125" s="93"/>
      <c r="DE125" s="93"/>
      <c r="DI125" s="95"/>
      <c r="DM125" s="95"/>
      <c r="DQ125" s="95"/>
      <c r="DU125" s="95"/>
      <c r="DY125" s="95"/>
      <c r="EC125" s="95"/>
      <c r="EE125" s="94"/>
      <c r="EH125" s="93"/>
      <c r="EI125" s="96"/>
      <c r="EL125" s="95"/>
      <c r="EM125" s="93"/>
      <c r="EQ125" s="95"/>
      <c r="ER125" s="93"/>
      <c r="EV125" s="95"/>
      <c r="EW125" s="97"/>
      <c r="FA125" s="93"/>
      <c r="FE125" s="93"/>
      <c r="FI125" s="93"/>
      <c r="FJ125" s="97"/>
      <c r="FK125" s="93"/>
      <c r="FL125" s="98"/>
    </row>
    <row r="126" spans="1:169" x14ac:dyDescent="0.2">
      <c r="X126" s="87"/>
      <c r="AF126" s="92"/>
      <c r="BJ126" s="88"/>
      <c r="BL126" s="49"/>
      <c r="BP126" s="93"/>
      <c r="BQ126" s="94"/>
      <c r="BT126" s="93"/>
      <c r="BX126" s="93"/>
      <c r="BY126" s="95"/>
      <c r="BZ126" s="95"/>
      <c r="CA126" s="95"/>
      <c r="CB126" s="93"/>
      <c r="CC126" s="95"/>
      <c r="CD126" s="95"/>
      <c r="CE126" s="95"/>
      <c r="CF126" s="93"/>
      <c r="CG126" s="93"/>
      <c r="CK126" s="93"/>
      <c r="CO126" s="93"/>
      <c r="CS126" s="93"/>
      <c r="CW126" s="95"/>
      <c r="DA126" s="93"/>
      <c r="DE126" s="93"/>
      <c r="DI126" s="95"/>
      <c r="DM126" s="95"/>
      <c r="DQ126" s="95"/>
      <c r="DU126" s="95"/>
      <c r="DY126" s="95"/>
      <c r="EC126" s="95"/>
      <c r="EE126" s="94"/>
      <c r="EH126" s="93"/>
      <c r="EI126" s="96"/>
      <c r="EL126" s="95"/>
      <c r="EM126" s="93"/>
      <c r="EQ126" s="95"/>
      <c r="ER126" s="93"/>
      <c r="EV126" s="95"/>
      <c r="EW126" s="97"/>
      <c r="FA126" s="93"/>
      <c r="FE126" s="93"/>
      <c r="FI126" s="93"/>
      <c r="FJ126" s="97"/>
      <c r="FK126" s="93"/>
      <c r="FL126" s="98"/>
    </row>
    <row r="127" spans="1:169" x14ac:dyDescent="0.2">
      <c r="X127" s="87"/>
      <c r="AF127" s="92"/>
      <c r="BJ127" s="88"/>
      <c r="BL127" s="49"/>
      <c r="BP127" s="93"/>
      <c r="BQ127" s="94"/>
      <c r="BT127" s="93"/>
      <c r="BX127" s="93"/>
      <c r="BY127" s="95"/>
      <c r="BZ127" s="95"/>
      <c r="CA127" s="95"/>
      <c r="CB127" s="93"/>
      <c r="CC127" s="95"/>
      <c r="CD127" s="95"/>
      <c r="CE127" s="95"/>
      <c r="CF127" s="93"/>
      <c r="CG127" s="93"/>
      <c r="CK127" s="93"/>
      <c r="CO127" s="93"/>
      <c r="CS127" s="93"/>
      <c r="CW127" s="95"/>
      <c r="DA127" s="93"/>
      <c r="DE127" s="93"/>
      <c r="DI127" s="95"/>
      <c r="DM127" s="95"/>
      <c r="DQ127" s="95"/>
      <c r="DU127" s="95"/>
      <c r="DY127" s="95"/>
      <c r="EC127" s="95"/>
      <c r="EE127" s="94"/>
      <c r="EH127" s="93"/>
      <c r="EI127" s="96"/>
      <c r="EL127" s="95"/>
      <c r="EM127" s="93"/>
      <c r="EQ127" s="95"/>
      <c r="ER127" s="93"/>
      <c r="EV127" s="95"/>
      <c r="EW127" s="97"/>
      <c r="FA127" s="93"/>
      <c r="FE127" s="93"/>
      <c r="FI127" s="93"/>
      <c r="FJ127" s="97"/>
      <c r="FK127" s="93"/>
      <c r="FL127" s="98"/>
    </row>
    <row r="128" spans="1:169" x14ac:dyDescent="0.2">
      <c r="AF128" s="92"/>
      <c r="BJ128" s="88"/>
      <c r="BL128" s="49"/>
      <c r="BP128" s="93"/>
      <c r="BQ128" s="94"/>
      <c r="BT128" s="93"/>
      <c r="BX128" s="93"/>
      <c r="BY128" s="95"/>
      <c r="BZ128" s="95"/>
      <c r="CA128" s="95"/>
      <c r="CB128" s="93"/>
      <c r="CC128" s="95"/>
      <c r="CD128" s="95"/>
      <c r="CE128" s="95"/>
      <c r="CF128" s="93"/>
      <c r="CG128" s="93"/>
      <c r="CK128" s="93"/>
      <c r="CO128" s="93"/>
      <c r="CS128" s="93"/>
      <c r="CW128" s="95"/>
      <c r="DA128" s="93"/>
      <c r="DE128" s="93"/>
      <c r="DI128" s="95"/>
      <c r="DM128" s="95"/>
      <c r="DQ128" s="95"/>
      <c r="DU128" s="95"/>
      <c r="DY128" s="95"/>
      <c r="EC128" s="95"/>
      <c r="EE128" s="94"/>
      <c r="EH128" s="93"/>
      <c r="EI128" s="96"/>
      <c r="EL128" s="95"/>
      <c r="EM128" s="93"/>
      <c r="EQ128" s="95"/>
      <c r="ER128" s="93"/>
      <c r="EV128" s="95"/>
      <c r="EW128" s="97"/>
      <c r="FA128" s="93"/>
      <c r="FE128" s="93"/>
      <c r="FI128" s="93"/>
      <c r="FJ128" s="97"/>
      <c r="FK128" s="93"/>
      <c r="FL128" s="98"/>
    </row>
    <row r="129" spans="1:169" x14ac:dyDescent="0.2">
      <c r="X129" s="87"/>
      <c r="AF129" s="92"/>
      <c r="BJ129" s="88"/>
      <c r="BL129" s="49"/>
      <c r="BP129" s="93"/>
      <c r="BQ129" s="94"/>
      <c r="BT129" s="93"/>
      <c r="BX129" s="93"/>
      <c r="BY129" s="95"/>
      <c r="BZ129" s="95"/>
      <c r="CA129" s="95"/>
      <c r="CB129" s="93"/>
      <c r="CC129" s="95"/>
      <c r="CD129" s="95"/>
      <c r="CE129" s="95"/>
      <c r="CF129" s="93"/>
      <c r="CG129" s="93"/>
      <c r="CK129" s="93"/>
      <c r="CO129" s="93"/>
      <c r="CS129" s="93"/>
      <c r="CW129" s="95"/>
      <c r="DA129" s="93"/>
      <c r="DE129" s="93"/>
      <c r="DI129" s="95"/>
      <c r="DM129" s="95"/>
      <c r="DQ129" s="95"/>
      <c r="DU129" s="95"/>
      <c r="DY129" s="95"/>
      <c r="EC129" s="95"/>
      <c r="EE129" s="94"/>
      <c r="EH129" s="93"/>
      <c r="EI129" s="96"/>
      <c r="EL129" s="95"/>
      <c r="EM129" s="93"/>
      <c r="EQ129" s="95"/>
      <c r="ER129" s="93"/>
      <c r="EV129" s="95"/>
      <c r="EW129" s="97"/>
      <c r="FA129" s="93"/>
      <c r="FE129" s="93"/>
      <c r="FI129" s="93"/>
      <c r="FJ129" s="97"/>
      <c r="FK129" s="93"/>
      <c r="FL129" s="98"/>
    </row>
    <row r="130" spans="1:169" x14ac:dyDescent="0.2">
      <c r="X130" s="87"/>
      <c r="AF130" s="92"/>
      <c r="BJ130" s="88"/>
      <c r="BL130" s="49"/>
      <c r="BP130" s="93"/>
      <c r="BQ130" s="94"/>
      <c r="BT130" s="93"/>
      <c r="BX130" s="93"/>
      <c r="BY130" s="95"/>
      <c r="BZ130" s="95"/>
      <c r="CA130" s="95"/>
      <c r="CB130" s="93"/>
      <c r="CC130" s="95"/>
      <c r="CD130" s="95"/>
      <c r="CE130" s="95"/>
      <c r="CF130" s="93"/>
      <c r="CG130" s="93"/>
      <c r="CK130" s="93"/>
      <c r="CO130" s="93"/>
      <c r="CS130" s="93"/>
      <c r="CW130" s="95"/>
      <c r="DA130" s="93"/>
      <c r="DE130" s="93"/>
      <c r="DI130" s="95"/>
      <c r="DM130" s="95"/>
      <c r="DQ130" s="95"/>
      <c r="DU130" s="95"/>
      <c r="DY130" s="95"/>
      <c r="EC130" s="95"/>
      <c r="EE130" s="94"/>
      <c r="EH130" s="93"/>
      <c r="EI130" s="96"/>
      <c r="EL130" s="95"/>
      <c r="EM130" s="93"/>
      <c r="EQ130" s="95"/>
      <c r="ER130" s="93"/>
      <c r="EV130" s="95"/>
      <c r="EW130" s="97"/>
      <c r="FA130" s="93"/>
      <c r="FE130" s="93"/>
      <c r="FI130" s="93"/>
      <c r="FJ130" s="97"/>
      <c r="FK130" s="93"/>
      <c r="FL130" s="98"/>
    </row>
    <row r="131" spans="1:169" x14ac:dyDescent="0.2">
      <c r="X131" s="87"/>
      <c r="AF131" s="92"/>
      <c r="BJ131" s="88"/>
      <c r="BL131" s="49"/>
      <c r="BP131" s="93"/>
      <c r="BQ131" s="94"/>
      <c r="BT131" s="93"/>
      <c r="BX131" s="93"/>
      <c r="BY131" s="95"/>
      <c r="BZ131" s="95"/>
      <c r="CA131" s="95"/>
      <c r="CB131" s="93"/>
      <c r="CC131" s="95"/>
      <c r="CD131" s="95"/>
      <c r="CE131" s="95"/>
      <c r="CF131" s="93"/>
      <c r="CG131" s="93"/>
      <c r="CK131" s="93"/>
      <c r="CO131" s="93"/>
      <c r="CS131" s="93"/>
      <c r="CW131" s="95"/>
      <c r="DA131" s="93"/>
      <c r="DE131" s="93"/>
      <c r="DI131" s="95"/>
      <c r="DM131" s="95"/>
      <c r="DQ131" s="95"/>
      <c r="DU131" s="95"/>
      <c r="DY131" s="95"/>
      <c r="EC131" s="95"/>
      <c r="EE131" s="94"/>
      <c r="EH131" s="93"/>
      <c r="EI131" s="96"/>
      <c r="EL131" s="95"/>
      <c r="EM131" s="93"/>
      <c r="EQ131" s="95"/>
      <c r="ER131" s="93"/>
      <c r="EV131" s="95"/>
      <c r="EW131" s="97"/>
      <c r="FA131" s="93"/>
      <c r="FE131" s="93"/>
      <c r="FI131" s="93"/>
      <c r="FJ131" s="97"/>
      <c r="FK131" s="93"/>
      <c r="FL131" s="98"/>
    </row>
    <row r="132" spans="1:169" x14ac:dyDescent="0.2">
      <c r="AF132" s="92"/>
      <c r="BJ132" s="88"/>
      <c r="BL132" s="49"/>
      <c r="BP132" s="93"/>
      <c r="BQ132" s="94"/>
      <c r="BT132" s="93"/>
      <c r="BX132" s="93"/>
      <c r="BY132" s="95"/>
      <c r="BZ132" s="95"/>
      <c r="CA132" s="95"/>
      <c r="CB132" s="93"/>
      <c r="CC132" s="95"/>
      <c r="CD132" s="95"/>
      <c r="CE132" s="95"/>
      <c r="CF132" s="93"/>
      <c r="CG132" s="93"/>
      <c r="CK132" s="93"/>
      <c r="CO132" s="93"/>
      <c r="CS132" s="93"/>
      <c r="CW132" s="95"/>
      <c r="DA132" s="93"/>
      <c r="DE132" s="93"/>
      <c r="DI132" s="95"/>
      <c r="DM132" s="95"/>
      <c r="DQ132" s="95"/>
      <c r="DU132" s="95"/>
      <c r="DY132" s="95"/>
      <c r="EC132" s="95"/>
      <c r="EE132" s="94"/>
      <c r="EH132" s="93"/>
      <c r="EI132" s="96"/>
      <c r="EL132" s="95"/>
      <c r="EM132" s="93"/>
      <c r="EQ132" s="95"/>
      <c r="ER132" s="93"/>
      <c r="EV132" s="95"/>
      <c r="EW132" s="97"/>
      <c r="FA132" s="93"/>
      <c r="FE132" s="93"/>
      <c r="FI132" s="93"/>
      <c r="FJ132" s="97"/>
      <c r="FK132" s="93"/>
      <c r="FL132" s="98"/>
    </row>
    <row r="133" spans="1:169" x14ac:dyDescent="0.2">
      <c r="X133" s="87"/>
      <c r="AF133" s="92"/>
      <c r="BJ133" s="88"/>
      <c r="BL133" s="49"/>
      <c r="BP133" s="93"/>
      <c r="BQ133" s="94"/>
      <c r="BT133" s="93"/>
      <c r="BX133" s="93"/>
      <c r="BY133" s="95"/>
      <c r="BZ133" s="95"/>
      <c r="CA133" s="95"/>
      <c r="CB133" s="93"/>
      <c r="CC133" s="95"/>
      <c r="CD133" s="95"/>
      <c r="CE133" s="95"/>
      <c r="CF133" s="93"/>
      <c r="CG133" s="93"/>
      <c r="CK133" s="93"/>
      <c r="CO133" s="93"/>
      <c r="CS133" s="93"/>
      <c r="CW133" s="95"/>
      <c r="DA133" s="93"/>
      <c r="DE133" s="93"/>
      <c r="DI133" s="95"/>
      <c r="DM133" s="95"/>
      <c r="DQ133" s="95"/>
      <c r="DU133" s="95"/>
      <c r="DY133" s="95"/>
      <c r="EC133" s="95"/>
      <c r="EE133" s="94"/>
      <c r="EH133" s="93"/>
      <c r="EI133" s="96"/>
      <c r="EL133" s="95"/>
      <c r="EM133" s="93"/>
      <c r="EQ133" s="95"/>
      <c r="ER133" s="93"/>
      <c r="EV133" s="95"/>
      <c r="EW133" s="97"/>
      <c r="FA133" s="93"/>
      <c r="FE133" s="93"/>
      <c r="FI133" s="93"/>
      <c r="FJ133" s="97"/>
      <c r="FK133" s="93"/>
      <c r="FL133" s="98"/>
    </row>
    <row r="134" spans="1:169" x14ac:dyDescent="0.2">
      <c r="X134" s="87"/>
      <c r="AF134" s="92"/>
      <c r="BJ134" s="88"/>
      <c r="BL134" s="49"/>
      <c r="BP134" s="93"/>
      <c r="BQ134" s="94"/>
      <c r="BT134" s="93"/>
      <c r="BX134" s="93"/>
      <c r="BY134" s="95"/>
      <c r="BZ134" s="95"/>
      <c r="CA134" s="95"/>
      <c r="CB134" s="93"/>
      <c r="CC134" s="95"/>
      <c r="CD134" s="95"/>
      <c r="CE134" s="95"/>
      <c r="CF134" s="93"/>
      <c r="CG134" s="93"/>
      <c r="CK134" s="93"/>
      <c r="CO134" s="93"/>
      <c r="CS134" s="93"/>
      <c r="CW134" s="95"/>
      <c r="DA134" s="93"/>
      <c r="DE134" s="93"/>
      <c r="DI134" s="95"/>
      <c r="DM134" s="95"/>
      <c r="DQ134" s="95"/>
      <c r="DU134" s="95"/>
      <c r="DY134" s="95"/>
      <c r="EC134" s="95"/>
      <c r="EE134" s="94"/>
      <c r="EH134" s="93"/>
      <c r="EI134" s="96"/>
      <c r="EL134" s="95"/>
      <c r="EM134" s="93"/>
      <c r="EQ134" s="95"/>
      <c r="ER134" s="93"/>
      <c r="EV134" s="95"/>
      <c r="EW134" s="97"/>
      <c r="FA134" s="93"/>
      <c r="FE134" s="93"/>
      <c r="FI134" s="93"/>
      <c r="FJ134" s="97"/>
      <c r="FK134" s="93"/>
      <c r="FL134" s="98"/>
    </row>
    <row r="135" spans="1:169" x14ac:dyDescent="0.2">
      <c r="AF135" s="92"/>
      <c r="BJ135" s="88"/>
      <c r="BL135" s="49"/>
      <c r="BP135" s="93"/>
      <c r="BQ135" s="94"/>
      <c r="BT135" s="93"/>
      <c r="BX135" s="93"/>
      <c r="BY135" s="95"/>
      <c r="BZ135" s="95"/>
      <c r="CA135" s="95"/>
      <c r="CB135" s="93"/>
      <c r="CC135" s="95"/>
      <c r="CD135" s="95"/>
      <c r="CE135" s="95"/>
      <c r="CF135" s="93"/>
      <c r="CG135" s="93"/>
      <c r="CK135" s="93"/>
      <c r="CO135" s="93"/>
      <c r="CS135" s="93"/>
      <c r="CW135" s="95"/>
      <c r="DA135" s="93"/>
      <c r="DE135" s="93"/>
      <c r="DI135" s="95"/>
      <c r="DM135" s="95"/>
      <c r="DQ135" s="95"/>
      <c r="DU135" s="95"/>
      <c r="DY135" s="95"/>
      <c r="EC135" s="95"/>
      <c r="EE135" s="94"/>
      <c r="EH135" s="93"/>
      <c r="EI135" s="96"/>
      <c r="EL135" s="95"/>
      <c r="EM135" s="93"/>
      <c r="EQ135" s="95"/>
      <c r="ER135" s="93"/>
      <c r="EV135" s="95"/>
      <c r="EW135" s="97"/>
      <c r="FA135" s="93"/>
      <c r="FE135" s="93"/>
      <c r="FI135" s="93"/>
      <c r="FJ135" s="97"/>
      <c r="FK135" s="93"/>
      <c r="FL135" s="98"/>
    </row>
    <row r="136" spans="1:169" x14ac:dyDescent="0.2">
      <c r="A136" s="112"/>
      <c r="B136" s="113"/>
      <c r="C136" s="113"/>
      <c r="D136" s="113"/>
      <c r="E136" s="113"/>
      <c r="F136" s="112"/>
      <c r="G136" s="114"/>
      <c r="H136" s="114"/>
      <c r="I136" s="114"/>
      <c r="J136" s="115"/>
      <c r="K136" s="116"/>
      <c r="L136" s="112"/>
      <c r="M136" s="113"/>
      <c r="N136" s="113"/>
      <c r="O136" s="113"/>
      <c r="P136" s="113"/>
      <c r="Q136" s="117"/>
      <c r="R136" s="118"/>
      <c r="S136" s="119"/>
      <c r="T136" s="113"/>
      <c r="U136" s="113"/>
      <c r="V136" s="113"/>
      <c r="W136" s="113"/>
      <c r="X136" s="113"/>
      <c r="Y136" s="113"/>
      <c r="Z136" s="113"/>
      <c r="AA136" s="113"/>
      <c r="AB136" s="113"/>
      <c r="AC136" s="113"/>
      <c r="AD136" s="113"/>
      <c r="AE136" s="113"/>
      <c r="AF136" s="120"/>
      <c r="AG136" s="113"/>
      <c r="AH136" s="113"/>
      <c r="AI136" s="121"/>
      <c r="AJ136" s="119"/>
      <c r="AK136" s="113"/>
      <c r="AL136" s="113"/>
      <c r="AM136" s="122"/>
      <c r="AN136" s="122"/>
      <c r="AO136" s="122"/>
      <c r="AP136" s="122"/>
      <c r="AQ136" s="122"/>
      <c r="AR136" s="122"/>
      <c r="AS136" s="122"/>
      <c r="AT136" s="122"/>
      <c r="AU136" s="122"/>
      <c r="AV136" s="122"/>
      <c r="AW136" s="122"/>
      <c r="AX136" s="122"/>
      <c r="AY136" s="122"/>
      <c r="AZ136" s="122"/>
      <c r="BA136" s="122"/>
      <c r="BB136" s="122"/>
      <c r="BC136" s="122"/>
      <c r="BD136" s="116"/>
      <c r="BE136" s="116"/>
      <c r="BF136" s="116"/>
      <c r="BG136" s="116"/>
      <c r="BH136" s="116"/>
      <c r="BI136" s="116"/>
      <c r="BJ136" s="123"/>
      <c r="BK136" s="119"/>
      <c r="BL136" s="124"/>
      <c r="BM136" s="112"/>
      <c r="BN136" s="112"/>
      <c r="BO136" s="112"/>
      <c r="BP136" s="125"/>
      <c r="BQ136" s="126"/>
      <c r="BR136" s="112"/>
      <c r="BS136" s="112"/>
      <c r="BT136" s="125"/>
      <c r="BU136" s="112"/>
      <c r="BV136" s="112"/>
      <c r="BW136" s="112"/>
      <c r="BX136" s="125"/>
      <c r="BY136" s="127"/>
      <c r="BZ136" s="127"/>
      <c r="CA136" s="127"/>
      <c r="CB136" s="125"/>
      <c r="CC136" s="127"/>
      <c r="CD136" s="127"/>
      <c r="CE136" s="127"/>
      <c r="CF136" s="125"/>
      <c r="CG136" s="125"/>
      <c r="CH136" s="113"/>
      <c r="CI136" s="113"/>
      <c r="CJ136" s="113"/>
      <c r="CK136" s="125"/>
      <c r="CL136" s="113"/>
      <c r="CM136" s="113"/>
      <c r="CN136" s="113"/>
      <c r="CO136" s="125"/>
      <c r="CP136" s="113"/>
      <c r="CQ136" s="113"/>
      <c r="CR136" s="113"/>
      <c r="CS136" s="125"/>
      <c r="CT136" s="113"/>
      <c r="CU136" s="113"/>
      <c r="CV136" s="113"/>
      <c r="CW136" s="127"/>
      <c r="CX136" s="113"/>
      <c r="CY136" s="113"/>
      <c r="CZ136" s="113"/>
      <c r="DA136" s="125"/>
      <c r="DB136" s="113"/>
      <c r="DC136" s="113"/>
      <c r="DD136" s="113"/>
      <c r="DE136" s="125"/>
      <c r="DF136" s="113"/>
      <c r="DG136" s="113"/>
      <c r="DH136" s="113"/>
      <c r="DI136" s="127"/>
      <c r="DJ136" s="113"/>
      <c r="DK136" s="113"/>
      <c r="DL136" s="113"/>
      <c r="DM136" s="127"/>
      <c r="DN136" s="113"/>
      <c r="DO136" s="113"/>
      <c r="DP136" s="113"/>
      <c r="DQ136" s="127"/>
      <c r="DR136" s="113"/>
      <c r="DS136" s="113"/>
      <c r="DT136" s="113"/>
      <c r="DU136" s="127"/>
      <c r="DV136" s="113"/>
      <c r="DW136" s="113"/>
      <c r="DX136" s="113"/>
      <c r="DY136" s="127"/>
      <c r="DZ136" s="113"/>
      <c r="EA136" s="113"/>
      <c r="EB136" s="113"/>
      <c r="EC136" s="127"/>
      <c r="ED136" s="113"/>
      <c r="EE136" s="126"/>
      <c r="EF136" s="112"/>
      <c r="EG136" s="112"/>
      <c r="EH136" s="125"/>
      <c r="EI136" s="128"/>
      <c r="EJ136" s="113"/>
      <c r="EK136" s="113"/>
      <c r="EL136" s="127"/>
      <c r="EM136" s="125"/>
      <c r="EN136" s="113"/>
      <c r="EO136" s="113"/>
      <c r="EP136" s="113"/>
      <c r="EQ136" s="127"/>
      <c r="ER136" s="125"/>
      <c r="ES136" s="113"/>
      <c r="ET136" s="113"/>
      <c r="EU136" s="113"/>
      <c r="EV136" s="127"/>
      <c r="EW136" s="129"/>
      <c r="EX136" s="112"/>
      <c r="EY136" s="112"/>
      <c r="EZ136" s="112"/>
      <c r="FA136" s="125"/>
      <c r="FB136" s="112"/>
      <c r="FC136" s="112"/>
      <c r="FD136" s="112"/>
      <c r="FE136" s="125"/>
      <c r="FF136" s="112"/>
      <c r="FG136" s="112"/>
      <c r="FH136" s="112"/>
      <c r="FI136" s="125"/>
      <c r="FJ136" s="129"/>
      <c r="FK136" s="125"/>
      <c r="FL136" s="130"/>
      <c r="FM136" s="131"/>
    </row>
    <row r="137" spans="1:169" x14ac:dyDescent="0.2">
      <c r="X137" s="87"/>
      <c r="AF137" s="92"/>
      <c r="BJ137" s="88"/>
      <c r="BL137" s="49"/>
      <c r="BP137" s="93"/>
      <c r="BQ137" s="94"/>
      <c r="BT137" s="93"/>
      <c r="BX137" s="93"/>
      <c r="BY137" s="95"/>
      <c r="BZ137" s="95"/>
      <c r="CA137" s="95"/>
      <c r="CB137" s="93"/>
      <c r="CC137" s="95"/>
      <c r="CD137" s="95"/>
      <c r="CE137" s="95"/>
      <c r="CF137" s="93"/>
      <c r="CG137" s="93"/>
      <c r="CK137" s="93"/>
      <c r="CO137" s="93"/>
      <c r="CS137" s="93"/>
      <c r="CW137" s="95"/>
      <c r="DA137" s="93"/>
      <c r="DE137" s="93"/>
      <c r="DI137" s="95"/>
      <c r="DM137" s="95"/>
      <c r="DQ137" s="95"/>
      <c r="DU137" s="95"/>
      <c r="DY137" s="95"/>
      <c r="EC137" s="95"/>
      <c r="EE137" s="94"/>
      <c r="EH137" s="93"/>
      <c r="EI137" s="96"/>
      <c r="EL137" s="95"/>
      <c r="EM137" s="93"/>
      <c r="EQ137" s="95"/>
      <c r="ER137" s="93"/>
      <c r="EV137" s="95"/>
      <c r="EW137" s="97"/>
      <c r="FA137" s="93"/>
      <c r="FE137" s="93"/>
      <c r="FI137" s="93"/>
      <c r="FJ137" s="97"/>
      <c r="FK137" s="93"/>
      <c r="FL137" s="98"/>
    </row>
    <row r="138" spans="1:169" x14ac:dyDescent="0.2">
      <c r="A138" s="112"/>
      <c r="B138" s="113"/>
      <c r="C138" s="113"/>
      <c r="D138" s="113"/>
      <c r="E138" s="113"/>
      <c r="F138" s="112"/>
      <c r="G138" s="114"/>
      <c r="H138" s="114"/>
      <c r="I138" s="114"/>
      <c r="J138" s="115"/>
      <c r="K138" s="116"/>
      <c r="L138" s="112"/>
      <c r="M138" s="113"/>
      <c r="N138" s="113"/>
      <c r="O138" s="113"/>
      <c r="P138" s="113"/>
      <c r="Q138" s="117"/>
      <c r="R138" s="118"/>
      <c r="S138" s="119"/>
      <c r="T138" s="113"/>
      <c r="U138" s="113"/>
      <c r="V138" s="113"/>
      <c r="W138" s="113"/>
      <c r="X138" s="113"/>
      <c r="Y138" s="113"/>
      <c r="Z138" s="113"/>
      <c r="AA138" s="113"/>
      <c r="AB138" s="113"/>
      <c r="AC138" s="113"/>
      <c r="AD138" s="113"/>
      <c r="AE138" s="113"/>
      <c r="AF138" s="120"/>
      <c r="AG138" s="113"/>
      <c r="AH138" s="113"/>
      <c r="AI138" s="121"/>
      <c r="AJ138" s="119"/>
      <c r="AK138" s="113"/>
      <c r="AL138" s="113"/>
      <c r="AM138" s="122"/>
      <c r="AN138" s="122"/>
      <c r="AO138" s="122"/>
      <c r="AP138" s="122"/>
      <c r="AQ138" s="122"/>
      <c r="AR138" s="122"/>
      <c r="AS138" s="122"/>
      <c r="AT138" s="122"/>
      <c r="AU138" s="122"/>
      <c r="AV138" s="122"/>
      <c r="AW138" s="122"/>
      <c r="AX138" s="122"/>
      <c r="AY138" s="122"/>
      <c r="AZ138" s="122"/>
      <c r="BA138" s="122"/>
      <c r="BB138" s="122"/>
      <c r="BC138" s="122"/>
      <c r="BD138" s="116"/>
      <c r="BE138" s="116"/>
      <c r="BF138" s="116"/>
      <c r="BG138" s="116"/>
      <c r="BH138" s="116"/>
      <c r="BI138" s="116"/>
      <c r="BJ138" s="123"/>
      <c r="BK138" s="119"/>
      <c r="BL138" s="124"/>
      <c r="BM138" s="112"/>
      <c r="BN138" s="112"/>
      <c r="BO138" s="112"/>
      <c r="BP138" s="125"/>
      <c r="BQ138" s="126"/>
      <c r="BR138" s="112"/>
      <c r="BS138" s="112"/>
      <c r="BT138" s="125"/>
      <c r="BU138" s="112"/>
      <c r="BV138" s="112"/>
      <c r="BW138" s="112"/>
      <c r="BX138" s="125"/>
      <c r="BY138" s="127"/>
      <c r="BZ138" s="127"/>
      <c r="CA138" s="127"/>
      <c r="CB138" s="125"/>
      <c r="CC138" s="127"/>
      <c r="CD138" s="127"/>
      <c r="CE138" s="127"/>
      <c r="CF138" s="125"/>
      <c r="CG138" s="125"/>
      <c r="CH138" s="113"/>
      <c r="CI138" s="113"/>
      <c r="CJ138" s="113"/>
      <c r="CK138" s="125"/>
      <c r="CL138" s="113"/>
      <c r="CM138" s="113"/>
      <c r="CN138" s="113"/>
      <c r="CO138" s="125"/>
      <c r="CP138" s="113"/>
      <c r="CQ138" s="113"/>
      <c r="CR138" s="113"/>
      <c r="CS138" s="125"/>
      <c r="CT138" s="113"/>
      <c r="CU138" s="113"/>
      <c r="CV138" s="113"/>
      <c r="CW138" s="127"/>
      <c r="CX138" s="113"/>
      <c r="CY138" s="113"/>
      <c r="CZ138" s="113"/>
      <c r="DA138" s="125"/>
      <c r="DB138" s="113"/>
      <c r="DC138" s="113"/>
      <c r="DD138" s="113"/>
      <c r="DE138" s="125"/>
      <c r="DF138" s="113"/>
      <c r="DG138" s="113"/>
      <c r="DH138" s="113"/>
      <c r="DI138" s="127"/>
      <c r="DJ138" s="113"/>
      <c r="DK138" s="113"/>
      <c r="DL138" s="113"/>
      <c r="DM138" s="127"/>
      <c r="DN138" s="113"/>
      <c r="DO138" s="113"/>
      <c r="DP138" s="113"/>
      <c r="DQ138" s="127"/>
      <c r="DR138" s="113"/>
      <c r="DS138" s="113"/>
      <c r="DT138" s="113"/>
      <c r="DU138" s="127"/>
      <c r="DV138" s="113"/>
      <c r="DW138" s="113"/>
      <c r="DX138" s="113"/>
      <c r="DY138" s="127"/>
      <c r="DZ138" s="113"/>
      <c r="EA138" s="113"/>
      <c r="EB138" s="113"/>
      <c r="EC138" s="127"/>
      <c r="ED138" s="113"/>
      <c r="EE138" s="126"/>
      <c r="EF138" s="112"/>
      <c r="EG138" s="112"/>
      <c r="EH138" s="125"/>
      <c r="EI138" s="128"/>
      <c r="EJ138" s="113"/>
      <c r="EK138" s="113"/>
      <c r="EL138" s="127"/>
      <c r="EM138" s="125"/>
      <c r="EN138" s="113"/>
      <c r="EO138" s="113"/>
      <c r="EP138" s="113"/>
      <c r="EQ138" s="127"/>
      <c r="ER138" s="125"/>
      <c r="ES138" s="113"/>
      <c r="ET138" s="113"/>
      <c r="EU138" s="113"/>
      <c r="EV138" s="127"/>
      <c r="EW138" s="129"/>
      <c r="EX138" s="112"/>
      <c r="EY138" s="112"/>
      <c r="EZ138" s="112"/>
      <c r="FA138" s="125"/>
      <c r="FB138" s="112"/>
      <c r="FC138" s="112"/>
      <c r="FD138" s="112"/>
      <c r="FE138" s="125"/>
      <c r="FF138" s="112"/>
      <c r="FG138" s="112"/>
      <c r="FH138" s="112"/>
      <c r="FI138" s="125"/>
      <c r="FJ138" s="129"/>
      <c r="FK138" s="125"/>
      <c r="FL138" s="130"/>
      <c r="FM138" s="131"/>
    </row>
    <row r="139" spans="1:169" x14ac:dyDescent="0.2">
      <c r="X139" s="87"/>
      <c r="AF139" s="92"/>
      <c r="BJ139" s="88"/>
      <c r="BL139" s="49"/>
      <c r="BP139" s="93"/>
      <c r="BQ139" s="94"/>
      <c r="BT139" s="93"/>
      <c r="BX139" s="93"/>
      <c r="BY139" s="95"/>
      <c r="BZ139" s="95"/>
      <c r="CA139" s="95"/>
      <c r="CB139" s="93"/>
      <c r="CC139" s="95"/>
      <c r="CD139" s="95"/>
      <c r="CE139" s="95"/>
      <c r="CF139" s="93"/>
      <c r="CG139" s="93"/>
      <c r="CK139" s="93"/>
      <c r="CO139" s="93"/>
      <c r="CS139" s="93"/>
      <c r="CW139" s="95"/>
      <c r="DA139" s="93"/>
      <c r="DE139" s="93"/>
      <c r="DI139" s="95"/>
      <c r="DM139" s="95"/>
      <c r="DQ139" s="95"/>
      <c r="DU139" s="95"/>
      <c r="DY139" s="95"/>
      <c r="EC139" s="95"/>
      <c r="EE139" s="94"/>
      <c r="EH139" s="93"/>
      <c r="EI139" s="96"/>
      <c r="EL139" s="95"/>
      <c r="EM139" s="93"/>
      <c r="EQ139" s="95"/>
      <c r="ER139" s="93"/>
      <c r="EV139" s="95"/>
      <c r="EW139" s="97"/>
      <c r="FA139" s="93"/>
      <c r="FE139" s="93"/>
      <c r="FI139" s="93"/>
      <c r="FJ139" s="97"/>
      <c r="FK139" s="93"/>
      <c r="FL139" s="98"/>
    </row>
    <row r="140" spans="1:169" x14ac:dyDescent="0.2">
      <c r="A140" s="112"/>
      <c r="B140" s="113"/>
      <c r="C140" s="113"/>
      <c r="D140" s="113"/>
      <c r="E140" s="113"/>
      <c r="F140" s="112"/>
      <c r="G140" s="114"/>
      <c r="H140" s="114"/>
      <c r="I140" s="114"/>
      <c r="J140" s="115"/>
      <c r="K140" s="116"/>
      <c r="L140" s="112"/>
      <c r="M140" s="113"/>
      <c r="N140" s="113"/>
      <c r="O140" s="113"/>
      <c r="P140" s="113"/>
      <c r="Q140" s="117"/>
      <c r="R140" s="118"/>
      <c r="S140" s="119"/>
      <c r="T140" s="113"/>
      <c r="U140" s="113"/>
      <c r="V140" s="113"/>
      <c r="W140" s="113"/>
      <c r="X140" s="113"/>
      <c r="Y140" s="113"/>
      <c r="Z140" s="113"/>
      <c r="AA140" s="113"/>
      <c r="AB140" s="113"/>
      <c r="AC140" s="113"/>
      <c r="AD140" s="113"/>
      <c r="AE140" s="113"/>
      <c r="AF140" s="120"/>
      <c r="AG140" s="113"/>
      <c r="AH140" s="113"/>
      <c r="AI140" s="121"/>
      <c r="AJ140" s="119"/>
      <c r="AK140" s="113"/>
      <c r="AL140" s="113"/>
      <c r="AM140" s="122"/>
      <c r="AN140" s="122"/>
      <c r="AO140" s="122"/>
      <c r="AP140" s="122"/>
      <c r="AQ140" s="122"/>
      <c r="AR140" s="122"/>
      <c r="AS140" s="122"/>
      <c r="AT140" s="122"/>
      <c r="AU140" s="122"/>
      <c r="AV140" s="122"/>
      <c r="AW140" s="122"/>
      <c r="AX140" s="122"/>
      <c r="AY140" s="122"/>
      <c r="AZ140" s="122"/>
      <c r="BA140" s="122"/>
      <c r="BB140" s="122"/>
      <c r="BC140" s="122"/>
      <c r="BD140" s="116"/>
      <c r="BE140" s="116"/>
      <c r="BF140" s="116"/>
      <c r="BG140" s="116"/>
      <c r="BH140" s="116"/>
      <c r="BI140" s="116"/>
      <c r="BJ140" s="123"/>
      <c r="BK140" s="119"/>
      <c r="BL140" s="124"/>
      <c r="BM140" s="112"/>
      <c r="BN140" s="112"/>
      <c r="BO140" s="112"/>
      <c r="BP140" s="125"/>
      <c r="BQ140" s="126"/>
      <c r="BR140" s="112"/>
      <c r="BS140" s="112"/>
      <c r="BT140" s="125"/>
      <c r="BU140" s="112"/>
      <c r="BV140" s="112"/>
      <c r="BW140" s="112"/>
      <c r="BX140" s="125"/>
      <c r="BY140" s="127"/>
      <c r="BZ140" s="127"/>
      <c r="CA140" s="127"/>
      <c r="CB140" s="125"/>
      <c r="CC140" s="127"/>
      <c r="CD140" s="127"/>
      <c r="CE140" s="127"/>
      <c r="CF140" s="125"/>
      <c r="CG140" s="125"/>
      <c r="CH140" s="113"/>
      <c r="CI140" s="113"/>
      <c r="CJ140" s="113"/>
      <c r="CK140" s="125"/>
      <c r="CL140" s="113"/>
      <c r="CM140" s="113"/>
      <c r="CN140" s="113"/>
      <c r="CO140" s="125"/>
      <c r="CP140" s="113"/>
      <c r="CQ140" s="113"/>
      <c r="CR140" s="113"/>
      <c r="CS140" s="125"/>
      <c r="CT140" s="113"/>
      <c r="CU140" s="113"/>
      <c r="CV140" s="113"/>
      <c r="CW140" s="127"/>
      <c r="CX140" s="113"/>
      <c r="CY140" s="113"/>
      <c r="CZ140" s="113"/>
      <c r="DA140" s="125"/>
      <c r="DB140" s="113"/>
      <c r="DC140" s="113"/>
      <c r="DD140" s="113"/>
      <c r="DE140" s="125"/>
      <c r="DF140" s="113"/>
      <c r="DG140" s="113"/>
      <c r="DH140" s="113"/>
      <c r="DI140" s="127"/>
      <c r="DJ140" s="113"/>
      <c r="DK140" s="113"/>
      <c r="DL140" s="113"/>
      <c r="DM140" s="127"/>
      <c r="DN140" s="113"/>
      <c r="DO140" s="113"/>
      <c r="DP140" s="113"/>
      <c r="DQ140" s="127"/>
      <c r="DR140" s="113"/>
      <c r="DS140" s="113"/>
      <c r="DT140" s="113"/>
      <c r="DU140" s="127"/>
      <c r="DV140" s="113"/>
      <c r="DW140" s="113"/>
      <c r="DX140" s="113"/>
      <c r="DY140" s="127"/>
      <c r="DZ140" s="113"/>
      <c r="EA140" s="113"/>
      <c r="EB140" s="113"/>
      <c r="EC140" s="127"/>
      <c r="ED140" s="113"/>
      <c r="EE140" s="126"/>
      <c r="EF140" s="112"/>
      <c r="EG140" s="112"/>
      <c r="EH140" s="125"/>
      <c r="EI140" s="128"/>
      <c r="EJ140" s="113"/>
      <c r="EK140" s="113"/>
      <c r="EL140" s="127"/>
      <c r="EM140" s="125"/>
      <c r="EN140" s="113"/>
      <c r="EO140" s="113"/>
      <c r="EP140" s="113"/>
      <c r="EQ140" s="127"/>
      <c r="ER140" s="125"/>
      <c r="ES140" s="113"/>
      <c r="ET140" s="113"/>
      <c r="EU140" s="113"/>
      <c r="EV140" s="127"/>
      <c r="EW140" s="129"/>
      <c r="EX140" s="112"/>
      <c r="EY140" s="112"/>
      <c r="EZ140" s="112"/>
      <c r="FA140" s="125"/>
      <c r="FB140" s="112"/>
      <c r="FC140" s="112"/>
      <c r="FD140" s="112"/>
      <c r="FE140" s="125"/>
      <c r="FF140" s="112"/>
      <c r="FG140" s="112"/>
      <c r="FH140" s="112"/>
      <c r="FI140" s="125"/>
      <c r="FJ140" s="129"/>
      <c r="FK140" s="125"/>
      <c r="FL140" s="130"/>
      <c r="FM140" s="131"/>
    </row>
    <row r="141" spans="1:169" x14ac:dyDescent="0.2">
      <c r="X141" s="56"/>
      <c r="AF141" s="92"/>
      <c r="BJ141" s="88"/>
      <c r="BL141" s="49"/>
      <c r="BP141" s="93"/>
      <c r="BQ141" s="94"/>
      <c r="BT141" s="93"/>
      <c r="BX141" s="93"/>
      <c r="BY141" s="95"/>
      <c r="BZ141" s="95"/>
      <c r="CA141" s="95"/>
      <c r="CB141" s="93"/>
      <c r="CC141" s="95"/>
      <c r="CD141" s="95"/>
      <c r="CE141" s="95"/>
      <c r="CF141" s="93"/>
      <c r="CG141" s="93"/>
      <c r="CK141" s="93"/>
      <c r="CO141" s="93"/>
      <c r="CS141" s="93"/>
      <c r="CW141" s="95"/>
      <c r="DA141" s="93"/>
      <c r="DE141" s="93"/>
      <c r="DI141" s="95"/>
      <c r="DM141" s="95"/>
      <c r="DQ141" s="95"/>
      <c r="DU141" s="95"/>
      <c r="DY141" s="95"/>
      <c r="EC141" s="95"/>
      <c r="EE141" s="94"/>
      <c r="EH141" s="93"/>
      <c r="EI141" s="96"/>
      <c r="EL141" s="95"/>
      <c r="EM141" s="93"/>
      <c r="EQ141" s="95"/>
      <c r="ER141" s="93"/>
      <c r="EV141" s="95"/>
      <c r="EW141" s="97"/>
      <c r="FA141" s="93"/>
      <c r="FE141" s="93"/>
      <c r="FI141" s="93"/>
      <c r="FJ141" s="97"/>
      <c r="FK141" s="93"/>
      <c r="FL141" s="98"/>
    </row>
    <row r="142" spans="1:169" x14ac:dyDescent="0.2">
      <c r="A142" s="112"/>
      <c r="B142" s="113"/>
      <c r="C142" s="113"/>
      <c r="D142" s="113"/>
      <c r="E142" s="113"/>
      <c r="F142" s="112"/>
      <c r="G142" s="114"/>
      <c r="H142" s="114"/>
      <c r="I142" s="114"/>
      <c r="J142" s="115"/>
      <c r="K142" s="116"/>
      <c r="L142" s="112"/>
      <c r="M142" s="113"/>
      <c r="N142" s="113"/>
      <c r="O142" s="113"/>
      <c r="P142" s="113"/>
      <c r="Q142" s="117"/>
      <c r="R142" s="118"/>
      <c r="S142" s="119"/>
      <c r="T142" s="113"/>
      <c r="U142" s="113"/>
      <c r="V142" s="113"/>
      <c r="W142" s="113"/>
      <c r="X142" s="113"/>
      <c r="Y142" s="113"/>
      <c r="Z142" s="113"/>
      <c r="AA142" s="113"/>
      <c r="AB142" s="113"/>
      <c r="AC142" s="113"/>
      <c r="AD142" s="113"/>
      <c r="AE142" s="113"/>
      <c r="AF142" s="120"/>
      <c r="AG142" s="113"/>
      <c r="AH142" s="113"/>
      <c r="AI142" s="121"/>
      <c r="AJ142" s="119"/>
      <c r="AK142" s="113"/>
      <c r="AL142" s="113"/>
      <c r="AM142" s="122"/>
      <c r="AN142" s="122"/>
      <c r="AO142" s="122"/>
      <c r="AP142" s="122"/>
      <c r="AQ142" s="122"/>
      <c r="AR142" s="122"/>
      <c r="AS142" s="122"/>
      <c r="AT142" s="122"/>
      <c r="AU142" s="122"/>
      <c r="AV142" s="122"/>
      <c r="AW142" s="122"/>
      <c r="AX142" s="122"/>
      <c r="AY142" s="122"/>
      <c r="AZ142" s="122"/>
      <c r="BA142" s="122"/>
      <c r="BB142" s="122"/>
      <c r="BC142" s="122"/>
      <c r="BD142" s="116"/>
      <c r="BE142" s="116"/>
      <c r="BF142" s="116"/>
      <c r="BG142" s="116"/>
      <c r="BH142" s="116"/>
      <c r="BI142" s="116"/>
      <c r="BJ142" s="123"/>
      <c r="BK142" s="119"/>
      <c r="BL142" s="124"/>
      <c r="BM142" s="112"/>
      <c r="BN142" s="112"/>
      <c r="BO142" s="112"/>
      <c r="BP142" s="125"/>
      <c r="BQ142" s="126"/>
      <c r="BR142" s="112"/>
      <c r="BS142" s="112"/>
      <c r="BT142" s="125"/>
      <c r="BU142" s="112"/>
      <c r="BV142" s="112"/>
      <c r="BW142" s="112"/>
      <c r="BX142" s="125"/>
      <c r="BY142" s="127"/>
      <c r="BZ142" s="127"/>
      <c r="CA142" s="127"/>
      <c r="CB142" s="125"/>
      <c r="CC142" s="127"/>
      <c r="CD142" s="127"/>
      <c r="CE142" s="127"/>
      <c r="CF142" s="125"/>
      <c r="CG142" s="125"/>
      <c r="CH142" s="113"/>
      <c r="CI142" s="113"/>
      <c r="CJ142" s="113"/>
      <c r="CK142" s="125"/>
      <c r="CL142" s="113"/>
      <c r="CM142" s="113"/>
      <c r="CN142" s="113"/>
      <c r="CO142" s="125"/>
      <c r="CP142" s="113"/>
      <c r="CQ142" s="113"/>
      <c r="CR142" s="113"/>
      <c r="CS142" s="125"/>
      <c r="CT142" s="113"/>
      <c r="CU142" s="113"/>
      <c r="CV142" s="113"/>
      <c r="CW142" s="127"/>
      <c r="CX142" s="113"/>
      <c r="CY142" s="113"/>
      <c r="CZ142" s="113"/>
      <c r="DA142" s="125"/>
      <c r="DB142" s="113"/>
      <c r="DC142" s="113"/>
      <c r="DD142" s="113"/>
      <c r="DE142" s="125"/>
      <c r="DF142" s="113"/>
      <c r="DG142" s="113"/>
      <c r="DH142" s="113"/>
      <c r="DI142" s="127"/>
      <c r="DJ142" s="113"/>
      <c r="DK142" s="113"/>
      <c r="DL142" s="113"/>
      <c r="DM142" s="127"/>
      <c r="DN142" s="113"/>
      <c r="DO142" s="113"/>
      <c r="DP142" s="113"/>
      <c r="DQ142" s="127"/>
      <c r="DR142" s="113"/>
      <c r="DS142" s="113"/>
      <c r="DT142" s="113"/>
      <c r="DU142" s="127"/>
      <c r="DV142" s="113"/>
      <c r="DW142" s="113"/>
      <c r="DX142" s="113"/>
      <c r="DY142" s="127"/>
      <c r="DZ142" s="113"/>
      <c r="EA142" s="113"/>
      <c r="EB142" s="113"/>
      <c r="EC142" s="127"/>
      <c r="ED142" s="113"/>
      <c r="EE142" s="126"/>
      <c r="EF142" s="112"/>
      <c r="EG142" s="112"/>
      <c r="EH142" s="125"/>
      <c r="EI142" s="128"/>
      <c r="EJ142" s="113"/>
      <c r="EK142" s="113"/>
      <c r="EL142" s="127"/>
      <c r="EM142" s="125"/>
      <c r="EN142" s="113"/>
      <c r="EO142" s="113"/>
      <c r="EP142" s="113"/>
      <c r="EQ142" s="127"/>
      <c r="ER142" s="125"/>
      <c r="ES142" s="113"/>
      <c r="ET142" s="113"/>
      <c r="EU142" s="113"/>
      <c r="EV142" s="127"/>
      <c r="EW142" s="129"/>
      <c r="EX142" s="112"/>
      <c r="EY142" s="112"/>
      <c r="EZ142" s="112"/>
      <c r="FA142" s="125"/>
      <c r="FB142" s="112"/>
      <c r="FC142" s="112"/>
      <c r="FD142" s="112"/>
      <c r="FE142" s="125"/>
      <c r="FF142" s="112"/>
      <c r="FG142" s="112"/>
      <c r="FH142" s="112"/>
      <c r="FI142" s="125"/>
      <c r="FJ142" s="129"/>
      <c r="FK142" s="125"/>
      <c r="FL142" s="130"/>
      <c r="FM142" s="131"/>
    </row>
    <row r="143" spans="1:169" x14ac:dyDescent="0.2">
      <c r="A143" s="112"/>
      <c r="B143" s="113"/>
      <c r="C143" s="113"/>
      <c r="D143" s="113"/>
      <c r="E143" s="113"/>
      <c r="F143" s="112"/>
      <c r="G143" s="114"/>
      <c r="H143" s="114"/>
      <c r="I143" s="114"/>
      <c r="J143" s="115"/>
      <c r="K143" s="116"/>
      <c r="L143" s="112"/>
      <c r="M143" s="113"/>
      <c r="N143" s="113"/>
      <c r="O143" s="113"/>
      <c r="P143" s="113"/>
      <c r="Q143" s="117"/>
      <c r="R143" s="118"/>
      <c r="S143" s="119"/>
      <c r="T143" s="113"/>
      <c r="U143" s="113"/>
      <c r="V143" s="113"/>
      <c r="W143" s="113"/>
      <c r="X143" s="113"/>
      <c r="Y143" s="113"/>
      <c r="Z143" s="113"/>
      <c r="AA143" s="113"/>
      <c r="AB143" s="113"/>
      <c r="AC143" s="113"/>
      <c r="AD143" s="113"/>
      <c r="AE143" s="113"/>
      <c r="AF143" s="120"/>
      <c r="AG143" s="113"/>
      <c r="AH143" s="113"/>
      <c r="AI143" s="121"/>
      <c r="AJ143" s="119"/>
      <c r="AK143" s="113"/>
      <c r="AL143" s="113"/>
      <c r="AM143" s="122"/>
      <c r="AN143" s="122"/>
      <c r="AO143" s="122"/>
      <c r="AP143" s="122"/>
      <c r="AQ143" s="122"/>
      <c r="AR143" s="122"/>
      <c r="AS143" s="122"/>
      <c r="AT143" s="122"/>
      <c r="AU143" s="122"/>
      <c r="AV143" s="122"/>
      <c r="AW143" s="122"/>
      <c r="AX143" s="122"/>
      <c r="AY143" s="122"/>
      <c r="AZ143" s="122"/>
      <c r="BA143" s="122"/>
      <c r="BB143" s="122"/>
      <c r="BC143" s="122"/>
      <c r="BD143" s="116"/>
      <c r="BE143" s="116"/>
      <c r="BF143" s="116"/>
      <c r="BG143" s="116"/>
      <c r="BH143" s="116"/>
      <c r="BI143" s="116"/>
      <c r="BJ143" s="123"/>
      <c r="BK143" s="119"/>
      <c r="BL143" s="124"/>
      <c r="BM143" s="112"/>
      <c r="BN143" s="112"/>
      <c r="BO143" s="112"/>
      <c r="BP143" s="125"/>
      <c r="BQ143" s="126"/>
      <c r="BR143" s="112"/>
      <c r="BS143" s="112"/>
      <c r="BT143" s="125"/>
      <c r="BU143" s="112"/>
      <c r="BV143" s="112"/>
      <c r="BW143" s="112"/>
      <c r="BX143" s="125"/>
      <c r="BY143" s="127"/>
      <c r="BZ143" s="127"/>
      <c r="CA143" s="127"/>
      <c r="CB143" s="125"/>
      <c r="CC143" s="127"/>
      <c r="CD143" s="127"/>
      <c r="CE143" s="127"/>
      <c r="CF143" s="125"/>
      <c r="CG143" s="125"/>
      <c r="CH143" s="113"/>
      <c r="CI143" s="113"/>
      <c r="CJ143" s="113"/>
      <c r="CK143" s="125"/>
      <c r="CL143" s="113"/>
      <c r="CM143" s="113"/>
      <c r="CN143" s="113"/>
      <c r="CO143" s="125"/>
      <c r="CP143" s="113"/>
      <c r="CQ143" s="113"/>
      <c r="CR143" s="113"/>
      <c r="CS143" s="125"/>
      <c r="CT143" s="113"/>
      <c r="CU143" s="113"/>
      <c r="CV143" s="113"/>
      <c r="CW143" s="127"/>
      <c r="CX143" s="113"/>
      <c r="CY143" s="113"/>
      <c r="CZ143" s="113"/>
      <c r="DA143" s="125"/>
      <c r="DB143" s="113"/>
      <c r="DC143" s="113"/>
      <c r="DD143" s="113"/>
      <c r="DE143" s="125"/>
      <c r="DF143" s="113"/>
      <c r="DG143" s="113"/>
      <c r="DH143" s="113"/>
      <c r="DI143" s="127"/>
      <c r="DJ143" s="113"/>
      <c r="DK143" s="113"/>
      <c r="DL143" s="113"/>
      <c r="DM143" s="127"/>
      <c r="DN143" s="113"/>
      <c r="DO143" s="113"/>
      <c r="DP143" s="113"/>
      <c r="DQ143" s="127"/>
      <c r="DR143" s="113"/>
      <c r="DS143" s="113"/>
      <c r="DT143" s="113"/>
      <c r="DU143" s="127"/>
      <c r="DV143" s="113"/>
      <c r="DW143" s="113"/>
      <c r="DX143" s="113"/>
      <c r="DY143" s="127"/>
      <c r="DZ143" s="113"/>
      <c r="EA143" s="113"/>
      <c r="EB143" s="113"/>
      <c r="EC143" s="127"/>
      <c r="ED143" s="113"/>
      <c r="EE143" s="126"/>
      <c r="EF143" s="112"/>
      <c r="EG143" s="112"/>
      <c r="EH143" s="125"/>
      <c r="EI143" s="128"/>
      <c r="EJ143" s="113"/>
      <c r="EK143" s="113"/>
      <c r="EL143" s="127"/>
      <c r="EM143" s="125"/>
      <c r="EN143" s="113"/>
      <c r="EO143" s="113"/>
      <c r="EP143" s="113"/>
      <c r="EQ143" s="127"/>
      <c r="ER143" s="125"/>
      <c r="ES143" s="113"/>
      <c r="ET143" s="113"/>
      <c r="EU143" s="113"/>
      <c r="EV143" s="127"/>
      <c r="EW143" s="129"/>
      <c r="EX143" s="112"/>
      <c r="EY143" s="112"/>
      <c r="EZ143" s="112"/>
      <c r="FA143" s="125"/>
      <c r="FB143" s="112"/>
      <c r="FC143" s="112"/>
      <c r="FD143" s="112"/>
      <c r="FE143" s="125"/>
      <c r="FF143" s="112"/>
      <c r="FG143" s="112"/>
      <c r="FH143" s="112"/>
      <c r="FI143" s="125"/>
      <c r="FJ143" s="129"/>
      <c r="FK143" s="125"/>
      <c r="FL143" s="130"/>
      <c r="FM143" s="131"/>
    </row>
    <row r="144" spans="1:169" x14ac:dyDescent="0.2">
      <c r="X144" s="87"/>
      <c r="AF144" s="92"/>
      <c r="BJ144" s="88"/>
      <c r="BL144" s="49"/>
      <c r="BP144" s="93"/>
      <c r="BQ144" s="94"/>
      <c r="BT144" s="93"/>
      <c r="BX144" s="93"/>
      <c r="BY144" s="95"/>
      <c r="BZ144" s="95"/>
      <c r="CA144" s="95"/>
      <c r="CB144" s="93"/>
      <c r="CC144" s="95"/>
      <c r="CD144" s="95"/>
      <c r="CE144" s="95"/>
      <c r="CF144" s="93"/>
      <c r="CG144" s="93"/>
      <c r="CK144" s="93"/>
      <c r="CO144" s="93"/>
      <c r="CS144" s="93"/>
      <c r="CW144" s="95"/>
      <c r="DA144" s="93"/>
      <c r="DE144" s="93"/>
      <c r="DI144" s="95"/>
      <c r="DM144" s="95"/>
      <c r="DQ144" s="95"/>
      <c r="DU144" s="95"/>
      <c r="DY144" s="95"/>
      <c r="EC144" s="95"/>
      <c r="EE144" s="94"/>
      <c r="EH144" s="93"/>
      <c r="EI144" s="96"/>
      <c r="EL144" s="95"/>
      <c r="EM144" s="93"/>
      <c r="EQ144" s="95"/>
      <c r="ER144" s="93"/>
      <c r="EV144" s="95"/>
      <c r="EW144" s="97"/>
      <c r="FA144" s="93"/>
      <c r="FE144" s="93"/>
      <c r="FI144" s="93"/>
      <c r="FJ144" s="97"/>
      <c r="FK144" s="93"/>
      <c r="FL144" s="98"/>
    </row>
    <row r="145" spans="1:169" x14ac:dyDescent="0.2">
      <c r="X145" s="87"/>
      <c r="AF145" s="92"/>
      <c r="BJ145" s="88"/>
      <c r="BL145" s="49"/>
      <c r="BP145" s="93"/>
      <c r="BQ145" s="94"/>
      <c r="BT145" s="93"/>
      <c r="BX145" s="93"/>
      <c r="BY145" s="95"/>
      <c r="BZ145" s="95"/>
      <c r="CA145" s="95"/>
      <c r="CB145" s="93"/>
      <c r="CC145" s="95"/>
      <c r="CD145" s="95"/>
      <c r="CE145" s="95"/>
      <c r="CF145" s="93"/>
      <c r="CG145" s="93"/>
      <c r="CK145" s="93"/>
      <c r="CO145" s="93"/>
      <c r="CS145" s="93"/>
      <c r="CW145" s="95"/>
      <c r="DA145" s="93"/>
      <c r="DE145" s="93"/>
      <c r="DI145" s="95"/>
      <c r="DM145" s="95"/>
      <c r="DQ145" s="95"/>
      <c r="DU145" s="95"/>
      <c r="DY145" s="95"/>
      <c r="EC145" s="95"/>
      <c r="EE145" s="94"/>
      <c r="EH145" s="93"/>
      <c r="EI145" s="96"/>
      <c r="EL145" s="95"/>
      <c r="EM145" s="93"/>
      <c r="EQ145" s="95"/>
      <c r="ER145" s="93"/>
      <c r="EV145" s="95"/>
      <c r="EW145" s="97"/>
      <c r="FA145" s="93"/>
      <c r="FE145" s="93"/>
      <c r="FI145" s="93"/>
      <c r="FJ145" s="97"/>
      <c r="FK145" s="93"/>
      <c r="FL145" s="98"/>
    </row>
    <row r="146" spans="1:169" x14ac:dyDescent="0.2">
      <c r="X146" s="87"/>
      <c r="AF146" s="92"/>
      <c r="BJ146" s="88"/>
      <c r="BL146" s="49"/>
      <c r="BP146" s="93"/>
      <c r="BQ146" s="94"/>
      <c r="BT146" s="93"/>
      <c r="BX146" s="93"/>
      <c r="BY146" s="95"/>
      <c r="BZ146" s="95"/>
      <c r="CA146" s="95"/>
      <c r="CB146" s="93"/>
      <c r="CC146" s="95"/>
      <c r="CD146" s="95"/>
      <c r="CE146" s="95"/>
      <c r="CF146" s="93"/>
      <c r="CG146" s="93"/>
      <c r="CK146" s="93"/>
      <c r="CO146" s="93"/>
      <c r="CS146" s="93"/>
      <c r="CW146" s="95"/>
      <c r="DA146" s="93"/>
      <c r="DE146" s="93"/>
      <c r="DI146" s="95"/>
      <c r="DM146" s="95"/>
      <c r="DQ146" s="95"/>
      <c r="DU146" s="95"/>
      <c r="DY146" s="95"/>
      <c r="EC146" s="95"/>
      <c r="EE146" s="94"/>
      <c r="EH146" s="93"/>
      <c r="EI146" s="96"/>
      <c r="EL146" s="95"/>
      <c r="EM146" s="93"/>
      <c r="EQ146" s="95"/>
      <c r="ER146" s="93"/>
      <c r="EV146" s="95"/>
      <c r="EW146" s="97"/>
      <c r="FA146" s="93"/>
      <c r="FE146" s="93"/>
      <c r="FI146" s="93"/>
      <c r="FJ146" s="97"/>
      <c r="FK146" s="93"/>
      <c r="FL146" s="98"/>
    </row>
    <row r="147" spans="1:169" x14ac:dyDescent="0.2">
      <c r="A147" s="112"/>
      <c r="B147" s="113"/>
      <c r="C147" s="113"/>
      <c r="D147" s="113"/>
      <c r="E147" s="113"/>
      <c r="F147" s="112"/>
      <c r="G147" s="114"/>
      <c r="H147" s="114"/>
      <c r="I147" s="114"/>
      <c r="J147" s="115"/>
      <c r="K147" s="116"/>
      <c r="L147" s="112"/>
      <c r="M147" s="113"/>
      <c r="N147" s="113"/>
      <c r="O147" s="113"/>
      <c r="P147" s="113"/>
      <c r="Q147" s="117"/>
      <c r="R147" s="118"/>
      <c r="S147" s="119"/>
      <c r="T147" s="113"/>
      <c r="U147" s="113"/>
      <c r="V147" s="113"/>
      <c r="W147" s="113"/>
      <c r="X147" s="113"/>
      <c r="Y147" s="113"/>
      <c r="Z147" s="113"/>
      <c r="AA147" s="113"/>
      <c r="AB147" s="113"/>
      <c r="AC147" s="113"/>
      <c r="AD147" s="113"/>
      <c r="AE147" s="113"/>
      <c r="AF147" s="120"/>
      <c r="AG147" s="113"/>
      <c r="AH147" s="113"/>
      <c r="AI147" s="121"/>
      <c r="AJ147" s="119"/>
      <c r="AK147" s="113"/>
      <c r="AL147" s="113"/>
      <c r="AM147" s="122"/>
      <c r="AN147" s="122"/>
      <c r="AO147" s="122"/>
      <c r="AP147" s="122"/>
      <c r="AQ147" s="122"/>
      <c r="AR147" s="122"/>
      <c r="AS147" s="122"/>
      <c r="AT147" s="122"/>
      <c r="AU147" s="122"/>
      <c r="AV147" s="122"/>
      <c r="AW147" s="122"/>
      <c r="AX147" s="122"/>
      <c r="AY147" s="122"/>
      <c r="AZ147" s="122"/>
      <c r="BA147" s="122"/>
      <c r="BB147" s="122"/>
      <c r="BC147" s="122"/>
      <c r="BD147" s="116"/>
      <c r="BE147" s="116"/>
      <c r="BF147" s="116"/>
      <c r="BG147" s="116"/>
      <c r="BH147" s="116"/>
      <c r="BI147" s="116"/>
      <c r="BJ147" s="123"/>
      <c r="BK147" s="119"/>
      <c r="BL147" s="124"/>
      <c r="BM147" s="112"/>
      <c r="BN147" s="112"/>
      <c r="BO147" s="112"/>
      <c r="BP147" s="125"/>
      <c r="BQ147" s="126"/>
      <c r="BR147" s="112"/>
      <c r="BS147" s="112"/>
      <c r="BT147" s="125"/>
      <c r="BU147" s="112"/>
      <c r="BV147" s="112"/>
      <c r="BW147" s="112"/>
      <c r="BX147" s="125"/>
      <c r="BY147" s="127"/>
      <c r="BZ147" s="127"/>
      <c r="CA147" s="127"/>
      <c r="CB147" s="125"/>
      <c r="CC147" s="127"/>
      <c r="CD147" s="127"/>
      <c r="CE147" s="127"/>
      <c r="CF147" s="125"/>
      <c r="CG147" s="125"/>
      <c r="CH147" s="113"/>
      <c r="CI147" s="113"/>
      <c r="CJ147" s="113"/>
      <c r="CK147" s="125"/>
      <c r="CL147" s="113"/>
      <c r="CM147" s="113"/>
      <c r="CN147" s="113"/>
      <c r="CO147" s="125"/>
      <c r="CP147" s="113"/>
      <c r="CQ147" s="113"/>
      <c r="CR147" s="113"/>
      <c r="CS147" s="125"/>
      <c r="CT147" s="113"/>
      <c r="CU147" s="113"/>
      <c r="CV147" s="113"/>
      <c r="CW147" s="127"/>
      <c r="CX147" s="113"/>
      <c r="CY147" s="113"/>
      <c r="CZ147" s="113"/>
      <c r="DA147" s="125"/>
      <c r="DB147" s="113"/>
      <c r="DC147" s="113"/>
      <c r="DD147" s="113"/>
      <c r="DE147" s="125"/>
      <c r="DF147" s="113"/>
      <c r="DG147" s="113"/>
      <c r="DH147" s="113"/>
      <c r="DI147" s="127"/>
      <c r="DJ147" s="113"/>
      <c r="DK147" s="113"/>
      <c r="DL147" s="113"/>
      <c r="DM147" s="127"/>
      <c r="DN147" s="113"/>
      <c r="DO147" s="113"/>
      <c r="DP147" s="113"/>
      <c r="DQ147" s="127"/>
      <c r="DR147" s="113"/>
      <c r="DS147" s="113"/>
      <c r="DT147" s="113"/>
      <c r="DU147" s="127"/>
      <c r="DV147" s="113"/>
      <c r="DW147" s="113"/>
      <c r="DX147" s="113"/>
      <c r="DY147" s="127"/>
      <c r="DZ147" s="113"/>
      <c r="EA147" s="113"/>
      <c r="EB147" s="113"/>
      <c r="EC147" s="127"/>
      <c r="ED147" s="113"/>
      <c r="EE147" s="126"/>
      <c r="EF147" s="112"/>
      <c r="EG147" s="112"/>
      <c r="EH147" s="125"/>
      <c r="EI147" s="128"/>
      <c r="EJ147" s="113"/>
      <c r="EK147" s="113"/>
      <c r="EL147" s="127"/>
      <c r="EM147" s="125"/>
      <c r="EN147" s="113"/>
      <c r="EO147" s="113"/>
      <c r="EP147" s="113"/>
      <c r="EQ147" s="127"/>
      <c r="ER147" s="125"/>
      <c r="ES147" s="113"/>
      <c r="ET147" s="113"/>
      <c r="EU147" s="113"/>
      <c r="EV147" s="127"/>
      <c r="EW147" s="129"/>
      <c r="EX147" s="112"/>
      <c r="EY147" s="112"/>
      <c r="EZ147" s="112"/>
      <c r="FA147" s="125"/>
      <c r="FB147" s="112"/>
      <c r="FC147" s="112"/>
      <c r="FD147" s="112"/>
      <c r="FE147" s="125"/>
      <c r="FF147" s="112"/>
      <c r="FG147" s="112"/>
      <c r="FH147" s="112"/>
      <c r="FI147" s="125"/>
      <c r="FJ147" s="129"/>
      <c r="FK147" s="125"/>
      <c r="FL147" s="130"/>
      <c r="FM147" s="131"/>
    </row>
    <row r="148" spans="1:169" x14ac:dyDescent="0.2">
      <c r="X148" s="56"/>
      <c r="AF148" s="92"/>
      <c r="BJ148" s="88"/>
      <c r="BL148" s="49"/>
      <c r="BP148" s="93"/>
      <c r="BQ148" s="94"/>
      <c r="BT148" s="93"/>
      <c r="BX148" s="93"/>
      <c r="BY148" s="95"/>
      <c r="BZ148" s="95"/>
      <c r="CA148" s="95"/>
      <c r="CB148" s="93"/>
      <c r="CC148" s="95"/>
      <c r="CD148" s="95"/>
      <c r="CE148" s="95"/>
      <c r="CF148" s="93"/>
      <c r="CG148" s="93"/>
      <c r="CK148" s="93"/>
      <c r="CO148" s="93"/>
      <c r="CS148" s="93"/>
      <c r="CW148" s="95"/>
      <c r="DA148" s="93"/>
      <c r="DE148" s="93"/>
      <c r="DI148" s="95"/>
      <c r="DM148" s="95"/>
      <c r="DQ148" s="95"/>
      <c r="DU148" s="95"/>
      <c r="DY148" s="95"/>
      <c r="EC148" s="95"/>
      <c r="EE148" s="94"/>
      <c r="EH148" s="93"/>
      <c r="EI148" s="96"/>
      <c r="EL148" s="95"/>
      <c r="EM148" s="93"/>
      <c r="EQ148" s="95"/>
      <c r="ER148" s="93"/>
      <c r="EV148" s="95"/>
      <c r="EW148" s="97"/>
      <c r="FA148" s="93"/>
      <c r="FE148" s="93"/>
      <c r="FI148" s="93"/>
      <c r="FJ148" s="97"/>
      <c r="FK148" s="93"/>
      <c r="FL148" s="98"/>
    </row>
    <row r="149" spans="1:169" x14ac:dyDescent="0.2">
      <c r="X149" s="87"/>
      <c r="AF149" s="92"/>
      <c r="BJ149" s="88"/>
      <c r="BL149" s="49"/>
      <c r="BP149" s="93"/>
      <c r="BQ149" s="94"/>
      <c r="BT149" s="93"/>
      <c r="BX149" s="93"/>
      <c r="BY149" s="95"/>
      <c r="BZ149" s="95"/>
      <c r="CA149" s="95"/>
      <c r="CB149" s="93"/>
      <c r="CC149" s="95"/>
      <c r="CD149" s="95"/>
      <c r="CE149" s="95"/>
      <c r="CF149" s="93"/>
      <c r="CG149" s="93"/>
      <c r="CK149" s="93"/>
      <c r="CO149" s="93"/>
      <c r="CS149" s="93"/>
      <c r="CW149" s="95"/>
      <c r="DA149" s="93"/>
      <c r="DE149" s="93"/>
      <c r="DI149" s="95"/>
      <c r="DM149" s="95"/>
      <c r="DQ149" s="95"/>
      <c r="DU149" s="95"/>
      <c r="DY149" s="95"/>
      <c r="EC149" s="95"/>
      <c r="EE149" s="94"/>
      <c r="EH149" s="93"/>
      <c r="EI149" s="96"/>
      <c r="EL149" s="95"/>
      <c r="EM149" s="93"/>
      <c r="EQ149" s="95"/>
      <c r="ER149" s="93"/>
      <c r="EV149" s="95"/>
      <c r="EW149" s="97"/>
      <c r="FA149" s="93"/>
      <c r="FE149" s="93"/>
      <c r="FI149" s="93"/>
      <c r="FJ149" s="97"/>
      <c r="FK149" s="93"/>
      <c r="FL149" s="98"/>
    </row>
    <row r="150" spans="1:169" x14ac:dyDescent="0.2">
      <c r="A150" s="112"/>
      <c r="B150" s="113"/>
      <c r="C150" s="113"/>
      <c r="D150" s="113"/>
      <c r="E150" s="113"/>
      <c r="F150" s="112"/>
      <c r="G150" s="114"/>
      <c r="H150" s="114"/>
      <c r="I150" s="114"/>
      <c r="J150" s="115"/>
      <c r="K150" s="116"/>
      <c r="L150" s="112"/>
      <c r="M150" s="113"/>
      <c r="N150" s="113"/>
      <c r="O150" s="113"/>
      <c r="P150" s="113"/>
      <c r="Q150" s="117"/>
      <c r="R150" s="118"/>
      <c r="S150" s="119"/>
      <c r="T150" s="113"/>
      <c r="U150" s="113"/>
      <c r="V150" s="113"/>
      <c r="W150" s="113"/>
      <c r="X150" s="113"/>
      <c r="Y150" s="113"/>
      <c r="Z150" s="113"/>
      <c r="AA150" s="113"/>
      <c r="AB150" s="113"/>
      <c r="AC150" s="113"/>
      <c r="AD150" s="113"/>
      <c r="AE150" s="113"/>
      <c r="AF150" s="120"/>
      <c r="AG150" s="113"/>
      <c r="AH150" s="113"/>
      <c r="AI150" s="121"/>
      <c r="AJ150" s="119"/>
      <c r="AK150" s="113"/>
      <c r="AL150" s="113"/>
      <c r="AM150" s="122"/>
      <c r="AN150" s="122"/>
      <c r="AO150" s="122"/>
      <c r="AP150" s="122"/>
      <c r="AQ150" s="122"/>
      <c r="AR150" s="122"/>
      <c r="AS150" s="122"/>
      <c r="AT150" s="122"/>
      <c r="AU150" s="122"/>
      <c r="AV150" s="122"/>
      <c r="AW150" s="122"/>
      <c r="AX150" s="122"/>
      <c r="AY150" s="122"/>
      <c r="AZ150" s="122"/>
      <c r="BA150" s="122"/>
      <c r="BB150" s="122"/>
      <c r="BC150" s="122"/>
      <c r="BD150" s="116"/>
      <c r="BE150" s="116"/>
      <c r="BF150" s="116"/>
      <c r="BG150" s="116"/>
      <c r="BH150" s="116"/>
      <c r="BI150" s="116"/>
      <c r="BJ150" s="123"/>
      <c r="BK150" s="119"/>
      <c r="BL150" s="124"/>
      <c r="BM150" s="112"/>
      <c r="BN150" s="112"/>
      <c r="BO150" s="112"/>
      <c r="BP150" s="125"/>
      <c r="BQ150" s="126"/>
      <c r="BR150" s="112"/>
      <c r="BS150" s="112"/>
      <c r="BT150" s="125"/>
      <c r="BU150" s="112"/>
      <c r="BV150" s="112"/>
      <c r="BW150" s="112"/>
      <c r="BX150" s="125"/>
      <c r="BY150" s="127"/>
      <c r="BZ150" s="127"/>
      <c r="CA150" s="127"/>
      <c r="CB150" s="125"/>
      <c r="CC150" s="127"/>
      <c r="CD150" s="127"/>
      <c r="CE150" s="127"/>
      <c r="CF150" s="125"/>
      <c r="CG150" s="125"/>
      <c r="CH150" s="113"/>
      <c r="CI150" s="113"/>
      <c r="CJ150" s="113"/>
      <c r="CK150" s="125"/>
      <c r="CL150" s="113"/>
      <c r="CM150" s="113"/>
      <c r="CN150" s="113"/>
      <c r="CO150" s="125"/>
      <c r="CP150" s="113"/>
      <c r="CQ150" s="113"/>
      <c r="CR150" s="113"/>
      <c r="CS150" s="125"/>
      <c r="CT150" s="113"/>
      <c r="CU150" s="113"/>
      <c r="CV150" s="113"/>
      <c r="CW150" s="127"/>
      <c r="CX150" s="113"/>
      <c r="CY150" s="113"/>
      <c r="CZ150" s="113"/>
      <c r="DA150" s="125"/>
      <c r="DB150" s="113"/>
      <c r="DC150" s="113"/>
      <c r="DD150" s="113"/>
      <c r="DE150" s="125"/>
      <c r="DF150" s="113"/>
      <c r="DG150" s="113"/>
      <c r="DH150" s="113"/>
      <c r="DI150" s="127"/>
      <c r="DJ150" s="113"/>
      <c r="DK150" s="113"/>
      <c r="DL150" s="113"/>
      <c r="DM150" s="127"/>
      <c r="DN150" s="113"/>
      <c r="DO150" s="113"/>
      <c r="DP150" s="113"/>
      <c r="DQ150" s="127"/>
      <c r="DR150" s="113"/>
      <c r="DS150" s="113"/>
      <c r="DT150" s="113"/>
      <c r="DU150" s="127"/>
      <c r="DV150" s="113"/>
      <c r="DW150" s="113"/>
      <c r="DX150" s="113"/>
      <c r="DY150" s="127"/>
      <c r="DZ150" s="113"/>
      <c r="EA150" s="113"/>
      <c r="EB150" s="113"/>
      <c r="EC150" s="127"/>
      <c r="ED150" s="113"/>
      <c r="EE150" s="126"/>
      <c r="EF150" s="112"/>
      <c r="EG150" s="112"/>
      <c r="EH150" s="125"/>
      <c r="EI150" s="128"/>
      <c r="EJ150" s="113"/>
      <c r="EK150" s="113"/>
      <c r="EL150" s="127"/>
      <c r="EM150" s="125"/>
      <c r="EN150" s="113"/>
      <c r="EO150" s="113"/>
      <c r="EP150" s="113"/>
      <c r="EQ150" s="127"/>
      <c r="ER150" s="125"/>
      <c r="ES150" s="113"/>
      <c r="ET150" s="113"/>
      <c r="EU150" s="113"/>
      <c r="EV150" s="127"/>
      <c r="EW150" s="129"/>
      <c r="EX150" s="112"/>
      <c r="EY150" s="112"/>
      <c r="EZ150" s="112"/>
      <c r="FA150" s="125"/>
      <c r="FB150" s="112"/>
      <c r="FC150" s="112"/>
      <c r="FD150" s="112"/>
      <c r="FE150" s="125"/>
      <c r="FF150" s="112"/>
      <c r="FG150" s="112"/>
      <c r="FH150" s="112"/>
      <c r="FI150" s="125"/>
      <c r="FJ150" s="129"/>
      <c r="FK150" s="125"/>
      <c r="FL150" s="130"/>
      <c r="FM150" s="131"/>
    </row>
    <row r="151" spans="1:169" x14ac:dyDescent="0.2">
      <c r="X151" s="87"/>
      <c r="AF151" s="92"/>
      <c r="BJ151" s="88"/>
      <c r="BL151" s="49"/>
      <c r="BP151" s="93"/>
      <c r="BQ151" s="94"/>
      <c r="BT151" s="93"/>
      <c r="BX151" s="93"/>
      <c r="BY151" s="95"/>
      <c r="BZ151" s="95"/>
      <c r="CA151" s="95"/>
      <c r="CB151" s="93"/>
      <c r="CC151" s="95"/>
      <c r="CD151" s="95"/>
      <c r="CE151" s="95"/>
      <c r="CF151" s="93"/>
      <c r="CG151" s="93"/>
      <c r="CK151" s="93"/>
      <c r="CO151" s="93"/>
      <c r="CS151" s="93"/>
      <c r="CW151" s="95"/>
      <c r="DA151" s="93"/>
      <c r="DE151" s="93"/>
      <c r="DI151" s="95"/>
      <c r="DM151" s="95"/>
      <c r="DQ151" s="95"/>
      <c r="DU151" s="95"/>
      <c r="DY151" s="95"/>
      <c r="EC151" s="95"/>
      <c r="EE151" s="94"/>
      <c r="EH151" s="93"/>
      <c r="EI151" s="96"/>
      <c r="EL151" s="95"/>
      <c r="EM151" s="93"/>
      <c r="EQ151" s="95"/>
      <c r="ER151" s="93"/>
      <c r="EV151" s="95"/>
      <c r="EW151" s="97"/>
      <c r="FA151" s="93"/>
      <c r="FE151" s="93"/>
      <c r="FI151" s="93"/>
      <c r="FJ151" s="97"/>
      <c r="FK151" s="93"/>
      <c r="FL151" s="98"/>
    </row>
    <row r="152" spans="1:169" x14ac:dyDescent="0.2">
      <c r="AF152" s="92"/>
      <c r="BJ152" s="88"/>
      <c r="BL152" s="49"/>
      <c r="BP152" s="93"/>
      <c r="BQ152" s="94"/>
      <c r="BT152" s="93"/>
      <c r="BX152" s="93"/>
      <c r="BY152" s="95"/>
      <c r="BZ152" s="95"/>
      <c r="CA152" s="95"/>
      <c r="CB152" s="93"/>
      <c r="CC152" s="95"/>
      <c r="CD152" s="95"/>
      <c r="CE152" s="95"/>
      <c r="CF152" s="93"/>
      <c r="CG152" s="93"/>
      <c r="CK152" s="93"/>
      <c r="CO152" s="93"/>
      <c r="CS152" s="93"/>
      <c r="CW152" s="95"/>
      <c r="DA152" s="93"/>
      <c r="DE152" s="93"/>
      <c r="DI152" s="95"/>
      <c r="DM152" s="95"/>
      <c r="DQ152" s="95"/>
      <c r="DU152" s="95"/>
      <c r="DY152" s="95"/>
      <c r="EC152" s="95"/>
      <c r="EE152" s="94"/>
      <c r="EH152" s="93"/>
      <c r="EI152" s="96"/>
      <c r="EL152" s="95"/>
      <c r="EM152" s="93"/>
      <c r="EQ152" s="95"/>
      <c r="ER152" s="93"/>
      <c r="EV152" s="95"/>
      <c r="EW152" s="97"/>
      <c r="FA152" s="93"/>
      <c r="FE152" s="93"/>
      <c r="FI152" s="93"/>
      <c r="FJ152" s="97"/>
      <c r="FK152" s="93"/>
      <c r="FL152" s="98"/>
    </row>
    <row r="153" spans="1:169" x14ac:dyDescent="0.2">
      <c r="A153" s="112"/>
      <c r="B153" s="113"/>
      <c r="C153" s="113"/>
      <c r="D153" s="113"/>
      <c r="E153" s="113"/>
      <c r="F153" s="112"/>
      <c r="G153" s="114"/>
      <c r="H153" s="114"/>
      <c r="I153" s="114"/>
      <c r="J153" s="115"/>
      <c r="K153" s="116"/>
      <c r="L153" s="112"/>
      <c r="M153" s="113"/>
      <c r="N153" s="113"/>
      <c r="O153" s="113"/>
      <c r="P153" s="113"/>
      <c r="Q153" s="117"/>
      <c r="R153" s="118"/>
      <c r="S153" s="119"/>
      <c r="T153" s="113"/>
      <c r="U153" s="113"/>
      <c r="V153" s="113"/>
      <c r="W153" s="113"/>
      <c r="X153" s="113"/>
      <c r="Y153" s="113"/>
      <c r="Z153" s="113"/>
      <c r="AA153" s="113"/>
      <c r="AB153" s="113"/>
      <c r="AC153" s="113"/>
      <c r="AD153" s="113"/>
      <c r="AE153" s="113"/>
      <c r="AF153" s="120"/>
      <c r="AG153" s="113"/>
      <c r="AH153" s="113"/>
      <c r="AI153" s="121"/>
      <c r="AJ153" s="119"/>
      <c r="AK153" s="113"/>
      <c r="AL153" s="113"/>
      <c r="AM153" s="122"/>
      <c r="AN153" s="122"/>
      <c r="AO153" s="122"/>
      <c r="AP153" s="122"/>
      <c r="AQ153" s="122"/>
      <c r="AR153" s="122"/>
      <c r="AS153" s="122"/>
      <c r="AT153" s="122"/>
      <c r="AU153" s="122"/>
      <c r="AV153" s="122"/>
      <c r="AW153" s="122"/>
      <c r="AX153" s="122"/>
      <c r="AY153" s="122"/>
      <c r="AZ153" s="122"/>
      <c r="BA153" s="122"/>
      <c r="BB153" s="122"/>
      <c r="BC153" s="122"/>
      <c r="BD153" s="116"/>
      <c r="BE153" s="116"/>
      <c r="BF153" s="116"/>
      <c r="BG153" s="116"/>
      <c r="BH153" s="116"/>
      <c r="BI153" s="116"/>
      <c r="BJ153" s="123"/>
      <c r="BK153" s="119"/>
      <c r="BL153" s="124"/>
      <c r="BM153" s="112"/>
      <c r="BN153" s="112"/>
      <c r="BO153" s="112"/>
      <c r="BP153" s="125"/>
      <c r="BQ153" s="126"/>
      <c r="BR153" s="112"/>
      <c r="BS153" s="112"/>
      <c r="BT153" s="125"/>
      <c r="BU153" s="112"/>
      <c r="BV153" s="112"/>
      <c r="BW153" s="112"/>
      <c r="BX153" s="125"/>
      <c r="BY153" s="127"/>
      <c r="BZ153" s="127"/>
      <c r="CA153" s="127"/>
      <c r="CB153" s="125"/>
      <c r="CC153" s="127"/>
      <c r="CD153" s="127"/>
      <c r="CE153" s="127"/>
      <c r="CF153" s="125"/>
      <c r="CG153" s="125"/>
      <c r="CH153" s="113"/>
      <c r="CI153" s="113"/>
      <c r="CJ153" s="113"/>
      <c r="CK153" s="125"/>
      <c r="CL153" s="113"/>
      <c r="CM153" s="113"/>
      <c r="CN153" s="113"/>
      <c r="CO153" s="125"/>
      <c r="CP153" s="113"/>
      <c r="CQ153" s="113"/>
      <c r="CR153" s="113"/>
      <c r="CS153" s="125"/>
      <c r="CT153" s="113"/>
      <c r="CU153" s="113"/>
      <c r="CV153" s="113"/>
      <c r="CW153" s="127"/>
      <c r="CX153" s="113"/>
      <c r="CY153" s="113"/>
      <c r="CZ153" s="113"/>
      <c r="DA153" s="125"/>
      <c r="DB153" s="113"/>
      <c r="DC153" s="113"/>
      <c r="DD153" s="113"/>
      <c r="DE153" s="125"/>
      <c r="DF153" s="113"/>
      <c r="DG153" s="113"/>
      <c r="DH153" s="113"/>
      <c r="DI153" s="127"/>
      <c r="DJ153" s="113"/>
      <c r="DK153" s="113"/>
      <c r="DL153" s="113"/>
      <c r="DM153" s="127"/>
      <c r="DN153" s="113"/>
      <c r="DO153" s="113"/>
      <c r="DP153" s="113"/>
      <c r="DQ153" s="127"/>
      <c r="DR153" s="113"/>
      <c r="DS153" s="113"/>
      <c r="DT153" s="113"/>
      <c r="DU153" s="127"/>
      <c r="DV153" s="113"/>
      <c r="DW153" s="113"/>
      <c r="DX153" s="113"/>
      <c r="DY153" s="127"/>
      <c r="DZ153" s="113"/>
      <c r="EA153" s="113"/>
      <c r="EB153" s="113"/>
      <c r="EC153" s="127"/>
      <c r="ED153" s="113"/>
      <c r="EE153" s="126"/>
      <c r="EF153" s="112"/>
      <c r="EG153" s="112"/>
      <c r="EH153" s="125"/>
      <c r="EI153" s="128"/>
      <c r="EJ153" s="113"/>
      <c r="EK153" s="113"/>
      <c r="EL153" s="127"/>
      <c r="EM153" s="125"/>
      <c r="EN153" s="113"/>
      <c r="EO153" s="113"/>
      <c r="EP153" s="113"/>
      <c r="EQ153" s="127"/>
      <c r="ER153" s="125"/>
      <c r="ES153" s="113"/>
      <c r="ET153" s="113"/>
      <c r="EU153" s="113"/>
      <c r="EV153" s="127"/>
      <c r="EW153" s="129"/>
      <c r="EX153" s="112"/>
      <c r="EY153" s="112"/>
      <c r="EZ153" s="112"/>
      <c r="FA153" s="125"/>
      <c r="FB153" s="112"/>
      <c r="FC153" s="112"/>
      <c r="FD153" s="112"/>
      <c r="FE153" s="125"/>
      <c r="FF153" s="112"/>
      <c r="FG153" s="112"/>
      <c r="FH153" s="112"/>
      <c r="FI153" s="125"/>
      <c r="FJ153" s="129"/>
      <c r="FK153" s="125"/>
      <c r="FL153" s="130"/>
      <c r="FM153" s="131"/>
    </row>
    <row r="154" spans="1:169" x14ac:dyDescent="0.2">
      <c r="X154" s="87"/>
      <c r="AF154" s="92"/>
      <c r="BJ154" s="88"/>
      <c r="BL154" s="49"/>
      <c r="BP154" s="93"/>
      <c r="BQ154" s="94"/>
      <c r="BT154" s="93"/>
      <c r="BX154" s="93"/>
      <c r="BY154" s="95"/>
      <c r="BZ154" s="95"/>
      <c r="CA154" s="95"/>
      <c r="CB154" s="93"/>
      <c r="CC154" s="95"/>
      <c r="CD154" s="95"/>
      <c r="CE154" s="95"/>
      <c r="CF154" s="93"/>
      <c r="CG154" s="93"/>
      <c r="CK154" s="93"/>
      <c r="CO154" s="93"/>
      <c r="CS154" s="93"/>
      <c r="CW154" s="95"/>
      <c r="DA154" s="93"/>
      <c r="DE154" s="93"/>
      <c r="DI154" s="95"/>
      <c r="DM154" s="95"/>
      <c r="DQ154" s="95"/>
      <c r="DU154" s="95"/>
      <c r="DY154" s="95"/>
      <c r="EC154" s="95"/>
      <c r="EE154" s="94"/>
      <c r="EH154" s="93"/>
      <c r="EI154" s="96"/>
      <c r="EL154" s="95"/>
      <c r="EM154" s="93"/>
      <c r="EQ154" s="95"/>
      <c r="ER154" s="93"/>
      <c r="EV154" s="95"/>
      <c r="EW154" s="97"/>
      <c r="FA154" s="93"/>
      <c r="FE154" s="93"/>
      <c r="FI154" s="93"/>
      <c r="FJ154" s="97"/>
      <c r="FK154" s="93"/>
      <c r="FL154" s="98"/>
    </row>
    <row r="155" spans="1:169" x14ac:dyDescent="0.2">
      <c r="X155" s="87"/>
      <c r="AF155" s="92"/>
      <c r="BJ155" s="88"/>
      <c r="BL155" s="49"/>
      <c r="BP155" s="93"/>
      <c r="BQ155" s="94"/>
      <c r="BT155" s="93"/>
      <c r="BX155" s="93"/>
      <c r="BY155" s="95"/>
      <c r="BZ155" s="95"/>
      <c r="CA155" s="95"/>
      <c r="CB155" s="93"/>
      <c r="CC155" s="95"/>
      <c r="CD155" s="95"/>
      <c r="CE155" s="95"/>
      <c r="CF155" s="93"/>
      <c r="CG155" s="93"/>
      <c r="CK155" s="93"/>
      <c r="CO155" s="93"/>
      <c r="CS155" s="93"/>
      <c r="CW155" s="95"/>
      <c r="DA155" s="93"/>
      <c r="DE155" s="93"/>
      <c r="DI155" s="95"/>
      <c r="DM155" s="95"/>
      <c r="DQ155" s="95"/>
      <c r="DU155" s="95"/>
      <c r="DY155" s="95"/>
      <c r="EC155" s="95"/>
      <c r="EE155" s="94"/>
      <c r="EH155" s="93"/>
      <c r="EI155" s="96"/>
      <c r="EL155" s="95"/>
      <c r="EM155" s="93"/>
      <c r="EQ155" s="95"/>
      <c r="ER155" s="93"/>
      <c r="EV155" s="95"/>
      <c r="EW155" s="97"/>
      <c r="FA155" s="93"/>
      <c r="FE155" s="93"/>
      <c r="FI155" s="93"/>
      <c r="FJ155" s="97"/>
      <c r="FK155" s="93"/>
      <c r="FL155" s="98"/>
    </row>
    <row r="156" spans="1:169" x14ac:dyDescent="0.2">
      <c r="X156" s="87"/>
      <c r="AF156" s="92"/>
      <c r="BJ156" s="88"/>
      <c r="BL156" s="49"/>
      <c r="BP156" s="93"/>
      <c r="BQ156" s="94"/>
      <c r="BT156" s="93"/>
      <c r="BX156" s="93"/>
      <c r="BY156" s="95"/>
      <c r="BZ156" s="95"/>
      <c r="CA156" s="95"/>
      <c r="CB156" s="93"/>
      <c r="CC156" s="95"/>
      <c r="CD156" s="95"/>
      <c r="CE156" s="95"/>
      <c r="CF156" s="93"/>
      <c r="CG156" s="93"/>
      <c r="CK156" s="93"/>
      <c r="CO156" s="93"/>
      <c r="CS156" s="93"/>
      <c r="CW156" s="95"/>
      <c r="DA156" s="93"/>
      <c r="DE156" s="93"/>
      <c r="DI156" s="95"/>
      <c r="DM156" s="95"/>
      <c r="DQ156" s="95"/>
      <c r="DU156" s="95"/>
      <c r="DY156" s="95"/>
      <c r="EC156" s="95"/>
      <c r="EE156" s="94"/>
      <c r="EH156" s="93"/>
      <c r="EI156" s="96"/>
      <c r="EL156" s="95"/>
      <c r="EM156" s="93"/>
      <c r="EQ156" s="95"/>
      <c r="ER156" s="93"/>
      <c r="EV156" s="95"/>
      <c r="EW156" s="97"/>
      <c r="FA156" s="93"/>
      <c r="FE156" s="93"/>
      <c r="FI156" s="93"/>
      <c r="FJ156" s="97"/>
      <c r="FK156" s="93"/>
      <c r="FL156" s="98"/>
    </row>
    <row r="157" spans="1:169" x14ac:dyDescent="0.2">
      <c r="A157" s="112"/>
      <c r="B157" s="113"/>
      <c r="C157" s="113"/>
      <c r="D157" s="113"/>
      <c r="E157" s="113"/>
      <c r="F157" s="112"/>
      <c r="G157" s="114"/>
      <c r="H157" s="114"/>
      <c r="I157" s="114"/>
      <c r="J157" s="115"/>
      <c r="K157" s="116"/>
      <c r="L157" s="112"/>
      <c r="M157" s="113"/>
      <c r="N157" s="113"/>
      <c r="O157" s="113"/>
      <c r="P157" s="113"/>
      <c r="Q157" s="117"/>
      <c r="R157" s="118"/>
      <c r="S157" s="119"/>
      <c r="T157" s="113"/>
      <c r="U157" s="113"/>
      <c r="V157" s="113"/>
      <c r="W157" s="113"/>
      <c r="X157" s="113"/>
      <c r="Y157" s="113"/>
      <c r="Z157" s="113"/>
      <c r="AA157" s="113"/>
      <c r="AB157" s="113"/>
      <c r="AC157" s="113"/>
      <c r="AD157" s="113"/>
      <c r="AE157" s="113"/>
      <c r="AF157" s="120"/>
      <c r="AG157" s="113"/>
      <c r="AH157" s="113"/>
      <c r="AI157" s="121"/>
      <c r="AJ157" s="119"/>
      <c r="AK157" s="113"/>
      <c r="AL157" s="113"/>
      <c r="AM157" s="122"/>
      <c r="AN157" s="122"/>
      <c r="AO157" s="122"/>
      <c r="AP157" s="122"/>
      <c r="AQ157" s="122"/>
      <c r="AR157" s="122"/>
      <c r="AS157" s="122"/>
      <c r="AT157" s="122"/>
      <c r="AU157" s="122"/>
      <c r="AV157" s="122"/>
      <c r="AW157" s="122"/>
      <c r="AX157" s="122"/>
      <c r="AY157" s="122"/>
      <c r="AZ157" s="122"/>
      <c r="BA157" s="122"/>
      <c r="BB157" s="122"/>
      <c r="BC157" s="122"/>
      <c r="BD157" s="116"/>
      <c r="BE157" s="116"/>
      <c r="BF157" s="116"/>
      <c r="BG157" s="116"/>
      <c r="BH157" s="116"/>
      <c r="BI157" s="116"/>
      <c r="BJ157" s="123"/>
      <c r="BK157" s="119"/>
      <c r="BL157" s="124"/>
      <c r="BM157" s="112"/>
      <c r="BN157" s="112"/>
      <c r="BO157" s="112"/>
      <c r="BP157" s="125"/>
      <c r="BQ157" s="126"/>
      <c r="BR157" s="112"/>
      <c r="BS157" s="112"/>
      <c r="BT157" s="125"/>
      <c r="BU157" s="112"/>
      <c r="BV157" s="112"/>
      <c r="BW157" s="112"/>
      <c r="BX157" s="125"/>
      <c r="BY157" s="127"/>
      <c r="BZ157" s="127"/>
      <c r="CA157" s="127"/>
      <c r="CB157" s="125"/>
      <c r="CC157" s="127"/>
      <c r="CD157" s="127"/>
      <c r="CE157" s="127"/>
      <c r="CF157" s="125"/>
      <c r="CG157" s="125"/>
      <c r="CH157" s="113"/>
      <c r="CI157" s="113"/>
      <c r="CJ157" s="113"/>
      <c r="CK157" s="125"/>
      <c r="CL157" s="113"/>
      <c r="CM157" s="113"/>
      <c r="CN157" s="113"/>
      <c r="CO157" s="125"/>
      <c r="CP157" s="113"/>
      <c r="CQ157" s="113"/>
      <c r="CR157" s="113"/>
      <c r="CS157" s="125"/>
      <c r="CT157" s="113"/>
      <c r="CU157" s="113"/>
      <c r="CV157" s="113"/>
      <c r="CW157" s="127"/>
      <c r="CX157" s="113"/>
      <c r="CY157" s="113"/>
      <c r="CZ157" s="113"/>
      <c r="DA157" s="125"/>
      <c r="DB157" s="113"/>
      <c r="DC157" s="113"/>
      <c r="DD157" s="113"/>
      <c r="DE157" s="125"/>
      <c r="DF157" s="113"/>
      <c r="DG157" s="113"/>
      <c r="DH157" s="113"/>
      <c r="DI157" s="127"/>
      <c r="DJ157" s="113"/>
      <c r="DK157" s="113"/>
      <c r="DL157" s="113"/>
      <c r="DM157" s="127"/>
      <c r="DN157" s="113"/>
      <c r="DO157" s="113"/>
      <c r="DP157" s="113"/>
      <c r="DQ157" s="127"/>
      <c r="DR157" s="113"/>
      <c r="DS157" s="113"/>
      <c r="DT157" s="113"/>
      <c r="DU157" s="127"/>
      <c r="DV157" s="113"/>
      <c r="DW157" s="113"/>
      <c r="DX157" s="113"/>
      <c r="DY157" s="127"/>
      <c r="DZ157" s="113"/>
      <c r="EA157" s="113"/>
      <c r="EB157" s="113"/>
      <c r="EC157" s="127"/>
      <c r="ED157" s="113"/>
      <c r="EE157" s="126"/>
      <c r="EF157" s="112"/>
      <c r="EG157" s="112"/>
      <c r="EH157" s="125"/>
      <c r="EI157" s="128"/>
      <c r="EJ157" s="113"/>
      <c r="EK157" s="113"/>
      <c r="EL157" s="127"/>
      <c r="EM157" s="125"/>
      <c r="EN157" s="113"/>
      <c r="EO157" s="113"/>
      <c r="EP157" s="113"/>
      <c r="EQ157" s="127"/>
      <c r="ER157" s="125"/>
      <c r="ES157" s="113"/>
      <c r="ET157" s="113"/>
      <c r="EU157" s="113"/>
      <c r="EV157" s="127"/>
      <c r="EW157" s="129"/>
      <c r="EX157" s="112"/>
      <c r="EY157" s="112"/>
      <c r="EZ157" s="112"/>
      <c r="FA157" s="125"/>
      <c r="FB157" s="112"/>
      <c r="FC157" s="112"/>
      <c r="FD157" s="112"/>
      <c r="FE157" s="125"/>
      <c r="FF157" s="112"/>
      <c r="FG157" s="112"/>
      <c r="FH157" s="112"/>
      <c r="FI157" s="125"/>
      <c r="FJ157" s="129"/>
      <c r="FK157" s="125"/>
      <c r="FL157" s="130"/>
      <c r="FM157" s="131"/>
    </row>
    <row r="158" spans="1:169" x14ac:dyDescent="0.2">
      <c r="X158" s="87"/>
      <c r="AF158" s="92"/>
      <c r="BJ158" s="88"/>
      <c r="BL158" s="49"/>
      <c r="BP158" s="93"/>
      <c r="BQ158" s="94"/>
      <c r="BT158" s="93"/>
      <c r="BX158" s="93"/>
      <c r="BY158" s="95"/>
      <c r="BZ158" s="95"/>
      <c r="CA158" s="95"/>
      <c r="CB158" s="93"/>
      <c r="CC158" s="95"/>
      <c r="CD158" s="95"/>
      <c r="CE158" s="95"/>
      <c r="CF158" s="93"/>
      <c r="CG158" s="93"/>
      <c r="CK158" s="93"/>
      <c r="CO158" s="93"/>
      <c r="CS158" s="93"/>
      <c r="CW158" s="95"/>
      <c r="DA158" s="93"/>
      <c r="DE158" s="93"/>
      <c r="DI158" s="95"/>
      <c r="DM158" s="95"/>
      <c r="DQ158" s="95"/>
      <c r="DU158" s="95"/>
      <c r="DY158" s="95"/>
      <c r="EC158" s="95"/>
      <c r="EE158" s="94"/>
      <c r="EH158" s="93"/>
      <c r="EI158" s="96"/>
      <c r="EL158" s="95"/>
      <c r="EM158" s="93"/>
      <c r="EQ158" s="95"/>
      <c r="ER158" s="93"/>
      <c r="EV158" s="95"/>
      <c r="EW158" s="97"/>
      <c r="FA158" s="93"/>
      <c r="FE158" s="93"/>
      <c r="FI158" s="93"/>
      <c r="FJ158" s="97"/>
      <c r="FK158" s="93"/>
      <c r="FL158" s="98"/>
    </row>
    <row r="159" spans="1:169" x14ac:dyDescent="0.2">
      <c r="X159" s="87"/>
      <c r="AF159" s="92"/>
      <c r="BJ159" s="88"/>
      <c r="BL159" s="49"/>
      <c r="BP159" s="93"/>
      <c r="BQ159" s="94"/>
      <c r="BT159" s="93"/>
      <c r="BX159" s="93"/>
      <c r="BY159" s="95"/>
      <c r="BZ159" s="95"/>
      <c r="CA159" s="95"/>
      <c r="CB159" s="93"/>
      <c r="CC159" s="95"/>
      <c r="CD159" s="95"/>
      <c r="CE159" s="95"/>
      <c r="CF159" s="93"/>
      <c r="CG159" s="93"/>
      <c r="CK159" s="93"/>
      <c r="CO159" s="93"/>
      <c r="CS159" s="93"/>
      <c r="CW159" s="95"/>
      <c r="DA159" s="93"/>
      <c r="DE159" s="93"/>
      <c r="DI159" s="95"/>
      <c r="DM159" s="95"/>
      <c r="DQ159" s="95"/>
      <c r="DU159" s="95"/>
      <c r="DY159" s="95"/>
      <c r="EC159" s="95"/>
      <c r="EE159" s="94"/>
      <c r="EH159" s="93"/>
      <c r="EI159" s="96"/>
      <c r="EL159" s="95"/>
      <c r="EM159" s="93"/>
      <c r="EQ159" s="95"/>
      <c r="ER159" s="93"/>
      <c r="EV159" s="95"/>
      <c r="EW159" s="97"/>
      <c r="FA159" s="93"/>
      <c r="FE159" s="93"/>
      <c r="FI159" s="93"/>
      <c r="FJ159" s="97"/>
      <c r="FK159" s="93"/>
      <c r="FL159" s="98"/>
    </row>
    <row r="160" spans="1:169" x14ac:dyDescent="0.2">
      <c r="A160" s="112"/>
      <c r="B160" s="113"/>
      <c r="C160" s="113"/>
      <c r="D160" s="113"/>
      <c r="E160" s="113"/>
      <c r="F160" s="112"/>
      <c r="G160" s="114"/>
      <c r="H160" s="114"/>
      <c r="I160" s="114"/>
      <c r="J160" s="115"/>
      <c r="K160" s="116"/>
      <c r="L160" s="112"/>
      <c r="M160" s="113"/>
      <c r="N160" s="113"/>
      <c r="O160" s="113"/>
      <c r="P160" s="113"/>
      <c r="Q160" s="117"/>
      <c r="R160" s="118"/>
      <c r="S160" s="119"/>
      <c r="T160" s="113"/>
      <c r="U160" s="113"/>
      <c r="V160" s="113"/>
      <c r="W160" s="113"/>
      <c r="X160" s="113"/>
      <c r="Y160" s="113"/>
      <c r="Z160" s="113"/>
      <c r="AA160" s="113"/>
      <c r="AB160" s="113"/>
      <c r="AC160" s="113"/>
      <c r="AD160" s="113"/>
      <c r="AE160" s="113"/>
      <c r="AF160" s="120"/>
      <c r="AG160" s="113"/>
      <c r="AH160" s="113"/>
      <c r="AI160" s="121"/>
      <c r="AJ160" s="119"/>
      <c r="AK160" s="113"/>
      <c r="AL160" s="113"/>
      <c r="AM160" s="122"/>
      <c r="AN160" s="122"/>
      <c r="AO160" s="122"/>
      <c r="AP160" s="122"/>
      <c r="AQ160" s="122"/>
      <c r="AR160" s="122"/>
      <c r="AS160" s="122"/>
      <c r="AT160" s="122"/>
      <c r="AU160" s="122"/>
      <c r="AV160" s="122"/>
      <c r="AW160" s="122"/>
      <c r="AX160" s="122"/>
      <c r="AY160" s="122"/>
      <c r="AZ160" s="122"/>
      <c r="BA160" s="122"/>
      <c r="BB160" s="122"/>
      <c r="BC160" s="122"/>
      <c r="BD160" s="116"/>
      <c r="BE160" s="116"/>
      <c r="BF160" s="116"/>
      <c r="BG160" s="116"/>
      <c r="BH160" s="116"/>
      <c r="BI160" s="116"/>
      <c r="BJ160" s="123"/>
      <c r="BK160" s="119"/>
      <c r="BL160" s="124"/>
      <c r="BM160" s="112"/>
      <c r="BN160" s="112"/>
      <c r="BO160" s="112"/>
      <c r="BP160" s="125"/>
      <c r="BQ160" s="126"/>
      <c r="BR160" s="112"/>
      <c r="BS160" s="112"/>
      <c r="BT160" s="125"/>
      <c r="BU160" s="112"/>
      <c r="BV160" s="112"/>
      <c r="BW160" s="112"/>
      <c r="BX160" s="125"/>
      <c r="BY160" s="127"/>
      <c r="BZ160" s="127"/>
      <c r="CA160" s="127"/>
      <c r="CB160" s="125"/>
      <c r="CC160" s="127"/>
      <c r="CD160" s="127"/>
      <c r="CE160" s="127"/>
      <c r="CF160" s="125"/>
      <c r="CG160" s="125"/>
      <c r="CH160" s="113"/>
      <c r="CI160" s="113"/>
      <c r="CJ160" s="113"/>
      <c r="CK160" s="125"/>
      <c r="CL160" s="113"/>
      <c r="CM160" s="113"/>
      <c r="CN160" s="113"/>
      <c r="CO160" s="125"/>
      <c r="CP160" s="113"/>
      <c r="CQ160" s="113"/>
      <c r="CR160" s="113"/>
      <c r="CS160" s="125"/>
      <c r="CT160" s="113"/>
      <c r="CU160" s="113"/>
      <c r="CV160" s="113"/>
      <c r="CW160" s="127"/>
      <c r="CX160" s="113"/>
      <c r="CY160" s="113"/>
      <c r="CZ160" s="113"/>
      <c r="DA160" s="125"/>
      <c r="DB160" s="113"/>
      <c r="DC160" s="113"/>
      <c r="DD160" s="113"/>
      <c r="DE160" s="125"/>
      <c r="DF160" s="113"/>
      <c r="DG160" s="113"/>
      <c r="DH160" s="113"/>
      <c r="DI160" s="127"/>
      <c r="DJ160" s="113"/>
      <c r="DK160" s="113"/>
      <c r="DL160" s="113"/>
      <c r="DM160" s="127"/>
      <c r="DN160" s="113"/>
      <c r="DO160" s="113"/>
      <c r="DP160" s="113"/>
      <c r="DQ160" s="127"/>
      <c r="DR160" s="113"/>
      <c r="DS160" s="113"/>
      <c r="DT160" s="113"/>
      <c r="DU160" s="127"/>
      <c r="DV160" s="113"/>
      <c r="DW160" s="113"/>
      <c r="DX160" s="113"/>
      <c r="DY160" s="127"/>
      <c r="DZ160" s="113"/>
      <c r="EA160" s="113"/>
      <c r="EB160" s="113"/>
      <c r="EC160" s="127"/>
      <c r="ED160" s="113"/>
      <c r="EE160" s="126"/>
      <c r="EF160" s="112"/>
      <c r="EG160" s="112"/>
      <c r="EH160" s="125"/>
      <c r="EI160" s="128"/>
      <c r="EJ160" s="113"/>
      <c r="EK160" s="113"/>
      <c r="EL160" s="127"/>
      <c r="EM160" s="125"/>
      <c r="EN160" s="113"/>
      <c r="EO160" s="113"/>
      <c r="EP160" s="113"/>
      <c r="EQ160" s="127"/>
      <c r="ER160" s="125"/>
      <c r="ES160" s="113"/>
      <c r="ET160" s="113"/>
      <c r="EU160" s="113"/>
      <c r="EV160" s="127"/>
      <c r="EW160" s="129"/>
      <c r="EX160" s="112"/>
      <c r="EY160" s="112"/>
      <c r="EZ160" s="112"/>
      <c r="FA160" s="125"/>
      <c r="FB160" s="112"/>
      <c r="FC160" s="112"/>
      <c r="FD160" s="112"/>
      <c r="FE160" s="125"/>
      <c r="FF160" s="112"/>
      <c r="FG160" s="112"/>
      <c r="FH160" s="112"/>
      <c r="FI160" s="125"/>
      <c r="FJ160" s="129"/>
      <c r="FK160" s="125"/>
      <c r="FL160" s="130"/>
      <c r="FM160" s="131"/>
    </row>
    <row r="161" spans="1:169" x14ac:dyDescent="0.2">
      <c r="X161" s="87"/>
      <c r="AF161" s="92"/>
      <c r="BJ161" s="88"/>
      <c r="BL161" s="49"/>
      <c r="BP161" s="93"/>
      <c r="BQ161" s="94"/>
      <c r="BT161" s="93"/>
      <c r="BX161" s="93"/>
      <c r="BY161" s="95"/>
      <c r="BZ161" s="95"/>
      <c r="CA161" s="95"/>
      <c r="CB161" s="93"/>
      <c r="CC161" s="95"/>
      <c r="CD161" s="95"/>
      <c r="CE161" s="95"/>
      <c r="CF161" s="93"/>
      <c r="CG161" s="93"/>
      <c r="CK161" s="93"/>
      <c r="CO161" s="93"/>
      <c r="CS161" s="93"/>
      <c r="CW161" s="95"/>
      <c r="DA161" s="93"/>
      <c r="DE161" s="93"/>
      <c r="DI161" s="95"/>
      <c r="DM161" s="95"/>
      <c r="DQ161" s="95"/>
      <c r="DU161" s="95"/>
      <c r="DY161" s="95"/>
      <c r="EC161" s="95"/>
      <c r="EE161" s="94"/>
      <c r="EH161" s="93"/>
      <c r="EI161" s="96"/>
      <c r="EL161" s="95"/>
      <c r="EM161" s="93"/>
      <c r="EQ161" s="95"/>
      <c r="ER161" s="93"/>
      <c r="EV161" s="95"/>
      <c r="EW161" s="97"/>
      <c r="FA161" s="93"/>
      <c r="FE161" s="93"/>
      <c r="FI161" s="93"/>
      <c r="FJ161" s="97"/>
      <c r="FK161" s="93"/>
      <c r="FL161" s="98"/>
    </row>
    <row r="162" spans="1:169" x14ac:dyDescent="0.2">
      <c r="AF162" s="92"/>
      <c r="BJ162" s="88"/>
      <c r="BL162" s="49"/>
      <c r="BP162" s="93"/>
      <c r="BQ162" s="94"/>
      <c r="BT162" s="93"/>
      <c r="BX162" s="93"/>
      <c r="BY162" s="95"/>
      <c r="BZ162" s="95"/>
      <c r="CA162" s="95"/>
      <c r="CB162" s="93"/>
      <c r="CC162" s="95"/>
      <c r="CD162" s="95"/>
      <c r="CE162" s="95"/>
      <c r="CF162" s="93"/>
      <c r="CG162" s="93"/>
      <c r="CK162" s="93"/>
      <c r="CO162" s="93"/>
      <c r="CS162" s="93"/>
      <c r="CW162" s="95"/>
      <c r="DA162" s="93"/>
      <c r="DE162" s="93"/>
      <c r="DI162" s="95"/>
      <c r="DM162" s="95"/>
      <c r="DQ162" s="95"/>
      <c r="DU162" s="95"/>
      <c r="DY162" s="95"/>
      <c r="EC162" s="95"/>
      <c r="EE162" s="94"/>
      <c r="EH162" s="93"/>
      <c r="EI162" s="96"/>
      <c r="EL162" s="95"/>
      <c r="EM162" s="93"/>
      <c r="EQ162" s="95"/>
      <c r="ER162" s="93"/>
      <c r="EV162" s="95"/>
      <c r="EW162" s="97"/>
      <c r="FA162" s="93"/>
      <c r="FE162" s="93"/>
      <c r="FI162" s="93"/>
      <c r="FJ162" s="97"/>
      <c r="FK162" s="93"/>
      <c r="FL162" s="98"/>
    </row>
    <row r="163" spans="1:169" x14ac:dyDescent="0.2">
      <c r="AF163" s="92"/>
      <c r="BJ163" s="88"/>
      <c r="BL163" s="49"/>
      <c r="BP163" s="93"/>
      <c r="BQ163" s="94"/>
      <c r="BT163" s="93"/>
      <c r="BX163" s="93"/>
      <c r="BY163" s="95"/>
      <c r="BZ163" s="95"/>
      <c r="CA163" s="95"/>
      <c r="CB163" s="93"/>
      <c r="CC163" s="95"/>
      <c r="CD163" s="95"/>
      <c r="CE163" s="95"/>
      <c r="CF163" s="93"/>
      <c r="CG163" s="93"/>
      <c r="CK163" s="93"/>
      <c r="CO163" s="93"/>
      <c r="CS163" s="93"/>
      <c r="CW163" s="95"/>
      <c r="DA163" s="93"/>
      <c r="DE163" s="93"/>
      <c r="DI163" s="95"/>
      <c r="DM163" s="95"/>
      <c r="DQ163" s="95"/>
      <c r="DU163" s="95"/>
      <c r="DY163" s="95"/>
      <c r="EC163" s="95"/>
      <c r="EE163" s="94"/>
      <c r="EH163" s="93"/>
      <c r="EI163" s="96"/>
      <c r="EL163" s="95"/>
      <c r="EM163" s="93"/>
      <c r="EQ163" s="95"/>
      <c r="ER163" s="93"/>
      <c r="EV163" s="95"/>
      <c r="EW163" s="97"/>
      <c r="FA163" s="93"/>
      <c r="FE163" s="93"/>
      <c r="FI163" s="93"/>
      <c r="FJ163" s="97"/>
      <c r="FK163" s="93"/>
      <c r="FL163" s="98"/>
    </row>
    <row r="164" spans="1:169" x14ac:dyDescent="0.2">
      <c r="X164" s="56"/>
      <c r="AF164" s="92"/>
      <c r="BJ164" s="88"/>
      <c r="BL164" s="49"/>
      <c r="BP164" s="93"/>
      <c r="BQ164" s="94"/>
      <c r="BT164" s="93"/>
      <c r="BX164" s="93"/>
      <c r="BY164" s="95"/>
      <c r="BZ164" s="95"/>
      <c r="CA164" s="95"/>
      <c r="CB164" s="93"/>
      <c r="CC164" s="95"/>
      <c r="CD164" s="95"/>
      <c r="CE164" s="95"/>
      <c r="CF164" s="93"/>
      <c r="CG164" s="93"/>
      <c r="CK164" s="93"/>
      <c r="CO164" s="93"/>
      <c r="CS164" s="93"/>
      <c r="CW164" s="95"/>
      <c r="DA164" s="93"/>
      <c r="DE164" s="93"/>
      <c r="DI164" s="95"/>
      <c r="DM164" s="95"/>
      <c r="DQ164" s="95"/>
      <c r="DU164" s="95"/>
      <c r="DY164" s="95"/>
      <c r="EC164" s="95"/>
      <c r="EE164" s="94"/>
      <c r="EH164" s="93"/>
      <c r="EI164" s="96"/>
      <c r="EL164" s="95"/>
      <c r="EM164" s="93"/>
      <c r="EQ164" s="95"/>
      <c r="ER164" s="93"/>
      <c r="EV164" s="95"/>
      <c r="EW164" s="97"/>
      <c r="FA164" s="93"/>
      <c r="FE164" s="93"/>
      <c r="FI164" s="93"/>
      <c r="FJ164" s="97"/>
      <c r="FK164" s="93"/>
      <c r="FL164" s="98"/>
    </row>
    <row r="165" spans="1:169" x14ac:dyDescent="0.2">
      <c r="AF165" s="92"/>
      <c r="BJ165" s="88"/>
      <c r="BL165" s="49"/>
      <c r="BP165" s="93"/>
      <c r="BQ165" s="94"/>
      <c r="BT165" s="93"/>
      <c r="BX165" s="93"/>
      <c r="BY165" s="95"/>
      <c r="BZ165" s="95"/>
      <c r="CA165" s="95"/>
      <c r="CB165" s="93"/>
      <c r="CC165" s="95"/>
      <c r="CD165" s="95"/>
      <c r="CE165" s="95"/>
      <c r="CF165" s="93"/>
      <c r="CG165" s="93"/>
      <c r="CK165" s="93"/>
      <c r="CO165" s="93"/>
      <c r="CS165" s="93"/>
      <c r="CW165" s="95"/>
      <c r="DA165" s="93"/>
      <c r="DE165" s="93"/>
      <c r="DI165" s="95"/>
      <c r="DM165" s="95"/>
      <c r="DQ165" s="95"/>
      <c r="DU165" s="95"/>
      <c r="DY165" s="95"/>
      <c r="EC165" s="95"/>
      <c r="EE165" s="94"/>
      <c r="EH165" s="93"/>
      <c r="EI165" s="96"/>
      <c r="EL165" s="95"/>
      <c r="EM165" s="93"/>
      <c r="EQ165" s="95"/>
      <c r="ER165" s="93"/>
      <c r="EV165" s="95"/>
      <c r="EW165" s="97"/>
      <c r="FA165" s="93"/>
      <c r="FE165" s="93"/>
      <c r="FI165" s="93"/>
      <c r="FJ165" s="97"/>
      <c r="FK165" s="93"/>
      <c r="FL165" s="98"/>
    </row>
    <row r="166" spans="1:169" x14ac:dyDescent="0.2">
      <c r="X166" s="87"/>
      <c r="AF166" s="92"/>
      <c r="BJ166" s="88"/>
      <c r="BL166" s="49"/>
      <c r="BP166" s="93"/>
      <c r="BQ166" s="94"/>
      <c r="BT166" s="93"/>
      <c r="BX166" s="93"/>
      <c r="BY166" s="95"/>
      <c r="BZ166" s="95"/>
      <c r="CA166" s="95"/>
      <c r="CB166" s="93"/>
      <c r="CC166" s="95"/>
      <c r="CD166" s="95"/>
      <c r="CE166" s="95"/>
      <c r="CF166" s="93"/>
      <c r="CG166" s="93"/>
      <c r="CK166" s="93"/>
      <c r="CO166" s="93"/>
      <c r="CS166" s="93"/>
      <c r="CW166" s="95"/>
      <c r="DA166" s="93"/>
      <c r="DE166" s="93"/>
      <c r="DI166" s="95"/>
      <c r="DM166" s="95"/>
      <c r="DQ166" s="95"/>
      <c r="DU166" s="95"/>
      <c r="DY166" s="95"/>
      <c r="EC166" s="95"/>
      <c r="EE166" s="94"/>
      <c r="EH166" s="93"/>
      <c r="EI166" s="96"/>
      <c r="EL166" s="95"/>
      <c r="EM166" s="93"/>
      <c r="EQ166" s="95"/>
      <c r="ER166" s="93"/>
      <c r="EV166" s="95"/>
      <c r="EW166" s="97"/>
      <c r="FA166" s="93"/>
      <c r="FE166" s="93"/>
      <c r="FI166" s="93"/>
      <c r="FJ166" s="97"/>
      <c r="FK166" s="93"/>
      <c r="FL166" s="98"/>
    </row>
    <row r="167" spans="1:169" x14ac:dyDescent="0.2">
      <c r="A167" s="112"/>
      <c r="B167" s="113"/>
      <c r="C167" s="113"/>
      <c r="D167" s="113"/>
      <c r="E167" s="113"/>
      <c r="F167" s="112"/>
      <c r="G167" s="114"/>
      <c r="H167" s="114"/>
      <c r="I167" s="114"/>
      <c r="J167" s="115"/>
      <c r="K167" s="116"/>
      <c r="L167" s="112"/>
      <c r="M167" s="113"/>
      <c r="N167" s="113"/>
      <c r="O167" s="113"/>
      <c r="P167" s="113"/>
      <c r="Q167" s="117"/>
      <c r="R167" s="118"/>
      <c r="S167" s="119"/>
      <c r="T167" s="113"/>
      <c r="U167" s="113"/>
      <c r="V167" s="113"/>
      <c r="W167" s="113"/>
      <c r="X167" s="113"/>
      <c r="Y167" s="113"/>
      <c r="Z167" s="113"/>
      <c r="AA167" s="113"/>
      <c r="AB167" s="113"/>
      <c r="AC167" s="113"/>
      <c r="AD167" s="113"/>
      <c r="AE167" s="113"/>
      <c r="AF167" s="120"/>
      <c r="AG167" s="113"/>
      <c r="AH167" s="113"/>
      <c r="AI167" s="121"/>
      <c r="AJ167" s="119"/>
      <c r="AK167" s="113"/>
      <c r="AL167" s="113"/>
      <c r="AM167" s="122"/>
      <c r="AN167" s="122"/>
      <c r="AO167" s="122"/>
      <c r="AP167" s="122"/>
      <c r="AQ167" s="122"/>
      <c r="AR167" s="122"/>
      <c r="AS167" s="122"/>
      <c r="AT167" s="122"/>
      <c r="AU167" s="122"/>
      <c r="AV167" s="122"/>
      <c r="AW167" s="122"/>
      <c r="AX167" s="122"/>
      <c r="AY167" s="122"/>
      <c r="AZ167" s="122"/>
      <c r="BA167" s="122"/>
      <c r="BB167" s="122"/>
      <c r="BC167" s="122"/>
      <c r="BD167" s="116"/>
      <c r="BE167" s="116"/>
      <c r="BF167" s="116"/>
      <c r="BG167" s="116"/>
      <c r="BH167" s="116"/>
      <c r="BI167" s="116"/>
      <c r="BJ167" s="123"/>
      <c r="BK167" s="119"/>
      <c r="BL167" s="124"/>
      <c r="BM167" s="112"/>
      <c r="BN167" s="112"/>
      <c r="BO167" s="112"/>
      <c r="BP167" s="125"/>
      <c r="BQ167" s="126"/>
      <c r="BR167" s="112"/>
      <c r="BS167" s="112"/>
      <c r="BT167" s="125"/>
      <c r="BU167" s="112"/>
      <c r="BV167" s="112"/>
      <c r="BW167" s="112"/>
      <c r="BX167" s="125"/>
      <c r="BY167" s="127"/>
      <c r="BZ167" s="127"/>
      <c r="CA167" s="127"/>
      <c r="CB167" s="125"/>
      <c r="CC167" s="127"/>
      <c r="CD167" s="127"/>
      <c r="CE167" s="127"/>
      <c r="CF167" s="125"/>
      <c r="CG167" s="125"/>
      <c r="CH167" s="113"/>
      <c r="CI167" s="113"/>
      <c r="CJ167" s="113"/>
      <c r="CK167" s="125"/>
      <c r="CL167" s="113"/>
      <c r="CM167" s="113"/>
      <c r="CN167" s="113"/>
      <c r="CO167" s="125"/>
      <c r="CP167" s="113"/>
      <c r="CQ167" s="113"/>
      <c r="CR167" s="113"/>
      <c r="CS167" s="125"/>
      <c r="CT167" s="113"/>
      <c r="CU167" s="113"/>
      <c r="CV167" s="113"/>
      <c r="CW167" s="127"/>
      <c r="CX167" s="113"/>
      <c r="CY167" s="113"/>
      <c r="CZ167" s="113"/>
      <c r="DA167" s="125"/>
      <c r="DB167" s="113"/>
      <c r="DC167" s="113"/>
      <c r="DD167" s="113"/>
      <c r="DE167" s="125"/>
      <c r="DF167" s="113"/>
      <c r="DG167" s="113"/>
      <c r="DH167" s="113"/>
      <c r="DI167" s="127"/>
      <c r="DJ167" s="113"/>
      <c r="DK167" s="113"/>
      <c r="DL167" s="113"/>
      <c r="DM167" s="127"/>
      <c r="DN167" s="113"/>
      <c r="DO167" s="113"/>
      <c r="DP167" s="113"/>
      <c r="DQ167" s="127"/>
      <c r="DR167" s="113"/>
      <c r="DS167" s="113"/>
      <c r="DT167" s="113"/>
      <c r="DU167" s="127"/>
      <c r="DV167" s="113"/>
      <c r="DW167" s="113"/>
      <c r="DX167" s="113"/>
      <c r="DY167" s="127"/>
      <c r="DZ167" s="113"/>
      <c r="EA167" s="113"/>
      <c r="EB167" s="113"/>
      <c r="EC167" s="127"/>
      <c r="ED167" s="113"/>
      <c r="EE167" s="126"/>
      <c r="EF167" s="112"/>
      <c r="EG167" s="112"/>
      <c r="EH167" s="125"/>
      <c r="EI167" s="128"/>
      <c r="EJ167" s="113"/>
      <c r="EK167" s="113"/>
      <c r="EL167" s="127"/>
      <c r="EM167" s="125"/>
      <c r="EN167" s="113"/>
      <c r="EO167" s="113"/>
      <c r="EP167" s="113"/>
      <c r="EQ167" s="127"/>
      <c r="ER167" s="125"/>
      <c r="ES167" s="113"/>
      <c r="ET167" s="113"/>
      <c r="EU167" s="113"/>
      <c r="EV167" s="127"/>
      <c r="EW167" s="129"/>
      <c r="EX167" s="112"/>
      <c r="EY167" s="112"/>
      <c r="EZ167" s="112"/>
      <c r="FA167" s="125"/>
      <c r="FB167" s="112"/>
      <c r="FC167" s="112"/>
      <c r="FD167" s="112"/>
      <c r="FE167" s="125"/>
      <c r="FF167" s="112"/>
      <c r="FG167" s="112"/>
      <c r="FH167" s="112"/>
      <c r="FI167" s="125"/>
      <c r="FJ167" s="129"/>
      <c r="FK167" s="125"/>
      <c r="FL167" s="130"/>
      <c r="FM167" s="131"/>
    </row>
    <row r="168" spans="1:169" x14ac:dyDescent="0.2">
      <c r="X168" s="87"/>
      <c r="AF168" s="92"/>
      <c r="BJ168" s="88"/>
      <c r="BL168" s="49"/>
      <c r="BP168" s="93"/>
      <c r="BQ168" s="94"/>
      <c r="BT168" s="93"/>
      <c r="BX168" s="93"/>
      <c r="BY168" s="95"/>
      <c r="BZ168" s="95"/>
      <c r="CA168" s="95"/>
      <c r="CB168" s="93"/>
      <c r="CC168" s="95"/>
      <c r="CD168" s="95"/>
      <c r="CE168" s="95"/>
      <c r="CF168" s="93"/>
      <c r="CG168" s="93"/>
      <c r="CK168" s="93"/>
      <c r="CO168" s="93"/>
      <c r="CS168" s="93"/>
      <c r="CW168" s="95"/>
      <c r="DA168" s="93"/>
      <c r="DE168" s="93"/>
      <c r="DI168" s="95"/>
      <c r="DM168" s="95"/>
      <c r="DQ168" s="95"/>
      <c r="DU168" s="95"/>
      <c r="DY168" s="95"/>
      <c r="EC168" s="95"/>
      <c r="EE168" s="94"/>
      <c r="EH168" s="93"/>
      <c r="EI168" s="96"/>
      <c r="EL168" s="95"/>
      <c r="EM168" s="93"/>
      <c r="EQ168" s="95"/>
      <c r="ER168" s="93"/>
      <c r="EV168" s="95"/>
      <c r="EW168" s="97"/>
      <c r="FA168" s="93"/>
      <c r="FE168" s="93"/>
      <c r="FI168" s="93"/>
      <c r="FJ168" s="97"/>
      <c r="FK168" s="93"/>
      <c r="FL168" s="98"/>
    </row>
    <row r="169" spans="1:169" x14ac:dyDescent="0.2">
      <c r="A169" s="112"/>
      <c r="B169" s="113"/>
      <c r="C169" s="113"/>
      <c r="D169" s="113"/>
      <c r="E169" s="113"/>
      <c r="F169" s="112"/>
      <c r="G169" s="114"/>
      <c r="H169" s="114"/>
      <c r="I169" s="114"/>
      <c r="J169" s="115"/>
      <c r="K169" s="116"/>
      <c r="L169" s="112"/>
      <c r="M169" s="113"/>
      <c r="N169" s="113"/>
      <c r="O169" s="113"/>
      <c r="P169" s="113"/>
      <c r="Q169" s="117"/>
      <c r="R169" s="118"/>
      <c r="S169" s="119"/>
      <c r="T169" s="113"/>
      <c r="U169" s="113"/>
      <c r="V169" s="113"/>
      <c r="W169" s="113"/>
      <c r="X169" s="113"/>
      <c r="Y169" s="113"/>
      <c r="Z169" s="113"/>
      <c r="AA169" s="113"/>
      <c r="AB169" s="113"/>
      <c r="AC169" s="113"/>
      <c r="AD169" s="113"/>
      <c r="AE169" s="113"/>
      <c r="AF169" s="120"/>
      <c r="AG169" s="113"/>
      <c r="AH169" s="113"/>
      <c r="AI169" s="121"/>
      <c r="AJ169" s="119"/>
      <c r="AK169" s="113"/>
      <c r="AL169" s="113"/>
      <c r="AM169" s="122"/>
      <c r="AN169" s="122"/>
      <c r="AO169" s="122"/>
      <c r="AP169" s="122"/>
      <c r="AQ169" s="122"/>
      <c r="AR169" s="122"/>
      <c r="AS169" s="122"/>
      <c r="AT169" s="122"/>
      <c r="AU169" s="122"/>
      <c r="AV169" s="122"/>
      <c r="AW169" s="122"/>
      <c r="AX169" s="122"/>
      <c r="AY169" s="122"/>
      <c r="AZ169" s="122"/>
      <c r="BA169" s="122"/>
      <c r="BB169" s="122"/>
      <c r="BC169" s="122"/>
      <c r="BD169" s="116"/>
      <c r="BE169" s="116"/>
      <c r="BF169" s="116"/>
      <c r="BG169" s="116"/>
      <c r="BH169" s="116"/>
      <c r="BI169" s="116"/>
      <c r="BJ169" s="123"/>
      <c r="BK169" s="119"/>
      <c r="BL169" s="124"/>
      <c r="BM169" s="112"/>
      <c r="BN169" s="112"/>
      <c r="BO169" s="112"/>
      <c r="BP169" s="125"/>
      <c r="BQ169" s="126"/>
      <c r="BR169" s="112"/>
      <c r="BS169" s="112"/>
      <c r="BT169" s="125"/>
      <c r="BU169" s="112"/>
      <c r="BV169" s="112"/>
      <c r="BW169" s="112"/>
      <c r="BX169" s="125"/>
      <c r="BY169" s="127"/>
      <c r="BZ169" s="127"/>
      <c r="CA169" s="127"/>
      <c r="CB169" s="125"/>
      <c r="CC169" s="127"/>
      <c r="CD169" s="127"/>
      <c r="CE169" s="127"/>
      <c r="CF169" s="125"/>
      <c r="CG169" s="125"/>
      <c r="CH169" s="113"/>
      <c r="CI169" s="113"/>
      <c r="CJ169" s="113"/>
      <c r="CK169" s="125"/>
      <c r="CL169" s="113"/>
      <c r="CM169" s="113"/>
      <c r="CN169" s="113"/>
      <c r="CO169" s="125"/>
      <c r="CP169" s="113"/>
      <c r="CQ169" s="113"/>
      <c r="CR169" s="113"/>
      <c r="CS169" s="125"/>
      <c r="CT169" s="113"/>
      <c r="CU169" s="113"/>
      <c r="CV169" s="113"/>
      <c r="CW169" s="127"/>
      <c r="CX169" s="113"/>
      <c r="CY169" s="113"/>
      <c r="CZ169" s="113"/>
      <c r="DA169" s="125"/>
      <c r="DB169" s="113"/>
      <c r="DC169" s="113"/>
      <c r="DD169" s="113"/>
      <c r="DE169" s="125"/>
      <c r="DF169" s="113"/>
      <c r="DG169" s="113"/>
      <c r="DH169" s="113"/>
      <c r="DI169" s="127"/>
      <c r="DJ169" s="113"/>
      <c r="DK169" s="113"/>
      <c r="DL169" s="113"/>
      <c r="DM169" s="127"/>
      <c r="DN169" s="113"/>
      <c r="DO169" s="113"/>
      <c r="DP169" s="113"/>
      <c r="DQ169" s="127"/>
      <c r="DR169" s="113"/>
      <c r="DS169" s="113"/>
      <c r="DT169" s="113"/>
      <c r="DU169" s="127"/>
      <c r="DV169" s="113"/>
      <c r="DW169" s="113"/>
      <c r="DX169" s="113"/>
      <c r="DY169" s="127"/>
      <c r="DZ169" s="113"/>
      <c r="EA169" s="113"/>
      <c r="EB169" s="113"/>
      <c r="EC169" s="127"/>
      <c r="ED169" s="113"/>
      <c r="EE169" s="126"/>
      <c r="EF169" s="112"/>
      <c r="EG169" s="112"/>
      <c r="EH169" s="125"/>
      <c r="EI169" s="128"/>
      <c r="EJ169" s="113"/>
      <c r="EK169" s="113"/>
      <c r="EL169" s="127"/>
      <c r="EM169" s="125"/>
      <c r="EN169" s="113"/>
      <c r="EO169" s="113"/>
      <c r="EP169" s="113"/>
      <c r="EQ169" s="127"/>
      <c r="ER169" s="125"/>
      <c r="ES169" s="113"/>
      <c r="ET169" s="113"/>
      <c r="EU169" s="113"/>
      <c r="EV169" s="127"/>
      <c r="EW169" s="129"/>
      <c r="EX169" s="112"/>
      <c r="EY169" s="112"/>
      <c r="EZ169" s="112"/>
      <c r="FA169" s="125"/>
      <c r="FB169" s="112"/>
      <c r="FC169" s="112"/>
      <c r="FD169" s="112"/>
      <c r="FE169" s="125"/>
      <c r="FF169" s="112"/>
      <c r="FG169" s="112"/>
      <c r="FH169" s="112"/>
      <c r="FI169" s="125"/>
      <c r="FJ169" s="129"/>
      <c r="FK169" s="125"/>
      <c r="FL169" s="130"/>
      <c r="FM169" s="131"/>
    </row>
    <row r="170" spans="1:169" x14ac:dyDescent="0.2">
      <c r="X170" s="87"/>
      <c r="AF170" s="92"/>
      <c r="BJ170" s="88"/>
      <c r="BL170" s="49"/>
      <c r="BP170" s="93"/>
      <c r="BQ170" s="94"/>
      <c r="BT170" s="93"/>
      <c r="BX170" s="93"/>
      <c r="BY170" s="95"/>
      <c r="BZ170" s="95"/>
      <c r="CA170" s="95"/>
      <c r="CB170" s="93"/>
      <c r="CC170" s="95"/>
      <c r="CD170" s="95"/>
      <c r="CE170" s="95"/>
      <c r="CF170" s="93"/>
      <c r="CG170" s="93"/>
      <c r="CK170" s="93"/>
      <c r="CO170" s="93"/>
      <c r="CS170" s="93"/>
      <c r="CW170" s="95"/>
      <c r="DA170" s="93"/>
      <c r="DE170" s="93"/>
      <c r="DI170" s="95"/>
      <c r="DM170" s="95"/>
      <c r="DQ170" s="95"/>
      <c r="DU170" s="95"/>
      <c r="DY170" s="95"/>
      <c r="EC170" s="95"/>
      <c r="EE170" s="94"/>
      <c r="EH170" s="93"/>
      <c r="EI170" s="96"/>
      <c r="EL170" s="95"/>
      <c r="EM170" s="93"/>
      <c r="EQ170" s="95"/>
      <c r="ER170" s="93"/>
      <c r="EV170" s="95"/>
      <c r="EW170" s="97"/>
      <c r="FA170" s="93"/>
      <c r="FE170" s="93"/>
      <c r="FI170" s="93"/>
      <c r="FJ170" s="97"/>
      <c r="FK170" s="93"/>
      <c r="FL170" s="98"/>
    </row>
    <row r="171" spans="1:169" x14ac:dyDescent="0.2">
      <c r="FE171" s="1">
        <v>0</v>
      </c>
      <c r="FI171" s="1">
        <v>0</v>
      </c>
      <c r="FJ171" s="80">
        <v>29705.146799999999</v>
      </c>
      <c r="FK171" s="1">
        <v>29705</v>
      </c>
      <c r="FL171" s="80">
        <v>-0.15331272453695011</v>
      </c>
      <c r="FM171" s="80">
        <v>-0.14679999999862048</v>
      </c>
    </row>
    <row r="172" spans="1:169" x14ac:dyDescent="0.2">
      <c r="FE172" s="1">
        <v>0</v>
      </c>
      <c r="FI172" s="1">
        <v>0</v>
      </c>
      <c r="FJ172" s="80">
        <v>5441.59</v>
      </c>
      <c r="FK172" s="1">
        <v>33650</v>
      </c>
      <c r="FL172" s="80">
        <v>29459.865068092571</v>
      </c>
      <c r="FM172" s="80">
        <v>28208.41</v>
      </c>
    </row>
    <row r="173" spans="1:169" x14ac:dyDescent="0.2">
      <c r="FE173" s="1">
        <v>0</v>
      </c>
      <c r="FI173" s="1">
        <v>0</v>
      </c>
      <c r="FJ173" s="80">
        <v>5441.59</v>
      </c>
      <c r="FK173" s="1">
        <v>33650</v>
      </c>
      <c r="FL173" s="80">
        <v>29459.865068092571</v>
      </c>
      <c r="FM173" s="80">
        <v>28208.41</v>
      </c>
    </row>
    <row r="174" spans="1:169" x14ac:dyDescent="0.2">
      <c r="FE174" s="1">
        <v>0</v>
      </c>
      <c r="FI174" s="1">
        <v>0</v>
      </c>
      <c r="FJ174" s="80">
        <v>32475.25216</v>
      </c>
      <c r="FK174" s="1">
        <v>32705</v>
      </c>
      <c r="FL174" s="80">
        <v>239.94051299189573</v>
      </c>
      <c r="FM174" s="80">
        <v>229.74784</v>
      </c>
    </row>
    <row r="175" spans="1:169" x14ac:dyDescent="0.2">
      <c r="FE175" s="1">
        <v>0</v>
      </c>
      <c r="FI175" s="1">
        <v>0</v>
      </c>
      <c r="FJ175" s="80">
        <v>5441.59</v>
      </c>
      <c r="FK175" s="1">
        <v>35000</v>
      </c>
      <c r="FL175" s="80">
        <v>30869.757289664965</v>
      </c>
      <c r="FM175" s="80">
        <v>29558.41</v>
      </c>
    </row>
    <row r="176" spans="1:169" x14ac:dyDescent="0.2">
      <c r="FE176" s="1">
        <v>0</v>
      </c>
      <c r="FI176" s="1">
        <v>0</v>
      </c>
      <c r="FJ176" s="80">
        <v>5441.59</v>
      </c>
      <c r="FK176" s="1">
        <v>38750</v>
      </c>
      <c r="FL176" s="80">
        <v>34786.124571810506</v>
      </c>
      <c r="FM176" s="80">
        <v>33308.409999999996</v>
      </c>
    </row>
    <row r="177" spans="161:169" x14ac:dyDescent="0.2">
      <c r="FE177" s="1">
        <v>0</v>
      </c>
      <c r="FI177" s="1">
        <v>0</v>
      </c>
      <c r="FJ177" s="80">
        <v>5441.59</v>
      </c>
      <c r="FK177" s="1">
        <v>33650</v>
      </c>
      <c r="FL177" s="80">
        <v>29459.865068092571</v>
      </c>
      <c r="FM177" s="80">
        <v>28208.41</v>
      </c>
    </row>
    <row r="178" spans="161:169" x14ac:dyDescent="0.2">
      <c r="FE178" s="1">
        <v>0</v>
      </c>
      <c r="FI178" s="1">
        <v>0</v>
      </c>
      <c r="FJ178" s="80">
        <v>5441.59</v>
      </c>
      <c r="FK178" s="1">
        <v>33650</v>
      </c>
      <c r="FL178" s="80">
        <v>29459.865068092571</v>
      </c>
      <c r="FM178" s="80">
        <v>28208.41</v>
      </c>
    </row>
    <row r="179" spans="161:169" x14ac:dyDescent="0.2">
      <c r="FE179" s="1">
        <v>0</v>
      </c>
      <c r="FI179" s="1">
        <v>0</v>
      </c>
      <c r="FJ179" s="80">
        <v>5441.59</v>
      </c>
      <c r="FK179" s="1">
        <v>35000</v>
      </c>
      <c r="FL179" s="80">
        <v>30869.757289664965</v>
      </c>
      <c r="FM179" s="80">
        <v>29558.41</v>
      </c>
    </row>
    <row r="180" spans="161:169" x14ac:dyDescent="0.2">
      <c r="FE180" s="1">
        <v>0</v>
      </c>
      <c r="FI180" s="1">
        <v>0</v>
      </c>
      <c r="FJ180" s="80">
        <v>5441.59</v>
      </c>
      <c r="FK180" s="1">
        <v>38750</v>
      </c>
      <c r="FL180" s="80">
        <v>34786.124571810506</v>
      </c>
      <c r="FM180" s="80">
        <v>33308.409999999996</v>
      </c>
    </row>
    <row r="181" spans="161:169" x14ac:dyDescent="0.2">
      <c r="FE181" s="1">
        <v>0</v>
      </c>
      <c r="FI181" s="1">
        <v>0</v>
      </c>
      <c r="FJ181" s="80">
        <v>5441.59</v>
      </c>
      <c r="FK181" s="1">
        <v>34850</v>
      </c>
      <c r="FL181" s="80">
        <v>30713.102598379144</v>
      </c>
      <c r="FM181" s="80">
        <v>29408.41</v>
      </c>
    </row>
    <row r="182" spans="161:169" x14ac:dyDescent="0.2">
      <c r="FE182" s="1">
        <v>0</v>
      </c>
      <c r="FI182" s="1">
        <v>0</v>
      </c>
      <c r="FJ182" s="80">
        <v>16850.4408</v>
      </c>
      <c r="FK182" s="1">
        <v>16850</v>
      </c>
      <c r="FL182" s="80">
        <v>-0.46035591945892357</v>
      </c>
      <c r="FM182" s="80">
        <v>-0.4408000000003085</v>
      </c>
    </row>
    <row r="183" spans="161:169" x14ac:dyDescent="0.2">
      <c r="FE183" s="1">
        <v>0</v>
      </c>
      <c r="FI183" s="1">
        <v>0</v>
      </c>
      <c r="FJ183" s="80">
        <v>13025.1484</v>
      </c>
      <c r="FK183" s="1">
        <v>13355</v>
      </c>
      <c r="FL183" s="80">
        <v>344.48533712089562</v>
      </c>
      <c r="FM183" s="80">
        <v>329.85159999999996</v>
      </c>
    </row>
    <row r="184" spans="161:169" x14ac:dyDescent="0.2">
      <c r="FE184" s="1">
        <v>0</v>
      </c>
      <c r="FI184" s="1">
        <v>0</v>
      </c>
      <c r="FJ184" s="80">
        <v>5441.59</v>
      </c>
      <c r="FK184" s="1">
        <v>35000</v>
      </c>
      <c r="FL184" s="80">
        <v>30869.757289664965</v>
      </c>
      <c r="FM184" s="80">
        <v>29558.41</v>
      </c>
    </row>
    <row r="185" spans="161:169" x14ac:dyDescent="0.2">
      <c r="FE185" s="1">
        <v>0</v>
      </c>
      <c r="FI185" s="1">
        <v>0</v>
      </c>
      <c r="FJ185" s="80">
        <v>5441.59</v>
      </c>
      <c r="FK185" s="1">
        <v>33650</v>
      </c>
      <c r="FL185" s="80">
        <v>29459.865068092571</v>
      </c>
      <c r="FM185" s="80">
        <v>28208.41</v>
      </c>
    </row>
    <row r="186" spans="161:169" x14ac:dyDescent="0.2">
      <c r="FE186" s="1">
        <v>0</v>
      </c>
      <c r="FI186" s="1">
        <v>0</v>
      </c>
      <c r="FJ186" s="80">
        <v>5441.59</v>
      </c>
      <c r="FK186" s="1">
        <v>38750</v>
      </c>
      <c r="FL186" s="80">
        <v>34786.124571810506</v>
      </c>
      <c r="FM186" s="80">
        <v>33308.409999999996</v>
      </c>
    </row>
    <row r="187" spans="161:169" x14ac:dyDescent="0.2">
      <c r="FE187" s="1">
        <v>0</v>
      </c>
      <c r="FI187" s="1">
        <v>0</v>
      </c>
      <c r="FJ187" s="80">
        <v>5441.59</v>
      </c>
      <c r="FK187" s="1">
        <v>38750</v>
      </c>
      <c r="FL187" s="80">
        <v>34786.124571810506</v>
      </c>
      <c r="FM187" s="80">
        <v>33308.409999999996</v>
      </c>
    </row>
    <row r="188" spans="161:169" x14ac:dyDescent="0.2">
      <c r="FE188" s="1">
        <v>0</v>
      </c>
      <c r="FI188" s="1">
        <v>0</v>
      </c>
      <c r="FJ188" s="80">
        <v>34219.853600000002</v>
      </c>
      <c r="FK188" s="1">
        <v>34550</v>
      </c>
      <c r="FL188" s="80">
        <v>344.79321580750423</v>
      </c>
      <c r="FM188" s="80">
        <v>330.14640000000145</v>
      </c>
    </row>
    <row r="189" spans="161:169" x14ac:dyDescent="0.2">
      <c r="FE189" s="1">
        <v>0</v>
      </c>
      <c r="FI189" s="1">
        <v>0</v>
      </c>
      <c r="FJ189" s="80">
        <v>5441.59</v>
      </c>
      <c r="FK189" s="1">
        <v>27305</v>
      </c>
      <c r="FL189" s="80">
        <v>22833.371626702312</v>
      </c>
      <c r="FM189" s="80">
        <v>21863.41</v>
      </c>
    </row>
    <row r="190" spans="161:169" x14ac:dyDescent="0.2">
      <c r="FE190" s="1">
        <v>0</v>
      </c>
      <c r="FI190" s="1">
        <v>0</v>
      </c>
      <c r="FJ190" s="80">
        <v>5441.59</v>
      </c>
      <c r="FK190" s="1">
        <v>26750</v>
      </c>
      <c r="FL190" s="80">
        <v>22253.749268944772</v>
      </c>
      <c r="FM190" s="80">
        <v>21308.41</v>
      </c>
    </row>
    <row r="191" spans="161:169" x14ac:dyDescent="0.2">
      <c r="FE191" s="1">
        <v>0</v>
      </c>
      <c r="FI191" s="1">
        <v>0</v>
      </c>
      <c r="FJ191" s="80">
        <v>5441.59</v>
      </c>
      <c r="FK191" s="1">
        <v>28905</v>
      </c>
      <c r="FL191" s="80">
        <v>24504.355000417745</v>
      </c>
      <c r="FM191" s="80">
        <v>23463.41</v>
      </c>
    </row>
    <row r="192" spans="161:169" x14ac:dyDescent="0.2">
      <c r="FE192" s="1">
        <v>0</v>
      </c>
      <c r="FI192" s="1">
        <v>0</v>
      </c>
      <c r="FJ192" s="80">
        <v>5441.59</v>
      </c>
      <c r="FK192" s="1">
        <v>34850</v>
      </c>
      <c r="FL192" s="80">
        <v>30713.102598379144</v>
      </c>
      <c r="FM192" s="80">
        <v>29408.41</v>
      </c>
    </row>
    <row r="195" spans="161:169" x14ac:dyDescent="0.2">
      <c r="FE195" s="1">
        <v>0</v>
      </c>
      <c r="FI195" s="1">
        <v>0</v>
      </c>
      <c r="FJ195" s="80">
        <v>23719.689279999999</v>
      </c>
      <c r="FK195" s="1">
        <v>30050</v>
      </c>
      <c r="FL195" s="80">
        <v>344.96482579998462</v>
      </c>
      <c r="FM195" s="80">
        <v>330.31072000000131</v>
      </c>
    </row>
    <row r="196" spans="161:169" x14ac:dyDescent="0.2">
      <c r="FE196" s="1">
        <v>0</v>
      </c>
      <c r="FI196" s="1">
        <v>0</v>
      </c>
      <c r="FJ196" s="80">
        <v>5441.59</v>
      </c>
      <c r="FK196" s="1">
        <v>30650</v>
      </c>
      <c r="FL196" s="80">
        <v>26326.771242376137</v>
      </c>
      <c r="FM196" s="80">
        <v>25208.41</v>
      </c>
    </row>
    <row r="197" spans="161:169" x14ac:dyDescent="0.2">
      <c r="FE197" s="1">
        <v>0</v>
      </c>
      <c r="FI197" s="1">
        <v>0</v>
      </c>
      <c r="FJ197" s="80">
        <v>32054.900880000001</v>
      </c>
      <c r="FK197" s="1">
        <v>32055</v>
      </c>
      <c r="FL197" s="80">
        <v>0.1035174200005719</v>
      </c>
      <c r="FM197" s="80">
        <v>9.9119999998947605E-2</v>
      </c>
    </row>
    <row r="198" spans="161:169" x14ac:dyDescent="0.2">
      <c r="FE198" s="1">
        <v>0</v>
      </c>
      <c r="FI198" s="1">
        <v>0</v>
      </c>
      <c r="FJ198" s="80">
        <v>5441.59</v>
      </c>
      <c r="FK198" s="1">
        <v>32555</v>
      </c>
      <c r="FL198" s="80">
        <v>28316.285821706071</v>
      </c>
      <c r="FM198" s="80">
        <v>27113.41</v>
      </c>
    </row>
    <row r="199" spans="161:169" x14ac:dyDescent="0.2">
      <c r="FE199" s="1">
        <v>0</v>
      </c>
      <c r="FI199" s="1">
        <v>0</v>
      </c>
      <c r="FJ199" s="80">
        <v>5441.59</v>
      </c>
      <c r="FK199" s="1">
        <v>26555</v>
      </c>
      <c r="FL199" s="80">
        <v>22050.098170273206</v>
      </c>
      <c r="FM199" s="80">
        <v>21113.41</v>
      </c>
    </row>
    <row r="200" spans="161:169" x14ac:dyDescent="0.2">
      <c r="FE200" s="1">
        <v>0</v>
      </c>
      <c r="FI200" s="1">
        <v>0</v>
      </c>
      <c r="FJ200" s="80">
        <v>5441.59</v>
      </c>
      <c r="FK200" s="1">
        <v>27305</v>
      </c>
      <c r="FL200" s="80">
        <v>22833.371626702312</v>
      </c>
      <c r="FM200" s="80">
        <v>21863.41</v>
      </c>
    </row>
    <row r="202" spans="161:169" x14ac:dyDescent="0.2">
      <c r="FE202" s="1">
        <v>0</v>
      </c>
      <c r="FI202" s="1">
        <v>0</v>
      </c>
      <c r="FJ202" s="80">
        <v>33650.129199999996</v>
      </c>
      <c r="FK202" s="1">
        <v>33650</v>
      </c>
      <c r="FL202" s="80">
        <v>-0.13493190742689495</v>
      </c>
      <c r="FM202" s="80">
        <v>-0.12919999999940046</v>
      </c>
    </row>
    <row r="203" spans="161:169" x14ac:dyDescent="0.2">
      <c r="FE203" s="1">
        <v>0</v>
      </c>
      <c r="FI203" s="1">
        <v>0</v>
      </c>
      <c r="FJ203" s="80">
        <v>25625.15408</v>
      </c>
      <c r="FK203" s="1">
        <v>25955</v>
      </c>
      <c r="FL203" s="80">
        <v>344.47940512991869</v>
      </c>
      <c r="FM203" s="80">
        <v>329.84591999999975</v>
      </c>
    </row>
    <row r="204" spans="161:169" x14ac:dyDescent="0.2">
      <c r="FE204" s="1">
        <v>0</v>
      </c>
      <c r="FI204" s="1">
        <v>0</v>
      </c>
      <c r="FJ204" s="80">
        <v>33920.149839999998</v>
      </c>
      <c r="FK204" s="1">
        <v>34250</v>
      </c>
      <c r="FL204" s="80">
        <v>344.48383323585733</v>
      </c>
      <c r="FM204" s="80">
        <v>329.85015999999814</v>
      </c>
    </row>
    <row r="205" spans="161:169" x14ac:dyDescent="0.2">
      <c r="FE205" s="1">
        <v>0</v>
      </c>
      <c r="FI205" s="1">
        <v>0</v>
      </c>
      <c r="FJ205" s="80">
        <v>31055.25</v>
      </c>
      <c r="FK205" s="1">
        <v>31055</v>
      </c>
      <c r="FL205" s="80">
        <v>-0.26109115214303619</v>
      </c>
      <c r="FM205" s="80">
        <v>-0.25</v>
      </c>
    </row>
    <row r="206" spans="161:169" x14ac:dyDescent="0.2">
      <c r="FE206" s="1">
        <v>0</v>
      </c>
      <c r="FI206" s="1">
        <v>0</v>
      </c>
      <c r="FJ206" s="80">
        <v>5441.59</v>
      </c>
      <c r="FK206" s="1">
        <v>38750</v>
      </c>
      <c r="FL206" s="80">
        <v>34786.124571810506</v>
      </c>
      <c r="FM206" s="80">
        <v>33308.409999999996</v>
      </c>
    </row>
    <row r="207" spans="161:169" x14ac:dyDescent="0.2">
      <c r="FE207" s="1">
        <v>0</v>
      </c>
      <c r="FI207" s="1">
        <v>0</v>
      </c>
      <c r="FJ207" s="80">
        <v>22625.243920000001</v>
      </c>
      <c r="FK207" s="1">
        <v>22955</v>
      </c>
      <c r="FL207" s="80">
        <v>344.38557941348398</v>
      </c>
      <c r="FM207" s="80">
        <v>329.7560799999992</v>
      </c>
    </row>
    <row r="208" spans="161:169" x14ac:dyDescent="0.2">
      <c r="FE208" s="1">
        <v>0</v>
      </c>
      <c r="FI208" s="1">
        <v>0</v>
      </c>
      <c r="FJ208" s="80">
        <v>22650.139439999999</v>
      </c>
      <c r="FK208" s="1">
        <v>22650</v>
      </c>
      <c r="FL208" s="80">
        <v>-0.14562620101826884</v>
      </c>
      <c r="FM208" s="80">
        <v>-0.1394399999990128</v>
      </c>
    </row>
    <row r="209" spans="161:169" x14ac:dyDescent="0.2">
      <c r="FE209" s="1">
        <v>0</v>
      </c>
      <c r="FI209" s="1">
        <v>0</v>
      </c>
      <c r="FJ209" s="80">
        <v>26255.202239999999</v>
      </c>
      <c r="FK209" s="1">
        <v>26255</v>
      </c>
      <c r="FL209" s="80">
        <v>-0.21121229843628342</v>
      </c>
      <c r="FM209" s="80">
        <v>-0.20223999999871012</v>
      </c>
    </row>
    <row r="210" spans="161:169" x14ac:dyDescent="0.2">
      <c r="FE210" s="1">
        <v>0</v>
      </c>
      <c r="FI210" s="1">
        <v>0</v>
      </c>
      <c r="FJ210" s="80">
        <v>0</v>
      </c>
      <c r="FK210" s="1">
        <v>35000</v>
      </c>
      <c r="FL210" s="80">
        <v>0</v>
      </c>
      <c r="FM210" s="80">
        <v>0</v>
      </c>
    </row>
    <row r="211" spans="161:169" x14ac:dyDescent="0.2">
      <c r="FE211" s="1">
        <v>0</v>
      </c>
      <c r="FI211" s="1">
        <v>0</v>
      </c>
      <c r="FJ211" s="80">
        <v>33350.425439999999</v>
      </c>
      <c r="FK211" s="1">
        <v>33350</v>
      </c>
      <c r="FL211" s="80">
        <v>-0.44431447906996302</v>
      </c>
      <c r="FM211" s="80">
        <v>-0.42543999999907101</v>
      </c>
    </row>
    <row r="212" spans="161:169" x14ac:dyDescent="0.2">
      <c r="FE212" s="1">
        <v>0</v>
      </c>
      <c r="FI212" s="1">
        <v>0</v>
      </c>
      <c r="FJ212" s="80">
        <v>33524.694080000001</v>
      </c>
      <c r="FK212" s="1">
        <v>33755</v>
      </c>
      <c r="FL212" s="80">
        <v>240.5233519926465</v>
      </c>
      <c r="FM212" s="80">
        <v>230.30591999999888</v>
      </c>
    </row>
    <row r="213" spans="161:169" x14ac:dyDescent="0.2">
      <c r="FE213" s="1">
        <v>0</v>
      </c>
      <c r="FI213" s="1">
        <v>0</v>
      </c>
      <c r="FJ213" s="80">
        <v>5441.59</v>
      </c>
      <c r="FK213" s="1">
        <v>38750</v>
      </c>
      <c r="FL213" s="80">
        <v>34786.124571810506</v>
      </c>
      <c r="FM213" s="80">
        <v>33308.409999999996</v>
      </c>
    </row>
    <row r="214" spans="161:169" x14ac:dyDescent="0.2">
      <c r="FE214" s="1">
        <v>0</v>
      </c>
      <c r="FI214" s="1">
        <v>0</v>
      </c>
      <c r="FJ214" s="80">
        <v>32225.33944</v>
      </c>
      <c r="FK214" s="1">
        <v>32225</v>
      </c>
      <c r="FL214" s="80">
        <v>-0.35449912273345768</v>
      </c>
      <c r="FM214" s="80">
        <v>-0.33943999999974039</v>
      </c>
    </row>
    <row r="215" spans="161:169" x14ac:dyDescent="0.2">
      <c r="FE215" s="1">
        <v>0</v>
      </c>
      <c r="FI215" s="1">
        <v>0</v>
      </c>
      <c r="FJ215" s="80">
        <v>35749.970560000002</v>
      </c>
      <c r="FK215" s="1">
        <v>35750</v>
      </c>
      <c r="FL215" s="80">
        <v>3.074609407472504E-2</v>
      </c>
      <c r="FM215" s="80">
        <v>2.9439999998430721E-2</v>
      </c>
    </row>
    <row r="216" spans="161:169" x14ac:dyDescent="0.2">
      <c r="FE216" s="1">
        <v>0</v>
      </c>
      <c r="FI216" s="1">
        <v>0</v>
      </c>
      <c r="FJ216" s="80">
        <v>30650.21904</v>
      </c>
      <c r="FK216" s="1">
        <v>30650</v>
      </c>
      <c r="FL216" s="80">
        <v>-0.22875762386159029</v>
      </c>
      <c r="FM216" s="80">
        <v>-0.21903999999994994</v>
      </c>
    </row>
    <row r="217" spans="161:169" x14ac:dyDescent="0.2">
      <c r="FE217" s="1">
        <v>0</v>
      </c>
      <c r="FI217" s="1">
        <v>0</v>
      </c>
      <c r="FJ217" s="80">
        <v>0</v>
      </c>
      <c r="FK217" s="1">
        <v>34250</v>
      </c>
      <c r="FL217" s="80">
        <v>0</v>
      </c>
      <c r="FM217" s="80">
        <v>0</v>
      </c>
    </row>
    <row r="218" spans="161:169" x14ac:dyDescent="0.2">
      <c r="FE218" s="1">
        <v>0</v>
      </c>
      <c r="FI218" s="1">
        <v>0</v>
      </c>
      <c r="FJ218" s="80">
        <v>33650.129199999996</v>
      </c>
      <c r="FK218" s="1">
        <v>33650</v>
      </c>
      <c r="FL218" s="80">
        <v>-0.13493190742689495</v>
      </c>
      <c r="FM218" s="80">
        <v>-0.12919999999940046</v>
      </c>
    </row>
    <row r="219" spans="161:169" x14ac:dyDescent="0.2">
      <c r="FE219" s="1">
        <v>0</v>
      </c>
      <c r="FI219" s="1">
        <v>0</v>
      </c>
      <c r="FJ219" s="80">
        <v>5441.59</v>
      </c>
      <c r="FK219" s="1">
        <v>38750</v>
      </c>
      <c r="FL219" s="80">
        <v>34786.124571810506</v>
      </c>
      <c r="FM219" s="80">
        <v>33308.409999999996</v>
      </c>
    </row>
    <row r="220" spans="161:169" x14ac:dyDescent="0.2">
      <c r="FE220" s="1">
        <v>0</v>
      </c>
      <c r="FI220" s="1">
        <v>0</v>
      </c>
      <c r="FJ220" s="80">
        <v>26719.599440000002</v>
      </c>
      <c r="FK220" s="1">
        <v>27050</v>
      </c>
      <c r="FL220" s="80">
        <v>345.05865151641552</v>
      </c>
      <c r="FM220" s="80">
        <v>330.40055999999822</v>
      </c>
    </row>
    <row r="221" spans="161:169" x14ac:dyDescent="0.2">
      <c r="FE221" s="1">
        <v>0</v>
      </c>
      <c r="FI221" s="1">
        <v>0</v>
      </c>
      <c r="FJ221" s="80">
        <v>26604.697039999999</v>
      </c>
      <c r="FK221" s="1">
        <v>26605</v>
      </c>
      <c r="FL221" s="80">
        <v>0.31640070181395069</v>
      </c>
      <c r="FM221" s="80">
        <v>0.30296000000089407</v>
      </c>
    </row>
    <row r="222" spans="161:169" x14ac:dyDescent="0.2">
      <c r="FE222" s="1">
        <v>0</v>
      </c>
      <c r="FI222" s="1">
        <v>0</v>
      </c>
      <c r="FJ222" s="80">
        <v>5441.59</v>
      </c>
      <c r="FK222" s="1">
        <v>35000</v>
      </c>
      <c r="FL222" s="80">
        <v>30869.757289664965</v>
      </c>
      <c r="FM222" s="80">
        <v>29558.41</v>
      </c>
    </row>
    <row r="223" spans="161:169" x14ac:dyDescent="0.2">
      <c r="FE223" s="1">
        <v>0</v>
      </c>
      <c r="FI223" s="1">
        <v>0</v>
      </c>
      <c r="FJ223" s="80">
        <v>31669.97784</v>
      </c>
      <c r="FK223" s="1">
        <v>32000</v>
      </c>
      <c r="FL223" s="80">
        <v>344.66346394853417</v>
      </c>
      <c r="FM223" s="80">
        <v>330.02216000000044</v>
      </c>
    </row>
    <row r="224" spans="161:169" x14ac:dyDescent="0.2">
      <c r="FE224" s="1">
        <v>0</v>
      </c>
      <c r="FI224" s="1">
        <v>0</v>
      </c>
      <c r="FJ224" s="80">
        <v>30474.992880000002</v>
      </c>
      <c r="FK224" s="1">
        <v>30805</v>
      </c>
      <c r="FL224" s="80">
        <v>344.64775670481907</v>
      </c>
      <c r="FM224" s="80">
        <v>330.00711999999839</v>
      </c>
    </row>
    <row r="225" spans="161:169" x14ac:dyDescent="0.2">
      <c r="FE225" s="1">
        <v>0</v>
      </c>
      <c r="FI225" s="1">
        <v>0</v>
      </c>
      <c r="FJ225" s="80">
        <v>26255.202239999999</v>
      </c>
      <c r="FK225" s="1">
        <v>26255</v>
      </c>
      <c r="FL225" s="80">
        <v>-0.21121229843628342</v>
      </c>
      <c r="FM225" s="80">
        <v>-0.20223999999871012</v>
      </c>
    </row>
    <row r="226" spans="161:169" x14ac:dyDescent="0.2">
      <c r="FE226" s="1">
        <v>0</v>
      </c>
      <c r="FI226" s="1">
        <v>0</v>
      </c>
      <c r="FJ226" s="80">
        <v>0</v>
      </c>
      <c r="FK226" s="1">
        <v>30650</v>
      </c>
      <c r="FL226" s="80">
        <v>0</v>
      </c>
      <c r="FM226" s="80">
        <v>0</v>
      </c>
    </row>
    <row r="227" spans="161:169" x14ac:dyDescent="0.2">
      <c r="FE227" s="1">
        <v>0</v>
      </c>
      <c r="FI227" s="1">
        <v>0</v>
      </c>
      <c r="FJ227" s="80">
        <v>0</v>
      </c>
      <c r="FK227" s="1">
        <v>33650</v>
      </c>
      <c r="FL227" s="80">
        <v>0</v>
      </c>
      <c r="FM227" s="80">
        <v>0</v>
      </c>
    </row>
    <row r="228" spans="161:169" x14ac:dyDescent="0.2">
      <c r="FE228" s="1">
        <v>0</v>
      </c>
      <c r="FI228" s="1">
        <v>0</v>
      </c>
      <c r="FJ228" s="80">
        <v>28055.339840000001</v>
      </c>
      <c r="FK228" s="1">
        <v>28055</v>
      </c>
      <c r="FL228" s="80">
        <v>-0.35491686857773153</v>
      </c>
      <c r="FM228" s="80">
        <v>-0.33984000000054948</v>
      </c>
    </row>
    <row r="229" spans="161:169" x14ac:dyDescent="0.2">
      <c r="FE229" s="1">
        <v>0</v>
      </c>
      <c r="FI229" s="1">
        <v>0</v>
      </c>
      <c r="FJ229" s="80">
        <v>5441.59</v>
      </c>
      <c r="FK229" s="1">
        <v>25955</v>
      </c>
      <c r="FL229" s="80">
        <v>21423.479405129918</v>
      </c>
      <c r="FM229" s="80">
        <v>20513.41</v>
      </c>
    </row>
    <row r="230" spans="161:169" x14ac:dyDescent="0.2">
      <c r="FE230" s="1">
        <v>0</v>
      </c>
      <c r="FI230" s="1">
        <v>0</v>
      </c>
      <c r="FJ230" s="80">
        <v>32005.109840000001</v>
      </c>
      <c r="FK230" s="1">
        <v>32005</v>
      </c>
      <c r="FL230" s="80">
        <v>-0.11471300860659416</v>
      </c>
      <c r="FM230" s="80">
        <v>-0.10984000000098604</v>
      </c>
    </row>
    <row r="231" spans="161:169" x14ac:dyDescent="0.2">
      <c r="FE231" s="1">
        <v>0</v>
      </c>
      <c r="FI231" s="1">
        <v>0</v>
      </c>
      <c r="FJ231" s="80">
        <v>38749.880720000001</v>
      </c>
      <c r="FK231" s="1">
        <v>38750</v>
      </c>
      <c r="FL231" s="80">
        <v>0.12457181050942037</v>
      </c>
      <c r="FM231" s="80">
        <v>0.1192799999989802</v>
      </c>
    </row>
    <row r="232" spans="161:169" x14ac:dyDescent="0.2">
      <c r="FE232" s="1">
        <v>0</v>
      </c>
      <c r="FI232" s="1">
        <v>0</v>
      </c>
      <c r="FJ232" s="80">
        <v>27605.30544</v>
      </c>
      <c r="FK232" s="1">
        <v>27605</v>
      </c>
      <c r="FL232" s="80">
        <v>-0.3189907260423695</v>
      </c>
      <c r="FM232" s="80">
        <v>-0.30544000000008964</v>
      </c>
    </row>
    <row r="233" spans="161:169" x14ac:dyDescent="0.2">
      <c r="FE233" s="1">
        <v>0</v>
      </c>
      <c r="FI233" s="1">
        <v>0</v>
      </c>
      <c r="FJ233" s="80">
        <v>36499.708719999995</v>
      </c>
      <c r="FK233" s="1">
        <v>36500</v>
      </c>
      <c r="FL233" s="80">
        <v>0.30420252318623048</v>
      </c>
      <c r="FM233" s="80">
        <v>0.2912800000012794</v>
      </c>
    </row>
    <row r="234" spans="161:169" x14ac:dyDescent="0.2">
      <c r="FE234" s="1">
        <v>0</v>
      </c>
      <c r="FI234" s="1">
        <v>0</v>
      </c>
      <c r="FJ234" s="80">
        <v>27155.27104</v>
      </c>
      <c r="FK234" s="1">
        <v>27155</v>
      </c>
      <c r="FL234" s="80">
        <v>-0.28306458350700747</v>
      </c>
      <c r="FM234" s="80">
        <v>-0.2710399999996298</v>
      </c>
    </row>
    <row r="235" spans="161:169" x14ac:dyDescent="0.2">
      <c r="FE235" s="1">
        <v>0</v>
      </c>
      <c r="FI235" s="1">
        <v>0</v>
      </c>
      <c r="FJ235" s="80">
        <v>28055.339840000001</v>
      </c>
      <c r="FK235" s="1">
        <v>28055</v>
      </c>
      <c r="FL235" s="80">
        <v>-0.35491686857773153</v>
      </c>
      <c r="FM235" s="80">
        <v>-0.33984000000054948</v>
      </c>
    </row>
    <row r="236" spans="161:169" x14ac:dyDescent="0.2">
      <c r="FE236" s="1">
        <v>0</v>
      </c>
      <c r="FI236" s="1">
        <v>0</v>
      </c>
      <c r="FJ236" s="80">
        <v>30474.992880000002</v>
      </c>
      <c r="FK236" s="1">
        <v>30805</v>
      </c>
      <c r="FL236" s="80">
        <v>344.64775670481907</v>
      </c>
      <c r="FM236" s="80">
        <v>330.00711999999839</v>
      </c>
    </row>
    <row r="237" spans="161:169" x14ac:dyDescent="0.2">
      <c r="FE237" s="1">
        <v>0</v>
      </c>
      <c r="FI237" s="1">
        <v>0</v>
      </c>
      <c r="FJ237" s="80">
        <v>0</v>
      </c>
      <c r="FK237" s="1">
        <v>36500</v>
      </c>
      <c r="FL237" s="80">
        <v>0</v>
      </c>
      <c r="FM237" s="80">
        <v>0</v>
      </c>
    </row>
    <row r="238" spans="161:169" x14ac:dyDescent="0.2">
      <c r="FE238" s="1">
        <v>0</v>
      </c>
      <c r="FI238" s="1">
        <v>0</v>
      </c>
      <c r="FJ238" s="80">
        <v>0</v>
      </c>
      <c r="FK238" s="1">
        <v>35750</v>
      </c>
      <c r="FL238" s="80">
        <v>0</v>
      </c>
      <c r="FM238" s="80">
        <v>0</v>
      </c>
    </row>
    <row r="239" spans="161:169" x14ac:dyDescent="0.2">
      <c r="FE239" s="1">
        <v>0</v>
      </c>
      <c r="FI239" s="1">
        <v>0</v>
      </c>
      <c r="FJ239" s="80">
        <v>0</v>
      </c>
      <c r="FK239" s="1">
        <v>31850</v>
      </c>
      <c r="FL239" s="80">
        <v>0</v>
      </c>
      <c r="FM239" s="80">
        <v>0</v>
      </c>
    </row>
    <row r="240" spans="161:169" x14ac:dyDescent="0.2">
      <c r="FE240" s="1">
        <v>0</v>
      </c>
      <c r="FI240" s="1">
        <v>0</v>
      </c>
      <c r="FJ240" s="80">
        <v>38749.880720000001</v>
      </c>
      <c r="FK240" s="1">
        <v>38750</v>
      </c>
      <c r="FL240" s="80">
        <v>0.12457181050942037</v>
      </c>
      <c r="FM240" s="80">
        <v>0.1192799999989802</v>
      </c>
    </row>
    <row r="241" spans="161:169" x14ac:dyDescent="0.2">
      <c r="FE241" s="1">
        <v>0</v>
      </c>
      <c r="FI241" s="1">
        <v>0</v>
      </c>
      <c r="FJ241" s="80">
        <v>33650.129199999996</v>
      </c>
      <c r="FK241" s="1">
        <v>33650</v>
      </c>
      <c r="FL241" s="80">
        <v>-0.13493190742689495</v>
      </c>
      <c r="FM241" s="80">
        <v>-0.12919999999940046</v>
      </c>
    </row>
    <row r="242" spans="161:169" x14ac:dyDescent="0.2">
      <c r="FE242" s="1">
        <v>0</v>
      </c>
      <c r="FI242" s="1">
        <v>0</v>
      </c>
      <c r="FJ242" s="80">
        <v>33650.129199999996</v>
      </c>
      <c r="FK242" s="1">
        <v>33650</v>
      </c>
      <c r="FL242" s="80">
        <v>-0.13493190742689495</v>
      </c>
      <c r="FM242" s="80">
        <v>-0.12919999999940046</v>
      </c>
    </row>
    <row r="243" spans="161:169" x14ac:dyDescent="0.2">
      <c r="FE243" s="1">
        <v>0</v>
      </c>
      <c r="FI243" s="1">
        <v>0</v>
      </c>
      <c r="FJ243" s="80">
        <v>27149.52592</v>
      </c>
      <c r="FK243" s="1">
        <v>33650</v>
      </c>
      <c r="FL243" s="80">
        <v>0.49511237363183858</v>
      </c>
      <c r="FM243" s="80">
        <v>0.47407999999995809</v>
      </c>
    </row>
    <row r="244" spans="161:169" x14ac:dyDescent="0.2">
      <c r="FE244" s="1">
        <v>0</v>
      </c>
      <c r="FI244" s="1">
        <v>0</v>
      </c>
      <c r="FJ244" s="80">
        <v>0</v>
      </c>
      <c r="FK244" s="1">
        <v>34850</v>
      </c>
      <c r="FL244" s="80">
        <v>0</v>
      </c>
      <c r="FM244" s="80">
        <v>0</v>
      </c>
    </row>
    <row r="245" spans="161:169" x14ac:dyDescent="0.2">
      <c r="FE245" s="1">
        <v>0</v>
      </c>
      <c r="FI245" s="1">
        <v>0</v>
      </c>
      <c r="FJ245" s="80">
        <v>33650.129199999996</v>
      </c>
      <c r="FK245" s="1">
        <v>33650</v>
      </c>
      <c r="FL245" s="80">
        <v>-0.13493190742689495</v>
      </c>
      <c r="FM245" s="80">
        <v>-0.12919999999940046</v>
      </c>
    </row>
    <row r="246" spans="161:169" x14ac:dyDescent="0.2">
      <c r="FE246" s="1">
        <v>0</v>
      </c>
      <c r="FI246" s="1">
        <v>0</v>
      </c>
      <c r="FJ246" s="80">
        <v>38749.880720000001</v>
      </c>
      <c r="FK246" s="1">
        <v>38750</v>
      </c>
      <c r="FL246" s="80">
        <v>0.12457181050942037</v>
      </c>
      <c r="FM246" s="80">
        <v>0.1192799999989802</v>
      </c>
    </row>
    <row r="247" spans="161:169" x14ac:dyDescent="0.2">
      <c r="FE247" s="1">
        <v>0</v>
      </c>
      <c r="FI247" s="1">
        <v>0</v>
      </c>
      <c r="FJ247" s="80">
        <v>33920.149839999998</v>
      </c>
      <c r="FK247" s="1">
        <v>34250</v>
      </c>
      <c r="FL247" s="80">
        <v>344.48383323585733</v>
      </c>
      <c r="FM247" s="80">
        <v>329.85015999999814</v>
      </c>
    </row>
    <row r="248" spans="161:169" x14ac:dyDescent="0.2">
      <c r="FE248" s="1">
        <v>0</v>
      </c>
      <c r="FI248" s="1">
        <v>0</v>
      </c>
      <c r="FJ248" s="80">
        <v>25954.540959999998</v>
      </c>
      <c r="FK248" s="1">
        <v>25955</v>
      </c>
      <c r="FL248" s="80">
        <v>0.47940512992057671</v>
      </c>
      <c r="FM248" s="80">
        <v>0.45904000000155065</v>
      </c>
    </row>
    <row r="249" spans="161:169" x14ac:dyDescent="0.2">
      <c r="FE249" s="1">
        <v>0</v>
      </c>
      <c r="FI249" s="1">
        <v>0</v>
      </c>
      <c r="FJ249" s="80">
        <v>27225.170000000002</v>
      </c>
      <c r="FK249" s="1">
        <v>27455</v>
      </c>
      <c r="FL249" s="80">
        <v>240.02631798813402</v>
      </c>
      <c r="FM249" s="80">
        <v>229.82999999999811</v>
      </c>
    </row>
    <row r="250" spans="161:169" x14ac:dyDescent="0.2">
      <c r="FE250" s="1">
        <v>0</v>
      </c>
      <c r="FI250" s="1">
        <v>0</v>
      </c>
      <c r="FJ250" s="80">
        <v>33650.129199999996</v>
      </c>
      <c r="FK250" s="1">
        <v>33650</v>
      </c>
      <c r="FL250" s="80">
        <v>-0.13493190742689495</v>
      </c>
      <c r="FM250" s="80">
        <v>-0.12919999999940046</v>
      </c>
    </row>
    <row r="251" spans="161:169" x14ac:dyDescent="0.2">
      <c r="FE251" s="1">
        <v>0</v>
      </c>
      <c r="FI251" s="1">
        <v>0</v>
      </c>
      <c r="FJ251" s="80">
        <v>27304.64416</v>
      </c>
      <c r="FK251" s="1">
        <v>27305</v>
      </c>
      <c r="FL251" s="80">
        <v>0.37162670231449069</v>
      </c>
      <c r="FM251" s="80">
        <v>0.35584000000017113</v>
      </c>
    </row>
    <row r="252" spans="161:169" x14ac:dyDescent="0.2">
      <c r="FE252" s="1">
        <v>0</v>
      </c>
      <c r="FI252" s="1">
        <v>0</v>
      </c>
      <c r="FJ252" s="80">
        <v>25355.133440000001</v>
      </c>
      <c r="FK252" s="1">
        <v>25355</v>
      </c>
      <c r="FL252" s="80">
        <v>-0.13936001336935877</v>
      </c>
      <c r="FM252" s="80">
        <v>-0.13344000000142842</v>
      </c>
    </row>
    <row r="253" spans="161:169" x14ac:dyDescent="0.2">
      <c r="FE253" s="1">
        <v>0</v>
      </c>
      <c r="FI253" s="1">
        <v>0</v>
      </c>
      <c r="FJ253" s="80">
        <v>38419.536319999999</v>
      </c>
      <c r="FK253" s="1">
        <v>38750</v>
      </c>
      <c r="FL253" s="80">
        <v>345.12457181050365</v>
      </c>
      <c r="FM253" s="80">
        <v>330.46367999999347</v>
      </c>
    </row>
    <row r="254" spans="161:169" x14ac:dyDescent="0.2">
      <c r="FE254" s="1">
        <v>0</v>
      </c>
      <c r="FI254" s="1">
        <v>0</v>
      </c>
      <c r="FJ254" s="80">
        <v>33650.129199999996</v>
      </c>
      <c r="FK254" s="1">
        <v>33650</v>
      </c>
      <c r="FL254" s="80">
        <v>-0.13493190742689495</v>
      </c>
      <c r="FM254" s="80">
        <v>-0.12919999999940046</v>
      </c>
    </row>
    <row r="255" spans="161:169" x14ac:dyDescent="0.2">
      <c r="FE255" s="1">
        <v>0</v>
      </c>
      <c r="FI255" s="1">
        <v>0</v>
      </c>
      <c r="FJ255" s="80">
        <v>5441.59</v>
      </c>
      <c r="FK255" s="1">
        <v>30650</v>
      </c>
      <c r="FL255" s="80">
        <v>26326.771242376137</v>
      </c>
      <c r="FM255" s="80">
        <v>25208.41</v>
      </c>
    </row>
    <row r="256" spans="161:169" x14ac:dyDescent="0.2">
      <c r="FE256" s="1">
        <v>0</v>
      </c>
      <c r="FI256" s="1">
        <v>0</v>
      </c>
      <c r="FJ256" s="80">
        <v>31055.25</v>
      </c>
      <c r="FK256" s="1">
        <v>31055</v>
      </c>
      <c r="FL256" s="80">
        <v>-0.26109115214303619</v>
      </c>
      <c r="FM256" s="80">
        <v>-0.25</v>
      </c>
    </row>
    <row r="257" spans="161:169" x14ac:dyDescent="0.2">
      <c r="FE257" s="1">
        <v>0</v>
      </c>
      <c r="FI257" s="1">
        <v>0</v>
      </c>
      <c r="FJ257" s="80">
        <v>0</v>
      </c>
      <c r="FK257" s="1">
        <v>38750</v>
      </c>
      <c r="FL257" s="80">
        <v>0</v>
      </c>
      <c r="FM257" s="80">
        <v>0</v>
      </c>
    </row>
    <row r="258" spans="161:169" x14ac:dyDescent="0.2">
      <c r="FE258" s="1">
        <v>0</v>
      </c>
      <c r="FI258" s="1">
        <v>0</v>
      </c>
      <c r="FJ258" s="80">
        <v>5441.59</v>
      </c>
      <c r="FK258" s="1">
        <v>32750</v>
      </c>
      <c r="FL258" s="80">
        <v>28519.93692037764</v>
      </c>
      <c r="FM258" s="80">
        <v>27308.41</v>
      </c>
    </row>
    <row r="259" spans="161:169" x14ac:dyDescent="0.2">
      <c r="FE259" s="1">
        <v>0</v>
      </c>
      <c r="FI259" s="1">
        <v>0</v>
      </c>
      <c r="FJ259" s="80">
        <v>0</v>
      </c>
      <c r="FK259" s="1">
        <v>35750</v>
      </c>
      <c r="FL259" s="80">
        <v>0</v>
      </c>
      <c r="FM259" s="80">
        <v>0</v>
      </c>
    </row>
    <row r="260" spans="161:169" x14ac:dyDescent="0.2">
      <c r="FE260" s="1">
        <v>0</v>
      </c>
      <c r="FI260" s="1">
        <v>0</v>
      </c>
      <c r="FJ260" s="80">
        <v>28055.339840000001</v>
      </c>
      <c r="FK260" s="1">
        <v>28055</v>
      </c>
      <c r="FL260" s="80">
        <v>-0.35491686857773153</v>
      </c>
      <c r="FM260" s="80">
        <v>-0.33984000000054948</v>
      </c>
    </row>
    <row r="261" spans="161:169" x14ac:dyDescent="0.2">
      <c r="FE261" s="1">
        <v>0</v>
      </c>
      <c r="FI261" s="1">
        <v>0</v>
      </c>
      <c r="FJ261" s="80">
        <v>32054.900880000001</v>
      </c>
      <c r="FK261" s="1">
        <v>34250</v>
      </c>
      <c r="FL261" s="80">
        <v>2292.4838332358581</v>
      </c>
      <c r="FM261" s="80">
        <v>2195.0991199999989</v>
      </c>
    </row>
    <row r="262" spans="161:169" x14ac:dyDescent="0.2">
      <c r="FE262" s="1">
        <v>0</v>
      </c>
      <c r="FI262" s="1">
        <v>0</v>
      </c>
      <c r="FJ262" s="80">
        <v>25954.630799999999</v>
      </c>
      <c r="FK262" s="1">
        <v>25955</v>
      </c>
      <c r="FL262" s="80">
        <v>0.38557941348588137</v>
      </c>
      <c r="FM262" s="80">
        <v>0.36920000000100117</v>
      </c>
    </row>
    <row r="264" spans="161:169" x14ac:dyDescent="0.2">
      <c r="FE264" s="1">
        <v>0</v>
      </c>
      <c r="FI264" s="1">
        <v>0</v>
      </c>
      <c r="FJ264" s="80">
        <v>31055.25</v>
      </c>
      <c r="FK264" s="1">
        <v>27305</v>
      </c>
      <c r="FL264" s="80">
        <v>-3916.6283732976854</v>
      </c>
      <c r="FM264" s="80">
        <v>-3750.25</v>
      </c>
    </row>
    <row r="265" spans="161:169" x14ac:dyDescent="0.2">
      <c r="FE265" s="1">
        <v>0</v>
      </c>
      <c r="FI265" s="1">
        <v>0</v>
      </c>
      <c r="FJ265" s="80">
        <v>0</v>
      </c>
      <c r="FK265" s="1">
        <v>36500</v>
      </c>
      <c r="FL265" s="80">
        <v>0</v>
      </c>
      <c r="FM265" s="80">
        <v>0</v>
      </c>
    </row>
    <row r="266" spans="161:169" x14ac:dyDescent="0.2">
      <c r="FE266" s="1">
        <v>0</v>
      </c>
      <c r="FI266" s="1">
        <v>0</v>
      </c>
      <c r="FJ266" s="80">
        <v>32149.695360000002</v>
      </c>
      <c r="FK266" s="1">
        <v>32150</v>
      </c>
      <c r="FL266" s="80">
        <v>0.31815523435382181</v>
      </c>
      <c r="FM266" s="80">
        <v>0.30463999999847147</v>
      </c>
    </row>
    <row r="267" spans="161:169" x14ac:dyDescent="0.2">
      <c r="FE267" s="1">
        <v>0</v>
      </c>
      <c r="FI267" s="1">
        <v>0</v>
      </c>
      <c r="FJ267" s="80">
        <v>26554.905999999999</v>
      </c>
      <c r="FK267" s="1">
        <v>26555</v>
      </c>
      <c r="FL267" s="80">
        <v>9.8170273206784633E-2</v>
      </c>
      <c r="FM267" s="80">
        <v>9.4000000000960426E-2</v>
      </c>
    </row>
    <row r="268" spans="161:169" x14ac:dyDescent="0.2">
      <c r="FE268" s="1">
        <v>0</v>
      </c>
      <c r="FI268" s="1">
        <v>0</v>
      </c>
      <c r="FJ268" s="80">
        <v>31055.25</v>
      </c>
      <c r="FK268" s="1">
        <v>31055</v>
      </c>
      <c r="FL268" s="80">
        <v>-0.26109115214303619</v>
      </c>
      <c r="FM268" s="80">
        <v>-0.25</v>
      </c>
    </row>
    <row r="269" spans="161:169" x14ac:dyDescent="0.2">
      <c r="FE269" s="1">
        <v>0</v>
      </c>
      <c r="FI269" s="1">
        <v>0</v>
      </c>
      <c r="FJ269" s="80">
        <v>35749.970560000002</v>
      </c>
      <c r="FK269" s="1">
        <v>35750</v>
      </c>
      <c r="FL269" s="80">
        <v>3.074609407472504E-2</v>
      </c>
      <c r="FM269" s="80">
        <v>2.9439999998430721E-2</v>
      </c>
    </row>
    <row r="270" spans="161:169" x14ac:dyDescent="0.2">
      <c r="FE270" s="1">
        <v>0</v>
      </c>
      <c r="FI270" s="1">
        <v>0</v>
      </c>
      <c r="FJ270" s="80">
        <v>28805.078000000001</v>
      </c>
      <c r="FK270" s="1">
        <v>28805</v>
      </c>
      <c r="FL270" s="80">
        <v>-8.1460439470025459E-2</v>
      </c>
      <c r="FM270" s="80">
        <v>-7.8000000001338776E-2</v>
      </c>
    </row>
    <row r="271" spans="161:169" x14ac:dyDescent="0.2">
      <c r="FE271" s="1">
        <v>0</v>
      </c>
      <c r="FI271" s="1">
        <v>0</v>
      </c>
      <c r="FJ271" s="80">
        <v>25954.630799999999</v>
      </c>
      <c r="FK271" s="1">
        <v>25955</v>
      </c>
      <c r="FL271" s="80">
        <v>0.38557941348588137</v>
      </c>
      <c r="FM271" s="80">
        <v>0.36920000000100117</v>
      </c>
    </row>
    <row r="272" spans="161:169" x14ac:dyDescent="0.2">
      <c r="FE272" s="1">
        <v>0</v>
      </c>
      <c r="FI272" s="1">
        <v>0</v>
      </c>
      <c r="FJ272" s="80">
        <v>33650.129199999996</v>
      </c>
      <c r="FK272" s="1">
        <v>33650</v>
      </c>
      <c r="FL272" s="80">
        <v>-0.13493190742689495</v>
      </c>
      <c r="FM272" s="80">
        <v>-0.12919999999940046</v>
      </c>
    </row>
    <row r="273" spans="161:169" x14ac:dyDescent="0.2">
      <c r="FE273" s="1">
        <v>0</v>
      </c>
      <c r="FI273" s="1">
        <v>0</v>
      </c>
      <c r="FJ273" s="80">
        <v>25954.540959999998</v>
      </c>
      <c r="FK273" s="1">
        <v>25955</v>
      </c>
      <c r="FL273" s="80">
        <v>0.47940512992057671</v>
      </c>
      <c r="FM273" s="80">
        <v>0.45904000000155065</v>
      </c>
    </row>
    <row r="274" spans="161:169" x14ac:dyDescent="0.2">
      <c r="FE274" s="1">
        <v>0</v>
      </c>
      <c r="FI274" s="1">
        <v>0</v>
      </c>
      <c r="FJ274" s="80">
        <v>5441.59</v>
      </c>
      <c r="FK274" s="1">
        <v>31850</v>
      </c>
      <c r="FL274" s="80">
        <v>27580.00877266271</v>
      </c>
      <c r="FM274" s="80">
        <v>26408.41</v>
      </c>
    </row>
    <row r="275" spans="161:169" x14ac:dyDescent="0.2">
      <c r="FE275" s="1">
        <v>0</v>
      </c>
      <c r="FI275" s="1">
        <v>0</v>
      </c>
      <c r="FJ275" s="80">
        <v>38749.880720000001</v>
      </c>
      <c r="FK275" s="1">
        <v>38750</v>
      </c>
      <c r="FL275" s="80">
        <v>0.12457181050942037</v>
      </c>
      <c r="FM275" s="80">
        <v>0.1192799999989802</v>
      </c>
    </row>
    <row r="276" spans="161:169" x14ac:dyDescent="0.2">
      <c r="FE276" s="1">
        <v>0</v>
      </c>
      <c r="FI276" s="1">
        <v>0</v>
      </c>
      <c r="FJ276" s="80">
        <v>0</v>
      </c>
      <c r="FK276" s="1">
        <v>35750</v>
      </c>
      <c r="FL276" s="80">
        <v>0</v>
      </c>
      <c r="FM276" s="80">
        <v>0</v>
      </c>
    </row>
    <row r="277" spans="161:169" x14ac:dyDescent="0.2">
      <c r="FE277" s="1">
        <v>0</v>
      </c>
      <c r="FI277" s="1">
        <v>0</v>
      </c>
      <c r="FJ277" s="80">
        <v>0</v>
      </c>
      <c r="FK277" s="1">
        <v>38750</v>
      </c>
      <c r="FL277" s="80">
        <v>0</v>
      </c>
      <c r="FM277" s="80">
        <v>0</v>
      </c>
    </row>
    <row r="278" spans="161:169" x14ac:dyDescent="0.2">
      <c r="FE278" s="1">
        <v>0</v>
      </c>
      <c r="FI278" s="1">
        <v>0</v>
      </c>
      <c r="FJ278" s="80">
        <v>27304.64416</v>
      </c>
      <c r="FK278" s="1">
        <v>27305</v>
      </c>
      <c r="FL278" s="80">
        <v>0.37162670231449069</v>
      </c>
      <c r="FM278" s="80">
        <v>0.35584000000017113</v>
      </c>
    </row>
    <row r="279" spans="161:169" x14ac:dyDescent="0.2">
      <c r="FE279" s="1">
        <v>0</v>
      </c>
      <c r="FI279" s="1">
        <v>0</v>
      </c>
      <c r="FJ279" s="80">
        <v>0</v>
      </c>
      <c r="FK279" s="1">
        <v>38750</v>
      </c>
      <c r="FL279" s="80">
        <v>0</v>
      </c>
      <c r="FM279" s="80">
        <v>0</v>
      </c>
    </row>
    <row r="280" spans="161:169" x14ac:dyDescent="0.2">
      <c r="FE280" s="1">
        <v>0</v>
      </c>
      <c r="FI280" s="1">
        <v>0</v>
      </c>
      <c r="FJ280" s="80">
        <v>0</v>
      </c>
      <c r="FK280" s="1">
        <v>38750</v>
      </c>
      <c r="FL280" s="80">
        <v>0</v>
      </c>
      <c r="FM280" s="80">
        <v>0</v>
      </c>
    </row>
    <row r="281" spans="161:169" x14ac:dyDescent="0.2">
      <c r="FE281" s="1">
        <v>0</v>
      </c>
      <c r="FI281" s="1">
        <v>0</v>
      </c>
      <c r="FJ281" s="80">
        <v>35749.970560000002</v>
      </c>
      <c r="FK281" s="1">
        <v>35750</v>
      </c>
      <c r="FL281" s="80">
        <v>3.074609407472504E-2</v>
      </c>
      <c r="FM281" s="80">
        <v>2.9439999998430721E-2</v>
      </c>
    </row>
    <row r="282" spans="161:169" x14ac:dyDescent="0.2">
      <c r="FE282" s="1">
        <v>0</v>
      </c>
      <c r="FI282" s="1">
        <v>0</v>
      </c>
      <c r="FJ282" s="80">
        <v>5441.59</v>
      </c>
      <c r="FK282" s="1">
        <v>31850</v>
      </c>
      <c r="FL282" s="80">
        <v>27580.00877266271</v>
      </c>
      <c r="FM282" s="80">
        <v>26408.41</v>
      </c>
    </row>
    <row r="283" spans="161:169" x14ac:dyDescent="0.2">
      <c r="FE283" s="1">
        <v>0</v>
      </c>
      <c r="FI283" s="1">
        <v>0</v>
      </c>
      <c r="FJ283" s="80">
        <v>26554.905999999999</v>
      </c>
      <c r="FK283" s="1">
        <v>26555</v>
      </c>
      <c r="FL283" s="80">
        <v>9.8170273206784633E-2</v>
      </c>
      <c r="FM283" s="80">
        <v>9.4000000000960426E-2</v>
      </c>
    </row>
    <row r="284" spans="161:169" x14ac:dyDescent="0.2">
      <c r="FE284" s="1">
        <v>0</v>
      </c>
      <c r="FI284" s="1">
        <v>0</v>
      </c>
      <c r="FJ284" s="80">
        <v>5441.59</v>
      </c>
      <c r="FK284" s="1">
        <v>33650</v>
      </c>
      <c r="FL284" s="80">
        <v>29459.865068092571</v>
      </c>
      <c r="FM284" s="80">
        <v>28208.41</v>
      </c>
    </row>
    <row r="285" spans="161:169" x14ac:dyDescent="0.2">
      <c r="FE285" s="1">
        <v>0</v>
      </c>
      <c r="FI285" s="1">
        <v>0</v>
      </c>
      <c r="FJ285" s="80">
        <v>0</v>
      </c>
      <c r="FK285" s="1">
        <v>22250</v>
      </c>
      <c r="FL285" s="80">
        <v>0</v>
      </c>
      <c r="FM285" s="80">
        <v>0</v>
      </c>
    </row>
    <row r="286" spans="161:169" x14ac:dyDescent="0.2">
      <c r="FE286" s="1">
        <v>0</v>
      </c>
      <c r="FI286" s="1">
        <v>0</v>
      </c>
      <c r="FJ286" s="80">
        <v>25249.806240000002</v>
      </c>
      <c r="FK286" s="1">
        <v>25250</v>
      </c>
      <c r="FL286" s="80">
        <v>0.20235608655515516</v>
      </c>
      <c r="FM286" s="80">
        <v>0.19375999999829219</v>
      </c>
    </row>
    <row r="287" spans="161:169" x14ac:dyDescent="0.2">
      <c r="FE287" s="1">
        <v>0</v>
      </c>
      <c r="FI287" s="1">
        <v>0</v>
      </c>
      <c r="FJ287" s="80">
        <v>26025.397440000001</v>
      </c>
      <c r="FK287" s="1">
        <v>33950</v>
      </c>
      <c r="FL287" s="80">
        <v>8276.1744506642153</v>
      </c>
      <c r="FM287" s="80">
        <v>7924.6025599999994</v>
      </c>
    </row>
    <row r="288" spans="161:169" x14ac:dyDescent="0.2">
      <c r="FE288" s="1">
        <v>0</v>
      </c>
      <c r="FI288" s="1">
        <v>0</v>
      </c>
      <c r="FJ288" s="80">
        <v>0</v>
      </c>
      <c r="FK288" s="1">
        <v>35000</v>
      </c>
      <c r="FL288" s="80">
        <v>0</v>
      </c>
      <c r="FM288" s="80">
        <v>0</v>
      </c>
    </row>
    <row r="289" spans="161:169" x14ac:dyDescent="0.2">
      <c r="FE289" s="1">
        <v>0</v>
      </c>
      <c r="FI289" s="1">
        <v>0</v>
      </c>
      <c r="FJ289" s="80">
        <v>35000.232400000001</v>
      </c>
      <c r="FK289" s="1">
        <v>35000</v>
      </c>
      <c r="FL289" s="80">
        <v>-0.24271033503298101</v>
      </c>
      <c r="FM289" s="80">
        <v>-0.23240000000077998</v>
      </c>
    </row>
    <row r="290" spans="161:169" x14ac:dyDescent="0.2">
      <c r="FE290" s="1">
        <v>0</v>
      </c>
      <c r="FI290" s="1">
        <v>0</v>
      </c>
      <c r="FJ290" s="80">
        <v>33200.094799999999</v>
      </c>
      <c r="FK290" s="1">
        <v>33200</v>
      </c>
      <c r="FL290" s="80">
        <v>-9.9005764891532941E-2</v>
      </c>
      <c r="FM290" s="80">
        <v>-9.4799999998940621E-2</v>
      </c>
    </row>
    <row r="291" spans="161:169" x14ac:dyDescent="0.2">
      <c r="FE291" s="1">
        <v>0</v>
      </c>
      <c r="FI291" s="1">
        <v>0</v>
      </c>
      <c r="FJ291" s="80">
        <v>5441.59</v>
      </c>
      <c r="FK291" s="1">
        <v>38750</v>
      </c>
      <c r="FL291" s="80">
        <v>34786.124571810506</v>
      </c>
      <c r="FM291" s="80">
        <v>33308.409999999996</v>
      </c>
    </row>
    <row r="292" spans="161:169" x14ac:dyDescent="0.2">
      <c r="FE292" s="1">
        <v>0</v>
      </c>
      <c r="FI292" s="1">
        <v>0</v>
      </c>
      <c r="FJ292" s="80">
        <v>5441.59</v>
      </c>
      <c r="FK292" s="1">
        <v>35750</v>
      </c>
      <c r="FL292" s="80">
        <v>31653.030746094075</v>
      </c>
      <c r="FM292" s="80">
        <v>30308.41</v>
      </c>
    </row>
    <row r="293" spans="161:169" x14ac:dyDescent="0.2">
      <c r="FE293" s="1">
        <v>0</v>
      </c>
      <c r="FI293" s="1">
        <v>0</v>
      </c>
      <c r="FJ293" s="80">
        <v>0</v>
      </c>
      <c r="FK293" s="1">
        <v>34850</v>
      </c>
      <c r="FL293" s="80">
        <v>0</v>
      </c>
      <c r="FM293" s="80">
        <v>0</v>
      </c>
    </row>
    <row r="294" spans="161:169" x14ac:dyDescent="0.2">
      <c r="FE294" s="1">
        <v>0</v>
      </c>
      <c r="FI294" s="1">
        <v>0</v>
      </c>
      <c r="FJ294" s="80">
        <v>28055.339840000001</v>
      </c>
      <c r="FK294" s="1">
        <v>35750</v>
      </c>
      <c r="FL294" s="80">
        <v>8036.0307460940758</v>
      </c>
      <c r="FM294" s="80">
        <v>7694.6601599999995</v>
      </c>
    </row>
    <row r="295" spans="161:169" x14ac:dyDescent="0.2">
      <c r="FE295" s="1">
        <v>0</v>
      </c>
      <c r="FI295" s="1">
        <v>0</v>
      </c>
      <c r="FJ295" s="80">
        <v>33650.129199999996</v>
      </c>
      <c r="FK295" s="1">
        <v>33650</v>
      </c>
      <c r="FL295" s="80">
        <v>-0.13493190742689495</v>
      </c>
      <c r="FM295" s="80">
        <v>-0.12919999999940046</v>
      </c>
    </row>
    <row r="296" spans="161:169" x14ac:dyDescent="0.2">
      <c r="FE296" s="1">
        <v>0</v>
      </c>
      <c r="FI296" s="1">
        <v>0</v>
      </c>
      <c r="FJ296" s="80">
        <v>26055.080559999999</v>
      </c>
      <c r="FK296" s="1">
        <v>33500</v>
      </c>
      <c r="FL296" s="80">
        <v>7775.2103768067518</v>
      </c>
      <c r="FM296" s="80">
        <v>7444.9194400000015</v>
      </c>
    </row>
    <row r="297" spans="161:169" x14ac:dyDescent="0.2">
      <c r="FE297" s="1">
        <v>0</v>
      </c>
      <c r="FI297" s="1">
        <v>0</v>
      </c>
      <c r="FJ297" s="80">
        <v>25954.630799999999</v>
      </c>
      <c r="FK297" s="1">
        <v>25955</v>
      </c>
      <c r="FL297" s="80">
        <v>0.38557941348588137</v>
      </c>
      <c r="FM297" s="80">
        <v>0.36920000000100117</v>
      </c>
    </row>
    <row r="298" spans="161:169" x14ac:dyDescent="0.2">
      <c r="FE298" s="1">
        <v>0</v>
      </c>
      <c r="FI298" s="1">
        <v>0</v>
      </c>
      <c r="FJ298" s="80">
        <v>5441.59</v>
      </c>
      <c r="FK298" s="1">
        <v>33650</v>
      </c>
      <c r="FL298" s="80">
        <v>29459.865068092571</v>
      </c>
      <c r="FM298" s="80">
        <v>28208.41</v>
      </c>
    </row>
    <row r="299" spans="161:169" x14ac:dyDescent="0.2">
      <c r="FE299" s="1">
        <v>0</v>
      </c>
      <c r="FI299" s="1">
        <v>0</v>
      </c>
      <c r="FJ299" s="80">
        <v>0</v>
      </c>
      <c r="FK299" s="1">
        <v>35750</v>
      </c>
      <c r="FL299" s="80">
        <v>0</v>
      </c>
      <c r="FM299" s="80">
        <v>0</v>
      </c>
    </row>
    <row r="300" spans="161:169" x14ac:dyDescent="0.2">
      <c r="FE300" s="1">
        <v>0</v>
      </c>
      <c r="FI300" s="1">
        <v>0</v>
      </c>
      <c r="FJ300" s="80">
        <v>31055.25</v>
      </c>
      <c r="FK300" s="1">
        <v>31055</v>
      </c>
      <c r="FL300" s="80">
        <v>-0.26109115214303619</v>
      </c>
      <c r="FM300" s="80">
        <v>-0.25</v>
      </c>
    </row>
    <row r="301" spans="161:169" x14ac:dyDescent="0.2">
      <c r="FE301" s="1">
        <v>0</v>
      </c>
      <c r="FI301" s="1">
        <v>0</v>
      </c>
      <c r="FJ301" s="80">
        <v>30692.349920000001</v>
      </c>
      <c r="FK301" s="1">
        <v>31022</v>
      </c>
      <c r="FL301" s="80">
        <v>344.2748767649756</v>
      </c>
      <c r="FM301" s="80">
        <v>329.65007999999943</v>
      </c>
    </row>
    <row r="302" spans="161:169" x14ac:dyDescent="0.2">
      <c r="FE302" s="1">
        <v>0</v>
      </c>
      <c r="FI302" s="1">
        <v>0</v>
      </c>
      <c r="FJ302" s="80">
        <v>0</v>
      </c>
      <c r="FK302" s="1">
        <v>35750</v>
      </c>
      <c r="FL302" s="80">
        <v>0</v>
      </c>
      <c r="FM302" s="80">
        <v>0</v>
      </c>
    </row>
    <row r="303" spans="161:169" x14ac:dyDescent="0.2">
      <c r="FE303" s="1">
        <v>0</v>
      </c>
      <c r="FI303" s="1">
        <v>0</v>
      </c>
      <c r="FJ303" s="80">
        <v>30724.905600000002</v>
      </c>
      <c r="FK303" s="1">
        <v>38750</v>
      </c>
      <c r="FL303" s="80">
        <v>8381.1245718105038</v>
      </c>
      <c r="FM303" s="80">
        <v>8025.0943999999945</v>
      </c>
    </row>
    <row r="304" spans="161:169" x14ac:dyDescent="0.2">
      <c r="FE304" s="1">
        <v>0</v>
      </c>
      <c r="FI304" s="1">
        <v>0</v>
      </c>
      <c r="FJ304" s="80">
        <v>25850.11</v>
      </c>
      <c r="FK304" s="1">
        <v>25850</v>
      </c>
      <c r="FL304" s="80">
        <v>-0.11488010694354381</v>
      </c>
      <c r="FM304" s="80">
        <v>-0.11000000000058208</v>
      </c>
    </row>
    <row r="305" spans="161:169" x14ac:dyDescent="0.2">
      <c r="FE305" s="1">
        <v>0</v>
      </c>
      <c r="FI305" s="1">
        <v>0</v>
      </c>
      <c r="FJ305" s="80">
        <v>0</v>
      </c>
      <c r="FK305" s="1">
        <v>38750</v>
      </c>
      <c r="FL305" s="80">
        <v>0</v>
      </c>
      <c r="FM305" s="80">
        <v>0</v>
      </c>
    </row>
    <row r="306" spans="161:169" x14ac:dyDescent="0.2">
      <c r="FE306" s="1">
        <v>0</v>
      </c>
      <c r="FI306" s="1">
        <v>0</v>
      </c>
      <c r="FJ306" s="80">
        <v>34849.901760000001</v>
      </c>
      <c r="FK306" s="1">
        <v>34850</v>
      </c>
      <c r="FL306" s="80">
        <v>0.10259837914544907</v>
      </c>
      <c r="FM306" s="80">
        <v>9.8239999999350403E-2</v>
      </c>
    </row>
    <row r="307" spans="161:169" x14ac:dyDescent="0.2">
      <c r="FE307" s="1">
        <v>0</v>
      </c>
      <c r="FI307" s="1">
        <v>0</v>
      </c>
      <c r="FJ307" s="80">
        <v>5441.59</v>
      </c>
      <c r="FK307" s="1">
        <v>33650</v>
      </c>
      <c r="FL307" s="80">
        <v>29459.865068092571</v>
      </c>
      <c r="FM307" s="80">
        <v>28208.41</v>
      </c>
    </row>
    <row r="308" spans="161:169" x14ac:dyDescent="0.2">
      <c r="FE308" s="1">
        <v>0</v>
      </c>
      <c r="FI308" s="1">
        <v>0</v>
      </c>
      <c r="FJ308" s="80">
        <v>5441.59</v>
      </c>
      <c r="FK308" s="1">
        <v>35750</v>
      </c>
      <c r="FL308" s="80">
        <v>31653.030746094075</v>
      </c>
      <c r="FM308" s="80">
        <v>30308.41</v>
      </c>
    </row>
    <row r="309" spans="161:169" x14ac:dyDescent="0.2">
      <c r="FE309" s="1">
        <v>0</v>
      </c>
      <c r="FI309" s="1">
        <v>0</v>
      </c>
      <c r="FJ309" s="80">
        <v>5441.59</v>
      </c>
      <c r="FK309" s="1">
        <v>34850</v>
      </c>
      <c r="FL309" s="80">
        <v>30713.102598379144</v>
      </c>
      <c r="FM309" s="80">
        <v>29408.41</v>
      </c>
    </row>
    <row r="310" spans="161:169" x14ac:dyDescent="0.2">
      <c r="FE310" s="1">
        <v>0</v>
      </c>
      <c r="FI310" s="1">
        <v>0</v>
      </c>
      <c r="FJ310" s="80">
        <v>5441.59</v>
      </c>
      <c r="FK310" s="1">
        <v>38750</v>
      </c>
      <c r="FL310" s="80">
        <v>34786.124571810506</v>
      </c>
      <c r="FM310" s="80">
        <v>33308.409999999996</v>
      </c>
    </row>
    <row r="311" spans="161:169" x14ac:dyDescent="0.2">
      <c r="FE311" s="1">
        <v>0</v>
      </c>
      <c r="FI311" s="1">
        <v>0</v>
      </c>
      <c r="FJ311" s="80">
        <v>28128.246600000002</v>
      </c>
      <c r="FK311" s="1">
        <v>28455</v>
      </c>
      <c r="FL311" s="80">
        <v>341.20692535816983</v>
      </c>
      <c r="FM311" s="80">
        <v>326.75339999999778</v>
      </c>
    </row>
    <row r="312" spans="161:169" x14ac:dyDescent="0.2">
      <c r="FE312" s="1">
        <v>0</v>
      </c>
      <c r="FI312" s="1">
        <v>0</v>
      </c>
      <c r="FJ312" s="80">
        <v>5441.7550000000001</v>
      </c>
      <c r="FK312" s="1">
        <v>16100</v>
      </c>
      <c r="FL312" s="80">
        <v>11129.699051835763</v>
      </c>
      <c r="FM312" s="80">
        <v>10658.245000000001</v>
      </c>
    </row>
    <row r="313" spans="161:169" x14ac:dyDescent="0.2">
      <c r="FE313" s="1">
        <v>0</v>
      </c>
      <c r="FI313" s="1">
        <v>0</v>
      </c>
      <c r="FJ313" s="80">
        <v>23557.43088</v>
      </c>
      <c r="FK313" s="1">
        <v>23555</v>
      </c>
      <c r="FL313" s="80">
        <v>-2.5384069170041856</v>
      </c>
      <c r="FM313" s="80">
        <v>-2.4308799999998882</v>
      </c>
    </row>
    <row r="314" spans="161:169" x14ac:dyDescent="0.2">
      <c r="FE314" s="1">
        <v>0</v>
      </c>
      <c r="FI314" s="1">
        <v>0</v>
      </c>
      <c r="FJ314" s="80">
        <v>0</v>
      </c>
      <c r="FK314" s="1">
        <v>38750</v>
      </c>
      <c r="FL314" s="80">
        <v>0</v>
      </c>
      <c r="FM314" s="80">
        <v>0</v>
      </c>
    </row>
    <row r="315" spans="161:169" x14ac:dyDescent="0.2">
      <c r="FE315" s="1">
        <v>0</v>
      </c>
      <c r="FI315" s="1">
        <v>0</v>
      </c>
      <c r="FJ315" s="80">
        <v>5441.7550000000001</v>
      </c>
      <c r="FK315" s="1">
        <v>27650</v>
      </c>
      <c r="FL315" s="80">
        <v>23190.598763627248</v>
      </c>
      <c r="FM315" s="80">
        <v>22208.244999999999</v>
      </c>
    </row>
    <row r="316" spans="161:169" x14ac:dyDescent="0.2">
      <c r="FE316" s="1">
        <v>0</v>
      </c>
      <c r="FI316" s="1">
        <v>0</v>
      </c>
      <c r="FJ316" s="80">
        <v>0</v>
      </c>
      <c r="FK316" s="1">
        <v>35750</v>
      </c>
      <c r="FL316" s="80">
        <v>0</v>
      </c>
      <c r="FM316" s="80">
        <v>0</v>
      </c>
    </row>
    <row r="317" spans="161:169" x14ac:dyDescent="0.2">
      <c r="FE317" s="1">
        <v>0</v>
      </c>
      <c r="FI317" s="1">
        <v>0</v>
      </c>
      <c r="FJ317" s="80">
        <v>5441.7550000000001</v>
      </c>
      <c r="FK317" s="1">
        <v>31055</v>
      </c>
      <c r="FL317" s="80">
        <v>26746.214652687857</v>
      </c>
      <c r="FM317" s="80">
        <v>25613.244999999999</v>
      </c>
    </row>
    <row r="318" spans="161:169" x14ac:dyDescent="0.2">
      <c r="FE318" s="1">
        <v>0</v>
      </c>
      <c r="FI318" s="1">
        <v>0</v>
      </c>
      <c r="FJ318" s="80">
        <v>5441.7550000000001</v>
      </c>
      <c r="FK318" s="1">
        <v>28050</v>
      </c>
      <c r="FL318" s="80">
        <v>0.25583726661388229</v>
      </c>
      <c r="FM318" s="80">
        <v>0.24500000000011823</v>
      </c>
    </row>
    <row r="319" spans="161:169" x14ac:dyDescent="0.2">
      <c r="FE319" s="1">
        <v>0</v>
      </c>
      <c r="FI319" s="1">
        <v>0</v>
      </c>
      <c r="FJ319" s="80">
        <v>26557.717000000001</v>
      </c>
      <c r="FK319" s="1">
        <v>26555</v>
      </c>
      <c r="FL319" s="80">
        <v>-2.8371830750600986</v>
      </c>
      <c r="FM319" s="80">
        <v>-2.717000000000553</v>
      </c>
    </row>
    <row r="320" spans="161:169" x14ac:dyDescent="0.2">
      <c r="FE320" s="1">
        <v>0</v>
      </c>
      <c r="FI320" s="1">
        <v>0</v>
      </c>
      <c r="FJ320" s="80">
        <v>18506.837520000001</v>
      </c>
      <c r="FK320" s="1">
        <v>27505</v>
      </c>
      <c r="FL320" s="80">
        <v>-1.9188003842771093</v>
      </c>
      <c r="FM320" s="80">
        <v>-1.837519999999131</v>
      </c>
    </row>
    <row r="321" spans="161:169" x14ac:dyDescent="0.2">
      <c r="FE321" s="1">
        <v>0</v>
      </c>
      <c r="FI321" s="1">
        <v>0</v>
      </c>
      <c r="FJ321" s="80">
        <v>5441.7550000000001</v>
      </c>
      <c r="FK321" s="1">
        <v>38750</v>
      </c>
      <c r="FL321" s="80">
        <v>34781.593291842444</v>
      </c>
      <c r="FM321" s="80">
        <v>33308.245000000003</v>
      </c>
    </row>
    <row r="322" spans="161:169" x14ac:dyDescent="0.2">
      <c r="FE322" s="1">
        <v>0</v>
      </c>
      <c r="FI322" s="1">
        <v>0</v>
      </c>
      <c r="FJ322" s="80">
        <v>24305.347720000002</v>
      </c>
      <c r="FK322" s="1">
        <v>24305</v>
      </c>
      <c r="FL322" s="80">
        <v>-0.36310095651974933</v>
      </c>
      <c r="FM322" s="80">
        <v>-0.34772000000157277</v>
      </c>
    </row>
    <row r="323" spans="161:169" x14ac:dyDescent="0.2">
      <c r="FE323" s="1">
        <v>0</v>
      </c>
      <c r="FI323" s="1">
        <v>0</v>
      </c>
      <c r="FJ323" s="80">
        <v>0</v>
      </c>
      <c r="FK323" s="1">
        <v>34850</v>
      </c>
      <c r="FL323" s="80">
        <v>0</v>
      </c>
      <c r="FM323" s="80">
        <v>0</v>
      </c>
    </row>
    <row r="324" spans="161:169" x14ac:dyDescent="0.2">
      <c r="FE324" s="1">
        <v>0</v>
      </c>
      <c r="FI324" s="1">
        <v>0</v>
      </c>
      <c r="FJ324" s="80">
        <v>22506.899799999999</v>
      </c>
      <c r="FK324" s="1">
        <v>22505</v>
      </c>
      <c r="FL324" s="80">
        <v>-1.9838352616841732</v>
      </c>
      <c r="FM324" s="80">
        <v>-1.8997999999992317</v>
      </c>
    </row>
    <row r="325" spans="161:169" x14ac:dyDescent="0.2">
      <c r="FE325" s="1">
        <v>0</v>
      </c>
      <c r="FI325" s="1">
        <v>0</v>
      </c>
      <c r="FJ325" s="80">
        <v>5441.7550000000001</v>
      </c>
      <c r="FK325" s="1">
        <v>14750</v>
      </c>
      <c r="FL325" s="80">
        <v>9719.9835011068881</v>
      </c>
      <c r="FM325" s="80">
        <v>9308.2450000000008</v>
      </c>
    </row>
    <row r="326" spans="161:169" x14ac:dyDescent="0.2">
      <c r="FE326" s="1">
        <v>0</v>
      </c>
      <c r="FI326" s="1">
        <v>0</v>
      </c>
      <c r="FJ326" s="80">
        <v>31058.625</v>
      </c>
      <c r="FK326" s="1">
        <v>31555</v>
      </c>
      <c r="FL326" s="80">
        <v>518.33152332818179</v>
      </c>
      <c r="FM326" s="80">
        <v>496.375</v>
      </c>
    </row>
    <row r="330" spans="161:169" x14ac:dyDescent="0.2">
      <c r="FE330" s="1">
        <v>0</v>
      </c>
      <c r="FI330" s="1">
        <v>0</v>
      </c>
      <c r="FJ330" s="80">
        <v>5441.7550000000001</v>
      </c>
      <c r="FK330" s="1">
        <v>38750</v>
      </c>
      <c r="FL330" s="80">
        <v>34781.593291842444</v>
      </c>
      <c r="FM330" s="80">
        <v>33308.245000000003</v>
      </c>
    </row>
    <row r="331" spans="161:169" x14ac:dyDescent="0.2">
      <c r="FE331" s="1">
        <v>0</v>
      </c>
      <c r="FI331" s="1">
        <v>0</v>
      </c>
      <c r="FJ331" s="80">
        <v>22027.122160000003</v>
      </c>
      <c r="FK331" s="1">
        <v>22355</v>
      </c>
      <c r="FL331" s="80">
        <v>342.381103546215</v>
      </c>
      <c r="FM331" s="80">
        <v>327.87783999999738</v>
      </c>
    </row>
    <row r="332" spans="161:169" x14ac:dyDescent="0.2">
      <c r="FE332" s="1">
        <v>0</v>
      </c>
      <c r="FI332" s="1">
        <v>0</v>
      </c>
      <c r="FJ332" s="80">
        <v>22849.755000000001</v>
      </c>
      <c r="FK332" s="1">
        <v>22850</v>
      </c>
      <c r="FL332" s="80">
        <v>0.25583726661269512</v>
      </c>
      <c r="FM332" s="80">
        <v>0.24499999999898137</v>
      </c>
    </row>
    <row r="333" spans="161:169" x14ac:dyDescent="0.2">
      <c r="FE333" s="1">
        <v>0</v>
      </c>
      <c r="FI333" s="1">
        <v>0</v>
      </c>
      <c r="FJ333" s="80">
        <v>32153.20752</v>
      </c>
      <c r="FK333" s="1">
        <v>32150</v>
      </c>
      <c r="FL333" s="80">
        <v>-3.3494006098324332</v>
      </c>
      <c r="FM333" s="80">
        <v>-3.2075199999999313</v>
      </c>
    </row>
    <row r="334" spans="161:169" x14ac:dyDescent="0.2">
      <c r="FE334" s="1">
        <v>0</v>
      </c>
      <c r="FI334" s="1">
        <v>0</v>
      </c>
      <c r="FJ334" s="80">
        <v>31954.976040000001</v>
      </c>
      <c r="FK334" s="1">
        <v>31955</v>
      </c>
      <c r="FL334" s="80">
        <v>2.5019840439647435E-2</v>
      </c>
      <c r="FM334" s="80">
        <v>2.3959999998623971E-2</v>
      </c>
    </row>
    <row r="335" spans="161:169" x14ac:dyDescent="0.2">
      <c r="FE335" s="1">
        <v>0</v>
      </c>
      <c r="FI335" s="1">
        <v>0</v>
      </c>
      <c r="FJ335" s="80">
        <v>5441.59</v>
      </c>
      <c r="FK335" s="1">
        <v>29750</v>
      </c>
      <c r="FL335" s="80">
        <v>25386.843094661206</v>
      </c>
      <c r="FM335" s="80">
        <v>24308.41</v>
      </c>
    </row>
    <row r="336" spans="161:169" x14ac:dyDescent="0.2">
      <c r="FE336" s="1">
        <v>0</v>
      </c>
      <c r="FI336" s="1">
        <v>0</v>
      </c>
      <c r="FJ336" s="80">
        <v>32004.77332</v>
      </c>
      <c r="FK336" s="1">
        <v>34250</v>
      </c>
      <c r="FL336" s="80">
        <v>2344.5414560795284</v>
      </c>
      <c r="FM336" s="80">
        <v>2245.2266799999998</v>
      </c>
    </row>
    <row r="337" spans="161:172" x14ac:dyDescent="0.2">
      <c r="FE337" s="1">
        <v>0</v>
      </c>
      <c r="FI337" s="1">
        <v>0</v>
      </c>
      <c r="FJ337" s="80">
        <v>32429.007840000002</v>
      </c>
      <c r="FK337" s="1">
        <v>39200</v>
      </c>
      <c r="FL337" s="80">
        <v>7070.498475418739</v>
      </c>
      <c r="FM337" s="80">
        <v>6770.9921600000016</v>
      </c>
    </row>
    <row r="338" spans="161:172" x14ac:dyDescent="0.2">
      <c r="FE338" s="1">
        <v>0</v>
      </c>
      <c r="FI338" s="1">
        <v>0</v>
      </c>
      <c r="FJ338" s="80">
        <v>34249.754999999997</v>
      </c>
      <c r="FK338" s="1">
        <v>34250</v>
      </c>
      <c r="FL338" s="80">
        <v>0.25583726661269512</v>
      </c>
      <c r="FM338" s="80">
        <v>0.24499999999898137</v>
      </c>
    </row>
    <row r="339" spans="161:172" x14ac:dyDescent="0.2">
      <c r="FE339" s="1">
        <v>0</v>
      </c>
      <c r="FI339" s="1">
        <v>0</v>
      </c>
      <c r="FJ339" s="80">
        <v>9399.11</v>
      </c>
      <c r="FK339" s="1">
        <v>10555</v>
      </c>
      <c r="FL339" s="80">
        <v>-2349.9352493942679</v>
      </c>
      <c r="FM339" s="80">
        <v>-2250.1099999999997</v>
      </c>
    </row>
    <row r="340" spans="161:172" x14ac:dyDescent="0.2">
      <c r="FE340" s="1">
        <v>0</v>
      </c>
      <c r="FI340" s="1">
        <v>0</v>
      </c>
      <c r="FJ340" s="80">
        <v>25955.361440000001</v>
      </c>
      <c r="FK340" s="1">
        <v>25955</v>
      </c>
      <c r="FL340" s="80">
        <v>-0.37742784344908775</v>
      </c>
      <c r="FM340" s="80">
        <v>-0.3614400000005844</v>
      </c>
    </row>
    <row r="341" spans="161:172" x14ac:dyDescent="0.2">
      <c r="FE341" s="1">
        <v>0</v>
      </c>
      <c r="FI341" s="1">
        <v>0</v>
      </c>
      <c r="FJ341" s="80">
        <v>5441.59</v>
      </c>
      <c r="FK341" s="1">
        <v>26750</v>
      </c>
      <c r="FL341" s="80">
        <v>22253.749268944772</v>
      </c>
      <c r="FM341" s="80">
        <v>21308.41</v>
      </c>
    </row>
    <row r="342" spans="161:172" x14ac:dyDescent="0.2">
      <c r="FE342" s="1">
        <v>0</v>
      </c>
      <c r="FI342" s="1">
        <v>0</v>
      </c>
      <c r="FJ342" s="80">
        <v>5441.59</v>
      </c>
      <c r="FK342" s="1">
        <v>34250</v>
      </c>
      <c r="FL342" s="80">
        <v>30086.483833235859</v>
      </c>
      <c r="FM342" s="80">
        <v>28808.41</v>
      </c>
    </row>
    <row r="343" spans="161:172" x14ac:dyDescent="0.2">
      <c r="FE343" s="1">
        <v>0</v>
      </c>
      <c r="FI343" s="1">
        <v>0</v>
      </c>
      <c r="FJ343" s="80">
        <v>15454.83884</v>
      </c>
      <c r="FK343" s="1">
        <v>15455</v>
      </c>
      <c r="FL343" s="80">
        <v>0.16828870974632767</v>
      </c>
      <c r="FM343" s="80">
        <v>0.16116000000147324</v>
      </c>
    </row>
    <row r="344" spans="161:172" x14ac:dyDescent="0.2">
      <c r="FE344" s="1">
        <v>0</v>
      </c>
      <c r="FI344" s="1">
        <v>0</v>
      </c>
      <c r="FJ344" s="80">
        <v>5441.7550000000001</v>
      </c>
      <c r="FK344" s="1">
        <v>38750</v>
      </c>
      <c r="FL344" s="80">
        <v>34781.593291842444</v>
      </c>
      <c r="FM344" s="80">
        <v>33308.245000000003</v>
      </c>
    </row>
    <row r="345" spans="161:172" x14ac:dyDescent="0.2">
      <c r="FE345" s="1">
        <v>0</v>
      </c>
      <c r="FI345" s="1">
        <v>0</v>
      </c>
      <c r="FJ345" s="80">
        <v>35749.754999999997</v>
      </c>
      <c r="FK345" s="1">
        <v>35750</v>
      </c>
      <c r="FL345" s="80">
        <v>0.25583726661269512</v>
      </c>
      <c r="FM345" s="80">
        <v>0.24499999999898137</v>
      </c>
    </row>
    <row r="346" spans="161:172" x14ac:dyDescent="0.2">
      <c r="FE346" s="1">
        <v>0</v>
      </c>
      <c r="FI346" s="1">
        <v>0</v>
      </c>
      <c r="FJ346" s="80">
        <v>17600.11</v>
      </c>
      <c r="FK346" s="1">
        <v>17600</v>
      </c>
      <c r="FL346" s="80">
        <v>-0.11488010694354381</v>
      </c>
      <c r="FM346" s="80">
        <v>-0.11000000000058208</v>
      </c>
    </row>
    <row r="347" spans="161:172" x14ac:dyDescent="0.2">
      <c r="FE347" s="1">
        <v>0</v>
      </c>
      <c r="FI347" s="1">
        <v>0</v>
      </c>
      <c r="FJ347" s="80">
        <v>31549.894319999999</v>
      </c>
      <c r="FK347" s="1">
        <v>31550</v>
      </c>
      <c r="FL347" s="80">
        <v>0.11035462177913943</v>
      </c>
      <c r="FM347" s="80">
        <v>0.10568000000057509</v>
      </c>
    </row>
    <row r="348" spans="161:172" x14ac:dyDescent="0.2">
      <c r="FE348" s="1">
        <v>0</v>
      </c>
      <c r="FI348" s="1">
        <v>0</v>
      </c>
      <c r="FJ348" s="80">
        <v>2254.79702</v>
      </c>
      <c r="FK348" s="1">
        <v>2255</v>
      </c>
      <c r="FL348" s="80">
        <v>0.21198512824800006</v>
      </c>
      <c r="FM348" s="80">
        <v>0.20298000000002503</v>
      </c>
    </row>
    <row r="349" spans="161:172" x14ac:dyDescent="0.2">
      <c r="FE349" s="1">
        <v>0</v>
      </c>
      <c r="FI349" s="1">
        <v>0</v>
      </c>
      <c r="FJ349" s="80">
        <v>19852.32172</v>
      </c>
      <c r="FK349" s="1">
        <v>19850</v>
      </c>
      <c r="FL349" s="80">
        <v>-2.4244183618079163</v>
      </c>
      <c r="FM349" s="80">
        <v>-2.3217200000017328</v>
      </c>
      <c r="FN349" s="1">
        <v>43713</v>
      </c>
      <c r="FO349" s="1">
        <v>43722</v>
      </c>
      <c r="FP349" s="1">
        <v>43727</v>
      </c>
    </row>
  </sheetData>
  <conditionalFormatting sqref="AH1:AI1048576">
    <cfRule type="containsText" dxfId="197" priority="214" operator="containsText" text="No EFC">
      <formula>NOT(ISERROR(SEARCH("No EFC",AH1)))</formula>
    </cfRule>
  </conditionalFormatting>
  <conditionalFormatting sqref="AK1:AK1048576">
    <cfRule type="containsText" dxfId="196" priority="213" operator="containsText" text="Y">
      <formula>NOT(ISERROR(SEARCH("Y",AK1)))</formula>
    </cfRule>
  </conditionalFormatting>
  <conditionalFormatting sqref="P1:P24 P26:P1048576">
    <cfRule type="containsText" dxfId="195" priority="208" operator="containsText" text="UT">
      <formula>NOT(ISERROR(SEARCH("UT",P1)))</formula>
    </cfRule>
  </conditionalFormatting>
  <conditionalFormatting sqref="ED1:ED1048576">
    <cfRule type="cellIs" dxfId="194" priority="207" operator="greaterThan">
      <formula>22950</formula>
    </cfRule>
  </conditionalFormatting>
  <conditionalFormatting sqref="U1:U24 U26:U1048576">
    <cfRule type="cellIs" dxfId="193" priority="210" operator="equal">
      <formula>"Not Selected"</formula>
    </cfRule>
    <cfRule type="containsText" dxfId="192" priority="211" operator="containsText" text="Not Specified">
      <formula>NOT(ISERROR(SEARCH("Not Specified",U1)))</formula>
    </cfRule>
    <cfRule type="containsText" dxfId="191" priority="212" operator="containsText" text="Female">
      <formula>NOT(ISERROR(SEARCH("Female",U1)))</formula>
    </cfRule>
  </conditionalFormatting>
  <conditionalFormatting sqref="BJ1:BJ1048576">
    <cfRule type="dataBar" priority="201">
      <dataBar>
        <cfvo type="num" val="0"/>
        <cfvo type="num" val="1"/>
        <color rgb="FF00FF00"/>
      </dataBar>
      <extLst>
        <ext xmlns:x14="http://schemas.microsoft.com/office/spreadsheetml/2009/9/main" uri="{B025F937-C7B1-47D3-B67F-A62EFF666E3E}">
          <x14:id>{D9FE6025-6D4D-4848-BDD9-DBF5DE2E49EA}</x14:id>
        </ext>
      </extLst>
    </cfRule>
  </conditionalFormatting>
  <conditionalFormatting sqref="BJ25">
    <cfRule type="dataBar" priority="103">
      <dataBar>
        <cfvo type="num" val="0"/>
        <cfvo type="num" val="1"/>
        <color rgb="FF00FF00"/>
      </dataBar>
      <extLst>
        <ext xmlns:x14="http://schemas.microsoft.com/office/spreadsheetml/2009/9/main" uri="{B025F937-C7B1-47D3-B67F-A62EFF666E3E}">
          <x14:id>{61D09BC2-FAB0-4F8C-AFFF-F77E9BEBE578}</x14:id>
        </ext>
      </extLst>
    </cfRule>
  </conditionalFormatting>
  <conditionalFormatting sqref="AH25:AI25">
    <cfRule type="containsText" dxfId="190" priority="116" operator="containsText" text="No EFC">
      <formula>NOT(ISERROR(SEARCH("No EFC",AH25)))</formula>
    </cfRule>
  </conditionalFormatting>
  <conditionalFormatting sqref="AK25">
    <cfRule type="containsText" dxfId="189" priority="115" operator="containsText" text="Y">
      <formula>NOT(ISERROR(SEARCH("Y",AK25)))</formula>
    </cfRule>
  </conditionalFormatting>
  <conditionalFormatting sqref="P25">
    <cfRule type="containsText" dxfId="188" priority="110" operator="containsText" text="UT">
      <formula>NOT(ISERROR(SEARCH("UT",P25)))</formula>
    </cfRule>
  </conditionalFormatting>
  <conditionalFormatting sqref="ED25">
    <cfRule type="cellIs" dxfId="187" priority="109" operator="greaterThan">
      <formula>22950</formula>
    </cfRule>
  </conditionalFormatting>
  <conditionalFormatting sqref="U25">
    <cfRule type="cellIs" dxfId="186" priority="112" operator="equal">
      <formula>"Not Selected"</formula>
    </cfRule>
    <cfRule type="containsText" dxfId="185" priority="113" operator="containsText" text="Not Specified">
      <formula>NOT(ISERROR(SEARCH("Not Specified",U25)))</formula>
    </cfRule>
    <cfRule type="containsText" dxfId="184" priority="114" operator="containsText" text="Female">
      <formula>NOT(ISERROR(SEARCH("Female",U25)))</formula>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D9FE6025-6D4D-4848-BDD9-DBF5DE2E49EA}">
            <x14:dataBar minLength="0" maxLength="100" border="1" direction="leftToRight" negativeBarBorderColorSameAsPositive="0">
              <x14:cfvo type="num">
                <xm:f>0</xm:f>
              </x14:cfvo>
              <x14:cfvo type="num">
                <xm:f>1</xm:f>
              </x14:cfvo>
              <x14:borderColor theme="1"/>
              <x14:negativeFillColor rgb="FFFF0000"/>
              <x14:negativeBorderColor rgb="FFFF0000"/>
              <x14:axisColor rgb="FF000000"/>
            </x14:dataBar>
          </x14:cfRule>
          <xm:sqref>BJ1:BJ1048576</xm:sqref>
        </x14:conditionalFormatting>
        <x14:conditionalFormatting xmlns:xm="http://schemas.microsoft.com/office/excel/2006/main">
          <x14:cfRule type="dataBar" id="{61D09BC2-FAB0-4F8C-AFFF-F77E9BEBE578}">
            <x14:dataBar minLength="0" maxLength="100" border="1" direction="leftToRight" negativeBarBorderColorSameAsPositive="0">
              <x14:cfvo type="num">
                <xm:f>0</xm:f>
              </x14:cfvo>
              <x14:cfvo type="num">
                <xm:f>1</xm:f>
              </x14:cfvo>
              <x14:borderColor theme="1"/>
              <x14:negativeFillColor rgb="FFFF0000"/>
              <x14:negativeBorderColor rgb="FFFF0000"/>
              <x14:axisColor rgb="FF000000"/>
            </x14:dataBar>
          </x14:cfRule>
          <xm:sqref>BJ25</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59"/>
  <sheetViews>
    <sheetView topLeftCell="A7" workbookViewId="0">
      <selection activeCell="A18" sqref="A18:XFD18"/>
    </sheetView>
  </sheetViews>
  <sheetFormatPr defaultColWidth="9" defaultRowHeight="12.75" x14ac:dyDescent="0.2"/>
  <cols>
    <col min="1" max="3" width="10" style="64" customWidth="1"/>
    <col min="4" max="16384" width="9" style="1"/>
  </cols>
  <sheetData>
    <row r="1" spans="1:3" ht="13.5" thickBot="1" x14ac:dyDescent="0.25">
      <c r="A1" s="64" t="s">
        <v>30</v>
      </c>
      <c r="B1" s="64" t="s">
        <v>31</v>
      </c>
      <c r="C1" s="64" t="s">
        <v>32</v>
      </c>
    </row>
    <row r="2" spans="1:3" x14ac:dyDescent="0.2">
      <c r="A2" s="65">
        <v>0</v>
      </c>
      <c r="B2" s="65">
        <v>0</v>
      </c>
      <c r="C2" s="65">
        <v>6195</v>
      </c>
    </row>
    <row r="3" spans="1:3" x14ac:dyDescent="0.2">
      <c r="A3" s="64">
        <v>1</v>
      </c>
      <c r="B3" s="64">
        <v>100</v>
      </c>
      <c r="C3" s="64">
        <v>6145</v>
      </c>
    </row>
    <row r="4" spans="1:3" x14ac:dyDescent="0.2">
      <c r="A4" s="64">
        <v>101</v>
      </c>
      <c r="B4" s="64">
        <v>200</v>
      </c>
      <c r="C4" s="64">
        <v>6045</v>
      </c>
    </row>
    <row r="5" spans="1:3" x14ac:dyDescent="0.2">
      <c r="A5" s="64">
        <v>201</v>
      </c>
      <c r="B5" s="64">
        <v>300</v>
      </c>
      <c r="C5" s="64">
        <v>5945</v>
      </c>
    </row>
    <row r="6" spans="1:3" x14ac:dyDescent="0.2">
      <c r="A6" s="64">
        <v>301</v>
      </c>
      <c r="B6" s="64">
        <v>400</v>
      </c>
      <c r="C6" s="64">
        <v>5845</v>
      </c>
    </row>
    <row r="7" spans="1:3" x14ac:dyDescent="0.2">
      <c r="A7" s="64">
        <v>401</v>
      </c>
      <c r="B7" s="64">
        <v>500</v>
      </c>
      <c r="C7" s="64">
        <v>5745</v>
      </c>
    </row>
    <row r="8" spans="1:3" x14ac:dyDescent="0.2">
      <c r="A8" s="64">
        <v>501</v>
      </c>
      <c r="B8" s="64">
        <v>600</v>
      </c>
      <c r="C8" s="64">
        <v>5645</v>
      </c>
    </row>
    <row r="9" spans="1:3" x14ac:dyDescent="0.2">
      <c r="A9" s="64">
        <v>601</v>
      </c>
      <c r="B9" s="64">
        <v>700</v>
      </c>
      <c r="C9" s="64">
        <v>5545</v>
      </c>
    </row>
    <row r="10" spans="1:3" x14ac:dyDescent="0.2">
      <c r="A10" s="64">
        <v>701</v>
      </c>
      <c r="B10" s="64">
        <v>800</v>
      </c>
      <c r="C10" s="64">
        <v>5445</v>
      </c>
    </row>
    <row r="11" spans="1:3" x14ac:dyDescent="0.2">
      <c r="A11" s="64">
        <v>801</v>
      </c>
      <c r="B11" s="64">
        <v>900</v>
      </c>
      <c r="C11" s="64">
        <v>5345</v>
      </c>
    </row>
    <row r="12" spans="1:3" x14ac:dyDescent="0.2">
      <c r="A12" s="64">
        <v>901</v>
      </c>
      <c r="B12" s="64">
        <v>1000</v>
      </c>
      <c r="C12" s="64">
        <v>5245</v>
      </c>
    </row>
    <row r="13" spans="1:3" x14ac:dyDescent="0.2">
      <c r="A13" s="64">
        <v>1001</v>
      </c>
      <c r="B13" s="64">
        <v>1100</v>
      </c>
      <c r="C13" s="64">
        <v>5145</v>
      </c>
    </row>
    <row r="14" spans="1:3" x14ac:dyDescent="0.2">
      <c r="A14" s="64">
        <v>1101</v>
      </c>
      <c r="B14" s="64">
        <v>1200</v>
      </c>
      <c r="C14" s="64">
        <v>5045</v>
      </c>
    </row>
    <row r="15" spans="1:3" x14ac:dyDescent="0.2">
      <c r="A15" s="64">
        <v>1201</v>
      </c>
      <c r="B15" s="64">
        <v>1300</v>
      </c>
      <c r="C15" s="64">
        <v>4945</v>
      </c>
    </row>
    <row r="16" spans="1:3" x14ac:dyDescent="0.2">
      <c r="A16" s="64">
        <v>1301</v>
      </c>
      <c r="B16" s="64">
        <v>1400</v>
      </c>
      <c r="C16" s="64">
        <v>4845</v>
      </c>
    </row>
    <row r="17" spans="1:3" x14ac:dyDescent="0.2">
      <c r="A17" s="64">
        <v>1401</v>
      </c>
      <c r="B17" s="64">
        <v>1500</v>
      </c>
      <c r="C17" s="64">
        <v>4745</v>
      </c>
    </row>
    <row r="18" spans="1:3" x14ac:dyDescent="0.2">
      <c r="A18" s="64">
        <v>1501</v>
      </c>
      <c r="B18" s="64">
        <v>1600</v>
      </c>
      <c r="C18" s="64">
        <v>4645</v>
      </c>
    </row>
    <row r="19" spans="1:3" x14ac:dyDescent="0.2">
      <c r="A19" s="64">
        <v>1601</v>
      </c>
      <c r="B19" s="64">
        <v>1700</v>
      </c>
      <c r="C19" s="64">
        <v>4545</v>
      </c>
    </row>
    <row r="20" spans="1:3" x14ac:dyDescent="0.2">
      <c r="A20" s="64">
        <v>1701</v>
      </c>
      <c r="B20" s="64">
        <v>1800</v>
      </c>
      <c r="C20" s="64">
        <v>4445</v>
      </c>
    </row>
    <row r="21" spans="1:3" x14ac:dyDescent="0.2">
      <c r="A21" s="64">
        <v>1801</v>
      </c>
      <c r="B21" s="64">
        <v>1900</v>
      </c>
      <c r="C21" s="64">
        <v>4345</v>
      </c>
    </row>
    <row r="22" spans="1:3" x14ac:dyDescent="0.2">
      <c r="A22" s="64">
        <v>1901</v>
      </c>
      <c r="B22" s="64">
        <v>2000</v>
      </c>
      <c r="C22" s="64">
        <v>4245</v>
      </c>
    </row>
    <row r="23" spans="1:3" x14ac:dyDescent="0.2">
      <c r="A23" s="64">
        <v>2001</v>
      </c>
      <c r="B23" s="64">
        <v>2100</v>
      </c>
      <c r="C23" s="64">
        <v>4145</v>
      </c>
    </row>
    <row r="24" spans="1:3" x14ac:dyDescent="0.2">
      <c r="A24" s="64">
        <v>2101</v>
      </c>
      <c r="B24" s="64">
        <v>2200</v>
      </c>
      <c r="C24" s="64">
        <v>4045</v>
      </c>
    </row>
    <row r="25" spans="1:3" x14ac:dyDescent="0.2">
      <c r="A25" s="64">
        <v>2201</v>
      </c>
      <c r="B25" s="64">
        <v>2300</v>
      </c>
      <c r="C25" s="64">
        <v>3945</v>
      </c>
    </row>
    <row r="26" spans="1:3" x14ac:dyDescent="0.2">
      <c r="A26" s="64">
        <v>2301</v>
      </c>
      <c r="B26" s="64">
        <v>2400</v>
      </c>
      <c r="C26" s="64">
        <v>3845</v>
      </c>
    </row>
    <row r="27" spans="1:3" x14ac:dyDescent="0.2">
      <c r="A27" s="64">
        <v>2401</v>
      </c>
      <c r="B27" s="64">
        <v>2500</v>
      </c>
      <c r="C27" s="64">
        <v>3745</v>
      </c>
    </row>
    <row r="28" spans="1:3" x14ac:dyDescent="0.2">
      <c r="A28" s="64">
        <v>2501</v>
      </c>
      <c r="B28" s="64">
        <v>2600</v>
      </c>
      <c r="C28" s="64">
        <v>3645</v>
      </c>
    </row>
    <row r="29" spans="1:3" x14ac:dyDescent="0.2">
      <c r="A29" s="64">
        <v>2601</v>
      </c>
      <c r="B29" s="64">
        <v>2700</v>
      </c>
      <c r="C29" s="64">
        <v>3545</v>
      </c>
    </row>
    <row r="30" spans="1:3" x14ac:dyDescent="0.2">
      <c r="A30" s="64">
        <v>2701</v>
      </c>
      <c r="B30" s="64">
        <v>2800</v>
      </c>
      <c r="C30" s="64">
        <v>3445</v>
      </c>
    </row>
    <row r="31" spans="1:3" x14ac:dyDescent="0.2">
      <c r="A31" s="64">
        <v>2801</v>
      </c>
      <c r="B31" s="64">
        <v>2900</v>
      </c>
      <c r="C31" s="64">
        <v>3345</v>
      </c>
    </row>
    <row r="32" spans="1:3" x14ac:dyDescent="0.2">
      <c r="A32" s="64">
        <v>2901</v>
      </c>
      <c r="B32" s="64">
        <v>3000</v>
      </c>
      <c r="C32" s="64">
        <v>3245</v>
      </c>
    </row>
    <row r="33" spans="1:3" x14ac:dyDescent="0.2">
      <c r="A33" s="64">
        <v>3001</v>
      </c>
      <c r="B33" s="64">
        <v>3100</v>
      </c>
      <c r="C33" s="64">
        <v>3145</v>
      </c>
    </row>
    <row r="34" spans="1:3" x14ac:dyDescent="0.2">
      <c r="A34" s="64">
        <v>3101</v>
      </c>
      <c r="B34" s="64">
        <v>3200</v>
      </c>
      <c r="C34" s="64">
        <v>3045</v>
      </c>
    </row>
    <row r="35" spans="1:3" x14ac:dyDescent="0.2">
      <c r="A35" s="64">
        <v>3201</v>
      </c>
      <c r="B35" s="64">
        <v>3300</v>
      </c>
      <c r="C35" s="64">
        <v>2945</v>
      </c>
    </row>
    <row r="36" spans="1:3" x14ac:dyDescent="0.2">
      <c r="A36" s="64">
        <v>3301</v>
      </c>
      <c r="B36" s="64">
        <v>3400</v>
      </c>
      <c r="C36" s="64">
        <v>2845</v>
      </c>
    </row>
    <row r="37" spans="1:3" x14ac:dyDescent="0.2">
      <c r="A37" s="64">
        <v>3401</v>
      </c>
      <c r="B37" s="64">
        <v>3500</v>
      </c>
      <c r="C37" s="64">
        <v>2745</v>
      </c>
    </row>
    <row r="38" spans="1:3" x14ac:dyDescent="0.2">
      <c r="A38" s="64">
        <v>3501</v>
      </c>
      <c r="B38" s="64">
        <v>3600</v>
      </c>
      <c r="C38" s="64">
        <v>2645</v>
      </c>
    </row>
    <row r="39" spans="1:3" x14ac:dyDescent="0.2">
      <c r="A39" s="64">
        <v>3601</v>
      </c>
      <c r="B39" s="64">
        <v>3700</v>
      </c>
      <c r="C39" s="64">
        <v>2545</v>
      </c>
    </row>
    <row r="40" spans="1:3" x14ac:dyDescent="0.2">
      <c r="A40" s="64">
        <v>3701</v>
      </c>
      <c r="B40" s="64">
        <v>3800</v>
      </c>
      <c r="C40" s="64">
        <v>2445</v>
      </c>
    </row>
    <row r="41" spans="1:3" x14ac:dyDescent="0.2">
      <c r="A41" s="64">
        <v>3801</v>
      </c>
      <c r="B41" s="64">
        <v>3900</v>
      </c>
      <c r="C41" s="64">
        <v>2345</v>
      </c>
    </row>
    <row r="42" spans="1:3" x14ac:dyDescent="0.2">
      <c r="A42" s="64">
        <v>3901</v>
      </c>
      <c r="B42" s="64">
        <v>4000</v>
      </c>
      <c r="C42" s="64">
        <v>2245</v>
      </c>
    </row>
    <row r="43" spans="1:3" x14ac:dyDescent="0.2">
      <c r="A43" s="64">
        <v>4001</v>
      </c>
      <c r="B43" s="64">
        <v>4100</v>
      </c>
      <c r="C43" s="64">
        <v>2145</v>
      </c>
    </row>
    <row r="44" spans="1:3" x14ac:dyDescent="0.2">
      <c r="A44" s="64">
        <v>4101</v>
      </c>
      <c r="B44" s="64">
        <v>4200</v>
      </c>
      <c r="C44" s="64">
        <v>2045</v>
      </c>
    </row>
    <row r="45" spans="1:3" x14ac:dyDescent="0.2">
      <c r="A45" s="64">
        <v>4201</v>
      </c>
      <c r="B45" s="64">
        <v>4300</v>
      </c>
      <c r="C45" s="64">
        <v>1945</v>
      </c>
    </row>
    <row r="46" spans="1:3" x14ac:dyDescent="0.2">
      <c r="A46" s="64">
        <v>4301</v>
      </c>
      <c r="B46" s="64">
        <v>4400</v>
      </c>
      <c r="C46" s="64">
        <v>1845</v>
      </c>
    </row>
    <row r="47" spans="1:3" x14ac:dyDescent="0.2">
      <c r="A47" s="64">
        <v>4401</v>
      </c>
      <c r="B47" s="64">
        <v>4500</v>
      </c>
      <c r="C47" s="64">
        <v>1745</v>
      </c>
    </row>
    <row r="48" spans="1:3" x14ac:dyDescent="0.2">
      <c r="A48" s="64">
        <v>4501</v>
      </c>
      <c r="B48" s="64">
        <v>4600</v>
      </c>
      <c r="C48" s="64">
        <v>1645</v>
      </c>
    </row>
    <row r="49" spans="1:3" x14ac:dyDescent="0.2">
      <c r="A49" s="64">
        <v>4601</v>
      </c>
      <c r="B49" s="64">
        <v>4700</v>
      </c>
      <c r="C49" s="64">
        <v>1545</v>
      </c>
    </row>
    <row r="50" spans="1:3" x14ac:dyDescent="0.2">
      <c r="A50" s="64">
        <v>4701</v>
      </c>
      <c r="B50" s="64">
        <v>4800</v>
      </c>
      <c r="C50" s="64">
        <v>1445</v>
      </c>
    </row>
    <row r="51" spans="1:3" x14ac:dyDescent="0.2">
      <c r="A51" s="64">
        <v>4801</v>
      </c>
      <c r="B51" s="64">
        <v>4900</v>
      </c>
      <c r="C51" s="64">
        <v>1345</v>
      </c>
    </row>
    <row r="52" spans="1:3" x14ac:dyDescent="0.2">
      <c r="A52" s="64">
        <v>4901</v>
      </c>
      <c r="B52" s="64">
        <v>5000</v>
      </c>
      <c r="C52" s="64">
        <v>1245</v>
      </c>
    </row>
    <row r="53" spans="1:3" x14ac:dyDescent="0.2">
      <c r="A53" s="64">
        <v>5001</v>
      </c>
      <c r="B53" s="64">
        <v>5100</v>
      </c>
      <c r="C53" s="64">
        <v>1145</v>
      </c>
    </row>
    <row r="54" spans="1:3" x14ac:dyDescent="0.2">
      <c r="A54" s="64">
        <v>5101</v>
      </c>
      <c r="B54" s="64">
        <v>5200</v>
      </c>
      <c r="C54" s="64">
        <v>1045</v>
      </c>
    </row>
    <row r="55" spans="1:3" x14ac:dyDescent="0.2">
      <c r="A55" s="64">
        <v>5201</v>
      </c>
      <c r="B55" s="64">
        <v>5300</v>
      </c>
      <c r="C55" s="64">
        <v>945</v>
      </c>
    </row>
    <row r="56" spans="1:3" x14ac:dyDescent="0.2">
      <c r="A56" s="64">
        <v>5301</v>
      </c>
      <c r="B56" s="64">
        <v>5400</v>
      </c>
      <c r="C56" s="64">
        <v>845</v>
      </c>
    </row>
    <row r="57" spans="1:3" x14ac:dyDescent="0.2">
      <c r="A57" s="64">
        <v>5401</v>
      </c>
      <c r="B57" s="64">
        <v>5500</v>
      </c>
      <c r="C57" s="64">
        <v>745</v>
      </c>
    </row>
    <row r="58" spans="1:3" x14ac:dyDescent="0.2">
      <c r="A58" s="64">
        <v>5501</v>
      </c>
      <c r="B58" s="64">
        <v>5576</v>
      </c>
      <c r="C58" s="64">
        <v>657</v>
      </c>
    </row>
    <row r="59" spans="1:3" x14ac:dyDescent="0.2">
      <c r="A59" s="64">
        <v>5577</v>
      </c>
      <c r="B59" s="64">
        <v>999999</v>
      </c>
      <c r="C59" s="64">
        <v>0</v>
      </c>
    </row>
  </sheetData>
  <pageMargins left="0.7" right="0.7" top="0.75" bottom="0.75" header="0.3" footer="0.3"/>
  <pageSetup orientation="portrait" horizontalDpi="1200" verticalDpi="12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44BBD-9B3C-4489-876C-F3F874D18B3E}">
  <sheetPr codeName="Sheet9"/>
  <dimension ref="A1:D26"/>
  <sheetViews>
    <sheetView workbookViewId="0">
      <selection activeCell="F8" sqref="F8"/>
    </sheetView>
  </sheetViews>
  <sheetFormatPr defaultRowHeight="15" x14ac:dyDescent="0.25"/>
  <cols>
    <col min="1" max="1" width="2.5703125" bestFit="1" customWidth="1"/>
    <col min="2" max="2" width="14.5703125" bestFit="1" customWidth="1"/>
    <col min="3" max="3" width="22.42578125" bestFit="1" customWidth="1"/>
    <col min="4" max="4" width="11" bestFit="1" customWidth="1"/>
  </cols>
  <sheetData>
    <row r="1" spans="1:4" x14ac:dyDescent="0.25">
      <c r="A1" t="s">
        <v>608</v>
      </c>
      <c r="B1" t="s">
        <v>793</v>
      </c>
      <c r="C1" s="42" t="s">
        <v>794</v>
      </c>
      <c r="D1" s="1">
        <v>8772802835</v>
      </c>
    </row>
    <row r="2" spans="1:4" x14ac:dyDescent="0.25">
      <c r="A2" t="s">
        <v>609</v>
      </c>
      <c r="B2" t="s">
        <v>793</v>
      </c>
      <c r="C2" s="42" t="s">
        <v>794</v>
      </c>
      <c r="D2" s="1">
        <v>8772802835</v>
      </c>
    </row>
    <row r="3" spans="1:4" x14ac:dyDescent="0.25">
      <c r="A3" t="s">
        <v>610</v>
      </c>
      <c r="B3" t="s">
        <v>793</v>
      </c>
      <c r="C3" s="42" t="s">
        <v>794</v>
      </c>
      <c r="D3" s="1">
        <v>8772802835</v>
      </c>
    </row>
    <row r="4" spans="1:4" x14ac:dyDescent="0.25">
      <c r="A4" t="s">
        <v>611</v>
      </c>
      <c r="B4" t="s">
        <v>793</v>
      </c>
      <c r="C4" s="42" t="s">
        <v>794</v>
      </c>
      <c r="D4" s="1">
        <v>8772802835</v>
      </c>
    </row>
    <row r="5" spans="1:4" x14ac:dyDescent="0.25">
      <c r="A5" t="s">
        <v>612</v>
      </c>
      <c r="B5" t="s">
        <v>793</v>
      </c>
      <c r="C5" s="42" t="s">
        <v>794</v>
      </c>
      <c r="D5" s="1">
        <v>8772802835</v>
      </c>
    </row>
    <row r="6" spans="1:4" x14ac:dyDescent="0.25">
      <c r="A6" t="s">
        <v>613</v>
      </c>
      <c r="B6" t="s">
        <v>793</v>
      </c>
      <c r="C6" s="42" t="s">
        <v>794</v>
      </c>
      <c r="D6" s="1">
        <v>8772802835</v>
      </c>
    </row>
    <row r="7" spans="1:4" x14ac:dyDescent="0.25">
      <c r="A7" t="s">
        <v>614</v>
      </c>
      <c r="B7" t="s">
        <v>793</v>
      </c>
      <c r="C7" s="42" t="s">
        <v>794</v>
      </c>
      <c r="D7" s="1">
        <v>8772802835</v>
      </c>
    </row>
    <row r="8" spans="1:4" x14ac:dyDescent="0.25">
      <c r="A8" t="s">
        <v>615</v>
      </c>
      <c r="B8" t="s">
        <v>793</v>
      </c>
      <c r="C8" s="42" t="s">
        <v>794</v>
      </c>
      <c r="D8" s="1">
        <v>8772802835</v>
      </c>
    </row>
    <row r="9" spans="1:4" x14ac:dyDescent="0.25">
      <c r="A9" t="s">
        <v>616</v>
      </c>
      <c r="B9" t="s">
        <v>793</v>
      </c>
      <c r="C9" s="42" t="s">
        <v>794</v>
      </c>
      <c r="D9" s="1">
        <v>8772802835</v>
      </c>
    </row>
    <row r="10" spans="1:4" x14ac:dyDescent="0.25">
      <c r="A10" t="s">
        <v>617</v>
      </c>
      <c r="B10" t="s">
        <v>793</v>
      </c>
      <c r="C10" s="42" t="s">
        <v>794</v>
      </c>
      <c r="D10" s="1">
        <v>8772802835</v>
      </c>
    </row>
    <row r="11" spans="1:4" x14ac:dyDescent="0.25">
      <c r="A11" t="s">
        <v>618</v>
      </c>
      <c r="B11" t="s">
        <v>793</v>
      </c>
      <c r="C11" s="42" t="s">
        <v>794</v>
      </c>
      <c r="D11" s="1">
        <v>8772802835</v>
      </c>
    </row>
    <row r="12" spans="1:4" x14ac:dyDescent="0.25">
      <c r="A12" t="s">
        <v>619</v>
      </c>
      <c r="B12" t="s">
        <v>793</v>
      </c>
      <c r="C12" s="42" t="s">
        <v>794</v>
      </c>
      <c r="D12" s="1">
        <v>8772802835</v>
      </c>
    </row>
    <row r="13" spans="1:4" x14ac:dyDescent="0.25">
      <c r="A13" t="s">
        <v>620</v>
      </c>
      <c r="B13" t="s">
        <v>593</v>
      </c>
      <c r="C13" s="42" t="s">
        <v>594</v>
      </c>
      <c r="D13">
        <v>8883022894</v>
      </c>
    </row>
    <row r="14" spans="1:4" x14ac:dyDescent="0.25">
      <c r="A14" t="s">
        <v>621</v>
      </c>
      <c r="B14" t="s">
        <v>593</v>
      </c>
      <c r="C14" s="42" t="s">
        <v>594</v>
      </c>
      <c r="D14">
        <v>8883022894</v>
      </c>
    </row>
    <row r="15" spans="1:4" x14ac:dyDescent="0.25">
      <c r="A15" t="s">
        <v>622</v>
      </c>
      <c r="B15" t="s">
        <v>593</v>
      </c>
      <c r="C15" s="42" t="s">
        <v>594</v>
      </c>
      <c r="D15">
        <v>8883022894</v>
      </c>
    </row>
    <row r="16" spans="1:4" x14ac:dyDescent="0.25">
      <c r="A16" t="s">
        <v>623</v>
      </c>
      <c r="B16" t="s">
        <v>593</v>
      </c>
      <c r="C16" s="42" t="s">
        <v>594</v>
      </c>
      <c r="D16">
        <v>8883022894</v>
      </c>
    </row>
    <row r="17" spans="1:4" x14ac:dyDescent="0.25">
      <c r="A17" t="s">
        <v>624</v>
      </c>
      <c r="B17" t="s">
        <v>593</v>
      </c>
      <c r="C17" s="42" t="s">
        <v>594</v>
      </c>
      <c r="D17">
        <v>8883022894</v>
      </c>
    </row>
    <row r="18" spans="1:4" x14ac:dyDescent="0.25">
      <c r="A18" t="s">
        <v>625</v>
      </c>
      <c r="B18" t="s">
        <v>593</v>
      </c>
      <c r="C18" s="42" t="s">
        <v>594</v>
      </c>
      <c r="D18">
        <v>8883022894</v>
      </c>
    </row>
    <row r="19" spans="1:4" x14ac:dyDescent="0.25">
      <c r="A19" t="s">
        <v>626</v>
      </c>
      <c r="B19" t="s">
        <v>593</v>
      </c>
      <c r="C19" s="42" t="s">
        <v>594</v>
      </c>
      <c r="D19">
        <v>8883022894</v>
      </c>
    </row>
    <row r="20" spans="1:4" x14ac:dyDescent="0.25">
      <c r="A20" t="s">
        <v>627</v>
      </c>
      <c r="B20" t="s">
        <v>593</v>
      </c>
      <c r="C20" s="42" t="s">
        <v>594</v>
      </c>
      <c r="D20">
        <v>8883022894</v>
      </c>
    </row>
    <row r="21" spans="1:4" x14ac:dyDescent="0.25">
      <c r="A21" t="s">
        <v>628</v>
      </c>
      <c r="B21" t="s">
        <v>593</v>
      </c>
      <c r="C21" s="42" t="s">
        <v>594</v>
      </c>
      <c r="D21">
        <v>8883022894</v>
      </c>
    </row>
    <row r="22" spans="1:4" x14ac:dyDescent="0.25">
      <c r="A22" t="s">
        <v>629</v>
      </c>
      <c r="B22" t="s">
        <v>593</v>
      </c>
      <c r="C22" s="42" t="s">
        <v>594</v>
      </c>
      <c r="D22">
        <v>8883022894</v>
      </c>
    </row>
    <row r="23" spans="1:4" x14ac:dyDescent="0.25">
      <c r="A23" t="s">
        <v>630</v>
      </c>
      <c r="B23" t="s">
        <v>593</v>
      </c>
      <c r="C23" s="42" t="s">
        <v>594</v>
      </c>
      <c r="D23">
        <v>8883022894</v>
      </c>
    </row>
    <row r="24" spans="1:4" x14ac:dyDescent="0.25">
      <c r="A24" t="s">
        <v>631</v>
      </c>
      <c r="B24" t="s">
        <v>593</v>
      </c>
      <c r="C24" s="42" t="s">
        <v>594</v>
      </c>
      <c r="D24">
        <v>8883022894</v>
      </c>
    </row>
    <row r="25" spans="1:4" x14ac:dyDescent="0.25">
      <c r="A25" t="s">
        <v>632</v>
      </c>
      <c r="B25" t="s">
        <v>593</v>
      </c>
      <c r="C25" s="42" t="s">
        <v>594</v>
      </c>
      <c r="D25">
        <v>8883022894</v>
      </c>
    </row>
    <row r="26" spans="1:4" x14ac:dyDescent="0.25">
      <c r="A26" t="s">
        <v>633</v>
      </c>
      <c r="B26" t="s">
        <v>593</v>
      </c>
      <c r="C26" s="42" t="s">
        <v>594</v>
      </c>
      <c r="D26">
        <v>8883022894</v>
      </c>
    </row>
  </sheetData>
  <hyperlinks>
    <hyperlink ref="C1" r:id="rId1" xr:uid="{DCEF6135-4B04-47ED-BB83-51B8EA101100}"/>
    <hyperlink ref="C13" r:id="rId2" xr:uid="{B1BEF1A6-7549-4819-A9B2-AB8C4F5999F1}"/>
    <hyperlink ref="C14" r:id="rId3" xr:uid="{BE7730F1-956E-4895-B6C0-AC4CF2AF8B18}"/>
    <hyperlink ref="C15" r:id="rId4" xr:uid="{EFEAB15E-A954-4D48-A8AF-E8CA96BA8DB6}"/>
    <hyperlink ref="C16" r:id="rId5" xr:uid="{2236FEEF-A164-485A-8F15-6FA3C576EF07}"/>
    <hyperlink ref="C17" r:id="rId6" xr:uid="{FA13A11F-49DE-400E-9E2A-DAA722BBA79C}"/>
    <hyperlink ref="C18" r:id="rId7" xr:uid="{F4FD80B8-9C1C-4734-BA78-0F4EB9490B52}"/>
    <hyperlink ref="C19" r:id="rId8" xr:uid="{01C3D865-2EE9-4997-8103-66341DD740A1}"/>
    <hyperlink ref="C20" r:id="rId9" xr:uid="{F11CD549-B25E-4148-AE77-00DD147AFF12}"/>
    <hyperlink ref="C21" r:id="rId10" xr:uid="{110C9BB7-49B1-453F-8B84-31372B059966}"/>
    <hyperlink ref="C22" r:id="rId11" xr:uid="{F1356176-6026-459B-BDBA-525647CF008C}"/>
    <hyperlink ref="C23" r:id="rId12" xr:uid="{3AC9D092-10E9-452E-8136-51E6484BD6D5}"/>
    <hyperlink ref="C24" r:id="rId13" xr:uid="{87F615A4-1054-4569-B74B-DC4F3B9B41B4}"/>
    <hyperlink ref="C25" r:id="rId14" xr:uid="{9CF47AFA-5D13-4DB3-B676-81A7CF843384}"/>
    <hyperlink ref="C26" r:id="rId15" xr:uid="{D904A4AD-A028-42ED-9EA5-3D5AA812A38B}"/>
    <hyperlink ref="C2" r:id="rId16" xr:uid="{64AA2857-D30D-46A6-ACB6-E0111A54C426}"/>
    <hyperlink ref="C3" r:id="rId17" xr:uid="{F11829F4-885D-4138-976E-6390DA249925}"/>
    <hyperlink ref="C4" r:id="rId18" xr:uid="{876F5BC9-0470-45E7-AAC4-C7D8553B0DD6}"/>
    <hyperlink ref="C5" r:id="rId19" xr:uid="{8BD35121-0027-461D-8B4B-D59EAFEA4C51}"/>
    <hyperlink ref="C6" r:id="rId20" xr:uid="{02373183-4213-45BB-B571-1E72E6F662A8}"/>
    <hyperlink ref="C7" r:id="rId21" xr:uid="{3E9DEBA9-28CF-4A4E-8284-66B4D34A4EF2}"/>
    <hyperlink ref="C8" r:id="rId22" xr:uid="{F874D2E3-0C16-40C0-B6D6-EEA46B718644}"/>
    <hyperlink ref="C9" r:id="rId23" xr:uid="{A958C05B-B34A-4F56-82C7-19265BFB7F4E}"/>
    <hyperlink ref="C10" r:id="rId24" xr:uid="{C572BC06-7B96-45B1-ACAB-937663850895}"/>
    <hyperlink ref="C11" r:id="rId25" xr:uid="{88ADCBFD-8BBF-40D5-B549-63737682674D}"/>
    <hyperlink ref="C12" r:id="rId26" xr:uid="{8FE1A056-E013-4F73-94B7-24D159FF437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AD4DA-5ED2-40A7-8379-5CA8C3208068}">
  <sheetPr codeName="Sheet1"/>
  <dimension ref="A1:CC1983"/>
  <sheetViews>
    <sheetView zoomScaleNormal="100" workbookViewId="0">
      <pane ySplit="1" topLeftCell="A2" activePane="bottomLeft" state="frozen"/>
      <selection activeCell="AJ1" sqref="AJ1"/>
      <selection pane="bottomLeft" activeCell="A37" sqref="A18:A37"/>
    </sheetView>
  </sheetViews>
  <sheetFormatPr defaultColWidth="9" defaultRowHeight="15" x14ac:dyDescent="0.25"/>
  <cols>
    <col min="1" max="1" width="11.5703125" style="40" bestFit="1" customWidth="1"/>
    <col min="2" max="3" width="10.42578125" style="40" bestFit="1" customWidth="1"/>
    <col min="4" max="4" width="17" style="40" bestFit="1" customWidth="1"/>
    <col min="5" max="5" width="11.85546875" style="40" bestFit="1" customWidth="1"/>
    <col min="6" max="6" width="24.42578125" style="40" bestFit="1" customWidth="1"/>
    <col min="7" max="7" width="43.140625" style="40" bestFit="1" customWidth="1"/>
    <col min="8" max="8" width="33.140625" style="40" bestFit="1" customWidth="1"/>
    <col min="9" max="9" width="21.5703125" style="40" bestFit="1" customWidth="1"/>
    <col min="10" max="10" width="5.5703125" style="40" bestFit="1" customWidth="1"/>
    <col min="11" max="11" width="10.5703125" style="41" bestFit="1" customWidth="1"/>
    <col min="12" max="12" width="16.42578125" style="40" bestFit="1" customWidth="1"/>
    <col min="13" max="13" width="11.85546875" style="40" bestFit="1" customWidth="1"/>
    <col min="14" max="14" width="15.85546875" style="40" bestFit="1" customWidth="1"/>
    <col min="15" max="15" width="9" style="40" bestFit="1" customWidth="1"/>
    <col min="16" max="16" width="11.5703125" style="40" bestFit="1" customWidth="1"/>
    <col min="17" max="17" width="10.5703125" style="40" bestFit="1" customWidth="1"/>
    <col min="18" max="18" width="19.5703125" style="40" bestFit="1" customWidth="1"/>
    <col min="19" max="19" width="11.85546875" style="40" bestFit="1" customWidth="1"/>
    <col min="20" max="20" width="19.5703125" style="40" bestFit="1" customWidth="1"/>
    <col min="21" max="21" width="10.42578125" style="40" bestFit="1" customWidth="1"/>
    <col min="22" max="22" width="12.42578125" style="40" bestFit="1" customWidth="1"/>
    <col min="23" max="23" width="9.5703125" style="40" bestFit="1" customWidth="1"/>
    <col min="24" max="24" width="4.42578125" style="40" bestFit="1" customWidth="1"/>
    <col min="25" max="25" width="9" style="40" bestFit="1" customWidth="1"/>
    <col min="26" max="26" width="12.85546875" style="40" bestFit="1" customWidth="1"/>
    <col min="27" max="27" width="11.42578125" style="40" bestFit="1" customWidth="1"/>
    <col min="28" max="28" width="16.42578125" style="40" bestFit="1" customWidth="1"/>
    <col min="29" max="29" width="15.42578125" style="40" bestFit="1" customWidth="1"/>
    <col min="30" max="30" width="21.5703125" style="40" bestFit="1" customWidth="1"/>
    <col min="31" max="31" width="16.42578125" style="40" bestFit="1" customWidth="1"/>
    <col min="32" max="32" width="20.5703125" style="40" bestFit="1" customWidth="1"/>
    <col min="33" max="33" width="8.85546875" style="40" bestFit="1" customWidth="1"/>
    <col min="34" max="34" width="11.5703125" style="40" bestFit="1" customWidth="1"/>
    <col min="35" max="35" width="73.42578125" style="40" bestFit="1" customWidth="1"/>
    <col min="36" max="36" width="18.42578125" style="40" bestFit="1" customWidth="1"/>
    <col min="37" max="37" width="5.5703125" style="40" bestFit="1" customWidth="1"/>
    <col min="38" max="38" width="10.140625" style="40" bestFit="1" customWidth="1"/>
    <col min="39" max="39" width="8.5703125" style="40" bestFit="1" customWidth="1"/>
    <col min="40" max="40" width="11" style="40" bestFit="1" customWidth="1"/>
    <col min="41" max="41" width="10.5703125" style="40" bestFit="1" customWidth="1"/>
    <col min="42" max="42" width="6.5703125" style="40" bestFit="1" customWidth="1"/>
    <col min="43" max="43" width="8.42578125" style="40" bestFit="1" customWidth="1"/>
    <col min="44" max="44" width="10.85546875" style="40" bestFit="1" customWidth="1"/>
    <col min="45" max="45" width="10.42578125" style="40" bestFit="1" customWidth="1"/>
    <col min="46" max="46" width="10.85546875" style="40" bestFit="1" customWidth="1"/>
    <col min="47" max="47" width="16.5703125" style="40" bestFit="1" customWidth="1"/>
    <col min="48" max="48" width="10.85546875" style="40" bestFit="1" customWidth="1"/>
    <col min="49" max="49" width="10.5703125" style="40" bestFit="1" customWidth="1"/>
    <col min="50" max="50" width="8.5703125" style="40" bestFit="1" customWidth="1"/>
    <col min="51" max="51" width="6.85546875" style="40" bestFit="1" customWidth="1"/>
    <col min="52" max="52" width="6.42578125" style="40" bestFit="1" customWidth="1"/>
    <col min="53" max="53" width="6.5703125" style="40" bestFit="1" customWidth="1"/>
    <col min="54" max="54" width="5.42578125" style="40" bestFit="1" customWidth="1"/>
    <col min="55" max="55" width="9.5703125" style="40" bestFit="1" customWidth="1"/>
    <col min="56" max="56" width="9" style="40" bestFit="1" customWidth="1"/>
    <col min="57" max="57" width="12.85546875" style="40" bestFit="1" customWidth="1"/>
    <col min="58" max="58" width="16.5703125" style="40" bestFit="1" customWidth="1"/>
    <col min="59" max="59" width="9.42578125" style="40" bestFit="1" customWidth="1"/>
    <col min="60" max="60" width="16.5703125" style="40" bestFit="1" customWidth="1"/>
    <col min="61" max="61" width="13.5703125" style="40" bestFit="1" customWidth="1"/>
    <col min="62" max="62" width="16.5703125" style="40" bestFit="1" customWidth="1"/>
    <col min="63" max="63" width="10.140625" style="40" bestFit="1" customWidth="1"/>
    <col min="64" max="65" width="9.5703125" style="40" bestFit="1" customWidth="1"/>
    <col min="66" max="66" width="14.140625" style="40" bestFit="1" customWidth="1"/>
    <col min="67" max="67" width="10.5703125" style="40" bestFit="1" customWidth="1"/>
    <col min="68" max="68" width="8.85546875" style="40" bestFit="1" customWidth="1"/>
    <col min="69" max="69" width="11.5703125" style="40" bestFit="1" customWidth="1"/>
    <col min="70" max="70" width="7.140625" style="40" bestFit="1" customWidth="1"/>
    <col min="71" max="71" width="12" style="40" bestFit="1" customWidth="1"/>
    <col min="72" max="72" width="9.42578125" style="40" bestFit="1" customWidth="1"/>
    <col min="73" max="73" width="12.42578125" style="40" bestFit="1" customWidth="1"/>
    <col min="74" max="74" width="12.5703125" style="40" bestFit="1" customWidth="1"/>
    <col min="75" max="75" width="14.85546875" style="40" bestFit="1" customWidth="1"/>
    <col min="76" max="76" width="11.140625" style="40" bestFit="1" customWidth="1"/>
    <col min="77" max="77" width="17.85546875" style="40" bestFit="1" customWidth="1"/>
    <col min="78" max="78" width="55.42578125" style="40" bestFit="1" customWidth="1"/>
    <col min="79" max="79" width="22.140625" style="40" bestFit="1" customWidth="1"/>
    <col min="80" max="80" width="7.5703125" style="40" bestFit="1" customWidth="1"/>
    <col min="81" max="81" width="10.5703125" style="40" bestFit="1" customWidth="1"/>
    <col min="82" max="16384" width="9" style="40"/>
  </cols>
  <sheetData>
    <row r="1" spans="1:81" x14ac:dyDescent="0.25">
      <c r="A1" s="330" t="s">
        <v>99</v>
      </c>
      <c r="B1" s="332" t="s">
        <v>190</v>
      </c>
      <c r="C1" s="330" t="s">
        <v>191</v>
      </c>
      <c r="D1" s="332" t="s">
        <v>100</v>
      </c>
      <c r="E1" s="332" t="s">
        <v>101</v>
      </c>
      <c r="F1" s="332" t="s">
        <v>35</v>
      </c>
      <c r="G1" s="332" t="s">
        <v>102</v>
      </c>
      <c r="H1" s="332" t="s">
        <v>103</v>
      </c>
      <c r="I1" s="332" t="s">
        <v>104</v>
      </c>
      <c r="J1" s="332" t="s">
        <v>1</v>
      </c>
      <c r="K1" s="332" t="s">
        <v>105</v>
      </c>
      <c r="L1" s="334" t="s">
        <v>192</v>
      </c>
      <c r="M1" s="330" t="s">
        <v>193</v>
      </c>
      <c r="N1" s="330" t="s">
        <v>194</v>
      </c>
      <c r="O1" s="330" t="s">
        <v>33</v>
      </c>
      <c r="P1" s="332" t="s">
        <v>195</v>
      </c>
      <c r="Q1" s="330" t="s">
        <v>196</v>
      </c>
      <c r="R1" s="334" t="s">
        <v>197</v>
      </c>
      <c r="S1" s="330" t="s">
        <v>198</v>
      </c>
      <c r="T1" s="330" t="s">
        <v>199</v>
      </c>
      <c r="U1" s="330" t="s">
        <v>200</v>
      </c>
      <c r="V1" s="330" t="s">
        <v>106</v>
      </c>
      <c r="W1" s="330" t="s">
        <v>201</v>
      </c>
      <c r="X1" s="332" t="s">
        <v>2</v>
      </c>
      <c r="Y1" s="330" t="s">
        <v>202</v>
      </c>
      <c r="Z1" s="332" t="s">
        <v>3</v>
      </c>
      <c r="AA1" s="332" t="s">
        <v>4</v>
      </c>
      <c r="AB1" s="332" t="s">
        <v>203</v>
      </c>
      <c r="AC1" s="332" t="s">
        <v>204</v>
      </c>
      <c r="AD1" s="332" t="s">
        <v>5</v>
      </c>
      <c r="AE1" s="330" t="s">
        <v>205</v>
      </c>
      <c r="AF1" s="332" t="s">
        <v>206</v>
      </c>
      <c r="AG1" s="332" t="s">
        <v>207</v>
      </c>
      <c r="AH1" s="330" t="s">
        <v>208</v>
      </c>
      <c r="AI1" s="332" t="s">
        <v>107</v>
      </c>
      <c r="AJ1" s="332" t="s">
        <v>209</v>
      </c>
      <c r="AK1" s="332" t="s">
        <v>108</v>
      </c>
      <c r="AL1" s="332" t="s">
        <v>210</v>
      </c>
      <c r="AM1" s="332" t="s">
        <v>211</v>
      </c>
      <c r="AN1" s="332" t="s">
        <v>212</v>
      </c>
      <c r="AO1" s="332" t="s">
        <v>213</v>
      </c>
      <c r="AP1" s="332" t="s">
        <v>109</v>
      </c>
      <c r="AQ1" s="330" t="s">
        <v>214</v>
      </c>
      <c r="AR1" s="330" t="s">
        <v>215</v>
      </c>
      <c r="AS1" s="330" t="s">
        <v>216</v>
      </c>
      <c r="AT1" s="330" t="s">
        <v>110</v>
      </c>
      <c r="AU1" s="330" t="s">
        <v>217</v>
      </c>
      <c r="AV1" s="332" t="s">
        <v>218</v>
      </c>
      <c r="AW1" s="330" t="s">
        <v>219</v>
      </c>
      <c r="AX1" s="332" t="s">
        <v>220</v>
      </c>
      <c r="AY1" s="330" t="s">
        <v>221</v>
      </c>
      <c r="AZ1" s="330" t="s">
        <v>222</v>
      </c>
      <c r="BA1" s="330" t="s">
        <v>223</v>
      </c>
      <c r="BB1" s="330" t="s">
        <v>224</v>
      </c>
      <c r="BC1" s="330" t="s">
        <v>225</v>
      </c>
      <c r="BD1" s="330" t="s">
        <v>226</v>
      </c>
      <c r="BE1" s="330" t="s">
        <v>227</v>
      </c>
      <c r="BF1" s="330" t="s">
        <v>228</v>
      </c>
      <c r="BG1" s="330" t="s">
        <v>229</v>
      </c>
      <c r="BH1" s="330" t="s">
        <v>230</v>
      </c>
      <c r="BI1" s="330" t="s">
        <v>231</v>
      </c>
      <c r="BJ1" s="330" t="s">
        <v>232</v>
      </c>
      <c r="BK1" s="330" t="s">
        <v>233</v>
      </c>
      <c r="BL1" s="330" t="s">
        <v>234</v>
      </c>
      <c r="BM1" s="332" t="s">
        <v>111</v>
      </c>
      <c r="BN1" s="330" t="s">
        <v>235</v>
      </c>
      <c r="BO1" s="330" t="s">
        <v>236</v>
      </c>
      <c r="BP1" s="334" t="s">
        <v>237</v>
      </c>
      <c r="BQ1" s="334" t="s">
        <v>238</v>
      </c>
      <c r="BR1" s="334" t="s">
        <v>239</v>
      </c>
      <c r="BS1" s="334" t="s">
        <v>240</v>
      </c>
      <c r="BT1" s="334" t="s">
        <v>241</v>
      </c>
      <c r="BU1" s="332" t="s">
        <v>242</v>
      </c>
      <c r="BV1" s="330" t="s">
        <v>243</v>
      </c>
      <c r="BW1" s="334" t="s">
        <v>244</v>
      </c>
      <c r="BX1" s="334" t="s">
        <v>245</v>
      </c>
      <c r="BY1" s="332" t="s">
        <v>246</v>
      </c>
      <c r="BZ1" s="332" t="s">
        <v>247</v>
      </c>
      <c r="CA1" s="332" t="s">
        <v>248</v>
      </c>
      <c r="CB1" s="332" t="s">
        <v>249</v>
      </c>
      <c r="CC1" s="332" t="s">
        <v>250</v>
      </c>
    </row>
    <row r="2" spans="1:81" x14ac:dyDescent="0.25">
      <c r="A2" s="329">
        <v>197353</v>
      </c>
      <c r="B2" s="331" t="s">
        <v>6180</v>
      </c>
      <c r="C2" s="329">
        <v>35580</v>
      </c>
      <c r="D2" s="331" t="s">
        <v>6181</v>
      </c>
      <c r="E2" s="331" t="s">
        <v>478</v>
      </c>
      <c r="F2" s="331" t="s">
        <v>6182</v>
      </c>
      <c r="G2" s="331" t="s">
        <v>6183</v>
      </c>
      <c r="H2" s="331" t="s">
        <v>6184</v>
      </c>
      <c r="I2" s="331" t="s">
        <v>6185</v>
      </c>
      <c r="J2" s="331" t="s">
        <v>397</v>
      </c>
      <c r="K2" s="331" t="s">
        <v>6186</v>
      </c>
      <c r="L2" s="329"/>
      <c r="M2" s="329">
        <v>6</v>
      </c>
      <c r="N2" s="329">
        <v>0</v>
      </c>
      <c r="O2" s="329">
        <v>3.7759999999999998</v>
      </c>
      <c r="P2" s="329"/>
      <c r="Q2" s="333">
        <v>43715.827777777777</v>
      </c>
      <c r="R2" s="329"/>
      <c r="S2" s="333">
        <v>43804</v>
      </c>
      <c r="T2" s="329">
        <v>55</v>
      </c>
      <c r="U2" s="333">
        <v>43804</v>
      </c>
      <c r="V2" s="333">
        <v>44109</v>
      </c>
      <c r="W2" s="329" t="b">
        <v>1</v>
      </c>
      <c r="X2" s="331" t="s">
        <v>22</v>
      </c>
      <c r="Y2" s="329">
        <v>429</v>
      </c>
      <c r="Z2" s="331" t="s">
        <v>23</v>
      </c>
      <c r="AA2" s="331" t="s">
        <v>919</v>
      </c>
      <c r="AB2" s="331" t="s">
        <v>920</v>
      </c>
      <c r="AC2" s="331" t="s">
        <v>271</v>
      </c>
      <c r="AD2" s="331" t="s">
        <v>24</v>
      </c>
      <c r="AE2" s="329">
        <v>221</v>
      </c>
      <c r="AF2" s="331" t="s">
        <v>254</v>
      </c>
      <c r="AG2" s="329"/>
      <c r="AH2" s="329">
        <v>17</v>
      </c>
      <c r="AI2" s="331" t="s">
        <v>280</v>
      </c>
      <c r="AJ2" s="331" t="s">
        <v>281</v>
      </c>
      <c r="AK2" s="331" t="s">
        <v>272</v>
      </c>
      <c r="AL2" s="331" t="s">
        <v>300</v>
      </c>
      <c r="AM2" s="331" t="s">
        <v>289</v>
      </c>
      <c r="AN2" s="331" t="s">
        <v>272</v>
      </c>
      <c r="AO2" s="331" t="s">
        <v>351</v>
      </c>
      <c r="AP2" s="329"/>
      <c r="AQ2" s="329"/>
      <c r="AR2" s="329"/>
      <c r="AS2" s="329"/>
      <c r="AT2" s="329" t="s">
        <v>398</v>
      </c>
      <c r="AU2" s="329" t="s">
        <v>283</v>
      </c>
      <c r="AV2" s="331" t="s">
        <v>397</v>
      </c>
      <c r="AW2" s="329"/>
      <c r="AX2" s="329"/>
      <c r="AY2" s="329"/>
      <c r="AZ2" s="329"/>
      <c r="BA2" s="329"/>
      <c r="BB2" s="329"/>
      <c r="BC2" s="329"/>
      <c r="BD2" s="329"/>
      <c r="BE2" s="329" t="s">
        <v>257</v>
      </c>
      <c r="BF2" s="329" t="s">
        <v>834</v>
      </c>
      <c r="BG2" s="329"/>
      <c r="BH2" s="329"/>
      <c r="BI2" s="329"/>
      <c r="BJ2" s="329"/>
      <c r="BK2" s="329">
        <v>20400</v>
      </c>
      <c r="BL2" s="329"/>
      <c r="BM2" s="331" t="s">
        <v>278</v>
      </c>
      <c r="BN2" s="329" t="s">
        <v>6187</v>
      </c>
      <c r="BO2" s="333">
        <v>43805</v>
      </c>
      <c r="BP2" s="329"/>
      <c r="BQ2" s="329"/>
      <c r="BR2" s="329"/>
      <c r="BS2" s="329"/>
      <c r="BT2" s="329"/>
      <c r="BU2" s="331" t="s">
        <v>261</v>
      </c>
      <c r="BV2" s="329"/>
      <c r="BW2" s="329"/>
      <c r="BX2" s="329"/>
      <c r="BY2" s="331" t="s">
        <v>6188</v>
      </c>
      <c r="BZ2" s="331" t="s">
        <v>6189</v>
      </c>
      <c r="CA2" s="331" t="s">
        <v>6190</v>
      </c>
      <c r="CB2" s="331" t="s">
        <v>397</v>
      </c>
      <c r="CC2" s="331" t="s">
        <v>6191</v>
      </c>
    </row>
    <row r="3" spans="1:81" x14ac:dyDescent="0.25">
      <c r="A3" s="329">
        <v>199427</v>
      </c>
      <c r="B3" s="331" t="s">
        <v>6201</v>
      </c>
      <c r="C3" s="329">
        <v>35716</v>
      </c>
      <c r="D3" s="331" t="s">
        <v>6202</v>
      </c>
      <c r="E3" s="331" t="s">
        <v>6203</v>
      </c>
      <c r="F3" s="331" t="s">
        <v>6204</v>
      </c>
      <c r="G3" s="331" t="s">
        <v>6205</v>
      </c>
      <c r="H3" s="331" t="s">
        <v>6206</v>
      </c>
      <c r="I3" s="331" t="s">
        <v>3443</v>
      </c>
      <c r="J3" s="331" t="s">
        <v>292</v>
      </c>
      <c r="K3" s="331" t="s">
        <v>6207</v>
      </c>
      <c r="L3" s="329"/>
      <c r="M3" s="329">
        <v>6</v>
      </c>
      <c r="N3" s="329">
        <v>0</v>
      </c>
      <c r="O3" s="329">
        <v>3.52</v>
      </c>
      <c r="P3" s="329"/>
      <c r="Q3" s="333">
        <v>43777.494444444441</v>
      </c>
      <c r="R3" s="329"/>
      <c r="S3" s="333">
        <v>43804</v>
      </c>
      <c r="T3" s="329">
        <v>55</v>
      </c>
      <c r="U3" s="333">
        <v>43804</v>
      </c>
      <c r="V3" s="333">
        <v>44109</v>
      </c>
      <c r="W3" s="329" t="b">
        <v>1</v>
      </c>
      <c r="X3" s="331" t="s">
        <v>187</v>
      </c>
      <c r="Y3" s="329">
        <v>718</v>
      </c>
      <c r="Z3" s="331" t="s">
        <v>25</v>
      </c>
      <c r="AA3" s="331" t="s">
        <v>919</v>
      </c>
      <c r="AB3" s="331" t="s">
        <v>920</v>
      </c>
      <c r="AC3" s="331" t="s">
        <v>311</v>
      </c>
      <c r="AD3" s="331" t="s">
        <v>24</v>
      </c>
      <c r="AE3" s="329">
        <v>221</v>
      </c>
      <c r="AF3" s="331" t="s">
        <v>254</v>
      </c>
      <c r="AG3" s="329"/>
      <c r="AH3" s="329">
        <v>17</v>
      </c>
      <c r="AI3" s="331" t="s">
        <v>280</v>
      </c>
      <c r="AJ3" s="331" t="s">
        <v>281</v>
      </c>
      <c r="AK3" s="329"/>
      <c r="AL3" s="329"/>
      <c r="AM3" s="329"/>
      <c r="AN3" s="329"/>
      <c r="AO3" s="329"/>
      <c r="AP3" s="329"/>
      <c r="AQ3" s="329"/>
      <c r="AR3" s="329"/>
      <c r="AS3" s="329"/>
      <c r="AT3" s="329" t="s">
        <v>258</v>
      </c>
      <c r="AU3" s="329" t="s">
        <v>256</v>
      </c>
      <c r="AV3" s="331" t="s">
        <v>292</v>
      </c>
      <c r="AW3" s="329"/>
      <c r="AX3" s="329"/>
      <c r="AY3" s="329"/>
      <c r="AZ3" s="329"/>
      <c r="BA3" s="329"/>
      <c r="BB3" s="329"/>
      <c r="BC3" s="329"/>
      <c r="BD3" s="329"/>
      <c r="BE3" s="329" t="s">
        <v>257</v>
      </c>
      <c r="BF3" s="329" t="s">
        <v>830</v>
      </c>
      <c r="BG3" s="329"/>
      <c r="BH3" s="329"/>
      <c r="BI3" s="329"/>
      <c r="BJ3" s="329"/>
      <c r="BK3" s="329">
        <v>12000</v>
      </c>
      <c r="BL3" s="329"/>
      <c r="BM3" s="331" t="s">
        <v>26</v>
      </c>
      <c r="BN3" s="329" t="s">
        <v>6187</v>
      </c>
      <c r="BO3" s="333">
        <v>43805</v>
      </c>
      <c r="BP3" s="329"/>
      <c r="BQ3" s="329"/>
      <c r="BR3" s="329"/>
      <c r="BS3" s="329"/>
      <c r="BT3" s="329"/>
      <c r="BU3" s="331" t="s">
        <v>261</v>
      </c>
      <c r="BV3" s="329"/>
      <c r="BW3" s="329"/>
      <c r="BX3" s="329"/>
      <c r="BY3" s="331" t="s">
        <v>6208</v>
      </c>
      <c r="BZ3" s="331" t="s">
        <v>6209</v>
      </c>
      <c r="CA3" s="331" t="s">
        <v>3443</v>
      </c>
      <c r="CB3" s="331" t="s">
        <v>292</v>
      </c>
      <c r="CC3" s="331" t="s">
        <v>6207</v>
      </c>
    </row>
    <row r="4" spans="1:81" x14ac:dyDescent="0.25">
      <c r="A4" s="329">
        <v>199531</v>
      </c>
      <c r="B4" s="331" t="s">
        <v>6210</v>
      </c>
      <c r="C4" s="329">
        <v>35614</v>
      </c>
      <c r="D4" s="331" t="s">
        <v>6211</v>
      </c>
      <c r="E4" s="331" t="s">
        <v>6212</v>
      </c>
      <c r="F4" s="331" t="s">
        <v>6213</v>
      </c>
      <c r="G4" s="331" t="s">
        <v>6214</v>
      </c>
      <c r="H4" s="331" t="s">
        <v>6215</v>
      </c>
      <c r="I4" s="331" t="s">
        <v>383</v>
      </c>
      <c r="J4" s="331" t="s">
        <v>292</v>
      </c>
      <c r="K4" s="331" t="s">
        <v>6216</v>
      </c>
      <c r="L4" s="329"/>
      <c r="M4" s="329">
        <v>6</v>
      </c>
      <c r="N4" s="329">
        <v>0</v>
      </c>
      <c r="O4" s="329">
        <v>2.8</v>
      </c>
      <c r="P4" s="329"/>
      <c r="Q4" s="333">
        <v>43782.612500000003</v>
      </c>
      <c r="R4" s="329"/>
      <c r="S4" s="333">
        <v>43804</v>
      </c>
      <c r="T4" s="329">
        <v>55</v>
      </c>
      <c r="U4" s="333">
        <v>43804</v>
      </c>
      <c r="V4" s="333">
        <v>44109</v>
      </c>
      <c r="W4" s="329" t="b">
        <v>1</v>
      </c>
      <c r="X4" s="331" t="s">
        <v>22</v>
      </c>
      <c r="Y4" s="329">
        <v>726</v>
      </c>
      <c r="Z4" s="331" t="s">
        <v>23</v>
      </c>
      <c r="AA4" s="331" t="s">
        <v>919</v>
      </c>
      <c r="AB4" s="331" t="s">
        <v>920</v>
      </c>
      <c r="AC4" s="331" t="s">
        <v>6217</v>
      </c>
      <c r="AD4" s="331" t="s">
        <v>24</v>
      </c>
      <c r="AE4" s="329">
        <v>221</v>
      </c>
      <c r="AF4" s="331" t="s">
        <v>254</v>
      </c>
      <c r="AG4" s="329"/>
      <c r="AH4" s="329">
        <v>17</v>
      </c>
      <c r="AI4" s="331" t="s">
        <v>280</v>
      </c>
      <c r="AJ4" s="331" t="s">
        <v>281</v>
      </c>
      <c r="AK4" s="329"/>
      <c r="AL4" s="329"/>
      <c r="AM4" s="329"/>
      <c r="AN4" s="329"/>
      <c r="AO4" s="329"/>
      <c r="AP4" s="331" t="s">
        <v>800</v>
      </c>
      <c r="AQ4" s="329">
        <v>510</v>
      </c>
      <c r="AR4" s="329">
        <v>420</v>
      </c>
      <c r="AS4" s="329"/>
      <c r="AT4" s="329" t="s">
        <v>492</v>
      </c>
      <c r="AU4" s="329" t="s">
        <v>283</v>
      </c>
      <c r="AV4" s="331" t="s">
        <v>292</v>
      </c>
      <c r="AW4" s="329"/>
      <c r="AX4" s="329"/>
      <c r="AY4" s="329"/>
      <c r="AZ4" s="329"/>
      <c r="BA4" s="329"/>
      <c r="BB4" s="329"/>
      <c r="BC4" s="329"/>
      <c r="BD4" s="329"/>
      <c r="BE4" s="329" t="s">
        <v>257</v>
      </c>
      <c r="BF4" s="329" t="s">
        <v>836</v>
      </c>
      <c r="BG4" s="329"/>
      <c r="BH4" s="329"/>
      <c r="BI4" s="329"/>
      <c r="BJ4" s="329"/>
      <c r="BK4" s="329">
        <v>18000</v>
      </c>
      <c r="BL4" s="329"/>
      <c r="BM4" s="331" t="s">
        <v>310</v>
      </c>
      <c r="BN4" s="329" t="s">
        <v>6187</v>
      </c>
      <c r="BO4" s="333">
        <v>43805</v>
      </c>
      <c r="BP4" s="329"/>
      <c r="BQ4" s="329"/>
      <c r="BR4" s="329"/>
      <c r="BS4" s="329"/>
      <c r="BT4" s="329"/>
      <c r="BU4" s="331" t="s">
        <v>261</v>
      </c>
      <c r="BV4" s="329"/>
      <c r="BW4" s="329"/>
      <c r="BX4" s="329"/>
      <c r="BY4" s="331" t="s">
        <v>4205</v>
      </c>
      <c r="BZ4" s="331" t="s">
        <v>4206</v>
      </c>
      <c r="CA4" s="331" t="s">
        <v>383</v>
      </c>
      <c r="CB4" s="331" t="s">
        <v>292</v>
      </c>
      <c r="CC4" s="331" t="s">
        <v>4204</v>
      </c>
    </row>
    <row r="5" spans="1:81" x14ac:dyDescent="0.25">
      <c r="A5" s="329">
        <v>198113</v>
      </c>
      <c r="B5" s="331" t="s">
        <v>6218</v>
      </c>
      <c r="C5" s="329">
        <v>35100</v>
      </c>
      <c r="D5" s="331" t="s">
        <v>6219</v>
      </c>
      <c r="E5" s="331" t="s">
        <v>6220</v>
      </c>
      <c r="F5" s="331" t="s">
        <v>6221</v>
      </c>
      <c r="G5" s="331" t="s">
        <v>6222</v>
      </c>
      <c r="H5" s="331" t="s">
        <v>6223</v>
      </c>
      <c r="I5" s="331" t="s">
        <v>6224</v>
      </c>
      <c r="J5" s="331" t="s">
        <v>298</v>
      </c>
      <c r="K5" s="331" t="s">
        <v>6225</v>
      </c>
      <c r="L5" s="329"/>
      <c r="M5" s="329">
        <v>6</v>
      </c>
      <c r="N5" s="329">
        <v>0</v>
      </c>
      <c r="O5" s="329">
        <v>3.3</v>
      </c>
      <c r="P5" s="329"/>
      <c r="Q5" s="333">
        <v>43655.729861111111</v>
      </c>
      <c r="R5" s="329"/>
      <c r="S5" s="333">
        <v>43804</v>
      </c>
      <c r="T5" s="329">
        <v>55</v>
      </c>
      <c r="U5" s="333">
        <v>43804</v>
      </c>
      <c r="V5" s="333">
        <v>44109</v>
      </c>
      <c r="W5" s="329" t="b">
        <v>1</v>
      </c>
      <c r="X5" s="331" t="s">
        <v>22</v>
      </c>
      <c r="Y5" s="329">
        <v>429</v>
      </c>
      <c r="Z5" s="331" t="s">
        <v>23</v>
      </c>
      <c r="AA5" s="331" t="s">
        <v>919</v>
      </c>
      <c r="AB5" s="331" t="s">
        <v>920</v>
      </c>
      <c r="AC5" s="331" t="s">
        <v>1011</v>
      </c>
      <c r="AD5" s="331" t="s">
        <v>24</v>
      </c>
      <c r="AE5" s="329">
        <v>221</v>
      </c>
      <c r="AF5" s="331" t="s">
        <v>254</v>
      </c>
      <c r="AG5" s="329"/>
      <c r="AH5" s="329">
        <v>17</v>
      </c>
      <c r="AI5" s="331" t="s">
        <v>280</v>
      </c>
      <c r="AJ5" s="331" t="s">
        <v>281</v>
      </c>
      <c r="AK5" s="329"/>
      <c r="AL5" s="329"/>
      <c r="AM5" s="329"/>
      <c r="AN5" s="329"/>
      <c r="AO5" s="329"/>
      <c r="AP5" s="329"/>
      <c r="AQ5" s="329"/>
      <c r="AR5" s="329"/>
      <c r="AS5" s="329"/>
      <c r="AT5" s="329" t="s">
        <v>258</v>
      </c>
      <c r="AU5" s="329" t="s">
        <v>283</v>
      </c>
      <c r="AV5" s="331" t="s">
        <v>298</v>
      </c>
      <c r="AW5" s="329"/>
      <c r="AX5" s="329"/>
      <c r="AY5" s="329"/>
      <c r="AZ5" s="329"/>
      <c r="BA5" s="329"/>
      <c r="BB5" s="329"/>
      <c r="BC5" s="329"/>
      <c r="BD5" s="329"/>
      <c r="BE5" s="329"/>
      <c r="BF5" s="329"/>
      <c r="BG5" s="329"/>
      <c r="BH5" s="329"/>
      <c r="BI5" s="329"/>
      <c r="BJ5" s="329"/>
      <c r="BK5" s="329">
        <v>0</v>
      </c>
      <c r="BL5" s="329"/>
      <c r="BM5" s="331" t="s">
        <v>267</v>
      </c>
      <c r="BN5" s="329" t="s">
        <v>6187</v>
      </c>
      <c r="BO5" s="333">
        <v>43805</v>
      </c>
      <c r="BP5" s="329"/>
      <c r="BQ5" s="329"/>
      <c r="BR5" s="329"/>
      <c r="BS5" s="329"/>
      <c r="BT5" s="329"/>
      <c r="BU5" s="331" t="s">
        <v>261</v>
      </c>
      <c r="BV5" s="329"/>
      <c r="BW5" s="329"/>
      <c r="BX5" s="329"/>
      <c r="BY5" s="331" t="s">
        <v>6226</v>
      </c>
      <c r="BZ5" s="331" t="s">
        <v>6227</v>
      </c>
      <c r="CA5" s="331" t="s">
        <v>6228</v>
      </c>
      <c r="CB5" s="331" t="s">
        <v>298</v>
      </c>
      <c r="CC5" s="331" t="s">
        <v>6229</v>
      </c>
    </row>
    <row r="6" spans="1:81" x14ac:dyDescent="0.25">
      <c r="A6" s="329">
        <v>198585</v>
      </c>
      <c r="B6" s="331" t="s">
        <v>6230</v>
      </c>
      <c r="C6" s="329">
        <v>35317</v>
      </c>
      <c r="D6" s="331" t="s">
        <v>6231</v>
      </c>
      <c r="E6" s="331" t="s">
        <v>1305</v>
      </c>
      <c r="F6" s="331" t="s">
        <v>6232</v>
      </c>
      <c r="G6" s="331" t="s">
        <v>6233</v>
      </c>
      <c r="H6" s="331" t="s">
        <v>6234</v>
      </c>
      <c r="I6" s="331" t="s">
        <v>2940</v>
      </c>
      <c r="J6" s="331" t="s">
        <v>307</v>
      </c>
      <c r="K6" s="331" t="s">
        <v>6235</v>
      </c>
      <c r="L6" s="329"/>
      <c r="M6" s="329">
        <v>6</v>
      </c>
      <c r="N6" s="329">
        <v>0</v>
      </c>
      <c r="O6" s="329">
        <v>2.25</v>
      </c>
      <c r="P6" s="329"/>
      <c r="Q6" s="333">
        <v>43747.370833333334</v>
      </c>
      <c r="R6" s="329"/>
      <c r="S6" s="333">
        <v>43804</v>
      </c>
      <c r="T6" s="329">
        <v>55</v>
      </c>
      <c r="U6" s="333">
        <v>43804</v>
      </c>
      <c r="V6" s="333">
        <v>44109</v>
      </c>
      <c r="W6" s="329" t="b">
        <v>1</v>
      </c>
      <c r="X6" s="331" t="s">
        <v>22</v>
      </c>
      <c r="Y6" s="329">
        <v>429</v>
      </c>
      <c r="Z6" s="331" t="s">
        <v>23</v>
      </c>
      <c r="AA6" s="331" t="s">
        <v>919</v>
      </c>
      <c r="AB6" s="331" t="s">
        <v>920</v>
      </c>
      <c r="AC6" s="331" t="s">
        <v>6236</v>
      </c>
      <c r="AD6" s="331" t="s">
        <v>24</v>
      </c>
      <c r="AE6" s="329">
        <v>221</v>
      </c>
      <c r="AF6" s="331" t="s">
        <v>254</v>
      </c>
      <c r="AG6" s="329"/>
      <c r="AH6" s="329">
        <v>17</v>
      </c>
      <c r="AI6" s="331" t="s">
        <v>280</v>
      </c>
      <c r="AJ6" s="331" t="s">
        <v>281</v>
      </c>
      <c r="AK6" s="329"/>
      <c r="AL6" s="329"/>
      <c r="AM6" s="329"/>
      <c r="AN6" s="329"/>
      <c r="AO6" s="329"/>
      <c r="AP6" s="331" t="s">
        <v>489</v>
      </c>
      <c r="AQ6" s="329">
        <v>490</v>
      </c>
      <c r="AR6" s="329">
        <v>500</v>
      </c>
      <c r="AS6" s="329"/>
      <c r="AT6" s="329" t="s">
        <v>460</v>
      </c>
      <c r="AU6" s="329" t="s">
        <v>256</v>
      </c>
      <c r="AV6" s="331" t="s">
        <v>307</v>
      </c>
      <c r="AW6" s="329"/>
      <c r="AX6" s="329"/>
      <c r="AY6" s="329"/>
      <c r="AZ6" s="329"/>
      <c r="BA6" s="329"/>
      <c r="BB6" s="329"/>
      <c r="BC6" s="329"/>
      <c r="BD6" s="329"/>
      <c r="BE6" s="329"/>
      <c r="BF6" s="329"/>
      <c r="BG6" s="329"/>
      <c r="BH6" s="329"/>
      <c r="BI6" s="329"/>
      <c r="BJ6" s="329"/>
      <c r="BK6" s="329">
        <v>0</v>
      </c>
      <c r="BL6" s="329"/>
      <c r="BM6" s="331" t="s">
        <v>28</v>
      </c>
      <c r="BN6" s="329" t="s">
        <v>6187</v>
      </c>
      <c r="BO6" s="333">
        <v>43805</v>
      </c>
      <c r="BP6" s="329"/>
      <c r="BQ6" s="329"/>
      <c r="BR6" s="329"/>
      <c r="BS6" s="329"/>
      <c r="BT6" s="329"/>
      <c r="BU6" s="331" t="s">
        <v>261</v>
      </c>
      <c r="BV6" s="329"/>
      <c r="BW6" s="329"/>
      <c r="BX6" s="329"/>
      <c r="BY6" s="331" t="s">
        <v>6237</v>
      </c>
      <c r="BZ6" s="331" t="s">
        <v>6238</v>
      </c>
      <c r="CA6" s="331" t="s">
        <v>2940</v>
      </c>
      <c r="CB6" s="331" t="s">
        <v>307</v>
      </c>
      <c r="CC6" s="331" t="s">
        <v>6239</v>
      </c>
    </row>
    <row r="7" spans="1:81" x14ac:dyDescent="0.25">
      <c r="A7" s="329">
        <v>191756</v>
      </c>
      <c r="B7" s="331" t="s">
        <v>6240</v>
      </c>
      <c r="C7" s="329">
        <v>35591</v>
      </c>
      <c r="D7" s="331" t="s">
        <v>6241</v>
      </c>
      <c r="E7" s="331" t="s">
        <v>507</v>
      </c>
      <c r="F7" s="331" t="s">
        <v>6242</v>
      </c>
      <c r="G7" s="331" t="s">
        <v>6243</v>
      </c>
      <c r="H7" s="331" t="s">
        <v>6244</v>
      </c>
      <c r="I7" s="331" t="s">
        <v>6245</v>
      </c>
      <c r="J7" s="331" t="s">
        <v>396</v>
      </c>
      <c r="K7" s="331" t="s">
        <v>6246</v>
      </c>
      <c r="L7" s="329"/>
      <c r="M7" s="329">
        <v>6</v>
      </c>
      <c r="N7" s="329">
        <v>0</v>
      </c>
      <c r="O7" s="329">
        <v>3.6086999999999998</v>
      </c>
      <c r="P7" s="329"/>
      <c r="Q7" s="333">
        <v>43582.659722222219</v>
      </c>
      <c r="R7" s="329"/>
      <c r="S7" s="333">
        <v>43804</v>
      </c>
      <c r="T7" s="329">
        <v>55</v>
      </c>
      <c r="U7" s="333">
        <v>43804</v>
      </c>
      <c r="V7" s="333">
        <v>44109</v>
      </c>
      <c r="W7" s="329" t="b">
        <v>1</v>
      </c>
      <c r="X7" s="331" t="s">
        <v>187</v>
      </c>
      <c r="Y7" s="329">
        <v>718</v>
      </c>
      <c r="Z7" s="331" t="s">
        <v>23</v>
      </c>
      <c r="AA7" s="331" t="s">
        <v>919</v>
      </c>
      <c r="AB7" s="331" t="s">
        <v>920</v>
      </c>
      <c r="AC7" s="331" t="s">
        <v>1329</v>
      </c>
      <c r="AD7" s="331" t="s">
        <v>24</v>
      </c>
      <c r="AE7" s="329">
        <v>221</v>
      </c>
      <c r="AF7" s="331" t="s">
        <v>254</v>
      </c>
      <c r="AG7" s="329"/>
      <c r="AH7" s="329">
        <v>17</v>
      </c>
      <c r="AI7" s="331" t="s">
        <v>280</v>
      </c>
      <c r="AJ7" s="331" t="s">
        <v>281</v>
      </c>
      <c r="AK7" s="331" t="s">
        <v>289</v>
      </c>
      <c r="AL7" s="331" t="s">
        <v>274</v>
      </c>
      <c r="AM7" s="331" t="s">
        <v>290</v>
      </c>
      <c r="AN7" s="331" t="s">
        <v>286</v>
      </c>
      <c r="AO7" s="331" t="s">
        <v>300</v>
      </c>
      <c r="AP7" s="329"/>
      <c r="AQ7" s="329"/>
      <c r="AR7" s="329"/>
      <c r="AS7" s="329"/>
      <c r="AT7" s="329" t="s">
        <v>312</v>
      </c>
      <c r="AU7" s="329" t="s">
        <v>283</v>
      </c>
      <c r="AV7" s="331" t="s">
        <v>396</v>
      </c>
      <c r="AW7" s="329"/>
      <c r="AX7" s="329"/>
      <c r="AY7" s="329"/>
      <c r="AZ7" s="329"/>
      <c r="BA7" s="329"/>
      <c r="BB7" s="329"/>
      <c r="BC7" s="329"/>
      <c r="BD7" s="329"/>
      <c r="BE7" s="329" t="s">
        <v>257</v>
      </c>
      <c r="BF7" s="329" t="s">
        <v>836</v>
      </c>
      <c r="BG7" s="329"/>
      <c r="BH7" s="329"/>
      <c r="BI7" s="329"/>
      <c r="BJ7" s="329"/>
      <c r="BK7" s="329">
        <v>18000</v>
      </c>
      <c r="BL7" s="329"/>
      <c r="BM7" s="331" t="s">
        <v>310</v>
      </c>
      <c r="BN7" s="329" t="s">
        <v>6187</v>
      </c>
      <c r="BO7" s="333">
        <v>43805</v>
      </c>
      <c r="BP7" s="329"/>
      <c r="BQ7" s="329"/>
      <c r="BR7" s="329"/>
      <c r="BS7" s="329"/>
      <c r="BT7" s="329"/>
      <c r="BU7" s="331" t="s">
        <v>261</v>
      </c>
      <c r="BV7" s="329"/>
      <c r="BW7" s="329"/>
      <c r="BX7" s="329"/>
      <c r="BY7" s="331" t="s">
        <v>6247</v>
      </c>
      <c r="BZ7" s="331" t="s">
        <v>6248</v>
      </c>
      <c r="CA7" s="331" t="s">
        <v>6245</v>
      </c>
      <c r="CB7" s="331" t="s">
        <v>396</v>
      </c>
      <c r="CC7" s="331" t="s">
        <v>6246</v>
      </c>
    </row>
    <row r="8" spans="1:81" x14ac:dyDescent="0.25">
      <c r="A8" s="329">
        <v>197631</v>
      </c>
      <c r="B8" s="331" t="s">
        <v>6249</v>
      </c>
      <c r="C8" s="329">
        <v>34929</v>
      </c>
      <c r="D8" s="331" t="s">
        <v>6250</v>
      </c>
      <c r="E8" s="331" t="s">
        <v>6251</v>
      </c>
      <c r="F8" s="331" t="s">
        <v>6252</v>
      </c>
      <c r="G8" s="331" t="s">
        <v>6253</v>
      </c>
      <c r="H8" s="331" t="s">
        <v>6254</v>
      </c>
      <c r="I8" s="331" t="s">
        <v>6255</v>
      </c>
      <c r="J8" s="331" t="s">
        <v>392</v>
      </c>
      <c r="K8" s="331" t="s">
        <v>6256</v>
      </c>
      <c r="L8" s="329"/>
      <c r="M8" s="329">
        <v>6</v>
      </c>
      <c r="N8" s="329">
        <v>0</v>
      </c>
      <c r="O8" s="329">
        <v>3.14</v>
      </c>
      <c r="P8" s="329"/>
      <c r="Q8" s="333">
        <v>43633.794444444444</v>
      </c>
      <c r="R8" s="329"/>
      <c r="S8" s="333">
        <v>43804</v>
      </c>
      <c r="T8" s="329">
        <v>55</v>
      </c>
      <c r="U8" s="333">
        <v>43804</v>
      </c>
      <c r="V8" s="333">
        <v>44109</v>
      </c>
      <c r="W8" s="329" t="b">
        <v>1</v>
      </c>
      <c r="X8" s="331" t="s">
        <v>22</v>
      </c>
      <c r="Y8" s="329">
        <v>429</v>
      </c>
      <c r="Z8" s="331" t="s">
        <v>25</v>
      </c>
      <c r="AA8" s="331" t="s">
        <v>919</v>
      </c>
      <c r="AB8" s="331" t="s">
        <v>920</v>
      </c>
      <c r="AC8" s="331" t="s">
        <v>4640</v>
      </c>
      <c r="AD8" s="331" t="s">
        <v>24</v>
      </c>
      <c r="AE8" s="329">
        <v>221</v>
      </c>
      <c r="AF8" s="331" t="s">
        <v>254</v>
      </c>
      <c r="AG8" s="329"/>
      <c r="AH8" s="329">
        <v>17</v>
      </c>
      <c r="AI8" s="331" t="s">
        <v>280</v>
      </c>
      <c r="AJ8" s="331" t="s">
        <v>281</v>
      </c>
      <c r="AK8" s="329"/>
      <c r="AL8" s="329"/>
      <c r="AM8" s="329"/>
      <c r="AN8" s="329"/>
      <c r="AO8" s="329"/>
      <c r="AP8" s="329"/>
      <c r="AQ8" s="329"/>
      <c r="AR8" s="329"/>
      <c r="AS8" s="329"/>
      <c r="AT8" s="329" t="s">
        <v>258</v>
      </c>
      <c r="AU8" s="329" t="s">
        <v>256</v>
      </c>
      <c r="AV8" s="331" t="s">
        <v>392</v>
      </c>
      <c r="AW8" s="329"/>
      <c r="AX8" s="329"/>
      <c r="AY8" s="329"/>
      <c r="AZ8" s="329"/>
      <c r="BA8" s="329"/>
      <c r="BB8" s="329"/>
      <c r="BC8" s="329"/>
      <c r="BD8" s="329"/>
      <c r="BE8" s="329"/>
      <c r="BF8" s="329"/>
      <c r="BG8" s="329"/>
      <c r="BH8" s="329"/>
      <c r="BI8" s="329"/>
      <c r="BJ8" s="329"/>
      <c r="BK8" s="329">
        <v>0</v>
      </c>
      <c r="BL8" s="329"/>
      <c r="BM8" s="331" t="s">
        <v>28</v>
      </c>
      <c r="BN8" s="329" t="s">
        <v>6187</v>
      </c>
      <c r="BO8" s="333">
        <v>43805</v>
      </c>
      <c r="BP8" s="329"/>
      <c r="BQ8" s="329"/>
      <c r="BR8" s="329"/>
      <c r="BS8" s="329"/>
      <c r="BT8" s="329"/>
      <c r="BU8" s="331" t="s">
        <v>261</v>
      </c>
      <c r="BV8" s="329"/>
      <c r="BW8" s="329"/>
      <c r="BX8" s="329"/>
      <c r="BY8" s="331" t="s">
        <v>6257</v>
      </c>
      <c r="BZ8" s="331" t="s">
        <v>6258</v>
      </c>
      <c r="CA8" s="331" t="s">
        <v>6259</v>
      </c>
      <c r="CB8" s="331" t="s">
        <v>392</v>
      </c>
      <c r="CC8" s="331" t="s">
        <v>6256</v>
      </c>
    </row>
    <row r="9" spans="1:81" x14ac:dyDescent="0.25">
      <c r="A9" s="329">
        <v>194512</v>
      </c>
      <c r="B9" s="331" t="s">
        <v>6260</v>
      </c>
      <c r="C9" s="329">
        <v>35670</v>
      </c>
      <c r="D9" s="331" t="s">
        <v>6261</v>
      </c>
      <c r="E9" s="331" t="s">
        <v>6262</v>
      </c>
      <c r="F9" s="331" t="s">
        <v>6263</v>
      </c>
      <c r="G9" s="331" t="s">
        <v>6264</v>
      </c>
      <c r="H9" s="331" t="s">
        <v>6265</v>
      </c>
      <c r="I9" s="331" t="s">
        <v>6266</v>
      </c>
      <c r="J9" s="331" t="s">
        <v>430</v>
      </c>
      <c r="K9" s="331" t="s">
        <v>6267</v>
      </c>
      <c r="L9" s="329"/>
      <c r="M9" s="329">
        <v>6</v>
      </c>
      <c r="N9" s="329">
        <v>0</v>
      </c>
      <c r="O9" s="329">
        <v>3.968</v>
      </c>
      <c r="P9" s="329"/>
      <c r="Q9" s="333">
        <v>43640.461805555555</v>
      </c>
      <c r="R9" s="329"/>
      <c r="S9" s="333">
        <v>43804</v>
      </c>
      <c r="T9" s="329">
        <v>55</v>
      </c>
      <c r="U9" s="333">
        <v>43804</v>
      </c>
      <c r="V9" s="333">
        <v>44109</v>
      </c>
      <c r="W9" s="329" t="b">
        <v>1</v>
      </c>
      <c r="X9" s="331" t="s">
        <v>22</v>
      </c>
      <c r="Y9" s="329">
        <v>429</v>
      </c>
      <c r="Z9" s="331" t="s">
        <v>25</v>
      </c>
      <c r="AA9" s="331" t="s">
        <v>919</v>
      </c>
      <c r="AB9" s="331" t="s">
        <v>920</v>
      </c>
      <c r="AC9" s="331" t="s">
        <v>1252</v>
      </c>
      <c r="AD9" s="331" t="s">
        <v>24</v>
      </c>
      <c r="AE9" s="329">
        <v>221</v>
      </c>
      <c r="AF9" s="331" t="s">
        <v>254</v>
      </c>
      <c r="AG9" s="329"/>
      <c r="AH9" s="329">
        <v>17</v>
      </c>
      <c r="AI9" s="331" t="s">
        <v>280</v>
      </c>
      <c r="AJ9" s="331" t="s">
        <v>281</v>
      </c>
      <c r="AK9" s="329"/>
      <c r="AL9" s="329"/>
      <c r="AM9" s="329"/>
      <c r="AN9" s="329"/>
      <c r="AO9" s="329"/>
      <c r="AP9" s="329"/>
      <c r="AQ9" s="329"/>
      <c r="AR9" s="329"/>
      <c r="AS9" s="329"/>
      <c r="AT9" s="329" t="s">
        <v>258</v>
      </c>
      <c r="AU9" s="329" t="s">
        <v>256</v>
      </c>
      <c r="AV9" s="331" t="s">
        <v>430</v>
      </c>
      <c r="AW9" s="329"/>
      <c r="AX9" s="329"/>
      <c r="AY9" s="329"/>
      <c r="AZ9" s="329"/>
      <c r="BA9" s="329"/>
      <c r="BB9" s="329"/>
      <c r="BC9" s="329"/>
      <c r="BD9" s="329"/>
      <c r="BE9" s="329" t="s">
        <v>257</v>
      </c>
      <c r="BF9" s="329" t="s">
        <v>838</v>
      </c>
      <c r="BG9" s="329"/>
      <c r="BH9" s="329"/>
      <c r="BI9" s="329"/>
      <c r="BJ9" s="329"/>
      <c r="BK9" s="329">
        <v>15600</v>
      </c>
      <c r="BL9" s="329"/>
      <c r="BM9" s="331" t="s">
        <v>259</v>
      </c>
      <c r="BN9" s="329" t="s">
        <v>6187</v>
      </c>
      <c r="BO9" s="333">
        <v>43805</v>
      </c>
      <c r="BP9" s="329"/>
      <c r="BQ9" s="329"/>
      <c r="BR9" s="329"/>
      <c r="BS9" s="329"/>
      <c r="BT9" s="329"/>
      <c r="BU9" s="331" t="s">
        <v>261</v>
      </c>
      <c r="BV9" s="329"/>
      <c r="BW9" s="329"/>
      <c r="BX9" s="329"/>
      <c r="BY9" s="331" t="s">
        <v>6268</v>
      </c>
      <c r="BZ9" s="331" t="s">
        <v>6269</v>
      </c>
      <c r="CA9" s="331" t="s">
        <v>6266</v>
      </c>
      <c r="CB9" s="331" t="s">
        <v>430</v>
      </c>
      <c r="CC9" s="331" t="s">
        <v>6267</v>
      </c>
    </row>
    <row r="10" spans="1:81" x14ac:dyDescent="0.25">
      <c r="A10" s="329">
        <v>199747</v>
      </c>
      <c r="B10" s="331" t="s">
        <v>6270</v>
      </c>
      <c r="C10" s="329">
        <v>35714</v>
      </c>
      <c r="D10" s="331" t="s">
        <v>6271</v>
      </c>
      <c r="E10" s="331" t="s">
        <v>1121</v>
      </c>
      <c r="F10" s="331" t="s">
        <v>6272</v>
      </c>
      <c r="G10" s="331" t="s">
        <v>6273</v>
      </c>
      <c r="H10" s="331" t="s">
        <v>6274</v>
      </c>
      <c r="I10" s="331" t="s">
        <v>3993</v>
      </c>
      <c r="J10" s="331" t="s">
        <v>393</v>
      </c>
      <c r="K10" s="331" t="s">
        <v>6275</v>
      </c>
      <c r="L10" s="329"/>
      <c r="M10" s="329">
        <v>6</v>
      </c>
      <c r="N10" s="329">
        <v>0</v>
      </c>
      <c r="O10" s="329">
        <v>3.76</v>
      </c>
      <c r="P10" s="329"/>
      <c r="Q10" s="333">
        <v>43774.64166666667</v>
      </c>
      <c r="R10" s="329"/>
      <c r="S10" s="333">
        <v>43804</v>
      </c>
      <c r="T10" s="329">
        <v>55</v>
      </c>
      <c r="U10" s="333">
        <v>43804</v>
      </c>
      <c r="V10" s="333">
        <v>44109</v>
      </c>
      <c r="W10" s="329" t="b">
        <v>1</v>
      </c>
      <c r="X10" s="331" t="s">
        <v>187</v>
      </c>
      <c r="Y10" s="329">
        <v>718</v>
      </c>
      <c r="Z10" s="331" t="s">
        <v>23</v>
      </c>
      <c r="AA10" s="331" t="s">
        <v>188</v>
      </c>
      <c r="AB10" s="331" t="s">
        <v>4503</v>
      </c>
      <c r="AC10" s="331" t="s">
        <v>5618</v>
      </c>
      <c r="AD10" s="331" t="s">
        <v>24</v>
      </c>
      <c r="AE10" s="329">
        <v>221</v>
      </c>
      <c r="AF10" s="331" t="s">
        <v>254</v>
      </c>
      <c r="AG10" s="329"/>
      <c r="AH10" s="329">
        <v>17</v>
      </c>
      <c r="AI10" s="331" t="s">
        <v>280</v>
      </c>
      <c r="AJ10" s="331" t="s">
        <v>281</v>
      </c>
      <c r="AK10" s="329"/>
      <c r="AL10" s="329"/>
      <c r="AM10" s="329"/>
      <c r="AN10" s="329"/>
      <c r="AO10" s="329"/>
      <c r="AP10" s="331" t="s">
        <v>465</v>
      </c>
      <c r="AQ10" s="329">
        <v>650</v>
      </c>
      <c r="AR10" s="329">
        <v>660</v>
      </c>
      <c r="AS10" s="329"/>
      <c r="AT10" s="329" t="s">
        <v>313</v>
      </c>
      <c r="AU10" s="329" t="s">
        <v>567</v>
      </c>
      <c r="AV10" s="331" t="s">
        <v>393</v>
      </c>
      <c r="AW10" s="329"/>
      <c r="AX10" s="329"/>
      <c r="AY10" s="329"/>
      <c r="AZ10" s="329"/>
      <c r="BA10" s="329"/>
      <c r="BB10" s="329"/>
      <c r="BC10" s="329"/>
      <c r="BD10" s="329"/>
      <c r="BE10" s="329" t="s">
        <v>257</v>
      </c>
      <c r="BF10" s="329" t="s">
        <v>836</v>
      </c>
      <c r="BG10" s="329"/>
      <c r="BH10" s="329"/>
      <c r="BI10" s="329"/>
      <c r="BJ10" s="329"/>
      <c r="BK10" s="329">
        <v>18000</v>
      </c>
      <c r="BL10" s="329"/>
      <c r="BM10" s="331" t="s">
        <v>310</v>
      </c>
      <c r="BN10" s="329" t="s">
        <v>6187</v>
      </c>
      <c r="BO10" s="333">
        <v>43805</v>
      </c>
      <c r="BP10" s="329"/>
      <c r="BQ10" s="329"/>
      <c r="BR10" s="329"/>
      <c r="BS10" s="329"/>
      <c r="BT10" s="329"/>
      <c r="BU10" s="331" t="s">
        <v>261</v>
      </c>
      <c r="BV10" s="329"/>
      <c r="BW10" s="329"/>
      <c r="BX10" s="329"/>
      <c r="BY10" s="331" t="s">
        <v>6276</v>
      </c>
      <c r="BZ10" s="331" t="s">
        <v>6277</v>
      </c>
      <c r="CA10" s="331" t="s">
        <v>3993</v>
      </c>
      <c r="CB10" s="331" t="s">
        <v>393</v>
      </c>
      <c r="CC10" s="331" t="s">
        <v>6278</v>
      </c>
    </row>
    <row r="11" spans="1:81" x14ac:dyDescent="0.25">
      <c r="A11" s="329">
        <v>199107</v>
      </c>
      <c r="B11" s="331" t="s">
        <v>6279</v>
      </c>
      <c r="C11" s="329">
        <v>35466</v>
      </c>
      <c r="D11" s="331" t="s">
        <v>6280</v>
      </c>
      <c r="E11" s="331" t="s">
        <v>6281</v>
      </c>
      <c r="F11" s="331" t="s">
        <v>6282</v>
      </c>
      <c r="G11" s="331" t="s">
        <v>6283</v>
      </c>
      <c r="H11" s="331" t="s">
        <v>6284</v>
      </c>
      <c r="I11" s="331" t="s">
        <v>5371</v>
      </c>
      <c r="J11" s="331" t="s">
        <v>21</v>
      </c>
      <c r="K11" s="331" t="s">
        <v>4298</v>
      </c>
      <c r="L11" s="329"/>
      <c r="M11" s="329">
        <v>6</v>
      </c>
      <c r="N11" s="329">
        <v>0</v>
      </c>
      <c r="O11" s="329">
        <v>3.54</v>
      </c>
      <c r="P11" s="329"/>
      <c r="Q11" s="333">
        <v>43413.48333333333</v>
      </c>
      <c r="R11" s="329"/>
      <c r="S11" s="333">
        <v>43804</v>
      </c>
      <c r="T11" s="329">
        <v>55</v>
      </c>
      <c r="U11" s="333">
        <v>43804</v>
      </c>
      <c r="V11" s="333">
        <v>44109</v>
      </c>
      <c r="W11" s="329" t="b">
        <v>1</v>
      </c>
      <c r="X11" s="331" t="s">
        <v>22</v>
      </c>
      <c r="Y11" s="329">
        <v>429</v>
      </c>
      <c r="Z11" s="331" t="s">
        <v>23</v>
      </c>
      <c r="AA11" s="331" t="s">
        <v>252</v>
      </c>
      <c r="AB11" s="331" t="s">
        <v>253</v>
      </c>
      <c r="AC11" s="331" t="s">
        <v>700</v>
      </c>
      <c r="AD11" s="331" t="s">
        <v>24</v>
      </c>
      <c r="AE11" s="329">
        <v>221</v>
      </c>
      <c r="AF11" s="331" t="s">
        <v>254</v>
      </c>
      <c r="AG11" s="329"/>
      <c r="AH11" s="329">
        <v>17</v>
      </c>
      <c r="AI11" s="331" t="s">
        <v>280</v>
      </c>
      <c r="AJ11" s="331" t="s">
        <v>281</v>
      </c>
      <c r="AK11" s="331" t="s">
        <v>290</v>
      </c>
      <c r="AL11" s="331" t="s">
        <v>299</v>
      </c>
      <c r="AM11" s="331" t="s">
        <v>300</v>
      </c>
      <c r="AN11" s="331" t="s">
        <v>290</v>
      </c>
      <c r="AO11" s="331" t="s">
        <v>300</v>
      </c>
      <c r="AP11" s="329"/>
      <c r="AQ11" s="329"/>
      <c r="AR11" s="329"/>
      <c r="AS11" s="329"/>
      <c r="AT11" s="329" t="s">
        <v>353</v>
      </c>
      <c r="AU11" s="329" t="s">
        <v>256</v>
      </c>
      <c r="AV11" s="331" t="s">
        <v>21</v>
      </c>
      <c r="AW11" s="329"/>
      <c r="AX11" s="329"/>
      <c r="AY11" s="329"/>
      <c r="AZ11" s="329"/>
      <c r="BA11" s="329"/>
      <c r="BB11" s="329"/>
      <c r="BC11" s="329"/>
      <c r="BD11" s="329"/>
      <c r="BE11" s="329" t="s">
        <v>257</v>
      </c>
      <c r="BF11" s="329" t="s">
        <v>838</v>
      </c>
      <c r="BG11" s="329"/>
      <c r="BH11" s="329"/>
      <c r="BI11" s="329" t="s">
        <v>334</v>
      </c>
      <c r="BJ11" s="329" t="s">
        <v>831</v>
      </c>
      <c r="BK11" s="329">
        <v>51600</v>
      </c>
      <c r="BL11" s="329"/>
      <c r="BM11" s="331" t="s">
        <v>259</v>
      </c>
      <c r="BN11" s="329" t="s">
        <v>6187</v>
      </c>
      <c r="BO11" s="333">
        <v>43805</v>
      </c>
      <c r="BP11" s="329"/>
      <c r="BQ11" s="329"/>
      <c r="BR11" s="329"/>
      <c r="BS11" s="329"/>
      <c r="BT11" s="329"/>
      <c r="BU11" s="331" t="s">
        <v>261</v>
      </c>
      <c r="BV11" s="329"/>
      <c r="BW11" s="329"/>
      <c r="BX11" s="329"/>
      <c r="BY11" s="331" t="s">
        <v>4299</v>
      </c>
      <c r="BZ11" s="331" t="s">
        <v>4300</v>
      </c>
      <c r="CA11" s="331" t="s">
        <v>4297</v>
      </c>
      <c r="CB11" s="331" t="s">
        <v>21</v>
      </c>
      <c r="CC11" s="331" t="s">
        <v>4298</v>
      </c>
    </row>
    <row r="12" spans="1:81" x14ac:dyDescent="0.25">
      <c r="A12" s="329">
        <v>198226</v>
      </c>
      <c r="B12" s="331" t="s">
        <v>6285</v>
      </c>
      <c r="C12" s="329">
        <v>35165</v>
      </c>
      <c r="D12" s="331" t="s">
        <v>2240</v>
      </c>
      <c r="E12" s="331" t="s">
        <v>6286</v>
      </c>
      <c r="F12" s="331" t="s">
        <v>6287</v>
      </c>
      <c r="G12" s="331" t="s">
        <v>6288</v>
      </c>
      <c r="H12" s="331" t="s">
        <v>6289</v>
      </c>
      <c r="I12" s="331" t="s">
        <v>6290</v>
      </c>
      <c r="J12" s="331" t="s">
        <v>397</v>
      </c>
      <c r="K12" s="331" t="s">
        <v>6291</v>
      </c>
      <c r="L12" s="329"/>
      <c r="M12" s="329">
        <v>6</v>
      </c>
      <c r="N12" s="329">
        <v>0</v>
      </c>
      <c r="O12" s="329">
        <v>2.3953000000000002</v>
      </c>
      <c r="P12" s="329"/>
      <c r="Q12" s="333">
        <v>43732.3</v>
      </c>
      <c r="R12" s="329"/>
      <c r="S12" s="333">
        <v>43804</v>
      </c>
      <c r="T12" s="329">
        <v>55</v>
      </c>
      <c r="U12" s="333">
        <v>43804</v>
      </c>
      <c r="V12" s="333">
        <v>44109</v>
      </c>
      <c r="W12" s="329" t="b">
        <v>1</v>
      </c>
      <c r="X12" s="331" t="s">
        <v>187</v>
      </c>
      <c r="Y12" s="329">
        <v>718</v>
      </c>
      <c r="Z12" s="331" t="s">
        <v>25</v>
      </c>
      <c r="AA12" s="331" t="s">
        <v>919</v>
      </c>
      <c r="AB12" s="331" t="s">
        <v>920</v>
      </c>
      <c r="AC12" s="331" t="s">
        <v>1750</v>
      </c>
      <c r="AD12" s="331" t="s">
        <v>24</v>
      </c>
      <c r="AE12" s="329">
        <v>221</v>
      </c>
      <c r="AF12" s="331" t="s">
        <v>254</v>
      </c>
      <c r="AG12" s="329"/>
      <c r="AH12" s="329">
        <v>17</v>
      </c>
      <c r="AI12" s="331" t="s">
        <v>280</v>
      </c>
      <c r="AJ12" s="331" t="s">
        <v>281</v>
      </c>
      <c r="AK12" s="331" t="s">
        <v>300</v>
      </c>
      <c r="AL12" s="331" t="s">
        <v>275</v>
      </c>
      <c r="AM12" s="331" t="s">
        <v>386</v>
      </c>
      <c r="AN12" s="331" t="s">
        <v>273</v>
      </c>
      <c r="AO12" s="331" t="s">
        <v>299</v>
      </c>
      <c r="AP12" s="329"/>
      <c r="AQ12" s="329"/>
      <c r="AR12" s="329"/>
      <c r="AS12" s="329"/>
      <c r="AT12" s="329" t="s">
        <v>382</v>
      </c>
      <c r="AU12" s="329" t="s">
        <v>256</v>
      </c>
      <c r="AV12" s="331" t="s">
        <v>397</v>
      </c>
      <c r="AW12" s="329"/>
      <c r="AX12" s="329"/>
      <c r="AY12" s="329"/>
      <c r="AZ12" s="329"/>
      <c r="BA12" s="329"/>
      <c r="BB12" s="329"/>
      <c r="BC12" s="329"/>
      <c r="BD12" s="329"/>
      <c r="BE12" s="329"/>
      <c r="BF12" s="329"/>
      <c r="BG12" s="329"/>
      <c r="BH12" s="329"/>
      <c r="BI12" s="329"/>
      <c r="BJ12" s="329"/>
      <c r="BK12" s="329">
        <v>0</v>
      </c>
      <c r="BL12" s="329"/>
      <c r="BM12" s="331" t="s">
        <v>6292</v>
      </c>
      <c r="BN12" s="329" t="s">
        <v>260</v>
      </c>
      <c r="BO12" s="333">
        <v>43805</v>
      </c>
      <c r="BP12" s="329"/>
      <c r="BQ12" s="329"/>
      <c r="BR12" s="329"/>
      <c r="BS12" s="329"/>
      <c r="BT12" s="329"/>
      <c r="BU12" s="331" t="s">
        <v>261</v>
      </c>
      <c r="BV12" s="329"/>
      <c r="BW12" s="329"/>
      <c r="BX12" s="329"/>
      <c r="BY12" s="331" t="s">
        <v>6293</v>
      </c>
      <c r="BZ12" s="331" t="s">
        <v>903</v>
      </c>
      <c r="CA12" s="331" t="s">
        <v>6294</v>
      </c>
      <c r="CB12" s="331" t="s">
        <v>397</v>
      </c>
      <c r="CC12" s="331" t="s">
        <v>6291</v>
      </c>
    </row>
    <row r="13" spans="1:81" x14ac:dyDescent="0.25">
      <c r="A13" s="329">
        <v>198045</v>
      </c>
      <c r="B13" s="331" t="s">
        <v>6295</v>
      </c>
      <c r="C13" s="329">
        <v>35076</v>
      </c>
      <c r="D13" s="331" t="s">
        <v>6296</v>
      </c>
      <c r="E13" s="331" t="s">
        <v>262</v>
      </c>
      <c r="F13" s="331" t="s">
        <v>6297</v>
      </c>
      <c r="G13" s="331" t="s">
        <v>6298</v>
      </c>
      <c r="H13" s="331" t="s">
        <v>6299</v>
      </c>
      <c r="I13" s="331" t="s">
        <v>6300</v>
      </c>
      <c r="J13" s="331" t="s">
        <v>288</v>
      </c>
      <c r="K13" s="331" t="s">
        <v>6301</v>
      </c>
      <c r="L13" s="329"/>
      <c r="M13" s="329">
        <v>6</v>
      </c>
      <c r="N13" s="329">
        <v>0</v>
      </c>
      <c r="O13" s="329">
        <v>3.1</v>
      </c>
      <c r="P13" s="329"/>
      <c r="Q13" s="333">
        <v>43711.706944444442</v>
      </c>
      <c r="R13" s="329"/>
      <c r="S13" s="333">
        <v>43804</v>
      </c>
      <c r="T13" s="329">
        <v>55</v>
      </c>
      <c r="U13" s="333">
        <v>43804</v>
      </c>
      <c r="V13" s="333">
        <v>44109</v>
      </c>
      <c r="W13" s="329" t="b">
        <v>1</v>
      </c>
      <c r="X13" s="331" t="s">
        <v>905</v>
      </c>
      <c r="Y13" s="329">
        <v>747</v>
      </c>
      <c r="Z13" s="331" t="s">
        <v>23</v>
      </c>
      <c r="AA13" s="331" t="s">
        <v>919</v>
      </c>
      <c r="AB13" s="331" t="s">
        <v>920</v>
      </c>
      <c r="AC13" s="331" t="s">
        <v>337</v>
      </c>
      <c r="AD13" s="331" t="s">
        <v>24</v>
      </c>
      <c r="AE13" s="329">
        <v>221</v>
      </c>
      <c r="AF13" s="331" t="s">
        <v>254</v>
      </c>
      <c r="AG13" s="329"/>
      <c r="AH13" s="329">
        <v>17</v>
      </c>
      <c r="AI13" s="331" t="s">
        <v>280</v>
      </c>
      <c r="AJ13" s="331" t="s">
        <v>281</v>
      </c>
      <c r="AK13" s="331" t="s">
        <v>328</v>
      </c>
      <c r="AL13" s="331" t="s">
        <v>329</v>
      </c>
      <c r="AM13" s="331" t="s">
        <v>331</v>
      </c>
      <c r="AN13" s="331" t="s">
        <v>328</v>
      </c>
      <c r="AO13" s="331" t="s">
        <v>331</v>
      </c>
      <c r="AP13" s="329"/>
      <c r="AQ13" s="329"/>
      <c r="AR13" s="329"/>
      <c r="AS13" s="329"/>
      <c r="AT13" s="329" t="s">
        <v>409</v>
      </c>
      <c r="AU13" s="329" t="s">
        <v>283</v>
      </c>
      <c r="AV13" s="331" t="s">
        <v>288</v>
      </c>
      <c r="AW13" s="329"/>
      <c r="AX13" s="329"/>
      <c r="AY13" s="329"/>
      <c r="AZ13" s="329"/>
      <c r="BA13" s="329"/>
      <c r="BB13" s="329"/>
      <c r="BC13" s="329"/>
      <c r="BD13" s="329"/>
      <c r="BE13" s="329"/>
      <c r="BF13" s="329"/>
      <c r="BG13" s="329"/>
      <c r="BH13" s="329"/>
      <c r="BI13" s="329"/>
      <c r="BJ13" s="329"/>
      <c r="BK13" s="329">
        <v>0</v>
      </c>
      <c r="BL13" s="329"/>
      <c r="BM13" s="331" t="s">
        <v>27</v>
      </c>
      <c r="BN13" s="329" t="s">
        <v>6187</v>
      </c>
      <c r="BO13" s="333">
        <v>43805</v>
      </c>
      <c r="BP13" s="329"/>
      <c r="BQ13" s="329"/>
      <c r="BR13" s="329"/>
      <c r="BS13" s="329"/>
      <c r="BT13" s="329"/>
      <c r="BU13" s="331" t="s">
        <v>261</v>
      </c>
      <c r="BV13" s="329"/>
      <c r="BW13" s="329"/>
      <c r="BX13" s="329"/>
      <c r="BY13" s="331" t="s">
        <v>6302</v>
      </c>
      <c r="BZ13" s="331" t="s">
        <v>6303</v>
      </c>
      <c r="CA13" s="331" t="s">
        <v>6300</v>
      </c>
      <c r="CB13" s="331" t="s">
        <v>288</v>
      </c>
      <c r="CC13" s="331" t="s">
        <v>6301</v>
      </c>
    </row>
    <row r="14" spans="1:81" x14ac:dyDescent="0.25">
      <c r="A14" s="329">
        <v>195921</v>
      </c>
      <c r="B14" s="331" t="s">
        <v>6304</v>
      </c>
      <c r="C14" s="329">
        <v>34429</v>
      </c>
      <c r="D14" s="331" t="s">
        <v>6305</v>
      </c>
      <c r="E14" s="331" t="s">
        <v>270</v>
      </c>
      <c r="F14" s="331" t="s">
        <v>6306</v>
      </c>
      <c r="G14" s="331" t="s">
        <v>6307</v>
      </c>
      <c r="H14" s="331" t="s">
        <v>6308</v>
      </c>
      <c r="I14" s="331" t="s">
        <v>6309</v>
      </c>
      <c r="J14" s="331" t="s">
        <v>581</v>
      </c>
      <c r="K14" s="331" t="s">
        <v>6310</v>
      </c>
      <c r="L14" s="329"/>
      <c r="M14" s="329">
        <v>6</v>
      </c>
      <c r="N14" s="329">
        <v>0</v>
      </c>
      <c r="O14" s="329">
        <v>2.0249999999999999</v>
      </c>
      <c r="P14" s="329"/>
      <c r="Q14" s="333">
        <v>43630.729861111111</v>
      </c>
      <c r="R14" s="329"/>
      <c r="S14" s="333">
        <v>43804</v>
      </c>
      <c r="T14" s="329">
        <v>55</v>
      </c>
      <c r="U14" s="333">
        <v>43804</v>
      </c>
      <c r="V14" s="333">
        <v>44109</v>
      </c>
      <c r="W14" s="329" t="b">
        <v>1</v>
      </c>
      <c r="X14" s="331" t="s">
        <v>22</v>
      </c>
      <c r="Y14" s="329">
        <v>429</v>
      </c>
      <c r="Z14" s="331" t="s">
        <v>23</v>
      </c>
      <c r="AA14" s="331" t="s">
        <v>919</v>
      </c>
      <c r="AB14" s="331" t="s">
        <v>920</v>
      </c>
      <c r="AC14" s="331" t="s">
        <v>1670</v>
      </c>
      <c r="AD14" s="331" t="s">
        <v>24</v>
      </c>
      <c r="AE14" s="329">
        <v>221</v>
      </c>
      <c r="AF14" s="331" t="s">
        <v>254</v>
      </c>
      <c r="AG14" s="329"/>
      <c r="AH14" s="329">
        <v>17</v>
      </c>
      <c r="AI14" s="331" t="s">
        <v>280</v>
      </c>
      <c r="AJ14" s="331" t="s">
        <v>281</v>
      </c>
      <c r="AK14" s="331" t="s">
        <v>300</v>
      </c>
      <c r="AL14" s="331" t="s">
        <v>328</v>
      </c>
      <c r="AM14" s="331" t="s">
        <v>275</v>
      </c>
      <c r="AN14" s="331" t="s">
        <v>272</v>
      </c>
      <c r="AO14" s="331" t="s">
        <v>300</v>
      </c>
      <c r="AP14" s="329"/>
      <c r="AQ14" s="329"/>
      <c r="AR14" s="329"/>
      <c r="AS14" s="329"/>
      <c r="AT14" s="329" t="s">
        <v>460</v>
      </c>
      <c r="AU14" s="329" t="s">
        <v>579</v>
      </c>
      <c r="AV14" s="331" t="s">
        <v>581</v>
      </c>
      <c r="AW14" s="329"/>
      <c r="AX14" s="329"/>
      <c r="AY14" s="329"/>
      <c r="AZ14" s="329"/>
      <c r="BA14" s="329"/>
      <c r="BB14" s="329"/>
      <c r="BC14" s="329"/>
      <c r="BD14" s="329"/>
      <c r="BE14" s="329"/>
      <c r="BF14" s="329"/>
      <c r="BG14" s="329"/>
      <c r="BH14" s="329"/>
      <c r="BI14" s="329"/>
      <c r="BJ14" s="329"/>
      <c r="BK14" s="329">
        <v>0</v>
      </c>
      <c r="BL14" s="329"/>
      <c r="BM14" s="331" t="s">
        <v>28</v>
      </c>
      <c r="BN14" s="329" t="s">
        <v>6187</v>
      </c>
      <c r="BO14" s="333">
        <v>43805</v>
      </c>
      <c r="BP14" s="329"/>
      <c r="BQ14" s="329"/>
      <c r="BR14" s="329"/>
      <c r="BS14" s="329"/>
      <c r="BT14" s="329"/>
      <c r="BU14" s="331" t="s">
        <v>261</v>
      </c>
      <c r="BV14" s="329"/>
      <c r="BW14" s="329"/>
      <c r="BX14" s="329"/>
      <c r="BY14" s="331" t="s">
        <v>6311</v>
      </c>
      <c r="BZ14" s="331" t="s">
        <v>6312</v>
      </c>
      <c r="CA14" s="331" t="s">
        <v>6313</v>
      </c>
      <c r="CB14" s="331" t="s">
        <v>581</v>
      </c>
      <c r="CC14" s="331" t="s">
        <v>6310</v>
      </c>
    </row>
    <row r="15" spans="1:81" x14ac:dyDescent="0.25">
      <c r="A15" s="329">
        <v>199076</v>
      </c>
      <c r="B15" s="331" t="s">
        <v>6314</v>
      </c>
      <c r="C15" s="329">
        <v>35454</v>
      </c>
      <c r="D15" s="331" t="s">
        <v>6315</v>
      </c>
      <c r="E15" s="331" t="s">
        <v>505</v>
      </c>
      <c r="F15" s="331" t="s">
        <v>6316</v>
      </c>
      <c r="G15" s="331" t="s">
        <v>6317</v>
      </c>
      <c r="H15" s="331" t="s">
        <v>6318</v>
      </c>
      <c r="I15" s="331" t="s">
        <v>6319</v>
      </c>
      <c r="J15" s="331" t="s">
        <v>187</v>
      </c>
      <c r="K15" s="331" t="s">
        <v>6320</v>
      </c>
      <c r="L15" s="329"/>
      <c r="M15" s="329">
        <v>6</v>
      </c>
      <c r="N15" s="329">
        <v>0</v>
      </c>
      <c r="O15" s="329">
        <v>3.5590000000000002</v>
      </c>
      <c r="P15" s="329"/>
      <c r="Q15" s="333">
        <v>43763.919444444444</v>
      </c>
      <c r="R15" s="329"/>
      <c r="S15" s="333">
        <v>43804</v>
      </c>
      <c r="T15" s="329">
        <v>55</v>
      </c>
      <c r="U15" s="333">
        <v>43804</v>
      </c>
      <c r="V15" s="333">
        <v>44109</v>
      </c>
      <c r="W15" s="329" t="b">
        <v>1</v>
      </c>
      <c r="X15" s="331" t="s">
        <v>22</v>
      </c>
      <c r="Y15" s="329">
        <v>726</v>
      </c>
      <c r="Z15" s="331" t="s">
        <v>336</v>
      </c>
      <c r="AA15" s="331" t="s">
        <v>919</v>
      </c>
      <c r="AB15" s="331" t="s">
        <v>920</v>
      </c>
      <c r="AC15" s="331" t="s">
        <v>720</v>
      </c>
      <c r="AD15" s="331" t="s">
        <v>24</v>
      </c>
      <c r="AE15" s="329">
        <v>221</v>
      </c>
      <c r="AF15" s="331" t="s">
        <v>254</v>
      </c>
      <c r="AG15" s="329"/>
      <c r="AH15" s="329">
        <v>17</v>
      </c>
      <c r="AI15" s="331" t="s">
        <v>280</v>
      </c>
      <c r="AJ15" s="331" t="s">
        <v>281</v>
      </c>
      <c r="AK15" s="329"/>
      <c r="AL15" s="329"/>
      <c r="AM15" s="329"/>
      <c r="AN15" s="329"/>
      <c r="AO15" s="329"/>
      <c r="AP15" s="329"/>
      <c r="AQ15" s="329"/>
      <c r="AR15" s="329"/>
      <c r="AS15" s="329"/>
      <c r="AT15" s="329" t="s">
        <v>258</v>
      </c>
      <c r="AU15" s="329" t="s">
        <v>283</v>
      </c>
      <c r="AV15" s="331" t="s">
        <v>187</v>
      </c>
      <c r="AW15" s="329"/>
      <c r="AX15" s="329"/>
      <c r="AY15" s="329"/>
      <c r="AZ15" s="329"/>
      <c r="BA15" s="329"/>
      <c r="BB15" s="329"/>
      <c r="BC15" s="329"/>
      <c r="BD15" s="329"/>
      <c r="BE15" s="329"/>
      <c r="BF15" s="329"/>
      <c r="BG15" s="329"/>
      <c r="BH15" s="329"/>
      <c r="BI15" s="329"/>
      <c r="BJ15" s="329"/>
      <c r="BK15" s="329">
        <v>0</v>
      </c>
      <c r="BL15" s="329"/>
      <c r="BM15" s="331" t="s">
        <v>189</v>
      </c>
      <c r="BN15" s="329" t="s">
        <v>6187</v>
      </c>
      <c r="BO15" s="333">
        <v>43805</v>
      </c>
      <c r="BP15" s="329"/>
      <c r="BQ15" s="329"/>
      <c r="BR15" s="329"/>
      <c r="BS15" s="329"/>
      <c r="BT15" s="329"/>
      <c r="BU15" s="331" t="s">
        <v>261</v>
      </c>
      <c r="BV15" s="329"/>
      <c r="BW15" s="329"/>
      <c r="BX15" s="329"/>
      <c r="BY15" s="331" t="s">
        <v>6321</v>
      </c>
      <c r="BZ15" s="331" t="s">
        <v>6322</v>
      </c>
      <c r="CA15" s="331" t="s">
        <v>6323</v>
      </c>
      <c r="CB15" s="331" t="s">
        <v>187</v>
      </c>
      <c r="CC15" s="331" t="s">
        <v>6324</v>
      </c>
    </row>
    <row r="16" spans="1:81" x14ac:dyDescent="0.25">
      <c r="A16" s="329">
        <v>199324</v>
      </c>
      <c r="B16" s="331" t="s">
        <v>6325</v>
      </c>
      <c r="C16" s="329">
        <v>35593</v>
      </c>
      <c r="D16" s="331" t="s">
        <v>6326</v>
      </c>
      <c r="E16" s="331" t="s">
        <v>478</v>
      </c>
      <c r="F16" s="331" t="s">
        <v>6327</v>
      </c>
      <c r="G16" s="331" t="s">
        <v>6328</v>
      </c>
      <c r="H16" s="331" t="s">
        <v>6329</v>
      </c>
      <c r="I16" s="331" t="s">
        <v>6330</v>
      </c>
      <c r="J16" s="331" t="s">
        <v>251</v>
      </c>
      <c r="K16" s="331" t="s">
        <v>6331</v>
      </c>
      <c r="L16" s="329"/>
      <c r="M16" s="329">
        <v>6</v>
      </c>
      <c r="N16" s="329">
        <v>0</v>
      </c>
      <c r="O16" s="329">
        <v>2.52</v>
      </c>
      <c r="P16" s="329"/>
      <c r="Q16" s="333">
        <v>43774.654861111114</v>
      </c>
      <c r="R16" s="329"/>
      <c r="S16" s="333">
        <v>43804</v>
      </c>
      <c r="T16" s="329">
        <v>55</v>
      </c>
      <c r="U16" s="333">
        <v>43804</v>
      </c>
      <c r="V16" s="333">
        <v>44109</v>
      </c>
      <c r="W16" s="329" t="b">
        <v>1</v>
      </c>
      <c r="X16" s="331" t="s">
        <v>22</v>
      </c>
      <c r="Y16" s="329">
        <v>429</v>
      </c>
      <c r="Z16" s="331" t="s">
        <v>23</v>
      </c>
      <c r="AA16" s="331" t="s">
        <v>188</v>
      </c>
      <c r="AB16" s="331" t="s">
        <v>4503</v>
      </c>
      <c r="AC16" s="331" t="s">
        <v>5618</v>
      </c>
      <c r="AD16" s="331" t="s">
        <v>24</v>
      </c>
      <c r="AE16" s="329">
        <v>221</v>
      </c>
      <c r="AF16" s="331" t="s">
        <v>254</v>
      </c>
      <c r="AG16" s="329"/>
      <c r="AH16" s="329">
        <v>17</v>
      </c>
      <c r="AI16" s="331" t="s">
        <v>280</v>
      </c>
      <c r="AJ16" s="331" t="s">
        <v>281</v>
      </c>
      <c r="AK16" s="329"/>
      <c r="AL16" s="329"/>
      <c r="AM16" s="329"/>
      <c r="AN16" s="329"/>
      <c r="AO16" s="329"/>
      <c r="AP16" s="329"/>
      <c r="AQ16" s="329"/>
      <c r="AR16" s="329"/>
      <c r="AS16" s="329"/>
      <c r="AT16" s="329" t="s">
        <v>258</v>
      </c>
      <c r="AU16" s="329" t="s">
        <v>567</v>
      </c>
      <c r="AV16" s="331" t="s">
        <v>251</v>
      </c>
      <c r="AW16" s="329"/>
      <c r="AX16" s="329"/>
      <c r="AY16" s="329"/>
      <c r="AZ16" s="329"/>
      <c r="BA16" s="329"/>
      <c r="BB16" s="329"/>
      <c r="BC16" s="329"/>
      <c r="BD16" s="329"/>
      <c r="BE16" s="329"/>
      <c r="BF16" s="329"/>
      <c r="BG16" s="329"/>
      <c r="BH16" s="329"/>
      <c r="BI16" s="329"/>
      <c r="BJ16" s="329"/>
      <c r="BK16" s="329">
        <v>0</v>
      </c>
      <c r="BL16" s="329"/>
      <c r="BM16" s="331" t="s">
        <v>28</v>
      </c>
      <c r="BN16" s="329" t="s">
        <v>6187</v>
      </c>
      <c r="BO16" s="333">
        <v>43805</v>
      </c>
      <c r="BP16" s="329"/>
      <c r="BQ16" s="329"/>
      <c r="BR16" s="329"/>
      <c r="BS16" s="329"/>
      <c r="BT16" s="329"/>
      <c r="BU16" s="331" t="s">
        <v>261</v>
      </c>
      <c r="BV16" s="329"/>
      <c r="BW16" s="329"/>
      <c r="BX16" s="329"/>
      <c r="BY16" s="331" t="s">
        <v>6332</v>
      </c>
      <c r="BZ16" s="331" t="s">
        <v>6333</v>
      </c>
      <c r="CA16" s="331" t="s">
        <v>6334</v>
      </c>
      <c r="CB16" s="331" t="s">
        <v>251</v>
      </c>
      <c r="CC16" s="331" t="s">
        <v>6335</v>
      </c>
    </row>
    <row r="17" spans="1:81" x14ac:dyDescent="0.25">
      <c r="A17" s="329">
        <v>199585</v>
      </c>
      <c r="B17" s="331" t="s">
        <v>6336</v>
      </c>
      <c r="C17" s="329">
        <v>35701</v>
      </c>
      <c r="D17" s="331" t="s">
        <v>6337</v>
      </c>
      <c r="E17" s="331" t="s">
        <v>6338</v>
      </c>
      <c r="F17" s="331" t="s">
        <v>6339</v>
      </c>
      <c r="G17" s="331" t="s">
        <v>6340</v>
      </c>
      <c r="H17" s="331" t="s">
        <v>6341</v>
      </c>
      <c r="I17" s="331" t="s">
        <v>6342</v>
      </c>
      <c r="J17" s="331" t="s">
        <v>354</v>
      </c>
      <c r="K17" s="331" t="s">
        <v>6343</v>
      </c>
      <c r="L17" s="329"/>
      <c r="M17" s="329">
        <v>6</v>
      </c>
      <c r="N17" s="329">
        <v>0</v>
      </c>
      <c r="O17" s="329">
        <v>3.82</v>
      </c>
      <c r="P17" s="329"/>
      <c r="Q17" s="333">
        <v>43784.36041666667</v>
      </c>
      <c r="R17" s="329"/>
      <c r="S17" s="333">
        <v>43804</v>
      </c>
      <c r="T17" s="329">
        <v>55</v>
      </c>
      <c r="U17" s="333">
        <v>43804</v>
      </c>
      <c r="V17" s="333">
        <v>44109</v>
      </c>
      <c r="W17" s="329" t="b">
        <v>1</v>
      </c>
      <c r="X17" s="331" t="s">
        <v>22</v>
      </c>
      <c r="Y17" s="329">
        <v>429</v>
      </c>
      <c r="Z17" s="331" t="s">
        <v>25</v>
      </c>
      <c r="AA17" s="331" t="s">
        <v>919</v>
      </c>
      <c r="AB17" s="331" t="s">
        <v>920</v>
      </c>
      <c r="AC17" s="331" t="s">
        <v>346</v>
      </c>
      <c r="AD17" s="331" t="s">
        <v>24</v>
      </c>
      <c r="AE17" s="329">
        <v>221</v>
      </c>
      <c r="AF17" s="331" t="s">
        <v>254</v>
      </c>
      <c r="AG17" s="329"/>
      <c r="AH17" s="329">
        <v>17</v>
      </c>
      <c r="AI17" s="331" t="s">
        <v>280</v>
      </c>
      <c r="AJ17" s="331" t="s">
        <v>281</v>
      </c>
      <c r="AK17" s="329"/>
      <c r="AL17" s="329"/>
      <c r="AM17" s="329"/>
      <c r="AN17" s="329"/>
      <c r="AO17" s="329"/>
      <c r="AP17" s="329"/>
      <c r="AQ17" s="329"/>
      <c r="AR17" s="329"/>
      <c r="AS17" s="329"/>
      <c r="AT17" s="329" t="s">
        <v>258</v>
      </c>
      <c r="AU17" s="329" t="s">
        <v>283</v>
      </c>
      <c r="AV17" s="331" t="s">
        <v>354</v>
      </c>
      <c r="AW17" s="329"/>
      <c r="AX17" s="329"/>
      <c r="AY17" s="329"/>
      <c r="AZ17" s="329"/>
      <c r="BA17" s="329"/>
      <c r="BB17" s="329"/>
      <c r="BC17" s="329"/>
      <c r="BD17" s="329"/>
      <c r="BE17" s="329" t="s">
        <v>257</v>
      </c>
      <c r="BF17" s="329" t="s">
        <v>837</v>
      </c>
      <c r="BG17" s="329"/>
      <c r="BH17" s="329"/>
      <c r="BI17" s="329"/>
      <c r="BJ17" s="329"/>
      <c r="BK17" s="329">
        <v>15000</v>
      </c>
      <c r="BL17" s="329"/>
      <c r="BM17" s="331" t="s">
        <v>295</v>
      </c>
      <c r="BN17" s="329" t="s">
        <v>6187</v>
      </c>
      <c r="BO17" s="333">
        <v>43805</v>
      </c>
      <c r="BP17" s="329"/>
      <c r="BQ17" s="329"/>
      <c r="BR17" s="329"/>
      <c r="BS17" s="329"/>
      <c r="BT17" s="329"/>
      <c r="BU17" s="331" t="s">
        <v>261</v>
      </c>
      <c r="BV17" s="329"/>
      <c r="BW17" s="329"/>
      <c r="BX17" s="329"/>
      <c r="BY17" s="331" t="s">
        <v>6344</v>
      </c>
      <c r="BZ17" s="331" t="s">
        <v>6345</v>
      </c>
      <c r="CA17" s="331" t="s">
        <v>6346</v>
      </c>
      <c r="CB17" s="331" t="s">
        <v>354</v>
      </c>
      <c r="CC17" s="331" t="s">
        <v>6343</v>
      </c>
    </row>
    <row r="18" spans="1:81" x14ac:dyDescent="0.25">
      <c r="A18" s="329">
        <v>192098</v>
      </c>
      <c r="B18" s="331" t="s">
        <v>6347</v>
      </c>
      <c r="C18" s="329">
        <v>35677</v>
      </c>
      <c r="D18" s="331" t="s">
        <v>6348</v>
      </c>
      <c r="E18" s="331" t="s">
        <v>505</v>
      </c>
      <c r="F18" s="331" t="s">
        <v>6349</v>
      </c>
      <c r="G18" s="331" t="s">
        <v>6350</v>
      </c>
      <c r="H18" s="331" t="s">
        <v>6351</v>
      </c>
      <c r="I18" s="331" t="s">
        <v>6352</v>
      </c>
      <c r="J18" s="331" t="s">
        <v>298</v>
      </c>
      <c r="K18" s="331" t="s">
        <v>6353</v>
      </c>
      <c r="L18" s="329"/>
      <c r="M18" s="329">
        <v>6</v>
      </c>
      <c r="N18" s="329">
        <v>0</v>
      </c>
      <c r="O18" s="329">
        <v>3.9487000000000001</v>
      </c>
      <c r="P18" s="329"/>
      <c r="Q18" s="333">
        <v>43592.729166666664</v>
      </c>
      <c r="R18" s="329"/>
      <c r="S18" s="333">
        <v>43804</v>
      </c>
      <c r="T18" s="329">
        <v>55</v>
      </c>
      <c r="U18" s="333">
        <v>43804</v>
      </c>
      <c r="V18" s="333">
        <v>44109</v>
      </c>
      <c r="W18" s="329" t="b">
        <v>1</v>
      </c>
      <c r="X18" s="331" t="s">
        <v>22</v>
      </c>
      <c r="Y18" s="329">
        <v>726</v>
      </c>
      <c r="Z18" s="331" t="s">
        <v>23</v>
      </c>
      <c r="AA18" s="331" t="s">
        <v>919</v>
      </c>
      <c r="AB18" s="331" t="s">
        <v>920</v>
      </c>
      <c r="AC18" s="331" t="s">
        <v>1361</v>
      </c>
      <c r="AD18" s="331" t="s">
        <v>24</v>
      </c>
      <c r="AE18" s="329">
        <v>221</v>
      </c>
      <c r="AF18" s="331" t="s">
        <v>254</v>
      </c>
      <c r="AG18" s="329"/>
      <c r="AH18" s="329">
        <v>17</v>
      </c>
      <c r="AI18" s="331" t="s">
        <v>280</v>
      </c>
      <c r="AJ18" s="331" t="s">
        <v>281</v>
      </c>
      <c r="AK18" s="329"/>
      <c r="AL18" s="329"/>
      <c r="AM18" s="329"/>
      <c r="AN18" s="329"/>
      <c r="AO18" s="329"/>
      <c r="AP18" s="331" t="s">
        <v>6354</v>
      </c>
      <c r="AQ18" s="329">
        <v>750</v>
      </c>
      <c r="AR18" s="329">
        <v>710</v>
      </c>
      <c r="AS18" s="329"/>
      <c r="AT18" s="329" t="s">
        <v>848</v>
      </c>
      <c r="AU18" s="329" t="s">
        <v>256</v>
      </c>
      <c r="AV18" s="331" t="s">
        <v>298</v>
      </c>
      <c r="AW18" s="329"/>
      <c r="AX18" s="329"/>
      <c r="AY18" s="329"/>
      <c r="AZ18" s="329"/>
      <c r="BA18" s="329"/>
      <c r="BB18" s="329"/>
      <c r="BC18" s="329"/>
      <c r="BD18" s="329"/>
      <c r="BE18" s="329" t="s">
        <v>257</v>
      </c>
      <c r="BF18" s="329" t="s">
        <v>834</v>
      </c>
      <c r="BG18" s="329"/>
      <c r="BH18" s="329"/>
      <c r="BI18" s="329"/>
      <c r="BJ18" s="329"/>
      <c r="BK18" s="329">
        <v>20400</v>
      </c>
      <c r="BL18" s="329"/>
      <c r="BM18" s="331" t="s">
        <v>278</v>
      </c>
      <c r="BN18" s="329" t="s">
        <v>6187</v>
      </c>
      <c r="BO18" s="333">
        <v>43805</v>
      </c>
      <c r="BP18" s="329"/>
      <c r="BQ18" s="329"/>
      <c r="BR18" s="329"/>
      <c r="BS18" s="329"/>
      <c r="BT18" s="329"/>
      <c r="BU18" s="331" t="s">
        <v>261</v>
      </c>
      <c r="BV18" s="329"/>
      <c r="BW18" s="329"/>
      <c r="BX18" s="329"/>
      <c r="BY18" s="331" t="s">
        <v>6355</v>
      </c>
      <c r="BZ18" s="331" t="s">
        <v>6356</v>
      </c>
      <c r="CA18" s="331" t="s">
        <v>6357</v>
      </c>
      <c r="CB18" s="331" t="s">
        <v>298</v>
      </c>
      <c r="CC18" s="331" t="s">
        <v>6358</v>
      </c>
    </row>
    <row r="19" spans="1:81" x14ac:dyDescent="0.25">
      <c r="A19" s="329">
        <v>199245</v>
      </c>
      <c r="B19" s="331" t="s">
        <v>6359</v>
      </c>
      <c r="C19" s="329">
        <v>35505</v>
      </c>
      <c r="D19" s="331" t="s">
        <v>6360</v>
      </c>
      <c r="E19" s="331" t="s">
        <v>6361</v>
      </c>
      <c r="F19" s="331" t="s">
        <v>6362</v>
      </c>
      <c r="G19" s="331" t="s">
        <v>6363</v>
      </c>
      <c r="H19" s="331" t="s">
        <v>6364</v>
      </c>
      <c r="I19" s="331" t="s">
        <v>6365</v>
      </c>
      <c r="J19" s="331" t="s">
        <v>581</v>
      </c>
      <c r="K19" s="331" t="s">
        <v>6366</v>
      </c>
      <c r="L19" s="329"/>
      <c r="M19" s="329">
        <v>6</v>
      </c>
      <c r="N19" s="329">
        <v>0</v>
      </c>
      <c r="O19" s="329">
        <v>3.8460000000000001</v>
      </c>
      <c r="P19" s="329"/>
      <c r="Q19" s="333">
        <v>43771.515972222223</v>
      </c>
      <c r="R19" s="329"/>
      <c r="S19" s="333">
        <v>43804</v>
      </c>
      <c r="T19" s="329">
        <v>55</v>
      </c>
      <c r="U19" s="333">
        <v>43804</v>
      </c>
      <c r="V19" s="333">
        <v>44109</v>
      </c>
      <c r="W19" s="329" t="b">
        <v>1</v>
      </c>
      <c r="X19" s="331" t="s">
        <v>22</v>
      </c>
      <c r="Y19" s="329">
        <v>429</v>
      </c>
      <c r="Z19" s="331" t="s">
        <v>23</v>
      </c>
      <c r="AA19" s="331" t="s">
        <v>919</v>
      </c>
      <c r="AB19" s="331" t="s">
        <v>920</v>
      </c>
      <c r="AC19" s="331" t="s">
        <v>2182</v>
      </c>
      <c r="AD19" s="331" t="s">
        <v>24</v>
      </c>
      <c r="AE19" s="329">
        <v>221</v>
      </c>
      <c r="AF19" s="331" t="s">
        <v>254</v>
      </c>
      <c r="AG19" s="329"/>
      <c r="AH19" s="329">
        <v>17</v>
      </c>
      <c r="AI19" s="331" t="s">
        <v>280</v>
      </c>
      <c r="AJ19" s="331" t="s">
        <v>281</v>
      </c>
      <c r="AK19" s="329"/>
      <c r="AL19" s="329"/>
      <c r="AM19" s="329"/>
      <c r="AN19" s="329"/>
      <c r="AO19" s="329"/>
      <c r="AP19" s="329"/>
      <c r="AQ19" s="329"/>
      <c r="AR19" s="329"/>
      <c r="AS19" s="329"/>
      <c r="AT19" s="329" t="s">
        <v>258</v>
      </c>
      <c r="AU19" s="329" t="s">
        <v>283</v>
      </c>
      <c r="AV19" s="331" t="s">
        <v>581</v>
      </c>
      <c r="AW19" s="329"/>
      <c r="AX19" s="329"/>
      <c r="AY19" s="329"/>
      <c r="AZ19" s="329"/>
      <c r="BA19" s="329"/>
      <c r="BB19" s="329"/>
      <c r="BC19" s="329"/>
      <c r="BD19" s="329"/>
      <c r="BE19" s="329" t="s">
        <v>257</v>
      </c>
      <c r="BF19" s="329" t="s">
        <v>836</v>
      </c>
      <c r="BG19" s="329"/>
      <c r="BH19" s="329"/>
      <c r="BI19" s="329"/>
      <c r="BJ19" s="329"/>
      <c r="BK19" s="329">
        <v>18000</v>
      </c>
      <c r="BL19" s="329"/>
      <c r="BM19" s="331" t="s">
        <v>310</v>
      </c>
      <c r="BN19" s="329" t="s">
        <v>6187</v>
      </c>
      <c r="BO19" s="333">
        <v>43805</v>
      </c>
      <c r="BP19" s="329"/>
      <c r="BQ19" s="329"/>
      <c r="BR19" s="329"/>
      <c r="BS19" s="329"/>
      <c r="BT19" s="329"/>
      <c r="BU19" s="331" t="s">
        <v>261</v>
      </c>
      <c r="BV19" s="329"/>
      <c r="BW19" s="329"/>
      <c r="BX19" s="329"/>
      <c r="BY19" s="331" t="s">
        <v>6367</v>
      </c>
      <c r="BZ19" s="331" t="s">
        <v>6368</v>
      </c>
      <c r="CA19" s="331" t="s">
        <v>6369</v>
      </c>
      <c r="CB19" s="331" t="s">
        <v>581</v>
      </c>
      <c r="CC19" s="331" t="s">
        <v>6366</v>
      </c>
    </row>
    <row r="20" spans="1:81" x14ac:dyDescent="0.25">
      <c r="A20" s="329">
        <v>199698</v>
      </c>
      <c r="B20" s="331" t="s">
        <v>6370</v>
      </c>
      <c r="C20" s="329">
        <v>35731</v>
      </c>
      <c r="D20" s="331" t="s">
        <v>6371</v>
      </c>
      <c r="E20" s="331" t="s">
        <v>3061</v>
      </c>
      <c r="F20" s="331" t="s">
        <v>6372</v>
      </c>
      <c r="G20" s="331" t="s">
        <v>6373</v>
      </c>
      <c r="H20" s="331" t="s">
        <v>6374</v>
      </c>
      <c r="I20" s="331" t="s">
        <v>420</v>
      </c>
      <c r="J20" s="331" t="s">
        <v>298</v>
      </c>
      <c r="K20" s="331" t="s">
        <v>6375</v>
      </c>
      <c r="L20" s="329"/>
      <c r="M20" s="329">
        <v>6</v>
      </c>
      <c r="N20" s="329">
        <v>0</v>
      </c>
      <c r="O20" s="329">
        <v>4</v>
      </c>
      <c r="P20" s="329"/>
      <c r="Q20" s="333">
        <v>43790.367361111108</v>
      </c>
      <c r="R20" s="329"/>
      <c r="S20" s="333">
        <v>43804</v>
      </c>
      <c r="T20" s="329">
        <v>55</v>
      </c>
      <c r="U20" s="333">
        <v>43804</v>
      </c>
      <c r="V20" s="333">
        <v>44109</v>
      </c>
      <c r="W20" s="329" t="b">
        <v>1</v>
      </c>
      <c r="X20" s="331" t="s">
        <v>22</v>
      </c>
      <c r="Y20" s="329">
        <v>429</v>
      </c>
      <c r="Z20" s="331" t="s">
        <v>23</v>
      </c>
      <c r="AA20" s="331" t="s">
        <v>919</v>
      </c>
      <c r="AB20" s="331" t="s">
        <v>920</v>
      </c>
      <c r="AC20" s="331" t="s">
        <v>364</v>
      </c>
      <c r="AD20" s="331" t="s">
        <v>24</v>
      </c>
      <c r="AE20" s="329">
        <v>221</v>
      </c>
      <c r="AF20" s="331" t="s">
        <v>254</v>
      </c>
      <c r="AG20" s="329"/>
      <c r="AH20" s="329">
        <v>17</v>
      </c>
      <c r="AI20" s="331" t="s">
        <v>280</v>
      </c>
      <c r="AJ20" s="331" t="s">
        <v>281</v>
      </c>
      <c r="AK20" s="331" t="s">
        <v>272</v>
      </c>
      <c r="AL20" s="331" t="s">
        <v>347</v>
      </c>
      <c r="AM20" s="331" t="s">
        <v>287</v>
      </c>
      <c r="AN20" s="331" t="s">
        <v>289</v>
      </c>
      <c r="AO20" s="331" t="s">
        <v>289</v>
      </c>
      <c r="AP20" s="331" t="s">
        <v>5477</v>
      </c>
      <c r="AQ20" s="329">
        <v>700</v>
      </c>
      <c r="AR20" s="329">
        <v>660</v>
      </c>
      <c r="AS20" s="329"/>
      <c r="AT20" s="329" t="s">
        <v>385</v>
      </c>
      <c r="AU20" s="329" t="s">
        <v>256</v>
      </c>
      <c r="AV20" s="331" t="s">
        <v>298</v>
      </c>
      <c r="AW20" s="329"/>
      <c r="AX20" s="329"/>
      <c r="AY20" s="329"/>
      <c r="AZ20" s="329"/>
      <c r="BA20" s="329"/>
      <c r="BB20" s="329"/>
      <c r="BC20" s="329"/>
      <c r="BD20" s="329"/>
      <c r="BE20" s="329" t="s">
        <v>257</v>
      </c>
      <c r="BF20" s="329" t="s">
        <v>834</v>
      </c>
      <c r="BG20" s="329"/>
      <c r="BH20" s="329"/>
      <c r="BI20" s="329"/>
      <c r="BJ20" s="329"/>
      <c r="BK20" s="329">
        <v>20400</v>
      </c>
      <c r="BL20" s="329"/>
      <c r="BM20" s="331" t="s">
        <v>278</v>
      </c>
      <c r="BN20" s="329" t="s">
        <v>6187</v>
      </c>
      <c r="BO20" s="333">
        <v>43805</v>
      </c>
      <c r="BP20" s="329"/>
      <c r="BQ20" s="329"/>
      <c r="BR20" s="329"/>
      <c r="BS20" s="329"/>
      <c r="BT20" s="329"/>
      <c r="BU20" s="331" t="s">
        <v>261</v>
      </c>
      <c r="BV20" s="329"/>
      <c r="BW20" s="329"/>
      <c r="BX20" s="329"/>
      <c r="BY20" s="331" t="s">
        <v>6376</v>
      </c>
      <c r="BZ20" s="331" t="s">
        <v>6377</v>
      </c>
      <c r="CA20" s="331" t="s">
        <v>420</v>
      </c>
      <c r="CB20" s="331" t="s">
        <v>298</v>
      </c>
      <c r="CC20" s="331" t="s">
        <v>6378</v>
      </c>
    </row>
    <row r="21" spans="1:81" x14ac:dyDescent="0.25">
      <c r="A21" s="329">
        <v>198528</v>
      </c>
      <c r="B21" s="331" t="s">
        <v>6379</v>
      </c>
      <c r="C21" s="329">
        <v>35483</v>
      </c>
      <c r="D21" s="331" t="s">
        <v>6380</v>
      </c>
      <c r="E21" s="331" t="s">
        <v>475</v>
      </c>
      <c r="F21" s="331" t="s">
        <v>6381</v>
      </c>
      <c r="G21" s="331" t="s">
        <v>6382</v>
      </c>
      <c r="H21" s="331" t="s">
        <v>6383</v>
      </c>
      <c r="I21" s="331" t="s">
        <v>6384</v>
      </c>
      <c r="J21" s="331" t="s">
        <v>21</v>
      </c>
      <c r="K21" s="331" t="s">
        <v>6385</v>
      </c>
      <c r="L21" s="329"/>
      <c r="M21" s="329">
        <v>6</v>
      </c>
      <c r="N21" s="329">
        <v>0</v>
      </c>
      <c r="O21" s="329">
        <v>3.0977000000000001</v>
      </c>
      <c r="P21" s="329"/>
      <c r="Q21" s="333">
        <v>43745.839583333334</v>
      </c>
      <c r="R21" s="329"/>
      <c r="S21" s="333">
        <v>43804</v>
      </c>
      <c r="T21" s="329">
        <v>55</v>
      </c>
      <c r="U21" s="333">
        <v>43804</v>
      </c>
      <c r="V21" s="333">
        <v>44109</v>
      </c>
      <c r="W21" s="329" t="b">
        <v>1</v>
      </c>
      <c r="X21" s="331" t="s">
        <v>187</v>
      </c>
      <c r="Y21" s="329">
        <v>718</v>
      </c>
      <c r="Z21" s="331" t="s">
        <v>23</v>
      </c>
      <c r="AA21" s="331" t="s">
        <v>252</v>
      </c>
      <c r="AB21" s="331" t="s">
        <v>253</v>
      </c>
      <c r="AC21" s="331" t="s">
        <v>4924</v>
      </c>
      <c r="AD21" s="331" t="s">
        <v>24</v>
      </c>
      <c r="AE21" s="329">
        <v>221</v>
      </c>
      <c r="AF21" s="331" t="s">
        <v>254</v>
      </c>
      <c r="AG21" s="329"/>
      <c r="AH21" s="329">
        <v>17</v>
      </c>
      <c r="AI21" s="331" t="s">
        <v>280</v>
      </c>
      <c r="AJ21" s="331" t="s">
        <v>281</v>
      </c>
      <c r="AK21" s="329"/>
      <c r="AL21" s="329"/>
      <c r="AM21" s="329"/>
      <c r="AN21" s="329"/>
      <c r="AO21" s="329"/>
      <c r="AP21" s="329"/>
      <c r="AQ21" s="329"/>
      <c r="AR21" s="329"/>
      <c r="AS21" s="329"/>
      <c r="AT21" s="329" t="s">
        <v>258</v>
      </c>
      <c r="AU21" s="329" t="s">
        <v>277</v>
      </c>
      <c r="AV21" s="331" t="s">
        <v>755</v>
      </c>
      <c r="AW21" s="329"/>
      <c r="AX21" s="329"/>
      <c r="AY21" s="329"/>
      <c r="AZ21" s="329"/>
      <c r="BA21" s="329"/>
      <c r="BB21" s="329"/>
      <c r="BC21" s="329"/>
      <c r="BD21" s="329"/>
      <c r="BE21" s="329"/>
      <c r="BF21" s="329"/>
      <c r="BG21" s="329"/>
      <c r="BH21" s="329"/>
      <c r="BI21" s="329"/>
      <c r="BJ21" s="329"/>
      <c r="BK21" s="329">
        <v>0</v>
      </c>
      <c r="BL21" s="329"/>
      <c r="BM21" s="331" t="s">
        <v>28</v>
      </c>
      <c r="BN21" s="329" t="s">
        <v>6187</v>
      </c>
      <c r="BO21" s="333">
        <v>43805</v>
      </c>
      <c r="BP21" s="329"/>
      <c r="BQ21" s="329"/>
      <c r="BR21" s="329"/>
      <c r="BS21" s="329"/>
      <c r="BT21" s="329"/>
      <c r="BU21" s="331" t="s">
        <v>261</v>
      </c>
      <c r="BV21" s="329"/>
      <c r="BW21" s="329"/>
      <c r="BX21" s="329"/>
      <c r="BY21" s="331" t="s">
        <v>6386</v>
      </c>
      <c r="BZ21" s="331" t="s">
        <v>6387</v>
      </c>
      <c r="CA21" s="331" t="s">
        <v>6388</v>
      </c>
      <c r="CB21" s="331" t="s">
        <v>755</v>
      </c>
      <c r="CC21" s="331" t="s">
        <v>6389</v>
      </c>
    </row>
    <row r="22" spans="1:81" x14ac:dyDescent="0.25">
      <c r="A22" s="329">
        <v>198654</v>
      </c>
      <c r="B22" s="331" t="s">
        <v>6390</v>
      </c>
      <c r="C22" s="329">
        <v>35344</v>
      </c>
      <c r="D22" s="331" t="s">
        <v>6391</v>
      </c>
      <c r="E22" s="331" t="s">
        <v>6392</v>
      </c>
      <c r="F22" s="331" t="s">
        <v>6393</v>
      </c>
      <c r="G22" s="331" t="s">
        <v>6394</v>
      </c>
      <c r="H22" s="331" t="s">
        <v>6395</v>
      </c>
      <c r="I22" s="331" t="s">
        <v>701</v>
      </c>
      <c r="J22" s="331" t="s">
        <v>21</v>
      </c>
      <c r="K22" s="331" t="s">
        <v>891</v>
      </c>
      <c r="L22" s="329"/>
      <c r="M22" s="329">
        <v>6</v>
      </c>
      <c r="N22" s="329">
        <v>0</v>
      </c>
      <c r="O22" s="329">
        <v>3.1722000000000001</v>
      </c>
      <c r="P22" s="329"/>
      <c r="Q22" s="333">
        <v>43740.555555555555</v>
      </c>
      <c r="R22" s="329"/>
      <c r="S22" s="333">
        <v>43804</v>
      </c>
      <c r="T22" s="329">
        <v>55</v>
      </c>
      <c r="U22" s="333">
        <v>43804</v>
      </c>
      <c r="V22" s="333">
        <v>44109</v>
      </c>
      <c r="W22" s="329" t="b">
        <v>1</v>
      </c>
      <c r="X22" s="331" t="s">
        <v>905</v>
      </c>
      <c r="Y22" s="329">
        <v>747</v>
      </c>
      <c r="Z22" s="331" t="s">
        <v>23</v>
      </c>
      <c r="AA22" s="331" t="s">
        <v>188</v>
      </c>
      <c r="AB22" s="331" t="s">
        <v>4503</v>
      </c>
      <c r="AC22" s="331" t="s">
        <v>5885</v>
      </c>
      <c r="AD22" s="331" t="s">
        <v>24</v>
      </c>
      <c r="AE22" s="329">
        <v>221</v>
      </c>
      <c r="AF22" s="331" t="s">
        <v>254</v>
      </c>
      <c r="AG22" s="329"/>
      <c r="AH22" s="329">
        <v>17</v>
      </c>
      <c r="AI22" s="331" t="s">
        <v>280</v>
      </c>
      <c r="AJ22" s="331" t="s">
        <v>281</v>
      </c>
      <c r="AK22" s="329"/>
      <c r="AL22" s="329"/>
      <c r="AM22" s="329"/>
      <c r="AN22" s="329"/>
      <c r="AO22" s="329"/>
      <c r="AP22" s="329"/>
      <c r="AQ22" s="329"/>
      <c r="AR22" s="329"/>
      <c r="AS22" s="329"/>
      <c r="AT22" s="329" t="s">
        <v>258</v>
      </c>
      <c r="AU22" s="329" t="s">
        <v>567</v>
      </c>
      <c r="AV22" s="331" t="s">
        <v>21</v>
      </c>
      <c r="AW22" s="329"/>
      <c r="AX22" s="329"/>
      <c r="AY22" s="329"/>
      <c r="AZ22" s="329"/>
      <c r="BA22" s="329"/>
      <c r="BB22" s="329"/>
      <c r="BC22" s="329"/>
      <c r="BD22" s="329"/>
      <c r="BE22" s="329" t="s">
        <v>257</v>
      </c>
      <c r="BF22" s="329" t="s">
        <v>838</v>
      </c>
      <c r="BG22" s="329"/>
      <c r="BH22" s="329"/>
      <c r="BI22" s="329" t="s">
        <v>334</v>
      </c>
      <c r="BJ22" s="329" t="s">
        <v>831</v>
      </c>
      <c r="BK22" s="329">
        <v>51600</v>
      </c>
      <c r="BL22" s="329"/>
      <c r="BM22" s="331" t="s">
        <v>259</v>
      </c>
      <c r="BN22" s="329" t="s">
        <v>6187</v>
      </c>
      <c r="BO22" s="333">
        <v>43805</v>
      </c>
      <c r="BP22" s="329"/>
      <c r="BQ22" s="329"/>
      <c r="BR22" s="329"/>
      <c r="BS22" s="329"/>
      <c r="BT22" s="329"/>
      <c r="BU22" s="331" t="s">
        <v>261</v>
      </c>
      <c r="BV22" s="329"/>
      <c r="BW22" s="329"/>
      <c r="BX22" s="329"/>
      <c r="BY22" s="329"/>
      <c r="BZ22" s="329"/>
      <c r="CA22" s="329"/>
      <c r="CB22" s="329"/>
      <c r="CC22" s="329"/>
    </row>
    <row r="23" spans="1:81" x14ac:dyDescent="0.25">
      <c r="A23" s="329">
        <v>198216</v>
      </c>
      <c r="B23" s="331" t="s">
        <v>6396</v>
      </c>
      <c r="C23" s="329">
        <v>35162</v>
      </c>
      <c r="D23" s="331" t="s">
        <v>6397</v>
      </c>
      <c r="E23" s="331" t="s">
        <v>3218</v>
      </c>
      <c r="F23" s="331" t="s">
        <v>6398</v>
      </c>
      <c r="G23" s="331" t="s">
        <v>6399</v>
      </c>
      <c r="H23" s="331" t="s">
        <v>6400</v>
      </c>
      <c r="I23" s="331" t="s">
        <v>2773</v>
      </c>
      <c r="J23" s="331" t="s">
        <v>292</v>
      </c>
      <c r="K23" s="331" t="s">
        <v>2770</v>
      </c>
      <c r="L23" s="329"/>
      <c r="M23" s="329">
        <v>6</v>
      </c>
      <c r="N23" s="329">
        <v>0</v>
      </c>
      <c r="O23" s="329">
        <v>3.62</v>
      </c>
      <c r="P23" s="329"/>
      <c r="Q23" s="333">
        <v>43703.850694444445</v>
      </c>
      <c r="R23" s="329"/>
      <c r="S23" s="333">
        <v>43804</v>
      </c>
      <c r="T23" s="329">
        <v>55</v>
      </c>
      <c r="U23" s="333">
        <v>43804</v>
      </c>
      <c r="V23" s="333">
        <v>44109</v>
      </c>
      <c r="W23" s="329" t="b">
        <v>1</v>
      </c>
      <c r="X23" s="331" t="s">
        <v>22</v>
      </c>
      <c r="Y23" s="329">
        <v>429</v>
      </c>
      <c r="Z23" s="331" t="s">
        <v>25</v>
      </c>
      <c r="AA23" s="331" t="s">
        <v>919</v>
      </c>
      <c r="AB23" s="331" t="s">
        <v>920</v>
      </c>
      <c r="AC23" s="331" t="s">
        <v>2673</v>
      </c>
      <c r="AD23" s="331" t="s">
        <v>24</v>
      </c>
      <c r="AE23" s="329">
        <v>221</v>
      </c>
      <c r="AF23" s="331" t="s">
        <v>254</v>
      </c>
      <c r="AG23" s="329"/>
      <c r="AH23" s="329">
        <v>17</v>
      </c>
      <c r="AI23" s="331" t="s">
        <v>280</v>
      </c>
      <c r="AJ23" s="331" t="s">
        <v>281</v>
      </c>
      <c r="AK23" s="329"/>
      <c r="AL23" s="329"/>
      <c r="AM23" s="329"/>
      <c r="AN23" s="329"/>
      <c r="AO23" s="329"/>
      <c r="AP23" s="331" t="s">
        <v>6401</v>
      </c>
      <c r="AQ23" s="329">
        <v>470</v>
      </c>
      <c r="AR23" s="329">
        <v>450</v>
      </c>
      <c r="AS23" s="329"/>
      <c r="AT23" s="329" t="s">
        <v>400</v>
      </c>
      <c r="AU23" s="329" t="s">
        <v>277</v>
      </c>
      <c r="AV23" s="331" t="s">
        <v>292</v>
      </c>
      <c r="AW23" s="329"/>
      <c r="AX23" s="329"/>
      <c r="AY23" s="329"/>
      <c r="AZ23" s="329"/>
      <c r="BA23" s="329"/>
      <c r="BB23" s="329"/>
      <c r="BC23" s="329"/>
      <c r="BD23" s="329"/>
      <c r="BE23" s="329" t="s">
        <v>257</v>
      </c>
      <c r="BF23" s="329" t="s">
        <v>836</v>
      </c>
      <c r="BG23" s="329"/>
      <c r="BH23" s="329"/>
      <c r="BI23" s="329"/>
      <c r="BJ23" s="329"/>
      <c r="BK23" s="329">
        <v>18000</v>
      </c>
      <c r="BL23" s="329"/>
      <c r="BM23" s="331" t="s">
        <v>310</v>
      </c>
      <c r="BN23" s="329" t="s">
        <v>6187</v>
      </c>
      <c r="BO23" s="333">
        <v>43805</v>
      </c>
      <c r="BP23" s="329"/>
      <c r="BQ23" s="329"/>
      <c r="BR23" s="329"/>
      <c r="BS23" s="329"/>
      <c r="BT23" s="329"/>
      <c r="BU23" s="331" t="s">
        <v>261</v>
      </c>
      <c r="BV23" s="329"/>
      <c r="BW23" s="329"/>
      <c r="BX23" s="329"/>
      <c r="BY23" s="331" t="s">
        <v>6402</v>
      </c>
      <c r="BZ23" s="331" t="s">
        <v>6403</v>
      </c>
      <c r="CA23" s="331" t="s">
        <v>774</v>
      </c>
      <c r="CB23" s="331" t="s">
        <v>292</v>
      </c>
      <c r="CC23" s="331" t="s">
        <v>2770</v>
      </c>
    </row>
    <row r="24" spans="1:81" x14ac:dyDescent="0.25">
      <c r="A24" s="329">
        <v>199767</v>
      </c>
      <c r="B24" s="331" t="s">
        <v>6406</v>
      </c>
      <c r="C24" s="329">
        <v>35724</v>
      </c>
      <c r="D24" s="331" t="s">
        <v>428</v>
      </c>
      <c r="E24" s="331" t="s">
        <v>6407</v>
      </c>
      <c r="F24" s="331" t="s">
        <v>6408</v>
      </c>
      <c r="G24" s="331" t="s">
        <v>6409</v>
      </c>
      <c r="H24" s="331" t="s">
        <v>6410</v>
      </c>
      <c r="I24" s="331" t="s">
        <v>896</v>
      </c>
      <c r="J24" s="331" t="s">
        <v>430</v>
      </c>
      <c r="K24" s="331" t="s">
        <v>6411</v>
      </c>
      <c r="L24" s="329"/>
      <c r="M24" s="329">
        <v>6</v>
      </c>
      <c r="N24" s="329">
        <v>0</v>
      </c>
      <c r="O24" s="329">
        <v>3.069</v>
      </c>
      <c r="P24" s="329"/>
      <c r="Q24" s="333">
        <v>43399.035416666666</v>
      </c>
      <c r="R24" s="329"/>
      <c r="S24" s="333">
        <v>43804</v>
      </c>
      <c r="T24" s="329">
        <v>55</v>
      </c>
      <c r="U24" s="333">
        <v>43804</v>
      </c>
      <c r="V24" s="333">
        <v>44109</v>
      </c>
      <c r="W24" s="329" t="b">
        <v>1</v>
      </c>
      <c r="X24" s="331" t="s">
        <v>187</v>
      </c>
      <c r="Y24" s="329">
        <v>718</v>
      </c>
      <c r="Z24" s="331" t="s">
        <v>23</v>
      </c>
      <c r="AA24" s="331" t="s">
        <v>252</v>
      </c>
      <c r="AB24" s="331" t="s">
        <v>253</v>
      </c>
      <c r="AC24" s="331" t="s">
        <v>311</v>
      </c>
      <c r="AD24" s="331" t="s">
        <v>24</v>
      </c>
      <c r="AE24" s="329">
        <v>221</v>
      </c>
      <c r="AF24" s="331" t="s">
        <v>254</v>
      </c>
      <c r="AG24" s="329"/>
      <c r="AH24" s="329">
        <v>17</v>
      </c>
      <c r="AI24" s="331" t="s">
        <v>280</v>
      </c>
      <c r="AJ24" s="331" t="s">
        <v>281</v>
      </c>
      <c r="AK24" s="331" t="s">
        <v>299</v>
      </c>
      <c r="AL24" s="331" t="s">
        <v>301</v>
      </c>
      <c r="AM24" s="331" t="s">
        <v>331</v>
      </c>
      <c r="AN24" s="331" t="s">
        <v>330</v>
      </c>
      <c r="AO24" s="331" t="s">
        <v>301</v>
      </c>
      <c r="AP24" s="329"/>
      <c r="AQ24" s="329"/>
      <c r="AR24" s="329"/>
      <c r="AS24" s="329"/>
      <c r="AT24" s="329" t="s">
        <v>365</v>
      </c>
      <c r="AU24" s="329" t="s">
        <v>256</v>
      </c>
      <c r="AV24" s="331" t="s">
        <v>430</v>
      </c>
      <c r="AW24" s="329"/>
      <c r="AX24" s="329"/>
      <c r="AY24" s="329"/>
      <c r="AZ24" s="329"/>
      <c r="BA24" s="329"/>
      <c r="BB24" s="329"/>
      <c r="BC24" s="329"/>
      <c r="BD24" s="329"/>
      <c r="BE24" s="329" t="s">
        <v>257</v>
      </c>
      <c r="BF24" s="329" t="s">
        <v>837</v>
      </c>
      <c r="BG24" s="329"/>
      <c r="BH24" s="329" t="s">
        <v>258</v>
      </c>
      <c r="BI24" s="329"/>
      <c r="BJ24" s="329" t="s">
        <v>258</v>
      </c>
      <c r="BK24" s="329">
        <v>15000</v>
      </c>
      <c r="BL24" s="329"/>
      <c r="BM24" s="331" t="s">
        <v>295</v>
      </c>
      <c r="BN24" s="329" t="s">
        <v>6187</v>
      </c>
      <c r="BO24" s="333">
        <v>43805</v>
      </c>
      <c r="BP24" s="329"/>
      <c r="BQ24" s="335">
        <v>43801</v>
      </c>
      <c r="BR24" s="329"/>
      <c r="BS24" s="329"/>
      <c r="BT24" s="329"/>
      <c r="BU24" s="331" t="s">
        <v>261</v>
      </c>
      <c r="BV24" s="329"/>
      <c r="BW24" s="329"/>
      <c r="BX24" s="329"/>
      <c r="BY24" s="331" t="s">
        <v>6412</v>
      </c>
      <c r="BZ24" s="331" t="s">
        <v>6413</v>
      </c>
      <c r="CA24" s="331" t="s">
        <v>429</v>
      </c>
      <c r="CB24" s="331" t="s">
        <v>430</v>
      </c>
      <c r="CC24" s="331" t="s">
        <v>6414</v>
      </c>
    </row>
    <row r="25" spans="1:81" x14ac:dyDescent="0.25">
      <c r="A25" s="329">
        <v>198086</v>
      </c>
      <c r="B25" s="331" t="s">
        <v>6415</v>
      </c>
      <c r="C25" s="329">
        <v>35658</v>
      </c>
      <c r="D25" s="331" t="s">
        <v>6416</v>
      </c>
      <c r="E25" s="331" t="s">
        <v>442</v>
      </c>
      <c r="F25" s="331" t="s">
        <v>6417</v>
      </c>
      <c r="G25" s="331" t="s">
        <v>6418</v>
      </c>
      <c r="H25" s="331" t="s">
        <v>6419</v>
      </c>
      <c r="I25" s="331" t="s">
        <v>6420</v>
      </c>
      <c r="J25" s="331" t="s">
        <v>307</v>
      </c>
      <c r="K25" s="331" t="s">
        <v>6421</v>
      </c>
      <c r="L25" s="329"/>
      <c r="M25" s="329">
        <v>6</v>
      </c>
      <c r="N25" s="329">
        <v>0</v>
      </c>
      <c r="O25" s="329">
        <v>3.02</v>
      </c>
      <c r="P25" s="329"/>
      <c r="Q25" s="333">
        <v>43733.779166666667</v>
      </c>
      <c r="R25" s="329"/>
      <c r="S25" s="333">
        <v>43804</v>
      </c>
      <c r="T25" s="329">
        <v>55</v>
      </c>
      <c r="U25" s="333">
        <v>43804</v>
      </c>
      <c r="V25" s="333">
        <v>44109</v>
      </c>
      <c r="W25" s="329" t="b">
        <v>1</v>
      </c>
      <c r="X25" s="331" t="s">
        <v>187</v>
      </c>
      <c r="Y25" s="329">
        <v>718</v>
      </c>
      <c r="Z25" s="331" t="s">
        <v>23</v>
      </c>
      <c r="AA25" s="331" t="s">
        <v>919</v>
      </c>
      <c r="AB25" s="331" t="s">
        <v>920</v>
      </c>
      <c r="AC25" s="331" t="s">
        <v>271</v>
      </c>
      <c r="AD25" s="331" t="s">
        <v>24</v>
      </c>
      <c r="AE25" s="329">
        <v>221</v>
      </c>
      <c r="AF25" s="331" t="s">
        <v>254</v>
      </c>
      <c r="AG25" s="329"/>
      <c r="AH25" s="329">
        <v>17</v>
      </c>
      <c r="AI25" s="331" t="s">
        <v>280</v>
      </c>
      <c r="AJ25" s="331" t="s">
        <v>281</v>
      </c>
      <c r="AK25" s="329"/>
      <c r="AL25" s="329"/>
      <c r="AM25" s="329"/>
      <c r="AN25" s="329"/>
      <c r="AO25" s="329"/>
      <c r="AP25" s="331" t="s">
        <v>800</v>
      </c>
      <c r="AQ25" s="329">
        <v>460</v>
      </c>
      <c r="AR25" s="329">
        <v>470</v>
      </c>
      <c r="AS25" s="329"/>
      <c r="AT25" s="329" t="s">
        <v>332</v>
      </c>
      <c r="AU25" s="329" t="s">
        <v>283</v>
      </c>
      <c r="AV25" s="331" t="s">
        <v>307</v>
      </c>
      <c r="AW25" s="329"/>
      <c r="AX25" s="329"/>
      <c r="AY25" s="329"/>
      <c r="AZ25" s="329"/>
      <c r="BA25" s="329"/>
      <c r="BB25" s="329"/>
      <c r="BC25" s="329"/>
      <c r="BD25" s="329"/>
      <c r="BE25" s="329"/>
      <c r="BF25" s="329"/>
      <c r="BG25" s="329"/>
      <c r="BH25" s="329"/>
      <c r="BI25" s="329"/>
      <c r="BJ25" s="329"/>
      <c r="BK25" s="329">
        <v>0</v>
      </c>
      <c r="BL25" s="329"/>
      <c r="BM25" s="329"/>
      <c r="BN25" s="329"/>
      <c r="BO25" s="333">
        <v>43805</v>
      </c>
      <c r="BP25" s="329"/>
      <c r="BQ25" s="329"/>
      <c r="BR25" s="329"/>
      <c r="BS25" s="329"/>
      <c r="BT25" s="329"/>
      <c r="BU25" s="331" t="s">
        <v>261</v>
      </c>
      <c r="BV25" s="329"/>
      <c r="BW25" s="329"/>
      <c r="BX25" s="329"/>
      <c r="BY25" s="331" t="s">
        <v>6422</v>
      </c>
      <c r="BZ25" s="331" t="s">
        <v>6423</v>
      </c>
      <c r="CA25" s="331" t="s">
        <v>6420</v>
      </c>
      <c r="CB25" s="331" t="s">
        <v>307</v>
      </c>
      <c r="CC25" s="331" t="s">
        <v>6421</v>
      </c>
    </row>
    <row r="26" spans="1:81" x14ac:dyDescent="0.25">
      <c r="A26" s="329">
        <v>195698</v>
      </c>
      <c r="B26" s="331" t="s">
        <v>6424</v>
      </c>
      <c r="C26" s="329">
        <v>35635</v>
      </c>
      <c r="D26" s="331" t="s">
        <v>436</v>
      </c>
      <c r="E26" s="331" t="s">
        <v>6425</v>
      </c>
      <c r="F26" s="331" t="s">
        <v>6426</v>
      </c>
      <c r="G26" s="331" t="s">
        <v>6427</v>
      </c>
      <c r="H26" s="331" t="s">
        <v>6428</v>
      </c>
      <c r="I26" s="331" t="s">
        <v>5132</v>
      </c>
      <c r="J26" s="331" t="s">
        <v>21</v>
      </c>
      <c r="K26" s="331" t="s">
        <v>6429</v>
      </c>
      <c r="L26" s="329"/>
      <c r="M26" s="329">
        <v>6</v>
      </c>
      <c r="N26" s="329">
        <v>0</v>
      </c>
      <c r="O26" s="329">
        <v>3.8</v>
      </c>
      <c r="P26" s="329"/>
      <c r="Q26" s="333">
        <v>43672.444444444445</v>
      </c>
      <c r="R26" s="329"/>
      <c r="S26" s="333">
        <v>43804</v>
      </c>
      <c r="T26" s="329">
        <v>55</v>
      </c>
      <c r="U26" s="333">
        <v>43804</v>
      </c>
      <c r="V26" s="333">
        <v>44109</v>
      </c>
      <c r="W26" s="329" t="b">
        <v>1</v>
      </c>
      <c r="X26" s="331" t="s">
        <v>905</v>
      </c>
      <c r="Y26" s="329">
        <v>747</v>
      </c>
      <c r="Z26" s="331" t="s">
        <v>23</v>
      </c>
      <c r="AA26" s="331" t="s">
        <v>919</v>
      </c>
      <c r="AB26" s="331" t="s">
        <v>920</v>
      </c>
      <c r="AC26" s="331" t="s">
        <v>339</v>
      </c>
      <c r="AD26" s="331" t="s">
        <v>24</v>
      </c>
      <c r="AE26" s="329">
        <v>221</v>
      </c>
      <c r="AF26" s="331" t="s">
        <v>254</v>
      </c>
      <c r="AG26" s="329"/>
      <c r="AH26" s="329">
        <v>17</v>
      </c>
      <c r="AI26" s="331" t="s">
        <v>280</v>
      </c>
      <c r="AJ26" s="331" t="s">
        <v>281</v>
      </c>
      <c r="AK26" s="331" t="s">
        <v>275</v>
      </c>
      <c r="AL26" s="331" t="s">
        <v>301</v>
      </c>
      <c r="AM26" s="331" t="s">
        <v>275</v>
      </c>
      <c r="AN26" s="331" t="s">
        <v>289</v>
      </c>
      <c r="AO26" s="331" t="s">
        <v>300</v>
      </c>
      <c r="AP26" s="329"/>
      <c r="AQ26" s="329"/>
      <c r="AR26" s="329"/>
      <c r="AS26" s="329"/>
      <c r="AT26" s="329" t="s">
        <v>312</v>
      </c>
      <c r="AU26" s="329" t="s">
        <v>283</v>
      </c>
      <c r="AV26" s="331" t="s">
        <v>21</v>
      </c>
      <c r="AW26" s="329"/>
      <c r="AX26" s="329"/>
      <c r="AY26" s="329"/>
      <c r="AZ26" s="329"/>
      <c r="BA26" s="329"/>
      <c r="BB26" s="329"/>
      <c r="BC26" s="329"/>
      <c r="BD26" s="329"/>
      <c r="BE26" s="329" t="s">
        <v>257</v>
      </c>
      <c r="BF26" s="329" t="s">
        <v>834</v>
      </c>
      <c r="BG26" s="329"/>
      <c r="BH26" s="329"/>
      <c r="BI26" s="329" t="s">
        <v>334</v>
      </c>
      <c r="BJ26" s="329" t="s">
        <v>831</v>
      </c>
      <c r="BK26" s="329">
        <v>56400</v>
      </c>
      <c r="BL26" s="329"/>
      <c r="BM26" s="331" t="s">
        <v>278</v>
      </c>
      <c r="BN26" s="329" t="s">
        <v>6187</v>
      </c>
      <c r="BO26" s="333">
        <v>43805</v>
      </c>
      <c r="BP26" s="329"/>
      <c r="BQ26" s="329"/>
      <c r="BR26" s="329"/>
      <c r="BS26" s="329"/>
      <c r="BT26" s="329"/>
      <c r="BU26" s="331" t="s">
        <v>261</v>
      </c>
      <c r="BV26" s="329"/>
      <c r="BW26" s="329"/>
      <c r="BX26" s="329"/>
      <c r="BY26" s="331" t="s">
        <v>5133</v>
      </c>
      <c r="BZ26" s="331" t="s">
        <v>5134</v>
      </c>
      <c r="CA26" s="331" t="s">
        <v>5135</v>
      </c>
      <c r="CB26" s="331" t="s">
        <v>21</v>
      </c>
      <c r="CC26" s="331" t="s">
        <v>883</v>
      </c>
    </row>
    <row r="27" spans="1:81" x14ac:dyDescent="0.25">
      <c r="A27" s="329">
        <v>199592</v>
      </c>
      <c r="B27" s="331" t="s">
        <v>6430</v>
      </c>
      <c r="C27" s="329">
        <v>35663</v>
      </c>
      <c r="D27" s="331" t="s">
        <v>6431</v>
      </c>
      <c r="E27" s="331" t="s">
        <v>506</v>
      </c>
      <c r="F27" s="331" t="s">
        <v>6432</v>
      </c>
      <c r="G27" s="331" t="s">
        <v>6433</v>
      </c>
      <c r="H27" s="331" t="s">
        <v>6434</v>
      </c>
      <c r="I27" s="331" t="s">
        <v>6435</v>
      </c>
      <c r="J27" s="331" t="s">
        <v>306</v>
      </c>
      <c r="K27" s="331" t="s">
        <v>6436</v>
      </c>
      <c r="L27" s="329"/>
      <c r="M27" s="329">
        <v>6</v>
      </c>
      <c r="N27" s="329">
        <v>0</v>
      </c>
      <c r="O27" s="329">
        <v>3.84</v>
      </c>
      <c r="P27" s="329"/>
      <c r="Q27" s="333">
        <v>43784.40902777778</v>
      </c>
      <c r="R27" s="329"/>
      <c r="S27" s="333">
        <v>43804</v>
      </c>
      <c r="T27" s="329">
        <v>55</v>
      </c>
      <c r="U27" s="333">
        <v>43804</v>
      </c>
      <c r="V27" s="333">
        <v>44109</v>
      </c>
      <c r="W27" s="329" t="b">
        <v>1</v>
      </c>
      <c r="X27" s="331" t="s">
        <v>22</v>
      </c>
      <c r="Y27" s="329">
        <v>429</v>
      </c>
      <c r="Z27" s="331" t="s">
        <v>23</v>
      </c>
      <c r="AA27" s="331" t="s">
        <v>919</v>
      </c>
      <c r="AB27" s="331" t="s">
        <v>920</v>
      </c>
      <c r="AC27" s="331" t="s">
        <v>6437</v>
      </c>
      <c r="AD27" s="331" t="s">
        <v>24</v>
      </c>
      <c r="AE27" s="329">
        <v>221</v>
      </c>
      <c r="AF27" s="331" t="s">
        <v>254</v>
      </c>
      <c r="AG27" s="329"/>
      <c r="AH27" s="329">
        <v>17</v>
      </c>
      <c r="AI27" s="331" t="s">
        <v>280</v>
      </c>
      <c r="AJ27" s="331" t="s">
        <v>281</v>
      </c>
      <c r="AK27" s="331" t="s">
        <v>272</v>
      </c>
      <c r="AL27" s="331" t="s">
        <v>351</v>
      </c>
      <c r="AM27" s="331" t="s">
        <v>287</v>
      </c>
      <c r="AN27" s="331" t="s">
        <v>275</v>
      </c>
      <c r="AO27" s="331" t="s">
        <v>275</v>
      </c>
      <c r="AP27" s="329"/>
      <c r="AQ27" s="329"/>
      <c r="AR27" s="329"/>
      <c r="AS27" s="329"/>
      <c r="AT27" s="329" t="s">
        <v>398</v>
      </c>
      <c r="AU27" s="329" t="s">
        <v>283</v>
      </c>
      <c r="AV27" s="331" t="s">
        <v>306</v>
      </c>
      <c r="AW27" s="329"/>
      <c r="AX27" s="329"/>
      <c r="AY27" s="329"/>
      <c r="AZ27" s="329"/>
      <c r="BA27" s="329"/>
      <c r="BB27" s="329"/>
      <c r="BC27" s="329"/>
      <c r="BD27" s="329"/>
      <c r="BE27" s="329" t="s">
        <v>257</v>
      </c>
      <c r="BF27" s="329" t="s">
        <v>834</v>
      </c>
      <c r="BG27" s="329"/>
      <c r="BH27" s="329"/>
      <c r="BI27" s="329"/>
      <c r="BJ27" s="329"/>
      <c r="BK27" s="329">
        <v>20400</v>
      </c>
      <c r="BL27" s="329"/>
      <c r="BM27" s="331" t="s">
        <v>278</v>
      </c>
      <c r="BN27" s="329" t="s">
        <v>6187</v>
      </c>
      <c r="BO27" s="333">
        <v>43805</v>
      </c>
      <c r="BP27" s="329"/>
      <c r="BQ27" s="329"/>
      <c r="BR27" s="329"/>
      <c r="BS27" s="329"/>
      <c r="BT27" s="329"/>
      <c r="BU27" s="331" t="s">
        <v>261</v>
      </c>
      <c r="BV27" s="329"/>
      <c r="BW27" s="329"/>
      <c r="BX27" s="329"/>
      <c r="BY27" s="331" t="s">
        <v>6438</v>
      </c>
      <c r="BZ27" s="331" t="s">
        <v>6439</v>
      </c>
      <c r="CA27" s="331" t="s">
        <v>6440</v>
      </c>
      <c r="CB27" s="331" t="s">
        <v>306</v>
      </c>
      <c r="CC27" s="331" t="s">
        <v>6441</v>
      </c>
    </row>
    <row r="28" spans="1:81" x14ac:dyDescent="0.25">
      <c r="A28" s="329">
        <v>198287</v>
      </c>
      <c r="B28" s="331" t="s">
        <v>6442</v>
      </c>
      <c r="C28" s="329">
        <v>35199</v>
      </c>
      <c r="D28" s="331" t="s">
        <v>6443</v>
      </c>
      <c r="E28" s="331" t="s">
        <v>6444</v>
      </c>
      <c r="F28" s="331" t="s">
        <v>6445</v>
      </c>
      <c r="G28" s="331" t="s">
        <v>6446</v>
      </c>
      <c r="H28" s="331" t="s">
        <v>6447</v>
      </c>
      <c r="I28" s="331" t="s">
        <v>6448</v>
      </c>
      <c r="J28" s="331" t="s">
        <v>350</v>
      </c>
      <c r="K28" s="331" t="s">
        <v>5084</v>
      </c>
      <c r="L28" s="329"/>
      <c r="M28" s="329">
        <v>6</v>
      </c>
      <c r="N28" s="329">
        <v>0</v>
      </c>
      <c r="O28" s="329">
        <v>3.8</v>
      </c>
      <c r="P28" s="329"/>
      <c r="Q28" s="333">
        <v>43639.555555555555</v>
      </c>
      <c r="R28" s="329"/>
      <c r="S28" s="333">
        <v>43804</v>
      </c>
      <c r="T28" s="329">
        <v>55</v>
      </c>
      <c r="U28" s="333">
        <v>43804</v>
      </c>
      <c r="V28" s="333">
        <v>44109</v>
      </c>
      <c r="W28" s="329" t="b">
        <v>1</v>
      </c>
      <c r="X28" s="331" t="s">
        <v>905</v>
      </c>
      <c r="Y28" s="329">
        <v>747</v>
      </c>
      <c r="Z28" s="331" t="s">
        <v>23</v>
      </c>
      <c r="AA28" s="331" t="s">
        <v>919</v>
      </c>
      <c r="AB28" s="331" t="s">
        <v>920</v>
      </c>
      <c r="AC28" s="331" t="s">
        <v>1670</v>
      </c>
      <c r="AD28" s="331" t="s">
        <v>24</v>
      </c>
      <c r="AE28" s="329">
        <v>221</v>
      </c>
      <c r="AF28" s="331" t="s">
        <v>254</v>
      </c>
      <c r="AG28" s="329"/>
      <c r="AH28" s="329">
        <v>17</v>
      </c>
      <c r="AI28" s="331" t="s">
        <v>280</v>
      </c>
      <c r="AJ28" s="331" t="s">
        <v>281</v>
      </c>
      <c r="AK28" s="331" t="s">
        <v>328</v>
      </c>
      <c r="AL28" s="331" t="s">
        <v>363</v>
      </c>
      <c r="AM28" s="331" t="s">
        <v>330</v>
      </c>
      <c r="AN28" s="331" t="s">
        <v>300</v>
      </c>
      <c r="AO28" s="331" t="s">
        <v>331</v>
      </c>
      <c r="AP28" s="329"/>
      <c r="AQ28" s="329"/>
      <c r="AR28" s="329"/>
      <c r="AS28" s="329"/>
      <c r="AT28" s="329" t="s">
        <v>309</v>
      </c>
      <c r="AU28" s="329" t="s">
        <v>283</v>
      </c>
      <c r="AV28" s="331" t="s">
        <v>350</v>
      </c>
      <c r="AW28" s="329"/>
      <c r="AX28" s="329"/>
      <c r="AY28" s="329"/>
      <c r="AZ28" s="329"/>
      <c r="BA28" s="329"/>
      <c r="BB28" s="329"/>
      <c r="BC28" s="329"/>
      <c r="BD28" s="329"/>
      <c r="BE28" s="329" t="s">
        <v>257</v>
      </c>
      <c r="BF28" s="329" t="s">
        <v>837</v>
      </c>
      <c r="BG28" s="329"/>
      <c r="BH28" s="329"/>
      <c r="BI28" s="329"/>
      <c r="BJ28" s="329"/>
      <c r="BK28" s="329">
        <v>15000</v>
      </c>
      <c r="BL28" s="329"/>
      <c r="BM28" s="331" t="s">
        <v>295</v>
      </c>
      <c r="BN28" s="329" t="s">
        <v>6187</v>
      </c>
      <c r="BO28" s="333">
        <v>43805</v>
      </c>
      <c r="BP28" s="329"/>
      <c r="BQ28" s="329"/>
      <c r="BR28" s="329"/>
      <c r="BS28" s="329"/>
      <c r="BT28" s="329"/>
      <c r="BU28" s="331" t="s">
        <v>261</v>
      </c>
      <c r="BV28" s="329"/>
      <c r="BW28" s="329"/>
      <c r="BX28" s="329"/>
      <c r="BY28" s="331" t="s">
        <v>6449</v>
      </c>
      <c r="BZ28" s="331" t="s">
        <v>6450</v>
      </c>
      <c r="CA28" s="331" t="s">
        <v>6448</v>
      </c>
      <c r="CB28" s="331" t="s">
        <v>350</v>
      </c>
      <c r="CC28" s="331" t="s">
        <v>5084</v>
      </c>
    </row>
    <row r="29" spans="1:81" x14ac:dyDescent="0.25">
      <c r="A29" s="329">
        <v>198694</v>
      </c>
      <c r="B29" s="331" t="s">
        <v>6451</v>
      </c>
      <c r="C29" s="329">
        <v>35460</v>
      </c>
      <c r="D29" s="331" t="s">
        <v>6452</v>
      </c>
      <c r="E29" s="331" t="s">
        <v>6453</v>
      </c>
      <c r="F29" s="331" t="s">
        <v>6454</v>
      </c>
      <c r="G29" s="331" t="s">
        <v>6455</v>
      </c>
      <c r="H29" s="331" t="s">
        <v>6456</v>
      </c>
      <c r="I29" s="331" t="s">
        <v>6457</v>
      </c>
      <c r="J29" s="331" t="s">
        <v>354</v>
      </c>
      <c r="K29" s="331" t="s">
        <v>6458</v>
      </c>
      <c r="L29" s="329"/>
      <c r="M29" s="329">
        <v>6</v>
      </c>
      <c r="N29" s="329">
        <v>0</v>
      </c>
      <c r="O29" s="329">
        <v>3.8</v>
      </c>
      <c r="P29" s="329"/>
      <c r="Q29" s="333">
        <v>43752.361111111109</v>
      </c>
      <c r="R29" s="329"/>
      <c r="S29" s="333">
        <v>43804</v>
      </c>
      <c r="T29" s="329">
        <v>55</v>
      </c>
      <c r="U29" s="333">
        <v>43804</v>
      </c>
      <c r="V29" s="333">
        <v>44109</v>
      </c>
      <c r="W29" s="329" t="b">
        <v>1</v>
      </c>
      <c r="X29" s="331" t="s">
        <v>905</v>
      </c>
      <c r="Y29" s="329">
        <v>747</v>
      </c>
      <c r="Z29" s="331" t="s">
        <v>23</v>
      </c>
      <c r="AA29" s="331" t="s">
        <v>919</v>
      </c>
      <c r="AB29" s="331" t="s">
        <v>920</v>
      </c>
      <c r="AC29" s="331" t="s">
        <v>1329</v>
      </c>
      <c r="AD29" s="331" t="s">
        <v>24</v>
      </c>
      <c r="AE29" s="329">
        <v>221</v>
      </c>
      <c r="AF29" s="331" t="s">
        <v>254</v>
      </c>
      <c r="AG29" s="329"/>
      <c r="AH29" s="329">
        <v>17</v>
      </c>
      <c r="AI29" s="331" t="s">
        <v>280</v>
      </c>
      <c r="AJ29" s="331" t="s">
        <v>281</v>
      </c>
      <c r="AK29" s="329"/>
      <c r="AL29" s="329"/>
      <c r="AM29" s="329"/>
      <c r="AN29" s="329"/>
      <c r="AO29" s="329"/>
      <c r="AP29" s="331" t="s">
        <v>1959</v>
      </c>
      <c r="AQ29" s="329">
        <v>740</v>
      </c>
      <c r="AR29" s="329">
        <v>660</v>
      </c>
      <c r="AS29" s="329"/>
      <c r="AT29" s="329" t="s">
        <v>352</v>
      </c>
      <c r="AU29" s="329" t="s">
        <v>256</v>
      </c>
      <c r="AV29" s="331" t="s">
        <v>354</v>
      </c>
      <c r="AW29" s="329"/>
      <c r="AX29" s="329"/>
      <c r="AY29" s="329"/>
      <c r="AZ29" s="329"/>
      <c r="BA29" s="329"/>
      <c r="BB29" s="329"/>
      <c r="BC29" s="329"/>
      <c r="BD29" s="329"/>
      <c r="BE29" s="329" t="s">
        <v>257</v>
      </c>
      <c r="BF29" s="329" t="s">
        <v>834</v>
      </c>
      <c r="BG29" s="329"/>
      <c r="BH29" s="329"/>
      <c r="BI29" s="329"/>
      <c r="BJ29" s="329"/>
      <c r="BK29" s="329">
        <v>20400</v>
      </c>
      <c r="BL29" s="329"/>
      <c r="BM29" s="331" t="s">
        <v>278</v>
      </c>
      <c r="BN29" s="329" t="s">
        <v>6187</v>
      </c>
      <c r="BO29" s="333">
        <v>43805</v>
      </c>
      <c r="BP29" s="329"/>
      <c r="BQ29" s="329"/>
      <c r="BR29" s="329"/>
      <c r="BS29" s="329"/>
      <c r="BT29" s="329"/>
      <c r="BU29" s="331" t="s">
        <v>261</v>
      </c>
      <c r="BV29" s="329"/>
      <c r="BW29" s="329"/>
      <c r="BX29" s="329"/>
      <c r="BY29" s="331" t="s">
        <v>6459</v>
      </c>
      <c r="BZ29" s="331" t="s">
        <v>6460</v>
      </c>
      <c r="CA29" s="329"/>
      <c r="CB29" s="331" t="s">
        <v>558</v>
      </c>
      <c r="CC29" s="331" t="s">
        <v>304</v>
      </c>
    </row>
    <row r="30" spans="1:81" x14ac:dyDescent="0.25">
      <c r="A30" s="329">
        <v>197594</v>
      </c>
      <c r="B30" s="331" t="s">
        <v>6462</v>
      </c>
      <c r="C30" s="329">
        <v>34919</v>
      </c>
      <c r="D30" s="331" t="s">
        <v>6463</v>
      </c>
      <c r="E30" s="331" t="s">
        <v>6464</v>
      </c>
      <c r="F30" s="331" t="s">
        <v>6465</v>
      </c>
      <c r="G30" s="331" t="s">
        <v>6466</v>
      </c>
      <c r="H30" s="331" t="s">
        <v>6467</v>
      </c>
      <c r="I30" s="331" t="s">
        <v>6468</v>
      </c>
      <c r="J30" s="331" t="s">
        <v>6469</v>
      </c>
      <c r="K30" s="331" t="s">
        <v>6470</v>
      </c>
      <c r="L30" s="329"/>
      <c r="M30" s="329">
        <v>6</v>
      </c>
      <c r="N30" s="329">
        <v>0</v>
      </c>
      <c r="O30" s="329">
        <v>3.8</v>
      </c>
      <c r="P30" s="329"/>
      <c r="Q30" s="333">
        <v>43686.524305555555</v>
      </c>
      <c r="R30" s="329"/>
      <c r="S30" s="333">
        <v>43804</v>
      </c>
      <c r="T30" s="329">
        <v>55</v>
      </c>
      <c r="U30" s="333">
        <v>43804</v>
      </c>
      <c r="V30" s="333">
        <v>44109</v>
      </c>
      <c r="W30" s="329" t="b">
        <v>1</v>
      </c>
      <c r="X30" s="331" t="s">
        <v>22</v>
      </c>
      <c r="Y30" s="329">
        <v>429</v>
      </c>
      <c r="Z30" s="331" t="s">
        <v>23</v>
      </c>
      <c r="AA30" s="331" t="s">
        <v>919</v>
      </c>
      <c r="AB30" s="331" t="s">
        <v>920</v>
      </c>
      <c r="AC30" s="331" t="s">
        <v>2573</v>
      </c>
      <c r="AD30" s="331" t="s">
        <v>24</v>
      </c>
      <c r="AE30" s="329">
        <v>221</v>
      </c>
      <c r="AF30" s="331" t="s">
        <v>254</v>
      </c>
      <c r="AG30" s="329"/>
      <c r="AH30" s="329">
        <v>17</v>
      </c>
      <c r="AI30" s="331" t="s">
        <v>280</v>
      </c>
      <c r="AJ30" s="331" t="s">
        <v>281</v>
      </c>
      <c r="AK30" s="329"/>
      <c r="AL30" s="329"/>
      <c r="AM30" s="329"/>
      <c r="AN30" s="329"/>
      <c r="AO30" s="329"/>
      <c r="AP30" s="329"/>
      <c r="AQ30" s="329"/>
      <c r="AR30" s="329"/>
      <c r="AS30" s="329"/>
      <c r="AT30" s="329" t="s">
        <v>258</v>
      </c>
      <c r="AU30" s="329" t="s">
        <v>256</v>
      </c>
      <c r="AV30" s="331" t="s">
        <v>6469</v>
      </c>
      <c r="AW30" s="329"/>
      <c r="AX30" s="329"/>
      <c r="AY30" s="329"/>
      <c r="AZ30" s="329"/>
      <c r="BA30" s="329"/>
      <c r="BB30" s="329"/>
      <c r="BC30" s="329"/>
      <c r="BD30" s="329"/>
      <c r="BE30" s="329" t="s">
        <v>257</v>
      </c>
      <c r="BF30" s="329" t="s">
        <v>838</v>
      </c>
      <c r="BG30" s="329"/>
      <c r="BH30" s="329"/>
      <c r="BI30" s="329"/>
      <c r="BJ30" s="329"/>
      <c r="BK30" s="329">
        <v>15600</v>
      </c>
      <c r="BL30" s="329"/>
      <c r="BM30" s="331" t="s">
        <v>259</v>
      </c>
      <c r="BN30" s="329" t="s">
        <v>6187</v>
      </c>
      <c r="BO30" s="333">
        <v>43805</v>
      </c>
      <c r="BP30" s="329"/>
      <c r="BQ30" s="329"/>
      <c r="BR30" s="329"/>
      <c r="BS30" s="329"/>
      <c r="BT30" s="329"/>
      <c r="BU30" s="331" t="s">
        <v>261</v>
      </c>
      <c r="BV30" s="329"/>
      <c r="BW30" s="329"/>
      <c r="BX30" s="329"/>
      <c r="BY30" s="331" t="s">
        <v>6471</v>
      </c>
      <c r="BZ30" s="331" t="s">
        <v>6472</v>
      </c>
      <c r="CA30" s="331" t="s">
        <v>6468</v>
      </c>
      <c r="CB30" s="331" t="s">
        <v>6469</v>
      </c>
      <c r="CC30" s="331" t="s">
        <v>6473</v>
      </c>
    </row>
    <row r="31" spans="1:81" x14ac:dyDescent="0.25">
      <c r="A31" s="329">
        <v>198929</v>
      </c>
      <c r="B31" s="331" t="s">
        <v>6474</v>
      </c>
      <c r="C31" s="329">
        <v>35415</v>
      </c>
      <c r="D31" s="331" t="s">
        <v>869</v>
      </c>
      <c r="E31" s="331" t="s">
        <v>6475</v>
      </c>
      <c r="F31" s="331" t="s">
        <v>6476</v>
      </c>
      <c r="G31" s="331" t="s">
        <v>6477</v>
      </c>
      <c r="H31" s="331" t="s">
        <v>6478</v>
      </c>
      <c r="I31" s="331" t="s">
        <v>6479</v>
      </c>
      <c r="J31" s="331" t="s">
        <v>263</v>
      </c>
      <c r="K31" s="331" t="s">
        <v>6480</v>
      </c>
      <c r="L31" s="329"/>
      <c r="M31" s="329">
        <v>6</v>
      </c>
      <c r="N31" s="329">
        <v>0</v>
      </c>
      <c r="O31" s="329">
        <v>3.61</v>
      </c>
      <c r="P31" s="329"/>
      <c r="Q31" s="333">
        <v>43599.98541666667</v>
      </c>
      <c r="R31" s="329"/>
      <c r="S31" s="333">
        <v>43804</v>
      </c>
      <c r="T31" s="329">
        <v>55</v>
      </c>
      <c r="U31" s="333">
        <v>43804</v>
      </c>
      <c r="V31" s="333">
        <v>44109</v>
      </c>
      <c r="W31" s="329" t="b">
        <v>1</v>
      </c>
      <c r="X31" s="331" t="s">
        <v>22</v>
      </c>
      <c r="Y31" s="329">
        <v>429</v>
      </c>
      <c r="Z31" s="331" t="s">
        <v>25</v>
      </c>
      <c r="AA31" s="331" t="s">
        <v>919</v>
      </c>
      <c r="AB31" s="331" t="s">
        <v>920</v>
      </c>
      <c r="AC31" s="331" t="s">
        <v>6481</v>
      </c>
      <c r="AD31" s="331" t="s">
        <v>24</v>
      </c>
      <c r="AE31" s="329">
        <v>221</v>
      </c>
      <c r="AF31" s="331" t="s">
        <v>254</v>
      </c>
      <c r="AG31" s="329"/>
      <c r="AH31" s="329">
        <v>17</v>
      </c>
      <c r="AI31" s="331" t="s">
        <v>280</v>
      </c>
      <c r="AJ31" s="331" t="s">
        <v>281</v>
      </c>
      <c r="AK31" s="331" t="s">
        <v>272</v>
      </c>
      <c r="AL31" s="331" t="s">
        <v>290</v>
      </c>
      <c r="AM31" s="331" t="s">
        <v>347</v>
      </c>
      <c r="AN31" s="331" t="s">
        <v>351</v>
      </c>
      <c r="AO31" s="331" t="s">
        <v>287</v>
      </c>
      <c r="AP31" s="329"/>
      <c r="AQ31" s="329"/>
      <c r="AR31" s="329"/>
      <c r="AS31" s="329"/>
      <c r="AT31" s="329" t="s">
        <v>349</v>
      </c>
      <c r="AU31" s="329" t="s">
        <v>283</v>
      </c>
      <c r="AV31" s="331" t="s">
        <v>263</v>
      </c>
      <c r="AW31" s="329"/>
      <c r="AX31" s="329"/>
      <c r="AY31" s="329"/>
      <c r="AZ31" s="329"/>
      <c r="BA31" s="329"/>
      <c r="BB31" s="329"/>
      <c r="BC31" s="329"/>
      <c r="BD31" s="329"/>
      <c r="BE31" s="329" t="s">
        <v>257</v>
      </c>
      <c r="BF31" s="329" t="s">
        <v>834</v>
      </c>
      <c r="BG31" s="329"/>
      <c r="BH31" s="329"/>
      <c r="BI31" s="329"/>
      <c r="BJ31" s="329"/>
      <c r="BK31" s="329">
        <v>20400</v>
      </c>
      <c r="BL31" s="329"/>
      <c r="BM31" s="331" t="s">
        <v>278</v>
      </c>
      <c r="BN31" s="329" t="s">
        <v>6187</v>
      </c>
      <c r="BO31" s="333">
        <v>43805</v>
      </c>
      <c r="BP31" s="329"/>
      <c r="BQ31" s="329"/>
      <c r="BR31" s="329"/>
      <c r="BS31" s="329"/>
      <c r="BT31" s="329"/>
      <c r="BU31" s="331" t="s">
        <v>261</v>
      </c>
      <c r="BV31" s="329"/>
      <c r="BW31" s="329"/>
      <c r="BX31" s="329"/>
      <c r="BY31" s="331" t="s">
        <v>6482</v>
      </c>
      <c r="BZ31" s="331" t="s">
        <v>6483</v>
      </c>
      <c r="CA31" s="331" t="s">
        <v>6484</v>
      </c>
      <c r="CB31" s="331" t="s">
        <v>263</v>
      </c>
      <c r="CC31" s="331" t="s">
        <v>6485</v>
      </c>
    </row>
    <row r="32" spans="1:81" x14ac:dyDescent="0.25">
      <c r="A32" s="329">
        <v>199808</v>
      </c>
      <c r="B32" s="331" t="s">
        <v>6486</v>
      </c>
      <c r="C32" s="329">
        <v>35738</v>
      </c>
      <c r="D32" s="331" t="s">
        <v>6487</v>
      </c>
      <c r="E32" s="331" t="s">
        <v>6281</v>
      </c>
      <c r="F32" s="331" t="s">
        <v>6488</v>
      </c>
      <c r="G32" s="331" t="s">
        <v>6489</v>
      </c>
      <c r="H32" s="331" t="s">
        <v>6490</v>
      </c>
      <c r="I32" s="331" t="s">
        <v>6491</v>
      </c>
      <c r="J32" s="331" t="s">
        <v>21</v>
      </c>
      <c r="K32" s="331" t="s">
        <v>369</v>
      </c>
      <c r="L32" s="329"/>
      <c r="M32" s="329">
        <v>6</v>
      </c>
      <c r="N32" s="329">
        <v>0</v>
      </c>
      <c r="O32" s="329">
        <v>2.589</v>
      </c>
      <c r="P32" s="329"/>
      <c r="Q32" s="333">
        <v>43796.55972222222</v>
      </c>
      <c r="R32" s="329"/>
      <c r="S32" s="333">
        <v>43804</v>
      </c>
      <c r="T32" s="329">
        <v>55</v>
      </c>
      <c r="U32" s="333">
        <v>43804</v>
      </c>
      <c r="V32" s="333">
        <v>44109</v>
      </c>
      <c r="W32" s="329" t="b">
        <v>1</v>
      </c>
      <c r="X32" s="331" t="s">
        <v>187</v>
      </c>
      <c r="Y32" s="329">
        <v>718</v>
      </c>
      <c r="Z32" s="331" t="s">
        <v>23</v>
      </c>
      <c r="AA32" s="331" t="s">
        <v>919</v>
      </c>
      <c r="AB32" s="331" t="s">
        <v>920</v>
      </c>
      <c r="AC32" s="331" t="s">
        <v>357</v>
      </c>
      <c r="AD32" s="331" t="s">
        <v>24</v>
      </c>
      <c r="AE32" s="329">
        <v>221</v>
      </c>
      <c r="AF32" s="331" t="s">
        <v>254</v>
      </c>
      <c r="AG32" s="329"/>
      <c r="AH32" s="329">
        <v>17</v>
      </c>
      <c r="AI32" s="331" t="s">
        <v>280</v>
      </c>
      <c r="AJ32" s="331" t="s">
        <v>281</v>
      </c>
      <c r="AK32" s="331" t="s">
        <v>272</v>
      </c>
      <c r="AL32" s="331" t="s">
        <v>274</v>
      </c>
      <c r="AM32" s="331" t="s">
        <v>272</v>
      </c>
      <c r="AN32" s="331" t="s">
        <v>275</v>
      </c>
      <c r="AO32" s="331" t="s">
        <v>273</v>
      </c>
      <c r="AP32" s="329"/>
      <c r="AQ32" s="329"/>
      <c r="AR32" s="329"/>
      <c r="AS32" s="329"/>
      <c r="AT32" s="329" t="s">
        <v>400</v>
      </c>
      <c r="AU32" s="329" t="s">
        <v>283</v>
      </c>
      <c r="AV32" s="331" t="s">
        <v>21</v>
      </c>
      <c r="AW32" s="329"/>
      <c r="AX32" s="329"/>
      <c r="AY32" s="329"/>
      <c r="AZ32" s="329"/>
      <c r="BA32" s="329"/>
      <c r="BB32" s="329"/>
      <c r="BC32" s="329"/>
      <c r="BD32" s="329"/>
      <c r="BE32" s="329" t="s">
        <v>257</v>
      </c>
      <c r="BF32" s="329" t="s">
        <v>841</v>
      </c>
      <c r="BG32" s="329"/>
      <c r="BH32" s="329"/>
      <c r="BI32" s="329" t="s">
        <v>334</v>
      </c>
      <c r="BJ32" s="329" t="s">
        <v>831</v>
      </c>
      <c r="BK32" s="329">
        <v>45000</v>
      </c>
      <c r="BL32" s="329"/>
      <c r="BM32" s="331" t="s">
        <v>189</v>
      </c>
      <c r="BN32" s="329" t="s">
        <v>6187</v>
      </c>
      <c r="BO32" s="333">
        <v>43805</v>
      </c>
      <c r="BP32" s="329"/>
      <c r="BQ32" s="329"/>
      <c r="BR32" s="329"/>
      <c r="BS32" s="329"/>
      <c r="BT32" s="329"/>
      <c r="BU32" s="331" t="s">
        <v>261</v>
      </c>
      <c r="BV32" s="329"/>
      <c r="BW32" s="329"/>
      <c r="BX32" s="329"/>
      <c r="BY32" s="331" t="s">
        <v>6492</v>
      </c>
      <c r="BZ32" s="331" t="s">
        <v>6493</v>
      </c>
      <c r="CA32" s="331" t="s">
        <v>6494</v>
      </c>
      <c r="CB32" s="331" t="s">
        <v>21</v>
      </c>
      <c r="CC32" s="331" t="s">
        <v>6495</v>
      </c>
    </row>
    <row r="33" spans="1:81" x14ac:dyDescent="0.25">
      <c r="A33" s="329">
        <v>199466</v>
      </c>
      <c r="B33" s="331" t="s">
        <v>6508</v>
      </c>
      <c r="C33" s="329">
        <v>35576</v>
      </c>
      <c r="D33" s="331" t="s">
        <v>6509</v>
      </c>
      <c r="E33" s="331" t="s">
        <v>6510</v>
      </c>
      <c r="F33" s="331" t="s">
        <v>6511</v>
      </c>
      <c r="G33" s="331" t="s">
        <v>6512</v>
      </c>
      <c r="H33" s="331" t="s">
        <v>6513</v>
      </c>
      <c r="I33" s="331" t="s">
        <v>6514</v>
      </c>
      <c r="J33" s="331" t="s">
        <v>557</v>
      </c>
      <c r="K33" s="331" t="s">
        <v>6515</v>
      </c>
      <c r="L33" s="329"/>
      <c r="M33" s="329">
        <v>6</v>
      </c>
      <c r="N33" s="329">
        <v>0</v>
      </c>
      <c r="O33" s="329">
        <v>3.5</v>
      </c>
      <c r="P33" s="329"/>
      <c r="Q33" s="333">
        <v>43780.449305555558</v>
      </c>
      <c r="R33" s="329"/>
      <c r="S33" s="333">
        <v>43804</v>
      </c>
      <c r="T33" s="329">
        <v>55</v>
      </c>
      <c r="U33" s="333">
        <v>43804</v>
      </c>
      <c r="V33" s="333">
        <v>44109</v>
      </c>
      <c r="W33" s="329" t="b">
        <v>1</v>
      </c>
      <c r="X33" s="331" t="s">
        <v>22</v>
      </c>
      <c r="Y33" s="329">
        <v>429</v>
      </c>
      <c r="Z33" s="331" t="s">
        <v>23</v>
      </c>
      <c r="AA33" s="331" t="s">
        <v>407</v>
      </c>
      <c r="AB33" s="331" t="s">
        <v>408</v>
      </c>
      <c r="AC33" s="331" t="s">
        <v>372</v>
      </c>
      <c r="AD33" s="331" t="s">
        <v>24</v>
      </c>
      <c r="AE33" s="329">
        <v>221</v>
      </c>
      <c r="AF33" s="331" t="s">
        <v>254</v>
      </c>
      <c r="AG33" s="329"/>
      <c r="AH33" s="329">
        <v>17</v>
      </c>
      <c r="AI33" s="331" t="s">
        <v>280</v>
      </c>
      <c r="AJ33" s="331" t="s">
        <v>281</v>
      </c>
      <c r="AK33" s="329"/>
      <c r="AL33" s="329"/>
      <c r="AM33" s="329"/>
      <c r="AN33" s="329"/>
      <c r="AO33" s="329"/>
      <c r="AP33" s="329"/>
      <c r="AQ33" s="329"/>
      <c r="AR33" s="329"/>
      <c r="AS33" s="329"/>
      <c r="AT33" s="329" t="s">
        <v>258</v>
      </c>
      <c r="AU33" s="329" t="s">
        <v>283</v>
      </c>
      <c r="AV33" s="331" t="s">
        <v>557</v>
      </c>
      <c r="AW33" s="329"/>
      <c r="AX33" s="329"/>
      <c r="AY33" s="329"/>
      <c r="AZ33" s="329"/>
      <c r="BA33" s="329"/>
      <c r="BB33" s="329"/>
      <c r="BC33" s="329"/>
      <c r="BD33" s="329"/>
      <c r="BE33" s="329"/>
      <c r="BF33" s="329"/>
      <c r="BG33" s="329"/>
      <c r="BH33" s="329"/>
      <c r="BI33" s="329"/>
      <c r="BJ33" s="329"/>
      <c r="BK33" s="329">
        <v>0</v>
      </c>
      <c r="BL33" s="329"/>
      <c r="BM33" s="331" t="s">
        <v>27</v>
      </c>
      <c r="BN33" s="329" t="s">
        <v>6187</v>
      </c>
      <c r="BO33" s="333">
        <v>43805</v>
      </c>
      <c r="BP33" s="329"/>
      <c r="BQ33" s="329"/>
      <c r="BR33" s="329"/>
      <c r="BS33" s="329"/>
      <c r="BT33" s="329"/>
      <c r="BU33" s="331" t="s">
        <v>261</v>
      </c>
      <c r="BV33" s="329"/>
      <c r="BW33" s="329"/>
      <c r="BX33" s="329"/>
      <c r="BY33" s="331" t="s">
        <v>6516</v>
      </c>
      <c r="BZ33" s="331" t="s">
        <v>6517</v>
      </c>
      <c r="CA33" s="329"/>
      <c r="CB33" s="331" t="s">
        <v>558</v>
      </c>
      <c r="CC33" s="331" t="s">
        <v>304</v>
      </c>
    </row>
    <row r="34" spans="1:81" x14ac:dyDescent="0.25">
      <c r="A34" s="329">
        <v>198268</v>
      </c>
      <c r="B34" s="331" t="s">
        <v>6518</v>
      </c>
      <c r="C34" s="329">
        <v>35181</v>
      </c>
      <c r="D34" s="331" t="s">
        <v>6519</v>
      </c>
      <c r="E34" s="331" t="s">
        <v>3327</v>
      </c>
      <c r="F34" s="331" t="s">
        <v>6520</v>
      </c>
      <c r="G34" s="331" t="s">
        <v>6521</v>
      </c>
      <c r="H34" s="331" t="s">
        <v>6522</v>
      </c>
      <c r="I34" s="331" t="s">
        <v>6523</v>
      </c>
      <c r="J34" s="331" t="s">
        <v>298</v>
      </c>
      <c r="K34" s="331" t="s">
        <v>6524</v>
      </c>
      <c r="L34" s="329"/>
      <c r="M34" s="329">
        <v>6</v>
      </c>
      <c r="N34" s="329">
        <v>0</v>
      </c>
      <c r="O34" s="329">
        <v>3.1669999999999998</v>
      </c>
      <c r="P34" s="329"/>
      <c r="Q34" s="333">
        <v>43704.729861111111</v>
      </c>
      <c r="R34" s="329"/>
      <c r="S34" s="333">
        <v>43804</v>
      </c>
      <c r="T34" s="329">
        <v>55</v>
      </c>
      <c r="U34" s="333">
        <v>43804</v>
      </c>
      <c r="V34" s="333">
        <v>44109</v>
      </c>
      <c r="W34" s="329" t="b">
        <v>1</v>
      </c>
      <c r="X34" s="331" t="s">
        <v>22</v>
      </c>
      <c r="Y34" s="329">
        <v>429</v>
      </c>
      <c r="Z34" s="331" t="s">
        <v>23</v>
      </c>
      <c r="AA34" s="331" t="s">
        <v>919</v>
      </c>
      <c r="AB34" s="331" t="s">
        <v>920</v>
      </c>
      <c r="AC34" s="331" t="s">
        <v>921</v>
      </c>
      <c r="AD34" s="331" t="s">
        <v>24</v>
      </c>
      <c r="AE34" s="329">
        <v>221</v>
      </c>
      <c r="AF34" s="331" t="s">
        <v>254</v>
      </c>
      <c r="AG34" s="329"/>
      <c r="AH34" s="329">
        <v>17</v>
      </c>
      <c r="AI34" s="331" t="s">
        <v>280</v>
      </c>
      <c r="AJ34" s="331" t="s">
        <v>281</v>
      </c>
      <c r="AK34" s="329"/>
      <c r="AL34" s="329"/>
      <c r="AM34" s="329"/>
      <c r="AN34" s="329"/>
      <c r="AO34" s="329"/>
      <c r="AP34" s="331" t="s">
        <v>800</v>
      </c>
      <c r="AQ34" s="329">
        <v>500</v>
      </c>
      <c r="AR34" s="329">
        <v>430</v>
      </c>
      <c r="AS34" s="329"/>
      <c r="AT34" s="329" t="s">
        <v>266</v>
      </c>
      <c r="AU34" s="329" t="s">
        <v>283</v>
      </c>
      <c r="AV34" s="331" t="s">
        <v>298</v>
      </c>
      <c r="AW34" s="329"/>
      <c r="AX34" s="329"/>
      <c r="AY34" s="329"/>
      <c r="AZ34" s="329"/>
      <c r="BA34" s="329"/>
      <c r="BB34" s="329"/>
      <c r="BC34" s="329"/>
      <c r="BD34" s="329"/>
      <c r="BE34" s="329" t="s">
        <v>257</v>
      </c>
      <c r="BF34" s="329" t="s">
        <v>830</v>
      </c>
      <c r="BG34" s="329"/>
      <c r="BH34" s="329"/>
      <c r="BI34" s="329"/>
      <c r="BJ34" s="329"/>
      <c r="BK34" s="329">
        <v>12000</v>
      </c>
      <c r="BL34" s="329"/>
      <c r="BM34" s="331" t="s">
        <v>28</v>
      </c>
      <c r="BN34" s="329" t="s">
        <v>6187</v>
      </c>
      <c r="BO34" s="333">
        <v>43805</v>
      </c>
      <c r="BP34" s="329"/>
      <c r="BQ34" s="329"/>
      <c r="BR34" s="329"/>
      <c r="BS34" s="329"/>
      <c r="BT34" s="329"/>
      <c r="BU34" s="331" t="s">
        <v>261</v>
      </c>
      <c r="BV34" s="329"/>
      <c r="BW34" s="329"/>
      <c r="BX34" s="329"/>
      <c r="BY34" s="331" t="s">
        <v>6525</v>
      </c>
      <c r="BZ34" s="331" t="s">
        <v>6526</v>
      </c>
      <c r="CA34" s="331" t="s">
        <v>6527</v>
      </c>
      <c r="CB34" s="331" t="s">
        <v>298</v>
      </c>
      <c r="CC34" s="331" t="s">
        <v>6528</v>
      </c>
    </row>
    <row r="35" spans="1:81" x14ac:dyDescent="0.25">
      <c r="A35" s="329">
        <v>198978</v>
      </c>
      <c r="B35" s="331" t="s">
        <v>6529</v>
      </c>
      <c r="C35" s="329">
        <v>35682</v>
      </c>
      <c r="D35" s="331" t="s">
        <v>827</v>
      </c>
      <c r="E35" s="331" t="s">
        <v>6530</v>
      </c>
      <c r="F35" s="331" t="s">
        <v>6531</v>
      </c>
      <c r="G35" s="331" t="s">
        <v>6532</v>
      </c>
      <c r="H35" s="331" t="s">
        <v>6533</v>
      </c>
      <c r="I35" s="331" t="s">
        <v>6534</v>
      </c>
      <c r="J35" s="331" t="s">
        <v>321</v>
      </c>
      <c r="K35" s="331" t="s">
        <v>6535</v>
      </c>
      <c r="L35" s="329"/>
      <c r="M35" s="329">
        <v>6</v>
      </c>
      <c r="N35" s="329">
        <v>0</v>
      </c>
      <c r="O35" s="329">
        <v>3.2949999999999999</v>
      </c>
      <c r="P35" s="329"/>
      <c r="Q35" s="333">
        <v>43760.427083333336</v>
      </c>
      <c r="R35" s="329"/>
      <c r="S35" s="333">
        <v>43804</v>
      </c>
      <c r="T35" s="329">
        <v>55</v>
      </c>
      <c r="U35" s="333">
        <v>43804</v>
      </c>
      <c r="V35" s="333">
        <v>44109</v>
      </c>
      <c r="W35" s="329" t="b">
        <v>1</v>
      </c>
      <c r="X35" s="331" t="s">
        <v>22</v>
      </c>
      <c r="Y35" s="329">
        <v>429</v>
      </c>
      <c r="Z35" s="331" t="s">
        <v>25</v>
      </c>
      <c r="AA35" s="331" t="s">
        <v>919</v>
      </c>
      <c r="AB35" s="331" t="s">
        <v>920</v>
      </c>
      <c r="AC35" s="331" t="s">
        <v>339</v>
      </c>
      <c r="AD35" s="331" t="s">
        <v>24</v>
      </c>
      <c r="AE35" s="329">
        <v>221</v>
      </c>
      <c r="AF35" s="331" t="s">
        <v>254</v>
      </c>
      <c r="AG35" s="329"/>
      <c r="AH35" s="329">
        <v>17</v>
      </c>
      <c r="AI35" s="331" t="s">
        <v>280</v>
      </c>
      <c r="AJ35" s="331" t="s">
        <v>281</v>
      </c>
      <c r="AK35" s="331" t="s">
        <v>275</v>
      </c>
      <c r="AL35" s="331" t="s">
        <v>300</v>
      </c>
      <c r="AM35" s="331" t="s">
        <v>301</v>
      </c>
      <c r="AN35" s="331" t="s">
        <v>347</v>
      </c>
      <c r="AO35" s="331" t="s">
        <v>300</v>
      </c>
      <c r="AP35" s="329"/>
      <c r="AQ35" s="329"/>
      <c r="AR35" s="329"/>
      <c r="AS35" s="329"/>
      <c r="AT35" s="329" t="s">
        <v>833</v>
      </c>
      <c r="AU35" s="329" t="s">
        <v>283</v>
      </c>
      <c r="AV35" s="331" t="s">
        <v>321</v>
      </c>
      <c r="AW35" s="329"/>
      <c r="AX35" s="329"/>
      <c r="AY35" s="329"/>
      <c r="AZ35" s="329"/>
      <c r="BA35" s="329"/>
      <c r="BB35" s="329"/>
      <c r="BC35" s="329"/>
      <c r="BD35" s="329"/>
      <c r="BE35" s="329" t="s">
        <v>257</v>
      </c>
      <c r="BF35" s="329" t="s">
        <v>837</v>
      </c>
      <c r="BG35" s="329"/>
      <c r="BH35" s="329"/>
      <c r="BI35" s="329"/>
      <c r="BJ35" s="329"/>
      <c r="BK35" s="329">
        <v>15000</v>
      </c>
      <c r="BL35" s="329"/>
      <c r="BM35" s="331" t="s">
        <v>295</v>
      </c>
      <c r="BN35" s="329" t="s">
        <v>6187</v>
      </c>
      <c r="BO35" s="333">
        <v>43805</v>
      </c>
      <c r="BP35" s="329"/>
      <c r="BQ35" s="329"/>
      <c r="BR35" s="329"/>
      <c r="BS35" s="329"/>
      <c r="BT35" s="329"/>
      <c r="BU35" s="331" t="s">
        <v>261</v>
      </c>
      <c r="BV35" s="329"/>
      <c r="BW35" s="329"/>
      <c r="BX35" s="329"/>
      <c r="BY35" s="331" t="s">
        <v>6536</v>
      </c>
      <c r="BZ35" s="331" t="s">
        <v>6537</v>
      </c>
      <c r="CA35" s="331" t="s">
        <v>6538</v>
      </c>
      <c r="CB35" s="331" t="s">
        <v>321</v>
      </c>
      <c r="CC35" s="331" t="s">
        <v>6535</v>
      </c>
    </row>
    <row r="36" spans="1:81" x14ac:dyDescent="0.25">
      <c r="A36" s="329">
        <v>198176</v>
      </c>
      <c r="B36" s="331" t="s">
        <v>6539</v>
      </c>
      <c r="C36" s="329">
        <v>35734</v>
      </c>
      <c r="D36" s="331" t="s">
        <v>6540</v>
      </c>
      <c r="E36" s="331" t="s">
        <v>6541</v>
      </c>
      <c r="F36" s="331" t="s">
        <v>6542</v>
      </c>
      <c r="G36" s="331" t="s">
        <v>6543</v>
      </c>
      <c r="H36" s="331" t="s">
        <v>6544</v>
      </c>
      <c r="I36" s="331" t="s">
        <v>5900</v>
      </c>
      <c r="J36" s="331" t="s">
        <v>498</v>
      </c>
      <c r="K36" s="331" t="s">
        <v>6545</v>
      </c>
      <c r="L36" s="329"/>
      <c r="M36" s="329">
        <v>6</v>
      </c>
      <c r="N36" s="329">
        <v>0</v>
      </c>
      <c r="O36" s="329">
        <v>2.2000000000000002</v>
      </c>
      <c r="P36" s="329"/>
      <c r="Q36" s="333">
        <v>43735.806250000001</v>
      </c>
      <c r="R36" s="329"/>
      <c r="S36" s="333">
        <v>43804</v>
      </c>
      <c r="T36" s="329">
        <v>55</v>
      </c>
      <c r="U36" s="333">
        <v>43804</v>
      </c>
      <c r="V36" s="333">
        <v>44109</v>
      </c>
      <c r="W36" s="329" t="b">
        <v>1</v>
      </c>
      <c r="X36" s="331" t="s">
        <v>22</v>
      </c>
      <c r="Y36" s="329">
        <v>726</v>
      </c>
      <c r="Z36" s="331" t="s">
        <v>25</v>
      </c>
      <c r="AA36" s="331" t="s">
        <v>919</v>
      </c>
      <c r="AB36" s="331" t="s">
        <v>920</v>
      </c>
      <c r="AC36" s="331" t="s">
        <v>346</v>
      </c>
      <c r="AD36" s="331" t="s">
        <v>24</v>
      </c>
      <c r="AE36" s="329">
        <v>221</v>
      </c>
      <c r="AF36" s="331" t="s">
        <v>254</v>
      </c>
      <c r="AG36" s="329"/>
      <c r="AH36" s="329">
        <v>17</v>
      </c>
      <c r="AI36" s="331" t="s">
        <v>280</v>
      </c>
      <c r="AJ36" s="331" t="s">
        <v>281</v>
      </c>
      <c r="AK36" s="329"/>
      <c r="AL36" s="329"/>
      <c r="AM36" s="329"/>
      <c r="AN36" s="329"/>
      <c r="AO36" s="329"/>
      <c r="AP36" s="331" t="s">
        <v>955</v>
      </c>
      <c r="AQ36" s="329">
        <v>380</v>
      </c>
      <c r="AR36" s="329">
        <v>450</v>
      </c>
      <c r="AS36" s="329"/>
      <c r="AT36" s="329" t="s">
        <v>5897</v>
      </c>
      <c r="AU36" s="329" t="s">
        <v>579</v>
      </c>
      <c r="AV36" s="331" t="s">
        <v>498</v>
      </c>
      <c r="AW36" s="329"/>
      <c r="AX36" s="329"/>
      <c r="AY36" s="329"/>
      <c r="AZ36" s="329"/>
      <c r="BA36" s="329"/>
      <c r="BB36" s="329"/>
      <c r="BC36" s="329"/>
      <c r="BD36" s="329"/>
      <c r="BE36" s="329"/>
      <c r="BF36" s="329"/>
      <c r="BG36" s="329"/>
      <c r="BH36" s="329"/>
      <c r="BI36" s="329"/>
      <c r="BJ36" s="329"/>
      <c r="BK36" s="329">
        <v>0</v>
      </c>
      <c r="BL36" s="329"/>
      <c r="BM36" s="331" t="s">
        <v>323</v>
      </c>
      <c r="BN36" s="329" t="s">
        <v>6187</v>
      </c>
      <c r="BO36" s="333">
        <v>43805</v>
      </c>
      <c r="BP36" s="329"/>
      <c r="BQ36" s="329"/>
      <c r="BR36" s="329"/>
      <c r="BS36" s="329"/>
      <c r="BT36" s="329"/>
      <c r="BU36" s="331" t="s">
        <v>261</v>
      </c>
      <c r="BV36" s="329"/>
      <c r="BW36" s="329"/>
      <c r="BX36" s="329"/>
      <c r="BY36" s="331" t="s">
        <v>6546</v>
      </c>
      <c r="BZ36" s="331" t="s">
        <v>6547</v>
      </c>
      <c r="CA36" s="331" t="s">
        <v>5900</v>
      </c>
      <c r="CB36" s="331" t="s">
        <v>498</v>
      </c>
      <c r="CC36" s="331" t="s">
        <v>6548</v>
      </c>
    </row>
    <row r="37" spans="1:81" x14ac:dyDescent="0.25">
      <c r="A37" s="329">
        <v>196428</v>
      </c>
      <c r="B37" s="331" t="s">
        <v>6549</v>
      </c>
      <c r="C37" s="329">
        <v>34645</v>
      </c>
      <c r="D37" s="331" t="s">
        <v>578</v>
      </c>
      <c r="E37" s="331" t="s">
        <v>6550</v>
      </c>
      <c r="F37" s="331" t="s">
        <v>6551</v>
      </c>
      <c r="G37" s="331" t="s">
        <v>6552</v>
      </c>
      <c r="H37" s="331" t="s">
        <v>6553</v>
      </c>
      <c r="I37" s="331" t="s">
        <v>6554</v>
      </c>
      <c r="J37" s="331" t="s">
        <v>297</v>
      </c>
      <c r="K37" s="331" t="s">
        <v>6555</v>
      </c>
      <c r="L37" s="329"/>
      <c r="M37" s="329">
        <v>6</v>
      </c>
      <c r="N37" s="329">
        <v>0</v>
      </c>
      <c r="O37" s="329">
        <v>3.5</v>
      </c>
      <c r="P37" s="329"/>
      <c r="Q37" s="333">
        <v>43633.798611111109</v>
      </c>
      <c r="R37" s="329"/>
      <c r="S37" s="333">
        <v>43804</v>
      </c>
      <c r="T37" s="329">
        <v>55</v>
      </c>
      <c r="U37" s="333">
        <v>43804</v>
      </c>
      <c r="V37" s="333">
        <v>44109</v>
      </c>
      <c r="W37" s="329" t="b">
        <v>1</v>
      </c>
      <c r="X37" s="331" t="s">
        <v>22</v>
      </c>
      <c r="Y37" s="329">
        <v>726</v>
      </c>
      <c r="Z37" s="331" t="s">
        <v>23</v>
      </c>
      <c r="AA37" s="331" t="s">
        <v>919</v>
      </c>
      <c r="AB37" s="331" t="s">
        <v>920</v>
      </c>
      <c r="AC37" s="331" t="s">
        <v>1670</v>
      </c>
      <c r="AD37" s="331" t="s">
        <v>24</v>
      </c>
      <c r="AE37" s="329">
        <v>221</v>
      </c>
      <c r="AF37" s="331" t="s">
        <v>254</v>
      </c>
      <c r="AG37" s="329"/>
      <c r="AH37" s="329">
        <v>17</v>
      </c>
      <c r="AI37" s="331" t="s">
        <v>280</v>
      </c>
      <c r="AJ37" s="331" t="s">
        <v>281</v>
      </c>
      <c r="AK37" s="329"/>
      <c r="AL37" s="329"/>
      <c r="AM37" s="329"/>
      <c r="AN37" s="329"/>
      <c r="AO37" s="329"/>
      <c r="AP37" s="331" t="s">
        <v>832</v>
      </c>
      <c r="AQ37" s="329">
        <v>580</v>
      </c>
      <c r="AR37" s="329">
        <v>510</v>
      </c>
      <c r="AS37" s="329"/>
      <c r="AT37" s="329" t="s">
        <v>394</v>
      </c>
      <c r="AU37" s="329" t="s">
        <v>283</v>
      </c>
      <c r="AV37" s="331" t="s">
        <v>297</v>
      </c>
      <c r="AW37" s="329"/>
      <c r="AX37" s="329"/>
      <c r="AY37" s="329"/>
      <c r="AZ37" s="329"/>
      <c r="BA37" s="329"/>
      <c r="BB37" s="329"/>
      <c r="BC37" s="329"/>
      <c r="BD37" s="329"/>
      <c r="BE37" s="329" t="s">
        <v>257</v>
      </c>
      <c r="BF37" s="329" t="s">
        <v>830</v>
      </c>
      <c r="BG37" s="329"/>
      <c r="BH37" s="329"/>
      <c r="BI37" s="329"/>
      <c r="BJ37" s="329"/>
      <c r="BK37" s="329">
        <v>12000</v>
      </c>
      <c r="BL37" s="329"/>
      <c r="BM37" s="331" t="s">
        <v>26</v>
      </c>
      <c r="BN37" s="329" t="s">
        <v>6187</v>
      </c>
      <c r="BO37" s="333">
        <v>43805</v>
      </c>
      <c r="BP37" s="329"/>
      <c r="BQ37" s="329"/>
      <c r="BR37" s="329"/>
      <c r="BS37" s="329"/>
      <c r="BT37" s="329"/>
      <c r="BU37" s="331" t="s">
        <v>261</v>
      </c>
      <c r="BV37" s="329"/>
      <c r="BW37" s="329"/>
      <c r="BX37" s="329"/>
      <c r="BY37" s="331" t="s">
        <v>6556</v>
      </c>
      <c r="BZ37" s="331" t="s">
        <v>6557</v>
      </c>
      <c r="CA37" s="331" t="s">
        <v>6558</v>
      </c>
      <c r="CB37" s="331" t="s">
        <v>297</v>
      </c>
      <c r="CC37" s="331" t="s">
        <v>6555</v>
      </c>
    </row>
    <row r="38" spans="1:81" x14ac:dyDescent="0.25">
      <c r="A38" s="329">
        <v>199598</v>
      </c>
      <c r="B38" s="331" t="s">
        <v>5596</v>
      </c>
      <c r="C38" s="329">
        <v>35666</v>
      </c>
      <c r="D38" s="331" t="s">
        <v>5597</v>
      </c>
      <c r="E38" s="331" t="s">
        <v>5598</v>
      </c>
      <c r="F38" s="331" t="s">
        <v>5599</v>
      </c>
      <c r="G38" s="331" t="s">
        <v>5600</v>
      </c>
      <c r="H38" s="331" t="s">
        <v>5601</v>
      </c>
      <c r="I38" s="331" t="s">
        <v>5602</v>
      </c>
      <c r="J38" s="331" t="s">
        <v>297</v>
      </c>
      <c r="K38" s="331" t="s">
        <v>5603</v>
      </c>
      <c r="L38" s="329"/>
      <c r="M38" s="329">
        <v>6</v>
      </c>
      <c r="N38" s="329">
        <v>0</v>
      </c>
      <c r="O38" s="329">
        <v>2.97959</v>
      </c>
      <c r="P38" s="329"/>
      <c r="Q38" s="333">
        <v>43784.691666666666</v>
      </c>
      <c r="R38" s="329"/>
      <c r="S38" s="333">
        <v>43790</v>
      </c>
      <c r="T38" s="329">
        <v>55</v>
      </c>
      <c r="U38" s="333">
        <v>43790</v>
      </c>
      <c r="V38" s="333">
        <v>44109</v>
      </c>
      <c r="W38" s="329" t="b">
        <v>1</v>
      </c>
      <c r="X38" s="331" t="s">
        <v>187</v>
      </c>
      <c r="Y38" s="329">
        <v>718</v>
      </c>
      <c r="Z38" s="331" t="s">
        <v>23</v>
      </c>
      <c r="AA38" s="331" t="s">
        <v>252</v>
      </c>
      <c r="AB38" s="331" t="s">
        <v>253</v>
      </c>
      <c r="AC38" s="331" t="s">
        <v>372</v>
      </c>
      <c r="AD38" s="331" t="s">
        <v>24</v>
      </c>
      <c r="AE38" s="329">
        <v>221</v>
      </c>
      <c r="AF38" s="331" t="s">
        <v>254</v>
      </c>
      <c r="AG38" s="329"/>
      <c r="AH38" s="329">
        <v>17</v>
      </c>
      <c r="AI38" s="331" t="s">
        <v>280</v>
      </c>
      <c r="AJ38" s="331" t="s">
        <v>281</v>
      </c>
      <c r="AK38" s="331" t="s">
        <v>299</v>
      </c>
      <c r="AL38" s="331" t="s">
        <v>301</v>
      </c>
      <c r="AM38" s="331" t="s">
        <v>275</v>
      </c>
      <c r="AN38" s="331" t="s">
        <v>359</v>
      </c>
      <c r="AO38" s="331" t="s">
        <v>299</v>
      </c>
      <c r="AP38" s="329"/>
      <c r="AQ38" s="329"/>
      <c r="AR38" s="329"/>
      <c r="AS38" s="329"/>
      <c r="AT38" s="329" t="s">
        <v>266</v>
      </c>
      <c r="AU38" s="329" t="s">
        <v>256</v>
      </c>
      <c r="AV38" s="331" t="s">
        <v>297</v>
      </c>
      <c r="AW38" s="329"/>
      <c r="AX38" s="329"/>
      <c r="AY38" s="329"/>
      <c r="AZ38" s="329"/>
      <c r="BA38" s="329"/>
      <c r="BB38" s="329"/>
      <c r="BC38" s="329"/>
      <c r="BD38" s="329"/>
      <c r="BE38" s="329" t="s">
        <v>257</v>
      </c>
      <c r="BF38" s="329" t="s">
        <v>836</v>
      </c>
      <c r="BG38" s="329"/>
      <c r="BH38" s="329"/>
      <c r="BI38" s="329"/>
      <c r="BJ38" s="329"/>
      <c r="BK38" s="329">
        <v>18000</v>
      </c>
      <c r="BL38" s="329"/>
      <c r="BM38" s="331" t="s">
        <v>310</v>
      </c>
      <c r="BN38" s="329" t="s">
        <v>260</v>
      </c>
      <c r="BO38" s="333">
        <v>43791</v>
      </c>
      <c r="BP38" s="329"/>
      <c r="BQ38" s="329"/>
      <c r="BR38" s="329"/>
      <c r="BS38" s="329"/>
      <c r="BT38" s="329"/>
      <c r="BU38" s="331" t="s">
        <v>261</v>
      </c>
      <c r="BV38" s="329"/>
      <c r="BW38" s="329"/>
      <c r="BX38" s="329"/>
      <c r="BY38" s="331" t="s">
        <v>3105</v>
      </c>
      <c r="BZ38" s="331" t="s">
        <v>3106</v>
      </c>
      <c r="CA38" s="331" t="s">
        <v>3107</v>
      </c>
      <c r="CB38" s="331" t="s">
        <v>297</v>
      </c>
      <c r="CC38" s="331" t="s">
        <v>3108</v>
      </c>
    </row>
    <row r="39" spans="1:81" x14ac:dyDescent="0.25">
      <c r="A39" s="329">
        <v>199527</v>
      </c>
      <c r="B39" s="331" t="s">
        <v>5604</v>
      </c>
      <c r="C39" s="329">
        <v>35596</v>
      </c>
      <c r="D39" s="331" t="s">
        <v>5605</v>
      </c>
      <c r="E39" s="331" t="s">
        <v>5606</v>
      </c>
      <c r="F39" s="331" t="s">
        <v>5607</v>
      </c>
      <c r="G39" s="331" t="s">
        <v>5608</v>
      </c>
      <c r="H39" s="331" t="s">
        <v>5609</v>
      </c>
      <c r="I39" s="331" t="s">
        <v>5610</v>
      </c>
      <c r="J39" s="331" t="s">
        <v>298</v>
      </c>
      <c r="K39" s="331" t="s">
        <v>5611</v>
      </c>
      <c r="L39" s="329"/>
      <c r="M39" s="329">
        <v>6</v>
      </c>
      <c r="N39" s="329">
        <v>0</v>
      </c>
      <c r="O39" s="329">
        <v>3.5082</v>
      </c>
      <c r="P39" s="329"/>
      <c r="Q39" s="333">
        <v>43773.419444444444</v>
      </c>
      <c r="R39" s="329"/>
      <c r="S39" s="333">
        <v>43790</v>
      </c>
      <c r="T39" s="329">
        <v>55</v>
      </c>
      <c r="U39" s="333">
        <v>43790</v>
      </c>
      <c r="V39" s="333">
        <v>44109</v>
      </c>
      <c r="W39" s="329" t="b">
        <v>1</v>
      </c>
      <c r="X39" s="331" t="s">
        <v>187</v>
      </c>
      <c r="Y39" s="329">
        <v>718</v>
      </c>
      <c r="Z39" s="331" t="s">
        <v>25</v>
      </c>
      <c r="AA39" s="331" t="s">
        <v>919</v>
      </c>
      <c r="AB39" s="331" t="s">
        <v>920</v>
      </c>
      <c r="AC39" s="331" t="s">
        <v>264</v>
      </c>
      <c r="AD39" s="331" t="s">
        <v>24</v>
      </c>
      <c r="AE39" s="329">
        <v>221</v>
      </c>
      <c r="AF39" s="331" t="s">
        <v>254</v>
      </c>
      <c r="AG39" s="329"/>
      <c r="AH39" s="329">
        <v>17</v>
      </c>
      <c r="AI39" s="331" t="s">
        <v>280</v>
      </c>
      <c r="AJ39" s="331" t="s">
        <v>281</v>
      </c>
      <c r="AK39" s="329"/>
      <c r="AL39" s="329"/>
      <c r="AM39" s="329"/>
      <c r="AN39" s="329"/>
      <c r="AO39" s="329"/>
      <c r="AP39" s="329"/>
      <c r="AQ39" s="329"/>
      <c r="AR39" s="329"/>
      <c r="AS39" s="329"/>
      <c r="AT39" s="329" t="s">
        <v>258</v>
      </c>
      <c r="AU39" s="329" t="s">
        <v>283</v>
      </c>
      <c r="AV39" s="331" t="s">
        <v>298</v>
      </c>
      <c r="AW39" s="329"/>
      <c r="AX39" s="329"/>
      <c r="AY39" s="329"/>
      <c r="AZ39" s="329"/>
      <c r="BA39" s="329"/>
      <c r="BB39" s="329"/>
      <c r="BC39" s="329"/>
      <c r="BD39" s="329"/>
      <c r="BE39" s="329" t="s">
        <v>257</v>
      </c>
      <c r="BF39" s="329" t="s">
        <v>841</v>
      </c>
      <c r="BG39" s="329"/>
      <c r="BH39" s="329"/>
      <c r="BI39" s="329"/>
      <c r="BJ39" s="329"/>
      <c r="BK39" s="329">
        <v>9000</v>
      </c>
      <c r="BL39" s="329"/>
      <c r="BM39" s="331" t="s">
        <v>189</v>
      </c>
      <c r="BN39" s="329" t="s">
        <v>260</v>
      </c>
      <c r="BO39" s="333">
        <v>43791</v>
      </c>
      <c r="BP39" s="329"/>
      <c r="BQ39" s="329"/>
      <c r="BR39" s="329"/>
      <c r="BS39" s="329"/>
      <c r="BT39" s="329"/>
      <c r="BU39" s="331" t="s">
        <v>261</v>
      </c>
      <c r="BV39" s="329"/>
      <c r="BW39" s="329"/>
      <c r="BX39" s="329"/>
      <c r="BY39" s="329"/>
      <c r="BZ39" s="329"/>
      <c r="CA39" s="329"/>
      <c r="CB39" s="329"/>
      <c r="CC39" s="329"/>
    </row>
    <row r="40" spans="1:81" x14ac:dyDescent="0.25">
      <c r="A40" s="329">
        <v>195923</v>
      </c>
      <c r="B40" s="331" t="s">
        <v>5612</v>
      </c>
      <c r="C40" s="329">
        <v>35583</v>
      </c>
      <c r="D40" s="331" t="s">
        <v>1178</v>
      </c>
      <c r="E40" s="331" t="s">
        <v>470</v>
      </c>
      <c r="F40" s="331" t="s">
        <v>5613</v>
      </c>
      <c r="G40" s="331" t="s">
        <v>5614</v>
      </c>
      <c r="H40" s="331" t="s">
        <v>5615</v>
      </c>
      <c r="I40" s="331" t="s">
        <v>5616</v>
      </c>
      <c r="J40" s="331" t="s">
        <v>546</v>
      </c>
      <c r="K40" s="331" t="s">
        <v>5617</v>
      </c>
      <c r="L40" s="329"/>
      <c r="M40" s="329">
        <v>6</v>
      </c>
      <c r="N40" s="329">
        <v>0</v>
      </c>
      <c r="O40" s="329">
        <v>3.6</v>
      </c>
      <c r="P40" s="329"/>
      <c r="Q40" s="333">
        <v>43683.398611111108</v>
      </c>
      <c r="R40" s="329"/>
      <c r="S40" s="333">
        <v>43790</v>
      </c>
      <c r="T40" s="329">
        <v>55</v>
      </c>
      <c r="U40" s="333">
        <v>43790</v>
      </c>
      <c r="V40" s="333">
        <v>44109</v>
      </c>
      <c r="W40" s="329" t="b">
        <v>1</v>
      </c>
      <c r="X40" s="331" t="s">
        <v>905</v>
      </c>
      <c r="Y40" s="329">
        <v>747</v>
      </c>
      <c r="Z40" s="331" t="s">
        <v>23</v>
      </c>
      <c r="AA40" s="331" t="s">
        <v>188</v>
      </c>
      <c r="AB40" s="331" t="s">
        <v>4503</v>
      </c>
      <c r="AC40" s="331" t="s">
        <v>5618</v>
      </c>
      <c r="AD40" s="331" t="s">
        <v>24</v>
      </c>
      <c r="AE40" s="329">
        <v>221</v>
      </c>
      <c r="AF40" s="331" t="s">
        <v>254</v>
      </c>
      <c r="AG40" s="329"/>
      <c r="AH40" s="329">
        <v>17</v>
      </c>
      <c r="AI40" s="331" t="s">
        <v>280</v>
      </c>
      <c r="AJ40" s="331" t="s">
        <v>281</v>
      </c>
      <c r="AK40" s="329"/>
      <c r="AL40" s="329"/>
      <c r="AM40" s="329"/>
      <c r="AN40" s="329"/>
      <c r="AO40" s="329"/>
      <c r="AP40" s="329"/>
      <c r="AQ40" s="329"/>
      <c r="AR40" s="329"/>
      <c r="AS40" s="329"/>
      <c r="AT40" s="329" t="s">
        <v>258</v>
      </c>
      <c r="AU40" s="329" t="s">
        <v>283</v>
      </c>
      <c r="AV40" s="331" t="s">
        <v>546</v>
      </c>
      <c r="AW40" s="329"/>
      <c r="AX40" s="329"/>
      <c r="AY40" s="329"/>
      <c r="AZ40" s="329"/>
      <c r="BA40" s="329"/>
      <c r="BB40" s="329"/>
      <c r="BC40" s="329"/>
      <c r="BD40" s="329"/>
      <c r="BE40" s="329" t="s">
        <v>257</v>
      </c>
      <c r="BF40" s="329" t="s">
        <v>837</v>
      </c>
      <c r="BG40" s="329"/>
      <c r="BH40" s="329"/>
      <c r="BI40" s="329"/>
      <c r="BJ40" s="329"/>
      <c r="BK40" s="329">
        <v>15000</v>
      </c>
      <c r="BL40" s="329"/>
      <c r="BM40" s="331" t="s">
        <v>295</v>
      </c>
      <c r="BN40" s="329" t="s">
        <v>260</v>
      </c>
      <c r="BO40" s="333">
        <v>43791</v>
      </c>
      <c r="BP40" s="329"/>
      <c r="BQ40" s="329"/>
      <c r="BR40" s="329"/>
      <c r="BS40" s="329"/>
      <c r="BT40" s="329"/>
      <c r="BU40" s="331" t="s">
        <v>261</v>
      </c>
      <c r="BV40" s="329"/>
      <c r="BW40" s="329"/>
      <c r="BX40" s="329"/>
      <c r="BY40" s="331" t="s">
        <v>5619</v>
      </c>
      <c r="BZ40" s="331" t="s">
        <v>5620</v>
      </c>
      <c r="CA40" s="331" t="s">
        <v>5616</v>
      </c>
      <c r="CB40" s="331" t="s">
        <v>546</v>
      </c>
      <c r="CC40" s="331" t="s">
        <v>5621</v>
      </c>
    </row>
    <row r="41" spans="1:81" x14ac:dyDescent="0.25">
      <c r="A41" s="329">
        <v>199303</v>
      </c>
      <c r="B41" s="331" t="s">
        <v>5622</v>
      </c>
      <c r="C41" s="329">
        <v>35636</v>
      </c>
      <c r="D41" s="331" t="s">
        <v>5623</v>
      </c>
      <c r="E41" s="331" t="s">
        <v>5624</v>
      </c>
      <c r="F41" s="331" t="s">
        <v>5625</v>
      </c>
      <c r="G41" s="331" t="s">
        <v>5626</v>
      </c>
      <c r="H41" s="331" t="s">
        <v>5627</v>
      </c>
      <c r="I41" s="331" t="s">
        <v>5628</v>
      </c>
      <c r="J41" s="331" t="s">
        <v>746</v>
      </c>
      <c r="K41" s="331" t="s">
        <v>5629</v>
      </c>
      <c r="L41" s="329"/>
      <c r="M41" s="329">
        <v>6</v>
      </c>
      <c r="N41" s="329">
        <v>0</v>
      </c>
      <c r="O41" s="329">
        <v>3.28</v>
      </c>
      <c r="P41" s="329"/>
      <c r="Q41" s="333">
        <v>43774.625</v>
      </c>
      <c r="R41" s="329"/>
      <c r="S41" s="333">
        <v>43790</v>
      </c>
      <c r="T41" s="329">
        <v>55</v>
      </c>
      <c r="U41" s="333">
        <v>43790</v>
      </c>
      <c r="V41" s="333">
        <v>44109</v>
      </c>
      <c r="W41" s="329" t="b">
        <v>1</v>
      </c>
      <c r="X41" s="331" t="s">
        <v>187</v>
      </c>
      <c r="Y41" s="329">
        <v>718</v>
      </c>
      <c r="Z41" s="331" t="s">
        <v>23</v>
      </c>
      <c r="AA41" s="331" t="s">
        <v>188</v>
      </c>
      <c r="AB41" s="331" t="s">
        <v>4503</v>
      </c>
      <c r="AC41" s="331" t="s">
        <v>5618</v>
      </c>
      <c r="AD41" s="331" t="s">
        <v>24</v>
      </c>
      <c r="AE41" s="329">
        <v>221</v>
      </c>
      <c r="AF41" s="331" t="s">
        <v>254</v>
      </c>
      <c r="AG41" s="329"/>
      <c r="AH41" s="329">
        <v>17</v>
      </c>
      <c r="AI41" s="331" t="s">
        <v>280</v>
      </c>
      <c r="AJ41" s="331" t="s">
        <v>281</v>
      </c>
      <c r="AK41" s="331" t="s">
        <v>299</v>
      </c>
      <c r="AL41" s="331" t="s">
        <v>330</v>
      </c>
      <c r="AM41" s="331" t="s">
        <v>290</v>
      </c>
      <c r="AN41" s="331" t="s">
        <v>299</v>
      </c>
      <c r="AO41" s="331" t="s">
        <v>299</v>
      </c>
      <c r="AP41" s="329"/>
      <c r="AQ41" s="329"/>
      <c r="AR41" s="329"/>
      <c r="AS41" s="329"/>
      <c r="AT41" s="329" t="s">
        <v>842</v>
      </c>
      <c r="AU41" s="329" t="s">
        <v>963</v>
      </c>
      <c r="AV41" s="331" t="s">
        <v>746</v>
      </c>
      <c r="AW41" s="329"/>
      <c r="AX41" s="329"/>
      <c r="AY41" s="329"/>
      <c r="AZ41" s="329"/>
      <c r="BA41" s="329"/>
      <c r="BB41" s="329"/>
      <c r="BC41" s="329"/>
      <c r="BD41" s="329"/>
      <c r="BE41" s="329" t="s">
        <v>257</v>
      </c>
      <c r="BF41" s="329" t="s">
        <v>834</v>
      </c>
      <c r="BG41" s="329"/>
      <c r="BH41" s="329"/>
      <c r="BI41" s="329"/>
      <c r="BJ41" s="329"/>
      <c r="BK41" s="329">
        <v>20400</v>
      </c>
      <c r="BL41" s="329"/>
      <c r="BM41" s="331" t="s">
        <v>278</v>
      </c>
      <c r="BN41" s="329" t="s">
        <v>260</v>
      </c>
      <c r="BO41" s="333">
        <v>43791</v>
      </c>
      <c r="BP41" s="329"/>
      <c r="BQ41" s="329"/>
      <c r="BR41" s="329"/>
      <c r="BS41" s="329"/>
      <c r="BT41" s="329"/>
      <c r="BU41" s="331" t="s">
        <v>261</v>
      </c>
      <c r="BV41" s="329"/>
      <c r="BW41" s="329"/>
      <c r="BX41" s="329"/>
      <c r="BY41" s="331" t="s">
        <v>5630</v>
      </c>
      <c r="BZ41" s="331" t="s">
        <v>5631</v>
      </c>
      <c r="CA41" s="331" t="s">
        <v>5632</v>
      </c>
      <c r="CB41" s="331" t="s">
        <v>746</v>
      </c>
      <c r="CC41" s="331" t="s">
        <v>5633</v>
      </c>
    </row>
    <row r="42" spans="1:81" x14ac:dyDescent="0.25">
      <c r="A42" s="329">
        <v>198736</v>
      </c>
      <c r="B42" s="331" t="s">
        <v>5634</v>
      </c>
      <c r="C42" s="329">
        <v>35369</v>
      </c>
      <c r="D42" s="331" t="s">
        <v>5635</v>
      </c>
      <c r="E42" s="331" t="s">
        <v>3418</v>
      </c>
      <c r="F42" s="331" t="s">
        <v>5636</v>
      </c>
      <c r="G42" s="331" t="s">
        <v>5637</v>
      </c>
      <c r="H42" s="331" t="s">
        <v>5638</v>
      </c>
      <c r="I42" s="331" t="s">
        <v>5639</v>
      </c>
      <c r="J42" s="331" t="s">
        <v>484</v>
      </c>
      <c r="K42" s="331" t="s">
        <v>5640</v>
      </c>
      <c r="L42" s="329"/>
      <c r="M42" s="329">
        <v>6</v>
      </c>
      <c r="N42" s="329">
        <v>0</v>
      </c>
      <c r="O42" s="329">
        <v>2.9083000000000001</v>
      </c>
      <c r="P42" s="329"/>
      <c r="Q42" s="333">
        <v>43738.743750000001</v>
      </c>
      <c r="R42" s="329"/>
      <c r="S42" s="333">
        <v>43790</v>
      </c>
      <c r="T42" s="329">
        <v>55</v>
      </c>
      <c r="U42" s="333">
        <v>43790</v>
      </c>
      <c r="V42" s="333">
        <v>44109</v>
      </c>
      <c r="W42" s="329" t="b">
        <v>1</v>
      </c>
      <c r="X42" s="331" t="s">
        <v>187</v>
      </c>
      <c r="Y42" s="329">
        <v>718</v>
      </c>
      <c r="Z42" s="331" t="s">
        <v>23</v>
      </c>
      <c r="AA42" s="331" t="s">
        <v>919</v>
      </c>
      <c r="AB42" s="331" t="s">
        <v>920</v>
      </c>
      <c r="AC42" s="331" t="s">
        <v>5641</v>
      </c>
      <c r="AD42" s="331" t="s">
        <v>24</v>
      </c>
      <c r="AE42" s="329">
        <v>221</v>
      </c>
      <c r="AF42" s="331" t="s">
        <v>254</v>
      </c>
      <c r="AG42" s="329"/>
      <c r="AH42" s="329">
        <v>17</v>
      </c>
      <c r="AI42" s="331" t="s">
        <v>280</v>
      </c>
      <c r="AJ42" s="331" t="s">
        <v>281</v>
      </c>
      <c r="AK42" s="329"/>
      <c r="AL42" s="329"/>
      <c r="AM42" s="329"/>
      <c r="AN42" s="329"/>
      <c r="AO42" s="329"/>
      <c r="AP42" s="331" t="s">
        <v>356</v>
      </c>
      <c r="AQ42" s="329">
        <v>510</v>
      </c>
      <c r="AR42" s="329">
        <v>540</v>
      </c>
      <c r="AS42" s="329"/>
      <c r="AT42" s="329" t="s">
        <v>365</v>
      </c>
      <c r="AU42" s="329" t="s">
        <v>283</v>
      </c>
      <c r="AV42" s="331" t="s">
        <v>484</v>
      </c>
      <c r="AW42" s="329"/>
      <c r="AX42" s="329"/>
      <c r="AY42" s="329"/>
      <c r="AZ42" s="329"/>
      <c r="BA42" s="329"/>
      <c r="BB42" s="329"/>
      <c r="BC42" s="329"/>
      <c r="BD42" s="329"/>
      <c r="BE42" s="329"/>
      <c r="BF42" s="329"/>
      <c r="BG42" s="329"/>
      <c r="BH42" s="329"/>
      <c r="BI42" s="329"/>
      <c r="BJ42" s="329"/>
      <c r="BK42" s="329">
        <v>0</v>
      </c>
      <c r="BL42" s="329"/>
      <c r="BM42" s="331" t="s">
        <v>267</v>
      </c>
      <c r="BN42" s="329" t="s">
        <v>260</v>
      </c>
      <c r="BO42" s="333">
        <v>43791</v>
      </c>
      <c r="BP42" s="329"/>
      <c r="BQ42" s="329"/>
      <c r="BR42" s="329"/>
      <c r="BS42" s="329"/>
      <c r="BT42" s="329"/>
      <c r="BU42" s="331" t="s">
        <v>261</v>
      </c>
      <c r="BV42" s="329"/>
      <c r="BW42" s="329"/>
      <c r="BX42" s="329"/>
      <c r="BY42" s="331" t="s">
        <v>5642</v>
      </c>
      <c r="BZ42" s="331" t="s">
        <v>5643</v>
      </c>
      <c r="CA42" s="331" t="s">
        <v>5644</v>
      </c>
      <c r="CB42" s="331" t="s">
        <v>484</v>
      </c>
      <c r="CC42" s="331" t="s">
        <v>5645</v>
      </c>
    </row>
    <row r="43" spans="1:81" x14ac:dyDescent="0.25">
      <c r="A43" s="329">
        <v>199425</v>
      </c>
      <c r="B43" s="331" t="s">
        <v>5646</v>
      </c>
      <c r="C43" s="329">
        <v>35565</v>
      </c>
      <c r="D43" s="331" t="s">
        <v>5647</v>
      </c>
      <c r="E43" s="331" t="s">
        <v>4293</v>
      </c>
      <c r="F43" s="331" t="s">
        <v>5648</v>
      </c>
      <c r="G43" s="331" t="s">
        <v>5649</v>
      </c>
      <c r="H43" s="331" t="s">
        <v>5650</v>
      </c>
      <c r="I43" s="331" t="s">
        <v>5651</v>
      </c>
      <c r="J43" s="331" t="s">
        <v>21</v>
      </c>
      <c r="K43" s="331" t="s">
        <v>5652</v>
      </c>
      <c r="L43" s="329"/>
      <c r="M43" s="329">
        <v>6</v>
      </c>
      <c r="N43" s="329">
        <v>0</v>
      </c>
      <c r="O43" s="329">
        <v>3.7519999999999998</v>
      </c>
      <c r="P43" s="329"/>
      <c r="Q43" s="333">
        <v>43777.466666666667</v>
      </c>
      <c r="R43" s="329"/>
      <c r="S43" s="333">
        <v>43790</v>
      </c>
      <c r="T43" s="329">
        <v>55</v>
      </c>
      <c r="U43" s="333">
        <v>43790</v>
      </c>
      <c r="V43" s="333">
        <v>44109</v>
      </c>
      <c r="W43" s="329" t="b">
        <v>1</v>
      </c>
      <c r="X43" s="331" t="s">
        <v>22</v>
      </c>
      <c r="Y43" s="329">
        <v>726</v>
      </c>
      <c r="Z43" s="331" t="s">
        <v>23</v>
      </c>
      <c r="AA43" s="331" t="s">
        <v>919</v>
      </c>
      <c r="AB43" s="331" t="s">
        <v>920</v>
      </c>
      <c r="AC43" s="331" t="s">
        <v>720</v>
      </c>
      <c r="AD43" s="331" t="s">
        <v>24</v>
      </c>
      <c r="AE43" s="329">
        <v>221</v>
      </c>
      <c r="AF43" s="331" t="s">
        <v>254</v>
      </c>
      <c r="AG43" s="329"/>
      <c r="AH43" s="329">
        <v>17</v>
      </c>
      <c r="AI43" s="331" t="s">
        <v>280</v>
      </c>
      <c r="AJ43" s="331" t="s">
        <v>281</v>
      </c>
      <c r="AK43" s="331" t="s">
        <v>275</v>
      </c>
      <c r="AL43" s="331" t="s">
        <v>289</v>
      </c>
      <c r="AM43" s="331" t="s">
        <v>272</v>
      </c>
      <c r="AN43" s="331" t="s">
        <v>301</v>
      </c>
      <c r="AO43" s="331" t="s">
        <v>290</v>
      </c>
      <c r="AP43" s="329"/>
      <c r="AQ43" s="329"/>
      <c r="AR43" s="329"/>
      <c r="AS43" s="329"/>
      <c r="AT43" s="329" t="s">
        <v>312</v>
      </c>
      <c r="AU43" s="329" t="s">
        <v>963</v>
      </c>
      <c r="AV43" s="331" t="s">
        <v>21</v>
      </c>
      <c r="AW43" s="329"/>
      <c r="AX43" s="329"/>
      <c r="AY43" s="329"/>
      <c r="AZ43" s="329"/>
      <c r="BA43" s="329"/>
      <c r="BB43" s="329"/>
      <c r="BC43" s="329"/>
      <c r="BD43" s="329"/>
      <c r="BE43" s="329" t="s">
        <v>257</v>
      </c>
      <c r="BF43" s="329" t="s">
        <v>834</v>
      </c>
      <c r="BG43" s="329"/>
      <c r="BH43" s="329"/>
      <c r="BI43" s="329" t="s">
        <v>334</v>
      </c>
      <c r="BJ43" s="329" t="s">
        <v>831</v>
      </c>
      <c r="BK43" s="329">
        <v>56400</v>
      </c>
      <c r="BL43" s="329"/>
      <c r="BM43" s="331" t="s">
        <v>278</v>
      </c>
      <c r="BN43" s="329" t="s">
        <v>260</v>
      </c>
      <c r="BO43" s="333">
        <v>43791</v>
      </c>
      <c r="BP43" s="329"/>
      <c r="BQ43" s="329"/>
      <c r="BR43" s="329"/>
      <c r="BS43" s="329"/>
      <c r="BT43" s="329"/>
      <c r="BU43" s="331" t="s">
        <v>261</v>
      </c>
      <c r="BV43" s="329"/>
      <c r="BW43" s="329"/>
      <c r="BX43" s="329"/>
      <c r="BY43" s="331" t="s">
        <v>5653</v>
      </c>
      <c r="BZ43" s="331" t="s">
        <v>5654</v>
      </c>
      <c r="CA43" s="331" t="s">
        <v>813</v>
      </c>
      <c r="CB43" s="331" t="s">
        <v>21</v>
      </c>
      <c r="CC43" s="331" t="s">
        <v>5655</v>
      </c>
    </row>
    <row r="44" spans="1:81" x14ac:dyDescent="0.25">
      <c r="A44" s="329">
        <v>191895</v>
      </c>
      <c r="B44" s="331" t="s">
        <v>5656</v>
      </c>
      <c r="C44" s="329">
        <v>35661</v>
      </c>
      <c r="D44" s="331" t="s">
        <v>5657</v>
      </c>
      <c r="E44" s="331" t="s">
        <v>406</v>
      </c>
      <c r="F44" s="331" t="s">
        <v>5658</v>
      </c>
      <c r="G44" s="331" t="s">
        <v>5659</v>
      </c>
      <c r="H44" s="331" t="s">
        <v>5660</v>
      </c>
      <c r="I44" s="331" t="s">
        <v>268</v>
      </c>
      <c r="J44" s="331" t="s">
        <v>263</v>
      </c>
      <c r="K44" s="331" t="s">
        <v>5661</v>
      </c>
      <c r="L44" s="329"/>
      <c r="M44" s="329">
        <v>6</v>
      </c>
      <c r="N44" s="329">
        <v>0</v>
      </c>
      <c r="O44" s="329">
        <v>3.9</v>
      </c>
      <c r="P44" s="329"/>
      <c r="Q44" s="333">
        <v>43585.729166666664</v>
      </c>
      <c r="R44" s="329"/>
      <c r="S44" s="333">
        <v>43790</v>
      </c>
      <c r="T44" s="329">
        <v>55</v>
      </c>
      <c r="U44" s="333">
        <v>43790</v>
      </c>
      <c r="V44" s="333">
        <v>44109</v>
      </c>
      <c r="W44" s="329" t="b">
        <v>1</v>
      </c>
      <c r="X44" s="331" t="s">
        <v>905</v>
      </c>
      <c r="Y44" s="329">
        <v>747</v>
      </c>
      <c r="Z44" s="331" t="s">
        <v>23</v>
      </c>
      <c r="AA44" s="331" t="s">
        <v>919</v>
      </c>
      <c r="AB44" s="331" t="s">
        <v>920</v>
      </c>
      <c r="AC44" s="331" t="s">
        <v>1361</v>
      </c>
      <c r="AD44" s="331" t="s">
        <v>24</v>
      </c>
      <c r="AE44" s="329">
        <v>221</v>
      </c>
      <c r="AF44" s="331" t="s">
        <v>254</v>
      </c>
      <c r="AG44" s="329"/>
      <c r="AH44" s="329">
        <v>17</v>
      </c>
      <c r="AI44" s="331" t="s">
        <v>280</v>
      </c>
      <c r="AJ44" s="331" t="s">
        <v>281</v>
      </c>
      <c r="AK44" s="329"/>
      <c r="AL44" s="329"/>
      <c r="AM44" s="329"/>
      <c r="AN44" s="329"/>
      <c r="AO44" s="329"/>
      <c r="AP44" s="331" t="s">
        <v>760</v>
      </c>
      <c r="AQ44" s="329">
        <v>710</v>
      </c>
      <c r="AR44" s="329">
        <v>630</v>
      </c>
      <c r="AS44" s="329"/>
      <c r="AT44" s="329" t="s">
        <v>352</v>
      </c>
      <c r="AU44" s="329" t="s">
        <v>283</v>
      </c>
      <c r="AV44" s="331" t="s">
        <v>263</v>
      </c>
      <c r="AW44" s="329"/>
      <c r="AX44" s="329"/>
      <c r="AY44" s="329"/>
      <c r="AZ44" s="329"/>
      <c r="BA44" s="329"/>
      <c r="BB44" s="329"/>
      <c r="BC44" s="329"/>
      <c r="BD44" s="329"/>
      <c r="BE44" s="329" t="s">
        <v>257</v>
      </c>
      <c r="BF44" s="329" t="s">
        <v>834</v>
      </c>
      <c r="BG44" s="329"/>
      <c r="BH44" s="329"/>
      <c r="BI44" s="329"/>
      <c r="BJ44" s="329"/>
      <c r="BK44" s="329">
        <v>20400</v>
      </c>
      <c r="BL44" s="329"/>
      <c r="BM44" s="331" t="s">
        <v>278</v>
      </c>
      <c r="BN44" s="329" t="s">
        <v>260</v>
      </c>
      <c r="BO44" s="333">
        <v>43791</v>
      </c>
      <c r="BP44" s="329"/>
      <c r="BQ44" s="329"/>
      <c r="BR44" s="329"/>
      <c r="BS44" s="329"/>
      <c r="BT44" s="329"/>
      <c r="BU44" s="331" t="s">
        <v>261</v>
      </c>
      <c r="BV44" s="329"/>
      <c r="BW44" s="329"/>
      <c r="BX44" s="329"/>
      <c r="BY44" s="331" t="s">
        <v>5662</v>
      </c>
      <c r="BZ44" s="331" t="s">
        <v>5663</v>
      </c>
      <c r="CA44" s="329"/>
      <c r="CB44" s="331" t="s">
        <v>558</v>
      </c>
      <c r="CC44" s="331" t="s">
        <v>304</v>
      </c>
    </row>
    <row r="45" spans="1:81" x14ac:dyDescent="0.25">
      <c r="A45" s="329">
        <v>199137</v>
      </c>
      <c r="B45" s="331" t="s">
        <v>5664</v>
      </c>
      <c r="C45" s="329">
        <v>35487</v>
      </c>
      <c r="D45" s="331" t="s">
        <v>5665</v>
      </c>
      <c r="E45" s="331" t="s">
        <v>5666</v>
      </c>
      <c r="F45" s="331" t="s">
        <v>5667</v>
      </c>
      <c r="G45" s="331" t="s">
        <v>5668</v>
      </c>
      <c r="H45" s="331" t="s">
        <v>5669</v>
      </c>
      <c r="I45" s="331" t="s">
        <v>2940</v>
      </c>
      <c r="J45" s="331" t="s">
        <v>307</v>
      </c>
      <c r="K45" s="331" t="s">
        <v>5670</v>
      </c>
      <c r="L45" s="329"/>
      <c r="M45" s="329">
        <v>6</v>
      </c>
      <c r="N45" s="329">
        <v>0</v>
      </c>
      <c r="O45" s="329">
        <v>3.7618999999999998</v>
      </c>
      <c r="P45" s="329"/>
      <c r="Q45" s="333">
        <v>43766.887499999997</v>
      </c>
      <c r="R45" s="329"/>
      <c r="S45" s="333">
        <v>43790</v>
      </c>
      <c r="T45" s="329">
        <v>55</v>
      </c>
      <c r="U45" s="333">
        <v>43790</v>
      </c>
      <c r="V45" s="333">
        <v>44109</v>
      </c>
      <c r="W45" s="329" t="b">
        <v>1</v>
      </c>
      <c r="X45" s="331" t="s">
        <v>22</v>
      </c>
      <c r="Y45" s="329">
        <v>726</v>
      </c>
      <c r="Z45" s="331" t="s">
        <v>23</v>
      </c>
      <c r="AA45" s="331" t="s">
        <v>919</v>
      </c>
      <c r="AB45" s="331" t="s">
        <v>920</v>
      </c>
      <c r="AC45" s="331" t="s">
        <v>346</v>
      </c>
      <c r="AD45" s="331" t="s">
        <v>24</v>
      </c>
      <c r="AE45" s="329">
        <v>221</v>
      </c>
      <c r="AF45" s="331" t="s">
        <v>254</v>
      </c>
      <c r="AG45" s="329"/>
      <c r="AH45" s="329">
        <v>17</v>
      </c>
      <c r="AI45" s="331" t="s">
        <v>280</v>
      </c>
      <c r="AJ45" s="331" t="s">
        <v>281</v>
      </c>
      <c r="AK45" s="329"/>
      <c r="AL45" s="329"/>
      <c r="AM45" s="329"/>
      <c r="AN45" s="329"/>
      <c r="AO45" s="329"/>
      <c r="AP45" s="329"/>
      <c r="AQ45" s="329"/>
      <c r="AR45" s="329"/>
      <c r="AS45" s="329"/>
      <c r="AT45" s="329" t="s">
        <v>258</v>
      </c>
      <c r="AU45" s="329" t="s">
        <v>963</v>
      </c>
      <c r="AV45" s="331" t="s">
        <v>307</v>
      </c>
      <c r="AW45" s="329"/>
      <c r="AX45" s="329"/>
      <c r="AY45" s="329"/>
      <c r="AZ45" s="329"/>
      <c r="BA45" s="329"/>
      <c r="BB45" s="329"/>
      <c r="BC45" s="329"/>
      <c r="BD45" s="329"/>
      <c r="BE45" s="329" t="s">
        <v>257</v>
      </c>
      <c r="BF45" s="329" t="s">
        <v>837</v>
      </c>
      <c r="BG45" s="329"/>
      <c r="BH45" s="329"/>
      <c r="BI45" s="329"/>
      <c r="BJ45" s="329"/>
      <c r="BK45" s="329">
        <v>15000</v>
      </c>
      <c r="BL45" s="329"/>
      <c r="BM45" s="331" t="s">
        <v>295</v>
      </c>
      <c r="BN45" s="329" t="s">
        <v>260</v>
      </c>
      <c r="BO45" s="333">
        <v>43791</v>
      </c>
      <c r="BP45" s="329"/>
      <c r="BQ45" s="329"/>
      <c r="BR45" s="329"/>
      <c r="BS45" s="329"/>
      <c r="BT45" s="329"/>
      <c r="BU45" s="331" t="s">
        <v>261</v>
      </c>
      <c r="BV45" s="329"/>
      <c r="BW45" s="329"/>
      <c r="BX45" s="329"/>
      <c r="BY45" s="331" t="s">
        <v>5671</v>
      </c>
      <c r="BZ45" s="331" t="s">
        <v>5672</v>
      </c>
      <c r="CA45" s="331" t="s">
        <v>2940</v>
      </c>
      <c r="CB45" s="331" t="s">
        <v>307</v>
      </c>
      <c r="CC45" s="331" t="s">
        <v>5670</v>
      </c>
    </row>
    <row r="46" spans="1:81" x14ac:dyDescent="0.25">
      <c r="A46" s="329">
        <v>199354</v>
      </c>
      <c r="B46" s="331" t="s">
        <v>5673</v>
      </c>
      <c r="C46" s="329">
        <v>35550</v>
      </c>
      <c r="D46" s="331" t="s">
        <v>5674</v>
      </c>
      <c r="E46" s="331" t="s">
        <v>5675</v>
      </c>
      <c r="F46" s="331" t="s">
        <v>5676</v>
      </c>
      <c r="G46" s="331" t="s">
        <v>5677</v>
      </c>
      <c r="H46" s="331" t="s">
        <v>5678</v>
      </c>
      <c r="I46" s="331" t="s">
        <v>1853</v>
      </c>
      <c r="J46" s="331" t="s">
        <v>251</v>
      </c>
      <c r="K46" s="331" t="s">
        <v>5679</v>
      </c>
      <c r="L46" s="329"/>
      <c r="M46" s="329">
        <v>6</v>
      </c>
      <c r="N46" s="329">
        <v>0</v>
      </c>
      <c r="O46" s="329">
        <v>2.9737</v>
      </c>
      <c r="P46" s="329"/>
      <c r="Q46" s="333">
        <v>43774.706250000003</v>
      </c>
      <c r="R46" s="329"/>
      <c r="S46" s="333">
        <v>43790</v>
      </c>
      <c r="T46" s="329">
        <v>55</v>
      </c>
      <c r="U46" s="333">
        <v>43790</v>
      </c>
      <c r="V46" s="333">
        <v>44109</v>
      </c>
      <c r="W46" s="329" t="b">
        <v>1</v>
      </c>
      <c r="X46" s="331" t="s">
        <v>22</v>
      </c>
      <c r="Y46" s="329">
        <v>726</v>
      </c>
      <c r="Z46" s="331" t="s">
        <v>23</v>
      </c>
      <c r="AA46" s="331" t="s">
        <v>919</v>
      </c>
      <c r="AB46" s="331" t="s">
        <v>920</v>
      </c>
      <c r="AC46" s="331" t="s">
        <v>346</v>
      </c>
      <c r="AD46" s="331" t="s">
        <v>24</v>
      </c>
      <c r="AE46" s="329">
        <v>221</v>
      </c>
      <c r="AF46" s="331" t="s">
        <v>254</v>
      </c>
      <c r="AG46" s="329"/>
      <c r="AH46" s="329">
        <v>17</v>
      </c>
      <c r="AI46" s="331" t="s">
        <v>280</v>
      </c>
      <c r="AJ46" s="331" t="s">
        <v>281</v>
      </c>
      <c r="AK46" s="329"/>
      <c r="AL46" s="329"/>
      <c r="AM46" s="329"/>
      <c r="AN46" s="329"/>
      <c r="AO46" s="329"/>
      <c r="AP46" s="331" t="s">
        <v>494</v>
      </c>
      <c r="AQ46" s="329">
        <v>460</v>
      </c>
      <c r="AR46" s="329">
        <v>490</v>
      </c>
      <c r="AS46" s="329"/>
      <c r="AT46" s="329" t="s">
        <v>409</v>
      </c>
      <c r="AU46" s="329" t="s">
        <v>256</v>
      </c>
      <c r="AV46" s="331" t="s">
        <v>251</v>
      </c>
      <c r="AW46" s="329"/>
      <c r="AX46" s="329"/>
      <c r="AY46" s="329"/>
      <c r="AZ46" s="329"/>
      <c r="BA46" s="329"/>
      <c r="BB46" s="329"/>
      <c r="BC46" s="329"/>
      <c r="BD46" s="329"/>
      <c r="BE46" s="329"/>
      <c r="BF46" s="329"/>
      <c r="BG46" s="329"/>
      <c r="BH46" s="329"/>
      <c r="BI46" s="329"/>
      <c r="BJ46" s="329"/>
      <c r="BK46" s="329">
        <v>0</v>
      </c>
      <c r="BL46" s="329"/>
      <c r="BM46" s="331" t="s">
        <v>27</v>
      </c>
      <c r="BN46" s="329" t="s">
        <v>260</v>
      </c>
      <c r="BO46" s="333">
        <v>43791</v>
      </c>
      <c r="BP46" s="329"/>
      <c r="BQ46" s="329"/>
      <c r="BR46" s="329"/>
      <c r="BS46" s="329"/>
      <c r="BT46" s="329"/>
      <c r="BU46" s="331" t="s">
        <v>261</v>
      </c>
      <c r="BV46" s="329"/>
      <c r="BW46" s="329"/>
      <c r="BX46" s="329"/>
      <c r="BY46" s="331" t="s">
        <v>5680</v>
      </c>
      <c r="BZ46" s="331" t="s">
        <v>5681</v>
      </c>
      <c r="CA46" s="331" t="s">
        <v>5682</v>
      </c>
      <c r="CB46" s="331" t="s">
        <v>251</v>
      </c>
      <c r="CC46" s="331" t="s">
        <v>5683</v>
      </c>
    </row>
    <row r="47" spans="1:81" x14ac:dyDescent="0.25">
      <c r="A47" s="329">
        <v>198946</v>
      </c>
      <c r="B47" s="331" t="s">
        <v>5684</v>
      </c>
      <c r="C47" s="329">
        <v>35418</v>
      </c>
      <c r="D47" s="331" t="s">
        <v>5685</v>
      </c>
      <c r="E47" s="331" t="s">
        <v>524</v>
      </c>
      <c r="F47" s="331" t="s">
        <v>5686</v>
      </c>
      <c r="G47" s="331" t="s">
        <v>5687</v>
      </c>
      <c r="H47" s="331" t="s">
        <v>5688</v>
      </c>
      <c r="I47" s="331" t="s">
        <v>2940</v>
      </c>
      <c r="J47" s="331" t="s">
        <v>307</v>
      </c>
      <c r="K47" s="331" t="s">
        <v>5689</v>
      </c>
      <c r="L47" s="329"/>
      <c r="M47" s="329">
        <v>6</v>
      </c>
      <c r="N47" s="329">
        <v>0</v>
      </c>
      <c r="O47" s="329">
        <v>3.72</v>
      </c>
      <c r="P47" s="329"/>
      <c r="Q47" s="333">
        <v>43759.693749999999</v>
      </c>
      <c r="R47" s="329"/>
      <c r="S47" s="333">
        <v>43790</v>
      </c>
      <c r="T47" s="329">
        <v>55</v>
      </c>
      <c r="U47" s="333">
        <v>43790</v>
      </c>
      <c r="V47" s="333">
        <v>44109</v>
      </c>
      <c r="W47" s="329" t="b">
        <v>1</v>
      </c>
      <c r="X47" s="331" t="s">
        <v>22</v>
      </c>
      <c r="Y47" s="329">
        <v>429</v>
      </c>
      <c r="Z47" s="331" t="s">
        <v>23</v>
      </c>
      <c r="AA47" s="331" t="s">
        <v>919</v>
      </c>
      <c r="AB47" s="331" t="s">
        <v>920</v>
      </c>
      <c r="AC47" s="331" t="s">
        <v>357</v>
      </c>
      <c r="AD47" s="331" t="s">
        <v>24</v>
      </c>
      <c r="AE47" s="329">
        <v>221</v>
      </c>
      <c r="AF47" s="331" t="s">
        <v>254</v>
      </c>
      <c r="AG47" s="329"/>
      <c r="AH47" s="329">
        <v>17</v>
      </c>
      <c r="AI47" s="331" t="s">
        <v>280</v>
      </c>
      <c r="AJ47" s="331" t="s">
        <v>281</v>
      </c>
      <c r="AK47" s="329"/>
      <c r="AL47" s="329"/>
      <c r="AM47" s="329"/>
      <c r="AN47" s="329"/>
      <c r="AO47" s="329"/>
      <c r="AP47" s="331" t="s">
        <v>356</v>
      </c>
      <c r="AQ47" s="329">
        <v>590</v>
      </c>
      <c r="AR47" s="329">
        <v>460</v>
      </c>
      <c r="AS47" s="329"/>
      <c r="AT47" s="329" t="s">
        <v>338</v>
      </c>
      <c r="AU47" s="329" t="s">
        <v>283</v>
      </c>
      <c r="AV47" s="331" t="s">
        <v>307</v>
      </c>
      <c r="AW47" s="329"/>
      <c r="AX47" s="329"/>
      <c r="AY47" s="329"/>
      <c r="AZ47" s="329"/>
      <c r="BA47" s="329"/>
      <c r="BB47" s="329"/>
      <c r="BC47" s="329"/>
      <c r="BD47" s="329"/>
      <c r="BE47" s="329" t="s">
        <v>257</v>
      </c>
      <c r="BF47" s="329" t="s">
        <v>834</v>
      </c>
      <c r="BG47" s="329"/>
      <c r="BH47" s="329"/>
      <c r="BI47" s="329"/>
      <c r="BJ47" s="329"/>
      <c r="BK47" s="329">
        <v>20400</v>
      </c>
      <c r="BL47" s="329"/>
      <c r="BM47" s="331" t="s">
        <v>278</v>
      </c>
      <c r="BN47" s="329" t="s">
        <v>260</v>
      </c>
      <c r="BO47" s="333">
        <v>43791</v>
      </c>
      <c r="BP47" s="329"/>
      <c r="BQ47" s="329"/>
      <c r="BR47" s="329"/>
      <c r="BS47" s="329"/>
      <c r="BT47" s="329"/>
      <c r="BU47" s="331" t="s">
        <v>261</v>
      </c>
      <c r="BV47" s="329"/>
      <c r="BW47" s="329"/>
      <c r="BX47" s="329"/>
      <c r="BY47" s="331" t="s">
        <v>5690</v>
      </c>
      <c r="BZ47" s="331" t="s">
        <v>5691</v>
      </c>
      <c r="CA47" s="331" t="s">
        <v>2940</v>
      </c>
      <c r="CB47" s="331" t="s">
        <v>307</v>
      </c>
      <c r="CC47" s="331" t="s">
        <v>5692</v>
      </c>
    </row>
    <row r="48" spans="1:81" x14ac:dyDescent="0.25">
      <c r="A48" s="329">
        <v>198900</v>
      </c>
      <c r="B48" s="331" t="s">
        <v>5693</v>
      </c>
      <c r="C48" s="329">
        <v>35407</v>
      </c>
      <c r="D48" s="331" t="s">
        <v>5694</v>
      </c>
      <c r="E48" s="331" t="s">
        <v>5695</v>
      </c>
      <c r="F48" s="331" t="s">
        <v>5696</v>
      </c>
      <c r="G48" s="331" t="s">
        <v>5697</v>
      </c>
      <c r="H48" s="331" t="s">
        <v>5698</v>
      </c>
      <c r="I48" s="331" t="s">
        <v>5432</v>
      </c>
      <c r="J48" s="331" t="s">
        <v>21</v>
      </c>
      <c r="K48" s="331" t="s">
        <v>575</v>
      </c>
      <c r="L48" s="329"/>
      <c r="M48" s="329">
        <v>6</v>
      </c>
      <c r="N48" s="329">
        <v>0</v>
      </c>
      <c r="O48" s="329">
        <v>3.35</v>
      </c>
      <c r="P48" s="329"/>
      <c r="Q48" s="333">
        <v>43757.518750000003</v>
      </c>
      <c r="R48" s="329"/>
      <c r="S48" s="333">
        <v>43790</v>
      </c>
      <c r="T48" s="329">
        <v>55</v>
      </c>
      <c r="U48" s="333">
        <v>43790</v>
      </c>
      <c r="V48" s="333">
        <v>44109</v>
      </c>
      <c r="W48" s="329" t="b">
        <v>1</v>
      </c>
      <c r="X48" s="331" t="s">
        <v>906</v>
      </c>
      <c r="Y48" s="329">
        <v>748</v>
      </c>
      <c r="Z48" s="331" t="s">
        <v>23</v>
      </c>
      <c r="AA48" s="331" t="s">
        <v>919</v>
      </c>
      <c r="AB48" s="331" t="s">
        <v>920</v>
      </c>
      <c r="AC48" s="331" t="s">
        <v>700</v>
      </c>
      <c r="AD48" s="331" t="s">
        <v>24</v>
      </c>
      <c r="AE48" s="329">
        <v>221</v>
      </c>
      <c r="AF48" s="331" t="s">
        <v>254</v>
      </c>
      <c r="AG48" s="329"/>
      <c r="AH48" s="329">
        <v>17</v>
      </c>
      <c r="AI48" s="331" t="s">
        <v>280</v>
      </c>
      <c r="AJ48" s="331" t="s">
        <v>281</v>
      </c>
      <c r="AK48" s="331" t="s">
        <v>328</v>
      </c>
      <c r="AL48" s="331" t="s">
        <v>386</v>
      </c>
      <c r="AM48" s="331" t="s">
        <v>363</v>
      </c>
      <c r="AN48" s="331" t="s">
        <v>275</v>
      </c>
      <c r="AO48" s="331" t="s">
        <v>363</v>
      </c>
      <c r="AP48" s="329"/>
      <c r="AQ48" s="329"/>
      <c r="AR48" s="329"/>
      <c r="AS48" s="329"/>
      <c r="AT48" s="329" t="s">
        <v>466</v>
      </c>
      <c r="AU48" s="329" t="s">
        <v>567</v>
      </c>
      <c r="AV48" s="331" t="s">
        <v>21</v>
      </c>
      <c r="AW48" s="329"/>
      <c r="AX48" s="329"/>
      <c r="AY48" s="329"/>
      <c r="AZ48" s="329"/>
      <c r="BA48" s="329"/>
      <c r="BB48" s="329"/>
      <c r="BC48" s="329"/>
      <c r="BD48" s="329"/>
      <c r="BE48" s="329" t="s">
        <v>257</v>
      </c>
      <c r="BF48" s="329" t="s">
        <v>837</v>
      </c>
      <c r="BG48" s="329"/>
      <c r="BH48" s="329"/>
      <c r="BI48" s="329" t="s">
        <v>334</v>
      </c>
      <c r="BJ48" s="329" t="s">
        <v>831</v>
      </c>
      <c r="BK48" s="329">
        <v>51000</v>
      </c>
      <c r="BL48" s="329"/>
      <c r="BM48" s="331" t="s">
        <v>295</v>
      </c>
      <c r="BN48" s="329" t="s">
        <v>260</v>
      </c>
      <c r="BO48" s="333">
        <v>43791</v>
      </c>
      <c r="BP48" s="329"/>
      <c r="BQ48" s="329"/>
      <c r="BR48" s="329"/>
      <c r="BS48" s="329"/>
      <c r="BT48" s="329"/>
      <c r="BU48" s="331" t="s">
        <v>261</v>
      </c>
      <c r="BV48" s="329"/>
      <c r="BW48" s="329"/>
      <c r="BX48" s="329"/>
      <c r="BY48" s="331" t="s">
        <v>5430</v>
      </c>
      <c r="BZ48" s="331" t="s">
        <v>5431</v>
      </c>
      <c r="CA48" s="331" t="s">
        <v>5432</v>
      </c>
      <c r="CB48" s="331" t="s">
        <v>21</v>
      </c>
      <c r="CC48" s="331" t="s">
        <v>575</v>
      </c>
    </row>
    <row r="49" spans="1:81" x14ac:dyDescent="0.25">
      <c r="A49" s="329">
        <v>191622</v>
      </c>
      <c r="B49" s="331" t="s">
        <v>5699</v>
      </c>
      <c r="C49" s="329">
        <v>35566</v>
      </c>
      <c r="D49" s="331" t="s">
        <v>5700</v>
      </c>
      <c r="E49" s="331" t="s">
        <v>1895</v>
      </c>
      <c r="F49" s="331" t="s">
        <v>5701</v>
      </c>
      <c r="G49" s="331" t="s">
        <v>5702</v>
      </c>
      <c r="H49" s="331" t="s">
        <v>5703</v>
      </c>
      <c r="I49" s="331" t="s">
        <v>1844</v>
      </c>
      <c r="J49" s="331" t="s">
        <v>292</v>
      </c>
      <c r="K49" s="331" t="s">
        <v>5704</v>
      </c>
      <c r="L49" s="329"/>
      <c r="M49" s="329">
        <v>6</v>
      </c>
      <c r="N49" s="329">
        <v>0</v>
      </c>
      <c r="O49" s="329">
        <v>3.5769199999999999</v>
      </c>
      <c r="P49" s="329"/>
      <c r="Q49" s="333">
        <v>43577.899305555555</v>
      </c>
      <c r="R49" s="329"/>
      <c r="S49" s="333">
        <v>43790</v>
      </c>
      <c r="T49" s="329">
        <v>55</v>
      </c>
      <c r="U49" s="333">
        <v>43790</v>
      </c>
      <c r="V49" s="333">
        <v>44109</v>
      </c>
      <c r="W49" s="329" t="b">
        <v>1</v>
      </c>
      <c r="X49" s="331" t="s">
        <v>22</v>
      </c>
      <c r="Y49" s="329">
        <v>726</v>
      </c>
      <c r="Z49" s="331" t="s">
        <v>23</v>
      </c>
      <c r="AA49" s="331" t="s">
        <v>919</v>
      </c>
      <c r="AB49" s="331" t="s">
        <v>920</v>
      </c>
      <c r="AC49" s="331" t="s">
        <v>1329</v>
      </c>
      <c r="AD49" s="331" t="s">
        <v>24</v>
      </c>
      <c r="AE49" s="329">
        <v>221</v>
      </c>
      <c r="AF49" s="331" t="s">
        <v>254</v>
      </c>
      <c r="AG49" s="329"/>
      <c r="AH49" s="329">
        <v>17</v>
      </c>
      <c r="AI49" s="331" t="s">
        <v>280</v>
      </c>
      <c r="AJ49" s="331" t="s">
        <v>281</v>
      </c>
      <c r="AK49" s="329"/>
      <c r="AL49" s="329"/>
      <c r="AM49" s="329"/>
      <c r="AN49" s="329"/>
      <c r="AO49" s="329"/>
      <c r="AP49" s="331" t="s">
        <v>437</v>
      </c>
      <c r="AQ49" s="329">
        <v>560</v>
      </c>
      <c r="AR49" s="329">
        <v>600</v>
      </c>
      <c r="AS49" s="329"/>
      <c r="AT49" s="329" t="s">
        <v>394</v>
      </c>
      <c r="AU49" s="329" t="s">
        <v>283</v>
      </c>
      <c r="AV49" s="331" t="s">
        <v>292</v>
      </c>
      <c r="AW49" s="329"/>
      <c r="AX49" s="329"/>
      <c r="AY49" s="329"/>
      <c r="AZ49" s="329"/>
      <c r="BA49" s="329"/>
      <c r="BB49" s="329"/>
      <c r="BC49" s="329"/>
      <c r="BD49" s="329"/>
      <c r="BE49" s="329" t="s">
        <v>257</v>
      </c>
      <c r="BF49" s="329" t="s">
        <v>834</v>
      </c>
      <c r="BG49" s="329"/>
      <c r="BH49" s="329"/>
      <c r="BI49" s="329"/>
      <c r="BJ49" s="329"/>
      <c r="BK49" s="329">
        <v>20400</v>
      </c>
      <c r="BL49" s="329"/>
      <c r="BM49" s="331" t="s">
        <v>278</v>
      </c>
      <c r="BN49" s="329" t="s">
        <v>260</v>
      </c>
      <c r="BO49" s="333">
        <v>43791</v>
      </c>
      <c r="BP49" s="329"/>
      <c r="BQ49" s="329"/>
      <c r="BR49" s="329"/>
      <c r="BS49" s="329"/>
      <c r="BT49" s="329"/>
      <c r="BU49" s="331" t="s">
        <v>261</v>
      </c>
      <c r="BV49" s="329"/>
      <c r="BW49" s="329"/>
      <c r="BX49" s="329"/>
      <c r="BY49" s="331" t="s">
        <v>5705</v>
      </c>
      <c r="BZ49" s="331" t="s">
        <v>5706</v>
      </c>
      <c r="CA49" s="331" t="s">
        <v>1844</v>
      </c>
      <c r="CB49" s="331" t="s">
        <v>292</v>
      </c>
      <c r="CC49" s="331" t="s">
        <v>5707</v>
      </c>
    </row>
    <row r="50" spans="1:81" x14ac:dyDescent="0.25">
      <c r="A50" s="329">
        <v>199429</v>
      </c>
      <c r="B50" s="331" t="s">
        <v>5708</v>
      </c>
      <c r="C50" s="329">
        <v>35669</v>
      </c>
      <c r="D50" s="331" t="s">
        <v>5709</v>
      </c>
      <c r="E50" s="331" t="s">
        <v>515</v>
      </c>
      <c r="F50" s="331" t="s">
        <v>5710</v>
      </c>
      <c r="G50" s="331" t="s">
        <v>5711</v>
      </c>
      <c r="H50" s="331" t="s">
        <v>5712</v>
      </c>
      <c r="I50" s="331" t="s">
        <v>5713</v>
      </c>
      <c r="J50" s="331" t="s">
        <v>292</v>
      </c>
      <c r="K50" s="331" t="s">
        <v>5714</v>
      </c>
      <c r="L50" s="329"/>
      <c r="M50" s="329">
        <v>6</v>
      </c>
      <c r="N50" s="329">
        <v>0</v>
      </c>
      <c r="O50" s="329">
        <v>3.3</v>
      </c>
      <c r="P50" s="329"/>
      <c r="Q50" s="333">
        <v>43777.586805555555</v>
      </c>
      <c r="R50" s="329"/>
      <c r="S50" s="333">
        <v>43790</v>
      </c>
      <c r="T50" s="329">
        <v>55</v>
      </c>
      <c r="U50" s="333">
        <v>43790</v>
      </c>
      <c r="V50" s="333">
        <v>44109</v>
      </c>
      <c r="W50" s="329" t="b">
        <v>1</v>
      </c>
      <c r="X50" s="331" t="s">
        <v>905</v>
      </c>
      <c r="Y50" s="329">
        <v>747</v>
      </c>
      <c r="Z50" s="331" t="s">
        <v>23</v>
      </c>
      <c r="AA50" s="331" t="s">
        <v>919</v>
      </c>
      <c r="AB50" s="331" t="s">
        <v>920</v>
      </c>
      <c r="AC50" s="331" t="s">
        <v>468</v>
      </c>
      <c r="AD50" s="331" t="s">
        <v>24</v>
      </c>
      <c r="AE50" s="329">
        <v>221</v>
      </c>
      <c r="AF50" s="331" t="s">
        <v>254</v>
      </c>
      <c r="AG50" s="329"/>
      <c r="AH50" s="329">
        <v>17</v>
      </c>
      <c r="AI50" s="331" t="s">
        <v>280</v>
      </c>
      <c r="AJ50" s="331" t="s">
        <v>281</v>
      </c>
      <c r="AK50" s="329"/>
      <c r="AL50" s="329"/>
      <c r="AM50" s="329"/>
      <c r="AN50" s="329"/>
      <c r="AO50" s="329"/>
      <c r="AP50" s="329"/>
      <c r="AQ50" s="329"/>
      <c r="AR50" s="329"/>
      <c r="AS50" s="329"/>
      <c r="AT50" s="329" t="s">
        <v>258</v>
      </c>
      <c r="AU50" s="329" t="s">
        <v>283</v>
      </c>
      <c r="AV50" s="331" t="s">
        <v>292</v>
      </c>
      <c r="AW50" s="329"/>
      <c r="AX50" s="329"/>
      <c r="AY50" s="329"/>
      <c r="AZ50" s="329"/>
      <c r="BA50" s="329"/>
      <c r="BB50" s="329"/>
      <c r="BC50" s="329"/>
      <c r="BD50" s="329"/>
      <c r="BE50" s="329" t="s">
        <v>257</v>
      </c>
      <c r="BF50" s="329" t="s">
        <v>838</v>
      </c>
      <c r="BG50" s="329"/>
      <c r="BH50" s="329"/>
      <c r="BI50" s="329"/>
      <c r="BJ50" s="329"/>
      <c r="BK50" s="329">
        <v>15600</v>
      </c>
      <c r="BL50" s="329"/>
      <c r="BM50" s="331" t="s">
        <v>259</v>
      </c>
      <c r="BN50" s="329" t="s">
        <v>260</v>
      </c>
      <c r="BO50" s="333">
        <v>43791</v>
      </c>
      <c r="BP50" s="329"/>
      <c r="BQ50" s="329"/>
      <c r="BR50" s="329"/>
      <c r="BS50" s="329"/>
      <c r="BT50" s="329"/>
      <c r="BU50" s="331" t="s">
        <v>261</v>
      </c>
      <c r="BV50" s="329"/>
      <c r="BW50" s="329"/>
      <c r="BX50" s="329"/>
      <c r="BY50" s="331" t="s">
        <v>5715</v>
      </c>
      <c r="BZ50" s="331" t="s">
        <v>5716</v>
      </c>
      <c r="CA50" s="331" t="s">
        <v>5717</v>
      </c>
      <c r="CB50" s="331" t="s">
        <v>292</v>
      </c>
      <c r="CC50" s="331" t="s">
        <v>5718</v>
      </c>
    </row>
    <row r="51" spans="1:81" x14ac:dyDescent="0.25">
      <c r="A51" s="329">
        <v>193776</v>
      </c>
      <c r="B51" s="331" t="s">
        <v>5719</v>
      </c>
      <c r="C51" s="329">
        <v>35524</v>
      </c>
      <c r="D51" s="331" t="s">
        <v>5720</v>
      </c>
      <c r="E51" s="331" t="s">
        <v>505</v>
      </c>
      <c r="F51" s="331" t="s">
        <v>5721</v>
      </c>
      <c r="G51" s="331" t="s">
        <v>5722</v>
      </c>
      <c r="H51" s="331" t="s">
        <v>5723</v>
      </c>
      <c r="I51" s="331" t="s">
        <v>737</v>
      </c>
      <c r="J51" s="331" t="s">
        <v>307</v>
      </c>
      <c r="K51" s="331" t="s">
        <v>5724</v>
      </c>
      <c r="L51" s="329"/>
      <c r="M51" s="329">
        <v>6</v>
      </c>
      <c r="N51" s="329">
        <v>0</v>
      </c>
      <c r="O51" s="329">
        <v>3.27</v>
      </c>
      <c r="P51" s="329"/>
      <c r="Q51" s="333">
        <v>43631.5625</v>
      </c>
      <c r="R51" s="329"/>
      <c r="S51" s="333">
        <v>43790</v>
      </c>
      <c r="T51" s="329">
        <v>55</v>
      </c>
      <c r="U51" s="333">
        <v>43790</v>
      </c>
      <c r="V51" s="333">
        <v>44109</v>
      </c>
      <c r="W51" s="329" t="b">
        <v>1</v>
      </c>
      <c r="X51" s="331" t="s">
        <v>22</v>
      </c>
      <c r="Y51" s="329">
        <v>726</v>
      </c>
      <c r="Z51" s="331" t="s">
        <v>23</v>
      </c>
      <c r="AA51" s="331" t="s">
        <v>919</v>
      </c>
      <c r="AB51" s="331" t="s">
        <v>920</v>
      </c>
      <c r="AC51" s="331" t="s">
        <v>1670</v>
      </c>
      <c r="AD51" s="331" t="s">
        <v>24</v>
      </c>
      <c r="AE51" s="329">
        <v>221</v>
      </c>
      <c r="AF51" s="331" t="s">
        <v>254</v>
      </c>
      <c r="AG51" s="329"/>
      <c r="AH51" s="329">
        <v>17</v>
      </c>
      <c r="AI51" s="331" t="s">
        <v>280</v>
      </c>
      <c r="AJ51" s="331" t="s">
        <v>281</v>
      </c>
      <c r="AK51" s="329"/>
      <c r="AL51" s="329"/>
      <c r="AM51" s="329"/>
      <c r="AN51" s="329"/>
      <c r="AO51" s="329"/>
      <c r="AP51" s="331" t="s">
        <v>490</v>
      </c>
      <c r="AQ51" s="329">
        <v>560</v>
      </c>
      <c r="AR51" s="329">
        <v>510</v>
      </c>
      <c r="AS51" s="329"/>
      <c r="AT51" s="329" t="s">
        <v>255</v>
      </c>
      <c r="AU51" s="329" t="s">
        <v>256</v>
      </c>
      <c r="AV51" s="331" t="s">
        <v>307</v>
      </c>
      <c r="AW51" s="329"/>
      <c r="AX51" s="329"/>
      <c r="AY51" s="329"/>
      <c r="AZ51" s="329"/>
      <c r="BA51" s="329"/>
      <c r="BB51" s="329"/>
      <c r="BC51" s="329"/>
      <c r="BD51" s="329"/>
      <c r="BE51" s="329" t="s">
        <v>257</v>
      </c>
      <c r="BF51" s="329" t="s">
        <v>836</v>
      </c>
      <c r="BG51" s="329"/>
      <c r="BH51" s="329"/>
      <c r="BI51" s="329"/>
      <c r="BJ51" s="329"/>
      <c r="BK51" s="329">
        <v>18000</v>
      </c>
      <c r="BL51" s="329"/>
      <c r="BM51" s="331" t="s">
        <v>310</v>
      </c>
      <c r="BN51" s="329" t="s">
        <v>260</v>
      </c>
      <c r="BO51" s="333">
        <v>43791</v>
      </c>
      <c r="BP51" s="329"/>
      <c r="BQ51" s="329"/>
      <c r="BR51" s="329"/>
      <c r="BS51" s="329"/>
      <c r="BT51" s="329"/>
      <c r="BU51" s="331" t="s">
        <v>261</v>
      </c>
      <c r="BV51" s="329"/>
      <c r="BW51" s="329"/>
      <c r="BX51" s="329"/>
      <c r="BY51" s="331" t="s">
        <v>5725</v>
      </c>
      <c r="BZ51" s="331" t="s">
        <v>5726</v>
      </c>
      <c r="CA51" s="331" t="s">
        <v>2940</v>
      </c>
      <c r="CB51" s="331" t="s">
        <v>307</v>
      </c>
      <c r="CC51" s="331" t="s">
        <v>5727</v>
      </c>
    </row>
    <row r="52" spans="1:81" x14ac:dyDescent="0.25">
      <c r="A52" s="329">
        <v>199316</v>
      </c>
      <c r="B52" s="331" t="s">
        <v>5728</v>
      </c>
      <c r="C52" s="329">
        <v>35547</v>
      </c>
      <c r="D52" s="331" t="s">
        <v>2093</v>
      </c>
      <c r="E52" s="331" t="s">
        <v>2569</v>
      </c>
      <c r="F52" s="331" t="s">
        <v>5729</v>
      </c>
      <c r="G52" s="331" t="s">
        <v>5730</v>
      </c>
      <c r="H52" s="331" t="s">
        <v>5731</v>
      </c>
      <c r="I52" s="331" t="s">
        <v>5541</v>
      </c>
      <c r="J52" s="331" t="s">
        <v>298</v>
      </c>
      <c r="K52" s="331" t="s">
        <v>5542</v>
      </c>
      <c r="L52" s="329"/>
      <c r="M52" s="329">
        <v>6</v>
      </c>
      <c r="N52" s="329">
        <v>0</v>
      </c>
      <c r="O52" s="329">
        <v>3.5</v>
      </c>
      <c r="P52" s="329"/>
      <c r="Q52" s="333">
        <v>43774.646527777775</v>
      </c>
      <c r="R52" s="329"/>
      <c r="S52" s="333">
        <v>43790</v>
      </c>
      <c r="T52" s="329">
        <v>55</v>
      </c>
      <c r="U52" s="333">
        <v>43790</v>
      </c>
      <c r="V52" s="333">
        <v>44109</v>
      </c>
      <c r="W52" s="329" t="b">
        <v>1</v>
      </c>
      <c r="X52" s="331" t="s">
        <v>22</v>
      </c>
      <c r="Y52" s="329">
        <v>726</v>
      </c>
      <c r="Z52" s="331" t="s">
        <v>23</v>
      </c>
      <c r="AA52" s="331" t="s">
        <v>188</v>
      </c>
      <c r="AB52" s="331" t="s">
        <v>4503</v>
      </c>
      <c r="AC52" s="331" t="s">
        <v>5618</v>
      </c>
      <c r="AD52" s="331" t="s">
        <v>24</v>
      </c>
      <c r="AE52" s="329">
        <v>221</v>
      </c>
      <c r="AF52" s="331" t="s">
        <v>254</v>
      </c>
      <c r="AG52" s="329"/>
      <c r="AH52" s="329">
        <v>17</v>
      </c>
      <c r="AI52" s="331" t="s">
        <v>280</v>
      </c>
      <c r="AJ52" s="331" t="s">
        <v>281</v>
      </c>
      <c r="AK52" s="329"/>
      <c r="AL52" s="329"/>
      <c r="AM52" s="329"/>
      <c r="AN52" s="329"/>
      <c r="AO52" s="329"/>
      <c r="AP52" s="329"/>
      <c r="AQ52" s="329"/>
      <c r="AR52" s="329"/>
      <c r="AS52" s="329"/>
      <c r="AT52" s="329" t="s">
        <v>258</v>
      </c>
      <c r="AU52" s="329" t="s">
        <v>963</v>
      </c>
      <c r="AV52" s="331" t="s">
        <v>298</v>
      </c>
      <c r="AW52" s="329"/>
      <c r="AX52" s="329"/>
      <c r="AY52" s="329"/>
      <c r="AZ52" s="329"/>
      <c r="BA52" s="329"/>
      <c r="BB52" s="329"/>
      <c r="BC52" s="329"/>
      <c r="BD52" s="329"/>
      <c r="BE52" s="329"/>
      <c r="BF52" s="329"/>
      <c r="BG52" s="329"/>
      <c r="BH52" s="329"/>
      <c r="BI52" s="329"/>
      <c r="BJ52" s="329"/>
      <c r="BK52" s="329">
        <v>0</v>
      </c>
      <c r="BL52" s="329"/>
      <c r="BM52" s="331" t="s">
        <v>267</v>
      </c>
      <c r="BN52" s="329" t="s">
        <v>260</v>
      </c>
      <c r="BO52" s="333">
        <v>43791</v>
      </c>
      <c r="BP52" s="329"/>
      <c r="BQ52" s="329"/>
      <c r="BR52" s="329"/>
      <c r="BS52" s="329"/>
      <c r="BT52" s="329"/>
      <c r="BU52" s="331" t="s">
        <v>261</v>
      </c>
      <c r="BV52" s="329"/>
      <c r="BW52" s="329"/>
      <c r="BX52" s="329"/>
      <c r="BY52" s="331" t="s">
        <v>5539</v>
      </c>
      <c r="BZ52" s="331" t="s">
        <v>5540</v>
      </c>
      <c r="CA52" s="331" t="s">
        <v>5541</v>
      </c>
      <c r="CB52" s="331" t="s">
        <v>298</v>
      </c>
      <c r="CC52" s="331" t="s">
        <v>5542</v>
      </c>
    </row>
    <row r="53" spans="1:81" x14ac:dyDescent="0.25">
      <c r="A53" s="329">
        <v>196581</v>
      </c>
      <c r="B53" s="331" t="s">
        <v>5732</v>
      </c>
      <c r="C53" s="329">
        <v>34695</v>
      </c>
      <c r="D53" s="331" t="s">
        <v>5733</v>
      </c>
      <c r="E53" s="331" t="s">
        <v>467</v>
      </c>
      <c r="F53" s="331" t="s">
        <v>5734</v>
      </c>
      <c r="G53" s="331" t="s">
        <v>5735</v>
      </c>
      <c r="H53" s="331" t="s">
        <v>5736</v>
      </c>
      <c r="I53" s="331" t="s">
        <v>5737</v>
      </c>
      <c r="J53" s="331" t="s">
        <v>396</v>
      </c>
      <c r="K53" s="331" t="s">
        <v>5738</v>
      </c>
      <c r="L53" s="329"/>
      <c r="M53" s="329">
        <v>6</v>
      </c>
      <c r="N53" s="329">
        <v>0</v>
      </c>
      <c r="O53" s="329">
        <v>2.4230999999999998</v>
      </c>
      <c r="P53" s="329"/>
      <c r="Q53" s="333">
        <v>43704.575694444444</v>
      </c>
      <c r="R53" s="329"/>
      <c r="S53" s="333">
        <v>43790</v>
      </c>
      <c r="T53" s="329">
        <v>55</v>
      </c>
      <c r="U53" s="333">
        <v>43790</v>
      </c>
      <c r="V53" s="333">
        <v>44109</v>
      </c>
      <c r="W53" s="329" t="b">
        <v>1</v>
      </c>
      <c r="X53" s="331" t="s">
        <v>22</v>
      </c>
      <c r="Y53" s="329">
        <v>726</v>
      </c>
      <c r="Z53" s="331" t="s">
        <v>23</v>
      </c>
      <c r="AA53" s="331" t="s">
        <v>188</v>
      </c>
      <c r="AB53" s="331" t="s">
        <v>4503</v>
      </c>
      <c r="AC53" s="331" t="s">
        <v>264</v>
      </c>
      <c r="AD53" s="331" t="s">
        <v>24</v>
      </c>
      <c r="AE53" s="329">
        <v>221</v>
      </c>
      <c r="AF53" s="331" t="s">
        <v>254</v>
      </c>
      <c r="AG53" s="329"/>
      <c r="AH53" s="329">
        <v>17</v>
      </c>
      <c r="AI53" s="331" t="s">
        <v>280</v>
      </c>
      <c r="AJ53" s="331" t="s">
        <v>281</v>
      </c>
      <c r="AK53" s="331" t="s">
        <v>300</v>
      </c>
      <c r="AL53" s="331" t="s">
        <v>328</v>
      </c>
      <c r="AM53" s="331" t="s">
        <v>299</v>
      </c>
      <c r="AN53" s="331" t="s">
        <v>347</v>
      </c>
      <c r="AO53" s="331" t="s">
        <v>300</v>
      </c>
      <c r="AP53" s="331" t="s">
        <v>832</v>
      </c>
      <c r="AQ53" s="329">
        <v>560</v>
      </c>
      <c r="AR53" s="329">
        <v>530</v>
      </c>
      <c r="AS53" s="329"/>
      <c r="AT53" s="329" t="s">
        <v>382</v>
      </c>
      <c r="AU53" s="329" t="s">
        <v>283</v>
      </c>
      <c r="AV53" s="331" t="s">
        <v>396</v>
      </c>
      <c r="AW53" s="329"/>
      <c r="AX53" s="329"/>
      <c r="AY53" s="329"/>
      <c r="AZ53" s="329"/>
      <c r="BA53" s="329"/>
      <c r="BB53" s="329"/>
      <c r="BC53" s="329"/>
      <c r="BD53" s="329"/>
      <c r="BE53" s="329"/>
      <c r="BF53" s="329"/>
      <c r="BG53" s="329"/>
      <c r="BH53" s="329"/>
      <c r="BI53" s="329"/>
      <c r="BJ53" s="329"/>
      <c r="BK53" s="329">
        <v>0</v>
      </c>
      <c r="BL53" s="329"/>
      <c r="BM53" s="331" t="s">
        <v>323</v>
      </c>
      <c r="BN53" s="329" t="s">
        <v>260</v>
      </c>
      <c r="BO53" s="333">
        <v>43791</v>
      </c>
      <c r="BP53" s="329"/>
      <c r="BQ53" s="329"/>
      <c r="BR53" s="329"/>
      <c r="BS53" s="329"/>
      <c r="BT53" s="329"/>
      <c r="BU53" s="331" t="s">
        <v>261</v>
      </c>
      <c r="BV53" s="329"/>
      <c r="BW53" s="329"/>
      <c r="BX53" s="329"/>
      <c r="BY53" s="331" t="s">
        <v>5739</v>
      </c>
      <c r="BZ53" s="331" t="s">
        <v>5740</v>
      </c>
      <c r="CA53" s="331" t="s">
        <v>5741</v>
      </c>
      <c r="CB53" s="331" t="s">
        <v>396</v>
      </c>
      <c r="CC53" s="331" t="s">
        <v>5738</v>
      </c>
    </row>
    <row r="54" spans="1:81" x14ac:dyDescent="0.25">
      <c r="A54" s="329">
        <v>199577</v>
      </c>
      <c r="B54" s="331" t="s">
        <v>5742</v>
      </c>
      <c r="C54" s="329">
        <v>35657</v>
      </c>
      <c r="D54" s="331" t="s">
        <v>5743</v>
      </c>
      <c r="E54" s="331" t="s">
        <v>5744</v>
      </c>
      <c r="F54" s="331" t="s">
        <v>5745</v>
      </c>
      <c r="G54" s="331" t="s">
        <v>5746</v>
      </c>
      <c r="H54" s="331" t="s">
        <v>5747</v>
      </c>
      <c r="I54" s="331" t="s">
        <v>3936</v>
      </c>
      <c r="J54" s="331" t="s">
        <v>292</v>
      </c>
      <c r="K54" s="331" t="s">
        <v>3472</v>
      </c>
      <c r="L54" s="329"/>
      <c r="M54" s="329">
        <v>6</v>
      </c>
      <c r="N54" s="329">
        <v>0</v>
      </c>
      <c r="O54" s="329">
        <v>3.47173</v>
      </c>
      <c r="P54" s="329"/>
      <c r="Q54" s="333">
        <v>43588.709027777775</v>
      </c>
      <c r="R54" s="329"/>
      <c r="S54" s="333">
        <v>43790</v>
      </c>
      <c r="T54" s="329">
        <v>55</v>
      </c>
      <c r="U54" s="333">
        <v>43790</v>
      </c>
      <c r="V54" s="333">
        <v>44109</v>
      </c>
      <c r="W54" s="329" t="b">
        <v>1</v>
      </c>
      <c r="X54" s="331" t="s">
        <v>22</v>
      </c>
      <c r="Y54" s="329">
        <v>726</v>
      </c>
      <c r="Z54" s="331" t="s">
        <v>336</v>
      </c>
      <c r="AA54" s="331" t="s">
        <v>919</v>
      </c>
      <c r="AB54" s="331" t="s">
        <v>920</v>
      </c>
      <c r="AC54" s="331" t="s">
        <v>337</v>
      </c>
      <c r="AD54" s="331" t="s">
        <v>24</v>
      </c>
      <c r="AE54" s="329">
        <v>221</v>
      </c>
      <c r="AF54" s="331" t="s">
        <v>254</v>
      </c>
      <c r="AG54" s="329"/>
      <c r="AH54" s="329">
        <v>17</v>
      </c>
      <c r="AI54" s="331" t="s">
        <v>280</v>
      </c>
      <c r="AJ54" s="331" t="s">
        <v>281</v>
      </c>
      <c r="AK54" s="331" t="s">
        <v>416</v>
      </c>
      <c r="AL54" s="331" t="s">
        <v>359</v>
      </c>
      <c r="AM54" s="331" t="s">
        <v>363</v>
      </c>
      <c r="AN54" s="331" t="s">
        <v>2316</v>
      </c>
      <c r="AO54" s="331" t="s">
        <v>417</v>
      </c>
      <c r="AP54" s="329"/>
      <c r="AQ54" s="329"/>
      <c r="AR54" s="329"/>
      <c r="AS54" s="329"/>
      <c r="AT54" s="329" t="s">
        <v>859</v>
      </c>
      <c r="AU54" s="329" t="s">
        <v>256</v>
      </c>
      <c r="AV54" s="331" t="s">
        <v>292</v>
      </c>
      <c r="AW54" s="329"/>
      <c r="AX54" s="329"/>
      <c r="AY54" s="329"/>
      <c r="AZ54" s="329"/>
      <c r="BA54" s="329"/>
      <c r="BB54" s="329"/>
      <c r="BC54" s="329"/>
      <c r="BD54" s="329"/>
      <c r="BE54" s="329" t="s">
        <v>257</v>
      </c>
      <c r="BF54" s="329" t="s">
        <v>830</v>
      </c>
      <c r="BG54" s="329"/>
      <c r="BH54" s="329"/>
      <c r="BI54" s="329"/>
      <c r="BJ54" s="329"/>
      <c r="BK54" s="329">
        <v>12000</v>
      </c>
      <c r="BL54" s="329"/>
      <c r="BM54" s="331" t="s">
        <v>26</v>
      </c>
      <c r="BN54" s="329" t="s">
        <v>260</v>
      </c>
      <c r="BO54" s="333">
        <v>43791</v>
      </c>
      <c r="BP54" s="329"/>
      <c r="BQ54" s="329"/>
      <c r="BR54" s="329"/>
      <c r="BS54" s="329"/>
      <c r="BT54" s="329"/>
      <c r="BU54" s="331" t="s">
        <v>261</v>
      </c>
      <c r="BV54" s="329"/>
      <c r="BW54" s="329"/>
      <c r="BX54" s="329"/>
      <c r="BY54" s="331" t="s">
        <v>5748</v>
      </c>
      <c r="BZ54" s="331" t="s">
        <v>3935</v>
      </c>
      <c r="CA54" s="331" t="s">
        <v>3936</v>
      </c>
      <c r="CB54" s="331" t="s">
        <v>292</v>
      </c>
      <c r="CC54" s="331" t="s">
        <v>3472</v>
      </c>
    </row>
    <row r="55" spans="1:81" x14ac:dyDescent="0.25">
      <c r="A55" s="329">
        <v>196574</v>
      </c>
      <c r="B55" s="331" t="s">
        <v>5749</v>
      </c>
      <c r="C55" s="329">
        <v>35632</v>
      </c>
      <c r="D55" s="331" t="s">
        <v>5750</v>
      </c>
      <c r="E55" s="331" t="s">
        <v>5751</v>
      </c>
      <c r="F55" s="331" t="s">
        <v>5752</v>
      </c>
      <c r="G55" s="331" t="s">
        <v>5753</v>
      </c>
      <c r="H55" s="331" t="s">
        <v>5754</v>
      </c>
      <c r="I55" s="331" t="s">
        <v>2481</v>
      </c>
      <c r="J55" s="331" t="s">
        <v>354</v>
      </c>
      <c r="K55" s="331" t="s">
        <v>5755</v>
      </c>
      <c r="L55" s="329"/>
      <c r="M55" s="329">
        <v>6</v>
      </c>
      <c r="N55" s="329">
        <v>0</v>
      </c>
      <c r="O55" s="329">
        <v>3</v>
      </c>
      <c r="P55" s="329"/>
      <c r="Q55" s="333">
        <v>43704.511111111111</v>
      </c>
      <c r="R55" s="329"/>
      <c r="S55" s="333">
        <v>43790</v>
      </c>
      <c r="T55" s="329">
        <v>55</v>
      </c>
      <c r="U55" s="333">
        <v>43790</v>
      </c>
      <c r="V55" s="333">
        <v>44109</v>
      </c>
      <c r="W55" s="329" t="b">
        <v>1</v>
      </c>
      <c r="X55" s="331" t="s">
        <v>22</v>
      </c>
      <c r="Y55" s="329">
        <v>726</v>
      </c>
      <c r="Z55" s="331" t="s">
        <v>25</v>
      </c>
      <c r="AA55" s="331" t="s">
        <v>919</v>
      </c>
      <c r="AB55" s="331" t="s">
        <v>920</v>
      </c>
      <c r="AC55" s="331" t="s">
        <v>346</v>
      </c>
      <c r="AD55" s="331" t="s">
        <v>24</v>
      </c>
      <c r="AE55" s="329">
        <v>221</v>
      </c>
      <c r="AF55" s="331" t="s">
        <v>254</v>
      </c>
      <c r="AG55" s="329"/>
      <c r="AH55" s="329">
        <v>17</v>
      </c>
      <c r="AI55" s="331" t="s">
        <v>280</v>
      </c>
      <c r="AJ55" s="331" t="s">
        <v>281</v>
      </c>
      <c r="AK55" s="329"/>
      <c r="AL55" s="329"/>
      <c r="AM55" s="329"/>
      <c r="AN55" s="329"/>
      <c r="AO55" s="329"/>
      <c r="AP55" s="329"/>
      <c r="AQ55" s="329"/>
      <c r="AR55" s="329"/>
      <c r="AS55" s="329"/>
      <c r="AT55" s="329" t="s">
        <v>258</v>
      </c>
      <c r="AU55" s="329" t="s">
        <v>283</v>
      </c>
      <c r="AV55" s="331" t="s">
        <v>354</v>
      </c>
      <c r="AW55" s="329"/>
      <c r="AX55" s="329"/>
      <c r="AY55" s="329"/>
      <c r="AZ55" s="329"/>
      <c r="BA55" s="329"/>
      <c r="BB55" s="329"/>
      <c r="BC55" s="329"/>
      <c r="BD55" s="329"/>
      <c r="BE55" s="329" t="s">
        <v>257</v>
      </c>
      <c r="BF55" s="329" t="s">
        <v>830</v>
      </c>
      <c r="BG55" s="329"/>
      <c r="BH55" s="329"/>
      <c r="BI55" s="329"/>
      <c r="BJ55" s="329"/>
      <c r="BK55" s="329">
        <v>12000</v>
      </c>
      <c r="BL55" s="329"/>
      <c r="BM55" s="331" t="s">
        <v>26</v>
      </c>
      <c r="BN55" s="329" t="s">
        <v>260</v>
      </c>
      <c r="BO55" s="333">
        <v>43791</v>
      </c>
      <c r="BP55" s="329"/>
      <c r="BQ55" s="329"/>
      <c r="BR55" s="329"/>
      <c r="BS55" s="329"/>
      <c r="BT55" s="329"/>
      <c r="BU55" s="331" t="s">
        <v>261</v>
      </c>
      <c r="BV55" s="329"/>
      <c r="BW55" s="329"/>
      <c r="BX55" s="329"/>
      <c r="BY55" s="331" t="s">
        <v>5756</v>
      </c>
      <c r="BZ55" s="331" t="s">
        <v>5757</v>
      </c>
      <c r="CA55" s="331" t="s">
        <v>2481</v>
      </c>
      <c r="CB55" s="331" t="s">
        <v>354</v>
      </c>
      <c r="CC55" s="331" t="s">
        <v>5758</v>
      </c>
    </row>
    <row r="56" spans="1:81" x14ac:dyDescent="0.25">
      <c r="A56" s="329">
        <v>193345</v>
      </c>
      <c r="B56" s="331" t="s">
        <v>5760</v>
      </c>
      <c r="C56" s="329">
        <v>35639</v>
      </c>
      <c r="D56" s="331" t="s">
        <v>5761</v>
      </c>
      <c r="E56" s="331" t="s">
        <v>5762</v>
      </c>
      <c r="F56" s="331" t="s">
        <v>5763</v>
      </c>
      <c r="G56" s="331" t="s">
        <v>5764</v>
      </c>
      <c r="H56" s="331" t="s">
        <v>5765</v>
      </c>
      <c r="I56" s="331" t="s">
        <v>3030</v>
      </c>
      <c r="J56" s="331" t="s">
        <v>297</v>
      </c>
      <c r="K56" s="331" t="s">
        <v>5766</v>
      </c>
      <c r="L56" s="329"/>
      <c r="M56" s="329">
        <v>6</v>
      </c>
      <c r="N56" s="329">
        <v>0</v>
      </c>
      <c r="O56" s="329">
        <v>3.2559999999999998</v>
      </c>
      <c r="P56" s="329"/>
      <c r="Q56" s="333">
        <v>43628.1875</v>
      </c>
      <c r="R56" s="329"/>
      <c r="S56" s="333">
        <v>43790</v>
      </c>
      <c r="T56" s="329">
        <v>55</v>
      </c>
      <c r="U56" s="333">
        <v>43790</v>
      </c>
      <c r="V56" s="333">
        <v>44109</v>
      </c>
      <c r="W56" s="329" t="b">
        <v>1</v>
      </c>
      <c r="X56" s="331" t="s">
        <v>22</v>
      </c>
      <c r="Y56" s="329">
        <v>726</v>
      </c>
      <c r="Z56" s="331" t="s">
        <v>23</v>
      </c>
      <c r="AA56" s="331" t="s">
        <v>919</v>
      </c>
      <c r="AB56" s="331" t="s">
        <v>920</v>
      </c>
      <c r="AC56" s="331" t="s">
        <v>2573</v>
      </c>
      <c r="AD56" s="331" t="s">
        <v>24</v>
      </c>
      <c r="AE56" s="329">
        <v>221</v>
      </c>
      <c r="AF56" s="331" t="s">
        <v>254</v>
      </c>
      <c r="AG56" s="329"/>
      <c r="AH56" s="329">
        <v>17</v>
      </c>
      <c r="AI56" s="331" t="s">
        <v>280</v>
      </c>
      <c r="AJ56" s="331" t="s">
        <v>281</v>
      </c>
      <c r="AK56" s="331" t="s">
        <v>300</v>
      </c>
      <c r="AL56" s="331" t="s">
        <v>290</v>
      </c>
      <c r="AM56" s="331" t="s">
        <v>290</v>
      </c>
      <c r="AN56" s="331" t="s">
        <v>289</v>
      </c>
      <c r="AO56" s="331" t="s">
        <v>290</v>
      </c>
      <c r="AP56" s="329"/>
      <c r="AQ56" s="329"/>
      <c r="AR56" s="329"/>
      <c r="AS56" s="329"/>
      <c r="AT56" s="329" t="s">
        <v>309</v>
      </c>
      <c r="AU56" s="329" t="s">
        <v>256</v>
      </c>
      <c r="AV56" s="331" t="s">
        <v>297</v>
      </c>
      <c r="AW56" s="329"/>
      <c r="AX56" s="329"/>
      <c r="AY56" s="329"/>
      <c r="AZ56" s="329"/>
      <c r="BA56" s="329"/>
      <c r="BB56" s="329"/>
      <c r="BC56" s="329"/>
      <c r="BD56" s="329"/>
      <c r="BE56" s="329" t="s">
        <v>257</v>
      </c>
      <c r="BF56" s="329" t="s">
        <v>834</v>
      </c>
      <c r="BG56" s="329"/>
      <c r="BH56" s="329"/>
      <c r="BI56" s="329"/>
      <c r="BJ56" s="329"/>
      <c r="BK56" s="329">
        <v>20400</v>
      </c>
      <c r="BL56" s="329"/>
      <c r="BM56" s="331" t="s">
        <v>278</v>
      </c>
      <c r="BN56" s="329" t="s">
        <v>260</v>
      </c>
      <c r="BO56" s="333">
        <v>43791</v>
      </c>
      <c r="BP56" s="329"/>
      <c r="BQ56" s="329"/>
      <c r="BR56" s="329"/>
      <c r="BS56" s="329"/>
      <c r="BT56" s="329"/>
      <c r="BU56" s="331" t="s">
        <v>261</v>
      </c>
      <c r="BV56" s="329"/>
      <c r="BW56" s="329"/>
      <c r="BX56" s="329"/>
      <c r="BY56" s="331" t="s">
        <v>5767</v>
      </c>
      <c r="BZ56" s="331" t="s">
        <v>5768</v>
      </c>
      <c r="CA56" s="331" t="s">
        <v>1968</v>
      </c>
      <c r="CB56" s="331" t="s">
        <v>297</v>
      </c>
      <c r="CC56" s="331" t="s">
        <v>5769</v>
      </c>
    </row>
    <row r="57" spans="1:81" x14ac:dyDescent="0.25">
      <c r="A57" s="329">
        <v>197937</v>
      </c>
      <c r="B57" s="331" t="s">
        <v>5770</v>
      </c>
      <c r="C57" s="329">
        <v>35656</v>
      </c>
      <c r="D57" s="331" t="s">
        <v>5771</v>
      </c>
      <c r="E57" s="331" t="s">
        <v>5772</v>
      </c>
      <c r="F57" s="331" t="s">
        <v>5773</v>
      </c>
      <c r="G57" s="331" t="s">
        <v>5774</v>
      </c>
      <c r="H57" s="331" t="s">
        <v>5775</v>
      </c>
      <c r="I57" s="331" t="s">
        <v>5428</v>
      </c>
      <c r="J57" s="331" t="s">
        <v>21</v>
      </c>
      <c r="K57" s="331" t="s">
        <v>575</v>
      </c>
      <c r="L57" s="329"/>
      <c r="M57" s="329">
        <v>6</v>
      </c>
      <c r="N57" s="329">
        <v>0</v>
      </c>
      <c r="O57" s="329">
        <v>2.919</v>
      </c>
      <c r="P57" s="329"/>
      <c r="Q57" s="333">
        <v>43728.761805555558</v>
      </c>
      <c r="R57" s="329"/>
      <c r="S57" s="333">
        <v>43790</v>
      </c>
      <c r="T57" s="329">
        <v>55</v>
      </c>
      <c r="U57" s="333">
        <v>43790</v>
      </c>
      <c r="V57" s="333">
        <v>44109</v>
      </c>
      <c r="W57" s="329" t="b">
        <v>1</v>
      </c>
      <c r="X57" s="331" t="s">
        <v>906</v>
      </c>
      <c r="Y57" s="329">
        <v>748</v>
      </c>
      <c r="Z57" s="331" t="s">
        <v>25</v>
      </c>
      <c r="AA57" s="331" t="s">
        <v>919</v>
      </c>
      <c r="AB57" s="331" t="s">
        <v>920</v>
      </c>
      <c r="AC57" s="331" t="s">
        <v>5776</v>
      </c>
      <c r="AD57" s="331" t="s">
        <v>24</v>
      </c>
      <c r="AE57" s="329">
        <v>221</v>
      </c>
      <c r="AF57" s="331" t="s">
        <v>254</v>
      </c>
      <c r="AG57" s="329"/>
      <c r="AH57" s="329">
        <v>17</v>
      </c>
      <c r="AI57" s="331" t="s">
        <v>280</v>
      </c>
      <c r="AJ57" s="331" t="s">
        <v>281</v>
      </c>
      <c r="AK57" s="331" t="s">
        <v>331</v>
      </c>
      <c r="AL57" s="331" t="s">
        <v>299</v>
      </c>
      <c r="AM57" s="331" t="s">
        <v>328</v>
      </c>
      <c r="AN57" s="331" t="s">
        <v>301</v>
      </c>
      <c r="AO57" s="331" t="s">
        <v>331</v>
      </c>
      <c r="AP57" s="329"/>
      <c r="AQ57" s="329"/>
      <c r="AR57" s="329"/>
      <c r="AS57" s="329"/>
      <c r="AT57" s="329" t="s">
        <v>315</v>
      </c>
      <c r="AU57" s="329" t="s">
        <v>283</v>
      </c>
      <c r="AV57" s="331" t="s">
        <v>21</v>
      </c>
      <c r="AW57" s="329"/>
      <c r="AX57" s="329"/>
      <c r="AY57" s="329"/>
      <c r="AZ57" s="329"/>
      <c r="BA57" s="329"/>
      <c r="BB57" s="329"/>
      <c r="BC57" s="329"/>
      <c r="BD57" s="329"/>
      <c r="BE57" s="329" t="s">
        <v>257</v>
      </c>
      <c r="BF57" s="329" t="s">
        <v>841</v>
      </c>
      <c r="BG57" s="329"/>
      <c r="BH57" s="329"/>
      <c r="BI57" s="329" t="s">
        <v>334</v>
      </c>
      <c r="BJ57" s="329" t="s">
        <v>831</v>
      </c>
      <c r="BK57" s="329">
        <v>45000</v>
      </c>
      <c r="BL57" s="329"/>
      <c r="BM57" s="331" t="s">
        <v>189</v>
      </c>
      <c r="BN57" s="329" t="s">
        <v>260</v>
      </c>
      <c r="BO57" s="333">
        <v>43791</v>
      </c>
      <c r="BP57" s="329"/>
      <c r="BQ57" s="329"/>
      <c r="BR57" s="329"/>
      <c r="BS57" s="329"/>
      <c r="BT57" s="329"/>
      <c r="BU57" s="331" t="s">
        <v>261</v>
      </c>
      <c r="BV57" s="329"/>
      <c r="BW57" s="329"/>
      <c r="BX57" s="329"/>
      <c r="BY57" s="331" t="s">
        <v>5430</v>
      </c>
      <c r="BZ57" s="331" t="s">
        <v>5431</v>
      </c>
      <c r="CA57" s="331" t="s">
        <v>5432</v>
      </c>
      <c r="CB57" s="331" t="s">
        <v>21</v>
      </c>
      <c r="CC57" s="331" t="s">
        <v>575</v>
      </c>
    </row>
    <row r="58" spans="1:81" x14ac:dyDescent="0.25">
      <c r="A58" s="329">
        <v>197683</v>
      </c>
      <c r="B58" s="331" t="s">
        <v>5777</v>
      </c>
      <c r="C58" s="329">
        <v>34950</v>
      </c>
      <c r="D58" s="331" t="s">
        <v>5778</v>
      </c>
      <c r="E58" s="331" t="s">
        <v>5779</v>
      </c>
      <c r="F58" s="331" t="s">
        <v>5780</v>
      </c>
      <c r="G58" s="331" t="s">
        <v>5781</v>
      </c>
      <c r="H58" s="331" t="s">
        <v>5782</v>
      </c>
      <c r="I58" s="331" t="s">
        <v>5783</v>
      </c>
      <c r="J58" s="331" t="s">
        <v>279</v>
      </c>
      <c r="K58" s="331" t="s">
        <v>5784</v>
      </c>
      <c r="L58" s="329"/>
      <c r="M58" s="329">
        <v>6</v>
      </c>
      <c r="N58" s="329">
        <v>0</v>
      </c>
      <c r="O58" s="329">
        <v>3.88</v>
      </c>
      <c r="P58" s="329"/>
      <c r="Q58" s="333">
        <v>43706.927083333336</v>
      </c>
      <c r="R58" s="329"/>
      <c r="S58" s="333">
        <v>43790</v>
      </c>
      <c r="T58" s="329">
        <v>55</v>
      </c>
      <c r="U58" s="333">
        <v>43790</v>
      </c>
      <c r="V58" s="333">
        <v>44109</v>
      </c>
      <c r="W58" s="329" t="b">
        <v>1</v>
      </c>
      <c r="X58" s="331" t="s">
        <v>22</v>
      </c>
      <c r="Y58" s="329">
        <v>726</v>
      </c>
      <c r="Z58" s="331" t="s">
        <v>25</v>
      </c>
      <c r="AA58" s="331" t="s">
        <v>919</v>
      </c>
      <c r="AB58" s="331" t="s">
        <v>920</v>
      </c>
      <c r="AC58" s="331" t="s">
        <v>962</v>
      </c>
      <c r="AD58" s="331" t="s">
        <v>24</v>
      </c>
      <c r="AE58" s="329">
        <v>221</v>
      </c>
      <c r="AF58" s="331" t="s">
        <v>254</v>
      </c>
      <c r="AG58" s="329"/>
      <c r="AH58" s="329">
        <v>17</v>
      </c>
      <c r="AI58" s="331" t="s">
        <v>280</v>
      </c>
      <c r="AJ58" s="331" t="s">
        <v>281</v>
      </c>
      <c r="AK58" s="329"/>
      <c r="AL58" s="329"/>
      <c r="AM58" s="329"/>
      <c r="AN58" s="329"/>
      <c r="AO58" s="329"/>
      <c r="AP58" s="331" t="s">
        <v>494</v>
      </c>
      <c r="AQ58" s="329">
        <v>500</v>
      </c>
      <c r="AR58" s="329">
        <v>450</v>
      </c>
      <c r="AS58" s="329"/>
      <c r="AT58" s="329" t="s">
        <v>394</v>
      </c>
      <c r="AU58" s="329" t="s">
        <v>256</v>
      </c>
      <c r="AV58" s="331" t="s">
        <v>279</v>
      </c>
      <c r="AW58" s="329"/>
      <c r="AX58" s="329"/>
      <c r="AY58" s="329"/>
      <c r="AZ58" s="329"/>
      <c r="BA58" s="329"/>
      <c r="BB58" s="329"/>
      <c r="BC58" s="329"/>
      <c r="BD58" s="329"/>
      <c r="BE58" s="329" t="s">
        <v>257</v>
      </c>
      <c r="BF58" s="329" t="s">
        <v>836</v>
      </c>
      <c r="BG58" s="329"/>
      <c r="BH58" s="329"/>
      <c r="BI58" s="329"/>
      <c r="BJ58" s="329"/>
      <c r="BK58" s="329">
        <v>18000</v>
      </c>
      <c r="BL58" s="329"/>
      <c r="BM58" s="331" t="s">
        <v>310</v>
      </c>
      <c r="BN58" s="329" t="s">
        <v>260</v>
      </c>
      <c r="BO58" s="333">
        <v>43791</v>
      </c>
      <c r="BP58" s="329"/>
      <c r="BQ58" s="329"/>
      <c r="BR58" s="329"/>
      <c r="BS58" s="329"/>
      <c r="BT58" s="329"/>
      <c r="BU58" s="331" t="s">
        <v>261</v>
      </c>
      <c r="BV58" s="329"/>
      <c r="BW58" s="329"/>
      <c r="BX58" s="329"/>
      <c r="BY58" s="331" t="s">
        <v>5785</v>
      </c>
      <c r="BZ58" s="331" t="s">
        <v>5786</v>
      </c>
      <c r="CA58" s="331" t="s">
        <v>5787</v>
      </c>
      <c r="CB58" s="331" t="s">
        <v>279</v>
      </c>
      <c r="CC58" s="331" t="s">
        <v>5788</v>
      </c>
    </row>
    <row r="59" spans="1:81" x14ac:dyDescent="0.25">
      <c r="A59" s="329">
        <v>196207</v>
      </c>
      <c r="B59" s="331" t="s">
        <v>5789</v>
      </c>
      <c r="C59" s="329">
        <v>35616</v>
      </c>
      <c r="D59" s="331" t="s">
        <v>5790</v>
      </c>
      <c r="E59" s="331" t="s">
        <v>5791</v>
      </c>
      <c r="F59" s="331" t="s">
        <v>5792</v>
      </c>
      <c r="G59" s="331" t="s">
        <v>5793</v>
      </c>
      <c r="H59" s="331" t="s">
        <v>5794</v>
      </c>
      <c r="I59" s="331" t="s">
        <v>5795</v>
      </c>
      <c r="J59" s="331" t="s">
        <v>298</v>
      </c>
      <c r="K59" s="331" t="s">
        <v>5796</v>
      </c>
      <c r="L59" s="329"/>
      <c r="M59" s="329">
        <v>6</v>
      </c>
      <c r="N59" s="329">
        <v>0</v>
      </c>
      <c r="O59" s="329">
        <v>2.7</v>
      </c>
      <c r="P59" s="329"/>
      <c r="Q59" s="333">
        <v>43697.625</v>
      </c>
      <c r="R59" s="329"/>
      <c r="S59" s="333">
        <v>43791</v>
      </c>
      <c r="T59" s="329">
        <v>55</v>
      </c>
      <c r="U59" s="333">
        <v>43791</v>
      </c>
      <c r="V59" s="333">
        <v>44109</v>
      </c>
      <c r="W59" s="329" t="b">
        <v>1</v>
      </c>
      <c r="X59" s="331" t="s">
        <v>905</v>
      </c>
      <c r="Y59" s="329">
        <v>747</v>
      </c>
      <c r="Z59" s="331" t="s">
        <v>23</v>
      </c>
      <c r="AA59" s="331" t="s">
        <v>919</v>
      </c>
      <c r="AB59" s="331" t="s">
        <v>920</v>
      </c>
      <c r="AC59" s="331" t="s">
        <v>921</v>
      </c>
      <c r="AD59" s="331" t="s">
        <v>24</v>
      </c>
      <c r="AE59" s="329">
        <v>221</v>
      </c>
      <c r="AF59" s="331" t="s">
        <v>254</v>
      </c>
      <c r="AG59" s="329"/>
      <c r="AH59" s="329">
        <v>17</v>
      </c>
      <c r="AI59" s="331" t="s">
        <v>280</v>
      </c>
      <c r="AJ59" s="331" t="s">
        <v>281</v>
      </c>
      <c r="AK59" s="329"/>
      <c r="AL59" s="329"/>
      <c r="AM59" s="329"/>
      <c r="AN59" s="329"/>
      <c r="AO59" s="329"/>
      <c r="AP59" s="331" t="s">
        <v>461</v>
      </c>
      <c r="AQ59" s="329">
        <v>520</v>
      </c>
      <c r="AR59" s="329">
        <v>490</v>
      </c>
      <c r="AS59" s="329"/>
      <c r="AT59" s="329" t="s">
        <v>382</v>
      </c>
      <c r="AU59" s="329" t="s">
        <v>283</v>
      </c>
      <c r="AV59" s="331" t="s">
        <v>298</v>
      </c>
      <c r="AW59" s="329"/>
      <c r="AX59" s="329"/>
      <c r="AY59" s="329"/>
      <c r="AZ59" s="329"/>
      <c r="BA59" s="329"/>
      <c r="BB59" s="329"/>
      <c r="BC59" s="329"/>
      <c r="BD59" s="329"/>
      <c r="BE59" s="329"/>
      <c r="BF59" s="329"/>
      <c r="BG59" s="329"/>
      <c r="BH59" s="329"/>
      <c r="BI59" s="329"/>
      <c r="BJ59" s="329"/>
      <c r="BK59" s="329">
        <v>0</v>
      </c>
      <c r="BL59" s="329"/>
      <c r="BM59" s="331" t="s">
        <v>267</v>
      </c>
      <c r="BN59" s="329" t="s">
        <v>260</v>
      </c>
      <c r="BO59" s="333">
        <v>43791</v>
      </c>
      <c r="BP59" s="329"/>
      <c r="BQ59" s="329"/>
      <c r="BR59" s="329"/>
      <c r="BS59" s="329"/>
      <c r="BT59" s="329"/>
      <c r="BU59" s="331" t="s">
        <v>261</v>
      </c>
      <c r="BV59" s="329"/>
      <c r="BW59" s="329"/>
      <c r="BX59" s="329"/>
      <c r="BY59" s="331" t="s">
        <v>5797</v>
      </c>
      <c r="BZ59" s="331" t="s">
        <v>5798</v>
      </c>
      <c r="CA59" s="331" t="s">
        <v>5795</v>
      </c>
      <c r="CB59" s="331" t="s">
        <v>298</v>
      </c>
      <c r="CC59" s="331" t="s">
        <v>5796</v>
      </c>
    </row>
    <row r="60" spans="1:81" x14ac:dyDescent="0.25">
      <c r="A60" s="329">
        <v>198531</v>
      </c>
      <c r="B60" s="331" t="s">
        <v>5799</v>
      </c>
      <c r="C60" s="329">
        <v>35303</v>
      </c>
      <c r="D60" s="331" t="s">
        <v>913</v>
      </c>
      <c r="E60" s="331" t="s">
        <v>3037</v>
      </c>
      <c r="F60" s="331" t="s">
        <v>5800</v>
      </c>
      <c r="G60" s="331" t="s">
        <v>5801</v>
      </c>
      <c r="H60" s="331" t="s">
        <v>5802</v>
      </c>
      <c r="I60" s="331" t="s">
        <v>5803</v>
      </c>
      <c r="J60" s="331" t="s">
        <v>307</v>
      </c>
      <c r="K60" s="331" t="s">
        <v>5804</v>
      </c>
      <c r="L60" s="329"/>
      <c r="M60" s="329">
        <v>6</v>
      </c>
      <c r="N60" s="329">
        <v>0</v>
      </c>
      <c r="O60" s="329">
        <v>2.7222</v>
      </c>
      <c r="P60" s="329"/>
      <c r="Q60" s="333">
        <v>43703.448611111111</v>
      </c>
      <c r="R60" s="329"/>
      <c r="S60" s="333">
        <v>43790</v>
      </c>
      <c r="T60" s="329">
        <v>55</v>
      </c>
      <c r="U60" s="333">
        <v>43790</v>
      </c>
      <c r="V60" s="333">
        <v>44109</v>
      </c>
      <c r="W60" s="329" t="b">
        <v>1</v>
      </c>
      <c r="X60" s="331" t="s">
        <v>22</v>
      </c>
      <c r="Y60" s="329">
        <v>726</v>
      </c>
      <c r="Z60" s="331" t="s">
        <v>336</v>
      </c>
      <c r="AA60" s="331" t="s">
        <v>919</v>
      </c>
      <c r="AB60" s="331" t="s">
        <v>920</v>
      </c>
      <c r="AC60" s="331" t="s">
        <v>346</v>
      </c>
      <c r="AD60" s="331" t="s">
        <v>24</v>
      </c>
      <c r="AE60" s="329">
        <v>221</v>
      </c>
      <c r="AF60" s="331" t="s">
        <v>254</v>
      </c>
      <c r="AG60" s="329"/>
      <c r="AH60" s="329">
        <v>17</v>
      </c>
      <c r="AI60" s="331" t="s">
        <v>280</v>
      </c>
      <c r="AJ60" s="331" t="s">
        <v>281</v>
      </c>
      <c r="AK60" s="329"/>
      <c r="AL60" s="329"/>
      <c r="AM60" s="329"/>
      <c r="AN60" s="329"/>
      <c r="AO60" s="329"/>
      <c r="AP60" s="329"/>
      <c r="AQ60" s="329"/>
      <c r="AR60" s="329"/>
      <c r="AS60" s="329"/>
      <c r="AT60" s="329" t="s">
        <v>258</v>
      </c>
      <c r="AU60" s="329" t="s">
        <v>283</v>
      </c>
      <c r="AV60" s="331" t="s">
        <v>307</v>
      </c>
      <c r="AW60" s="329"/>
      <c r="AX60" s="329"/>
      <c r="AY60" s="329"/>
      <c r="AZ60" s="329"/>
      <c r="BA60" s="329"/>
      <c r="BB60" s="329"/>
      <c r="BC60" s="329"/>
      <c r="BD60" s="329"/>
      <c r="BE60" s="329"/>
      <c r="BF60" s="329"/>
      <c r="BG60" s="329"/>
      <c r="BH60" s="329"/>
      <c r="BI60" s="329"/>
      <c r="BJ60" s="329"/>
      <c r="BK60" s="329">
        <v>0</v>
      </c>
      <c r="BL60" s="329"/>
      <c r="BM60" s="331" t="s">
        <v>28</v>
      </c>
      <c r="BN60" s="329" t="s">
        <v>260</v>
      </c>
      <c r="BO60" s="333">
        <v>43791</v>
      </c>
      <c r="BP60" s="329"/>
      <c r="BQ60" s="329"/>
      <c r="BR60" s="329"/>
      <c r="BS60" s="329"/>
      <c r="BT60" s="329"/>
      <c r="BU60" s="331" t="s">
        <v>261</v>
      </c>
      <c r="BV60" s="329"/>
      <c r="BW60" s="329"/>
      <c r="BX60" s="329"/>
      <c r="BY60" s="331" t="s">
        <v>5805</v>
      </c>
      <c r="BZ60" s="331" t="s">
        <v>5806</v>
      </c>
      <c r="CA60" s="331" t="s">
        <v>5807</v>
      </c>
      <c r="CB60" s="331" t="s">
        <v>307</v>
      </c>
      <c r="CC60" s="331" t="s">
        <v>5808</v>
      </c>
    </row>
    <row r="61" spans="1:81" x14ac:dyDescent="0.25">
      <c r="A61" s="329">
        <v>199163</v>
      </c>
      <c r="B61" s="331" t="s">
        <v>5809</v>
      </c>
      <c r="C61" s="329">
        <v>35474</v>
      </c>
      <c r="D61" s="331" t="s">
        <v>5810</v>
      </c>
      <c r="E61" s="331" t="s">
        <v>320</v>
      </c>
      <c r="F61" s="331" t="s">
        <v>5811</v>
      </c>
      <c r="G61" s="331" t="s">
        <v>5812</v>
      </c>
      <c r="H61" s="331" t="s">
        <v>5813</v>
      </c>
      <c r="I61" s="331" t="s">
        <v>5814</v>
      </c>
      <c r="J61" s="331" t="s">
        <v>21</v>
      </c>
      <c r="K61" s="331" t="s">
        <v>5815</v>
      </c>
      <c r="L61" s="329"/>
      <c r="M61" s="329">
        <v>6</v>
      </c>
      <c r="N61" s="329">
        <v>0</v>
      </c>
      <c r="O61" s="329">
        <v>3.2829999999999999</v>
      </c>
      <c r="P61" s="329"/>
      <c r="Q61" s="333">
        <v>43767.663888888892</v>
      </c>
      <c r="R61" s="329"/>
      <c r="S61" s="333">
        <v>43790</v>
      </c>
      <c r="T61" s="329">
        <v>55</v>
      </c>
      <c r="U61" s="333">
        <v>43790</v>
      </c>
      <c r="V61" s="333">
        <v>44109</v>
      </c>
      <c r="W61" s="329" t="b">
        <v>1</v>
      </c>
      <c r="X61" s="331" t="s">
        <v>22</v>
      </c>
      <c r="Y61" s="329">
        <v>429</v>
      </c>
      <c r="Z61" s="331" t="s">
        <v>23</v>
      </c>
      <c r="AA61" s="331" t="s">
        <v>407</v>
      </c>
      <c r="AB61" s="331" t="s">
        <v>408</v>
      </c>
      <c r="AC61" s="331" t="s">
        <v>5816</v>
      </c>
      <c r="AD61" s="331" t="s">
        <v>24</v>
      </c>
      <c r="AE61" s="329">
        <v>221</v>
      </c>
      <c r="AF61" s="331" t="s">
        <v>254</v>
      </c>
      <c r="AG61" s="329"/>
      <c r="AH61" s="329">
        <v>17</v>
      </c>
      <c r="AI61" s="331" t="s">
        <v>280</v>
      </c>
      <c r="AJ61" s="331" t="s">
        <v>281</v>
      </c>
      <c r="AK61" s="331" t="s">
        <v>289</v>
      </c>
      <c r="AL61" s="331" t="s">
        <v>301</v>
      </c>
      <c r="AM61" s="331" t="s">
        <v>289</v>
      </c>
      <c r="AN61" s="331" t="s">
        <v>347</v>
      </c>
      <c r="AO61" s="331" t="s">
        <v>351</v>
      </c>
      <c r="AP61" s="329"/>
      <c r="AQ61" s="329"/>
      <c r="AR61" s="329"/>
      <c r="AS61" s="329"/>
      <c r="AT61" s="329" t="s">
        <v>294</v>
      </c>
      <c r="AU61" s="329" t="s">
        <v>256</v>
      </c>
      <c r="AV61" s="331" t="s">
        <v>21</v>
      </c>
      <c r="AW61" s="329"/>
      <c r="AX61" s="329"/>
      <c r="AY61" s="329"/>
      <c r="AZ61" s="329"/>
      <c r="BA61" s="329"/>
      <c r="BB61" s="329"/>
      <c r="BC61" s="329"/>
      <c r="BD61" s="329"/>
      <c r="BE61" s="329" t="s">
        <v>257</v>
      </c>
      <c r="BF61" s="329" t="s">
        <v>834</v>
      </c>
      <c r="BG61" s="329"/>
      <c r="BH61" s="329"/>
      <c r="BI61" s="329" t="s">
        <v>334</v>
      </c>
      <c r="BJ61" s="329" t="s">
        <v>831</v>
      </c>
      <c r="BK61" s="329">
        <v>56400</v>
      </c>
      <c r="BL61" s="329"/>
      <c r="BM61" s="331" t="s">
        <v>278</v>
      </c>
      <c r="BN61" s="329" t="s">
        <v>260</v>
      </c>
      <c r="BO61" s="333">
        <v>43791</v>
      </c>
      <c r="BP61" s="329"/>
      <c r="BQ61" s="329"/>
      <c r="BR61" s="329"/>
      <c r="BS61" s="329"/>
      <c r="BT61" s="329"/>
      <c r="BU61" s="331" t="s">
        <v>261</v>
      </c>
      <c r="BV61" s="329"/>
      <c r="BW61" s="329"/>
      <c r="BX61" s="329"/>
      <c r="BY61" s="331" t="s">
        <v>5817</v>
      </c>
      <c r="BZ61" s="331" t="s">
        <v>5818</v>
      </c>
      <c r="CA61" s="331" t="s">
        <v>5814</v>
      </c>
      <c r="CB61" s="331" t="s">
        <v>21</v>
      </c>
      <c r="CC61" s="331" t="s">
        <v>5815</v>
      </c>
    </row>
    <row r="62" spans="1:81" x14ac:dyDescent="0.25">
      <c r="A62" s="329">
        <v>199456</v>
      </c>
      <c r="B62" s="331" t="s">
        <v>5819</v>
      </c>
      <c r="C62" s="329">
        <v>35572</v>
      </c>
      <c r="D62" s="331" t="s">
        <v>4358</v>
      </c>
      <c r="E62" s="331" t="s">
        <v>5820</v>
      </c>
      <c r="F62" s="331" t="s">
        <v>5821</v>
      </c>
      <c r="G62" s="331" t="s">
        <v>5822</v>
      </c>
      <c r="H62" s="331" t="s">
        <v>5823</v>
      </c>
      <c r="I62" s="331" t="s">
        <v>5824</v>
      </c>
      <c r="J62" s="331" t="s">
        <v>292</v>
      </c>
      <c r="K62" s="331" t="s">
        <v>5825</v>
      </c>
      <c r="L62" s="329"/>
      <c r="M62" s="329">
        <v>6</v>
      </c>
      <c r="N62" s="329">
        <v>0</v>
      </c>
      <c r="O62" s="329">
        <v>3.2904</v>
      </c>
      <c r="P62" s="329"/>
      <c r="Q62" s="333">
        <v>43779.704861111109</v>
      </c>
      <c r="R62" s="329"/>
      <c r="S62" s="333">
        <v>43790</v>
      </c>
      <c r="T62" s="329">
        <v>55</v>
      </c>
      <c r="U62" s="333">
        <v>43790</v>
      </c>
      <c r="V62" s="333">
        <v>44109</v>
      </c>
      <c r="W62" s="329" t="b">
        <v>1</v>
      </c>
      <c r="X62" s="331" t="s">
        <v>22</v>
      </c>
      <c r="Y62" s="329">
        <v>726</v>
      </c>
      <c r="Z62" s="331" t="s">
        <v>23</v>
      </c>
      <c r="AA62" s="331" t="s">
        <v>919</v>
      </c>
      <c r="AB62" s="331" t="s">
        <v>920</v>
      </c>
      <c r="AC62" s="331" t="s">
        <v>5826</v>
      </c>
      <c r="AD62" s="331" t="s">
        <v>24</v>
      </c>
      <c r="AE62" s="329">
        <v>221</v>
      </c>
      <c r="AF62" s="331" t="s">
        <v>254</v>
      </c>
      <c r="AG62" s="329"/>
      <c r="AH62" s="329">
        <v>17</v>
      </c>
      <c r="AI62" s="331" t="s">
        <v>280</v>
      </c>
      <c r="AJ62" s="331" t="s">
        <v>281</v>
      </c>
      <c r="AK62" s="329"/>
      <c r="AL62" s="329"/>
      <c r="AM62" s="329"/>
      <c r="AN62" s="329"/>
      <c r="AO62" s="329"/>
      <c r="AP62" s="331" t="s">
        <v>494</v>
      </c>
      <c r="AQ62" s="329">
        <v>470</v>
      </c>
      <c r="AR62" s="329">
        <v>480</v>
      </c>
      <c r="AS62" s="329"/>
      <c r="AT62" s="329" t="s">
        <v>466</v>
      </c>
      <c r="AU62" s="329" t="s">
        <v>963</v>
      </c>
      <c r="AV62" s="331" t="s">
        <v>292</v>
      </c>
      <c r="AW62" s="329"/>
      <c r="AX62" s="329"/>
      <c r="AY62" s="329"/>
      <c r="AZ62" s="329"/>
      <c r="BA62" s="329"/>
      <c r="BB62" s="329"/>
      <c r="BC62" s="329"/>
      <c r="BD62" s="329"/>
      <c r="BE62" s="329" t="s">
        <v>257</v>
      </c>
      <c r="BF62" s="329" t="s">
        <v>834</v>
      </c>
      <c r="BG62" s="329"/>
      <c r="BH62" s="329"/>
      <c r="BI62" s="329"/>
      <c r="BJ62" s="329"/>
      <c r="BK62" s="329">
        <v>20400</v>
      </c>
      <c r="BL62" s="329"/>
      <c r="BM62" s="331" t="s">
        <v>278</v>
      </c>
      <c r="BN62" s="329" t="s">
        <v>260</v>
      </c>
      <c r="BO62" s="333">
        <v>43791</v>
      </c>
      <c r="BP62" s="329"/>
      <c r="BQ62" s="329"/>
      <c r="BR62" s="329"/>
      <c r="BS62" s="329"/>
      <c r="BT62" s="329"/>
      <c r="BU62" s="331" t="s">
        <v>261</v>
      </c>
      <c r="BV62" s="329"/>
      <c r="BW62" s="329"/>
      <c r="BX62" s="329"/>
      <c r="BY62" s="331" t="s">
        <v>5827</v>
      </c>
      <c r="BZ62" s="331" t="s">
        <v>5828</v>
      </c>
      <c r="CA62" s="331" t="s">
        <v>5829</v>
      </c>
      <c r="CB62" s="331" t="s">
        <v>292</v>
      </c>
      <c r="CC62" s="331" t="s">
        <v>5830</v>
      </c>
    </row>
    <row r="63" spans="1:81" x14ac:dyDescent="0.25">
      <c r="A63" s="329">
        <v>198259</v>
      </c>
      <c r="B63" s="331" t="s">
        <v>5831</v>
      </c>
      <c r="C63" s="329">
        <v>35174</v>
      </c>
      <c r="D63" s="331" t="s">
        <v>5832</v>
      </c>
      <c r="E63" s="331" t="s">
        <v>485</v>
      </c>
      <c r="F63" s="331" t="s">
        <v>5833</v>
      </c>
      <c r="G63" s="331" t="s">
        <v>5834</v>
      </c>
      <c r="H63" s="331" t="s">
        <v>5835</v>
      </c>
      <c r="I63" s="331" t="s">
        <v>5836</v>
      </c>
      <c r="J63" s="331" t="s">
        <v>292</v>
      </c>
      <c r="K63" s="331" t="s">
        <v>5837</v>
      </c>
      <c r="L63" s="329"/>
      <c r="M63" s="329">
        <v>6</v>
      </c>
      <c r="N63" s="329">
        <v>0</v>
      </c>
      <c r="O63" s="329">
        <v>3.7</v>
      </c>
      <c r="P63" s="329"/>
      <c r="Q63" s="333">
        <v>43737.872916666667</v>
      </c>
      <c r="R63" s="329"/>
      <c r="S63" s="333">
        <v>43790</v>
      </c>
      <c r="T63" s="329">
        <v>55</v>
      </c>
      <c r="U63" s="333">
        <v>43790</v>
      </c>
      <c r="V63" s="333">
        <v>44109</v>
      </c>
      <c r="W63" s="329" t="b">
        <v>1</v>
      </c>
      <c r="X63" s="331" t="s">
        <v>905</v>
      </c>
      <c r="Y63" s="329">
        <v>747</v>
      </c>
      <c r="Z63" s="331" t="s">
        <v>23</v>
      </c>
      <c r="AA63" s="331" t="s">
        <v>919</v>
      </c>
      <c r="AB63" s="331" t="s">
        <v>920</v>
      </c>
      <c r="AC63" s="331" t="s">
        <v>364</v>
      </c>
      <c r="AD63" s="331" t="s">
        <v>24</v>
      </c>
      <c r="AE63" s="329">
        <v>221</v>
      </c>
      <c r="AF63" s="331" t="s">
        <v>254</v>
      </c>
      <c r="AG63" s="329"/>
      <c r="AH63" s="329">
        <v>17</v>
      </c>
      <c r="AI63" s="331" t="s">
        <v>280</v>
      </c>
      <c r="AJ63" s="331" t="s">
        <v>281</v>
      </c>
      <c r="AK63" s="329"/>
      <c r="AL63" s="329"/>
      <c r="AM63" s="329"/>
      <c r="AN63" s="329"/>
      <c r="AO63" s="329"/>
      <c r="AP63" s="329"/>
      <c r="AQ63" s="329"/>
      <c r="AR63" s="329"/>
      <c r="AS63" s="329"/>
      <c r="AT63" s="329" t="s">
        <v>258</v>
      </c>
      <c r="AU63" s="329" t="s">
        <v>283</v>
      </c>
      <c r="AV63" s="331" t="s">
        <v>292</v>
      </c>
      <c r="AW63" s="329"/>
      <c r="AX63" s="329"/>
      <c r="AY63" s="329"/>
      <c r="AZ63" s="329"/>
      <c r="BA63" s="329"/>
      <c r="BB63" s="329"/>
      <c r="BC63" s="329"/>
      <c r="BD63" s="329"/>
      <c r="BE63" s="329" t="s">
        <v>257</v>
      </c>
      <c r="BF63" s="329" t="s">
        <v>837</v>
      </c>
      <c r="BG63" s="329"/>
      <c r="BH63" s="329"/>
      <c r="BI63" s="329"/>
      <c r="BJ63" s="329"/>
      <c r="BK63" s="329">
        <v>15000</v>
      </c>
      <c r="BL63" s="329"/>
      <c r="BM63" s="331" t="s">
        <v>295</v>
      </c>
      <c r="BN63" s="329" t="s">
        <v>260</v>
      </c>
      <c r="BO63" s="333">
        <v>43791</v>
      </c>
      <c r="BP63" s="329"/>
      <c r="BQ63" s="329"/>
      <c r="BR63" s="329"/>
      <c r="BS63" s="329"/>
      <c r="BT63" s="329"/>
      <c r="BU63" s="331" t="s">
        <v>261</v>
      </c>
      <c r="BV63" s="329"/>
      <c r="BW63" s="329"/>
      <c r="BX63" s="329"/>
      <c r="BY63" s="331" t="s">
        <v>5838</v>
      </c>
      <c r="BZ63" s="331" t="s">
        <v>5839</v>
      </c>
      <c r="CA63" s="331" t="s">
        <v>5836</v>
      </c>
      <c r="CB63" s="331" t="s">
        <v>292</v>
      </c>
      <c r="CC63" s="331" t="s">
        <v>5837</v>
      </c>
    </row>
    <row r="64" spans="1:81" x14ac:dyDescent="0.25">
      <c r="A64" s="329">
        <v>199399</v>
      </c>
      <c r="B64" s="331" t="s">
        <v>5840</v>
      </c>
      <c r="C64" s="329">
        <v>35618</v>
      </c>
      <c r="D64" s="331" t="s">
        <v>5841</v>
      </c>
      <c r="E64" s="331" t="s">
        <v>5842</v>
      </c>
      <c r="F64" s="331" t="s">
        <v>5843</v>
      </c>
      <c r="G64" s="331" t="s">
        <v>5844</v>
      </c>
      <c r="H64" s="331" t="s">
        <v>5845</v>
      </c>
      <c r="I64" s="331" t="s">
        <v>5846</v>
      </c>
      <c r="J64" s="331" t="s">
        <v>430</v>
      </c>
      <c r="K64" s="331" t="s">
        <v>5847</v>
      </c>
      <c r="L64" s="329"/>
      <c r="M64" s="329">
        <v>6</v>
      </c>
      <c r="N64" s="329">
        <v>0</v>
      </c>
      <c r="O64" s="329">
        <v>3.4049999999999998</v>
      </c>
      <c r="P64" s="329"/>
      <c r="Q64" s="333">
        <v>43776.435416666667</v>
      </c>
      <c r="R64" s="329"/>
      <c r="S64" s="333">
        <v>43790</v>
      </c>
      <c r="T64" s="329">
        <v>55</v>
      </c>
      <c r="U64" s="333">
        <v>43790</v>
      </c>
      <c r="V64" s="333">
        <v>44109</v>
      </c>
      <c r="W64" s="329" t="b">
        <v>1</v>
      </c>
      <c r="X64" s="331" t="s">
        <v>187</v>
      </c>
      <c r="Y64" s="329">
        <v>718</v>
      </c>
      <c r="Z64" s="331" t="s">
        <v>23</v>
      </c>
      <c r="AA64" s="331" t="s">
        <v>919</v>
      </c>
      <c r="AB64" s="331" t="s">
        <v>920</v>
      </c>
      <c r="AC64" s="331" t="s">
        <v>5618</v>
      </c>
      <c r="AD64" s="331" t="s">
        <v>24</v>
      </c>
      <c r="AE64" s="329">
        <v>221</v>
      </c>
      <c r="AF64" s="331" t="s">
        <v>254</v>
      </c>
      <c r="AG64" s="329"/>
      <c r="AH64" s="329">
        <v>17</v>
      </c>
      <c r="AI64" s="331" t="s">
        <v>280</v>
      </c>
      <c r="AJ64" s="331" t="s">
        <v>281</v>
      </c>
      <c r="AK64" s="331" t="s">
        <v>290</v>
      </c>
      <c r="AL64" s="331" t="s">
        <v>328</v>
      </c>
      <c r="AM64" s="331" t="s">
        <v>289</v>
      </c>
      <c r="AN64" s="331" t="s">
        <v>299</v>
      </c>
      <c r="AO64" s="331" t="s">
        <v>274</v>
      </c>
      <c r="AP64" s="329"/>
      <c r="AQ64" s="329"/>
      <c r="AR64" s="329"/>
      <c r="AS64" s="329"/>
      <c r="AT64" s="329" t="s">
        <v>309</v>
      </c>
      <c r="AU64" s="329" t="s">
        <v>256</v>
      </c>
      <c r="AV64" s="331" t="s">
        <v>430</v>
      </c>
      <c r="AW64" s="329"/>
      <c r="AX64" s="329"/>
      <c r="AY64" s="329"/>
      <c r="AZ64" s="329"/>
      <c r="BA64" s="329"/>
      <c r="BB64" s="329"/>
      <c r="BC64" s="329"/>
      <c r="BD64" s="329"/>
      <c r="BE64" s="329" t="s">
        <v>257</v>
      </c>
      <c r="BF64" s="329" t="s">
        <v>837</v>
      </c>
      <c r="BG64" s="329"/>
      <c r="BH64" s="329"/>
      <c r="BI64" s="329"/>
      <c r="BJ64" s="329"/>
      <c r="BK64" s="329">
        <v>15000</v>
      </c>
      <c r="BL64" s="329"/>
      <c r="BM64" s="331" t="s">
        <v>295</v>
      </c>
      <c r="BN64" s="329" t="s">
        <v>260</v>
      </c>
      <c r="BO64" s="333">
        <v>43791</v>
      </c>
      <c r="BP64" s="329"/>
      <c r="BQ64" s="329"/>
      <c r="BR64" s="329"/>
      <c r="BS64" s="329"/>
      <c r="BT64" s="329"/>
      <c r="BU64" s="331" t="s">
        <v>261</v>
      </c>
      <c r="BV64" s="329"/>
      <c r="BW64" s="329"/>
      <c r="BX64" s="329"/>
      <c r="BY64" s="331" t="s">
        <v>5848</v>
      </c>
      <c r="BZ64" s="331" t="s">
        <v>5849</v>
      </c>
      <c r="CA64" s="331" t="s">
        <v>5846</v>
      </c>
      <c r="CB64" s="331" t="s">
        <v>430</v>
      </c>
      <c r="CC64" s="331" t="s">
        <v>5847</v>
      </c>
    </row>
    <row r="65" spans="1:81" x14ac:dyDescent="0.25">
      <c r="A65" s="329">
        <v>196623</v>
      </c>
      <c r="B65" s="331" t="s">
        <v>5850</v>
      </c>
      <c r="C65" s="329">
        <v>35592</v>
      </c>
      <c r="D65" s="331" t="s">
        <v>5851</v>
      </c>
      <c r="E65" s="331" t="s">
        <v>467</v>
      </c>
      <c r="F65" s="331" t="s">
        <v>5852</v>
      </c>
      <c r="G65" s="331" t="s">
        <v>5853</v>
      </c>
      <c r="H65" s="331" t="s">
        <v>5854</v>
      </c>
      <c r="I65" s="331" t="s">
        <v>5855</v>
      </c>
      <c r="J65" s="331" t="s">
        <v>21</v>
      </c>
      <c r="K65" s="331" t="s">
        <v>5856</v>
      </c>
      <c r="L65" s="329"/>
      <c r="M65" s="329">
        <v>6</v>
      </c>
      <c r="N65" s="329">
        <v>0</v>
      </c>
      <c r="O65" s="329">
        <v>3.516</v>
      </c>
      <c r="P65" s="329"/>
      <c r="Q65" s="333">
        <v>43704.730555555558</v>
      </c>
      <c r="R65" s="329"/>
      <c r="S65" s="333">
        <v>43790</v>
      </c>
      <c r="T65" s="329">
        <v>55</v>
      </c>
      <c r="U65" s="333">
        <v>43790</v>
      </c>
      <c r="V65" s="333">
        <v>44109</v>
      </c>
      <c r="W65" s="329" t="b">
        <v>1</v>
      </c>
      <c r="X65" s="331" t="s">
        <v>187</v>
      </c>
      <c r="Y65" s="329">
        <v>718</v>
      </c>
      <c r="Z65" s="331" t="s">
        <v>23</v>
      </c>
      <c r="AA65" s="331" t="s">
        <v>919</v>
      </c>
      <c r="AB65" s="331" t="s">
        <v>920</v>
      </c>
      <c r="AC65" s="331" t="s">
        <v>1031</v>
      </c>
      <c r="AD65" s="331" t="s">
        <v>24</v>
      </c>
      <c r="AE65" s="329">
        <v>221</v>
      </c>
      <c r="AF65" s="331" t="s">
        <v>254</v>
      </c>
      <c r="AG65" s="329"/>
      <c r="AH65" s="329">
        <v>17</v>
      </c>
      <c r="AI65" s="331" t="s">
        <v>280</v>
      </c>
      <c r="AJ65" s="331" t="s">
        <v>281</v>
      </c>
      <c r="AK65" s="331" t="s">
        <v>347</v>
      </c>
      <c r="AL65" s="331" t="s">
        <v>351</v>
      </c>
      <c r="AM65" s="331" t="s">
        <v>272</v>
      </c>
      <c r="AN65" s="331" t="s">
        <v>285</v>
      </c>
      <c r="AO65" s="331" t="s">
        <v>272</v>
      </c>
      <c r="AP65" s="329"/>
      <c r="AQ65" s="329"/>
      <c r="AR65" s="329"/>
      <c r="AS65" s="329"/>
      <c r="AT65" s="329" t="s">
        <v>379</v>
      </c>
      <c r="AU65" s="329" t="s">
        <v>283</v>
      </c>
      <c r="AV65" s="331" t="s">
        <v>21</v>
      </c>
      <c r="AW65" s="329"/>
      <c r="AX65" s="329"/>
      <c r="AY65" s="329"/>
      <c r="AZ65" s="329"/>
      <c r="BA65" s="329"/>
      <c r="BB65" s="329"/>
      <c r="BC65" s="329"/>
      <c r="BD65" s="329"/>
      <c r="BE65" s="329" t="s">
        <v>257</v>
      </c>
      <c r="BF65" s="329" t="s">
        <v>834</v>
      </c>
      <c r="BG65" s="329"/>
      <c r="BH65" s="329"/>
      <c r="BI65" s="329" t="s">
        <v>334</v>
      </c>
      <c r="BJ65" s="329" t="s">
        <v>831</v>
      </c>
      <c r="BK65" s="329">
        <v>56400</v>
      </c>
      <c r="BL65" s="329"/>
      <c r="BM65" s="331" t="s">
        <v>278</v>
      </c>
      <c r="BN65" s="329" t="s">
        <v>260</v>
      </c>
      <c r="BO65" s="333">
        <v>43791</v>
      </c>
      <c r="BP65" s="329"/>
      <c r="BQ65" s="329"/>
      <c r="BR65" s="329"/>
      <c r="BS65" s="329"/>
      <c r="BT65" s="329"/>
      <c r="BU65" s="331" t="s">
        <v>261</v>
      </c>
      <c r="BV65" s="329"/>
      <c r="BW65" s="329"/>
      <c r="BX65" s="329"/>
      <c r="BY65" s="331" t="s">
        <v>5857</v>
      </c>
      <c r="BZ65" s="331" t="s">
        <v>5858</v>
      </c>
      <c r="CA65" s="331" t="s">
        <v>5855</v>
      </c>
      <c r="CB65" s="331" t="s">
        <v>21</v>
      </c>
      <c r="CC65" s="331" t="s">
        <v>704</v>
      </c>
    </row>
    <row r="66" spans="1:81" x14ac:dyDescent="0.25">
      <c r="A66" s="329">
        <v>196293</v>
      </c>
      <c r="B66" s="331" t="s">
        <v>5859</v>
      </c>
      <c r="C66" s="329">
        <v>34599</v>
      </c>
      <c r="D66" s="331" t="s">
        <v>5860</v>
      </c>
      <c r="E66" s="331" t="s">
        <v>514</v>
      </c>
      <c r="F66" s="331" t="s">
        <v>5861</v>
      </c>
      <c r="G66" s="331" t="s">
        <v>5862</v>
      </c>
      <c r="H66" s="331" t="s">
        <v>5863</v>
      </c>
      <c r="I66" s="331" t="s">
        <v>5864</v>
      </c>
      <c r="J66" s="331" t="s">
        <v>297</v>
      </c>
      <c r="K66" s="331" t="s">
        <v>5865</v>
      </c>
      <c r="L66" s="329"/>
      <c r="M66" s="329">
        <v>6</v>
      </c>
      <c r="N66" s="329">
        <v>0</v>
      </c>
      <c r="O66" s="329">
        <v>2.4211</v>
      </c>
      <c r="P66" s="329"/>
      <c r="Q66" s="333">
        <v>43699.739583333336</v>
      </c>
      <c r="R66" s="329"/>
      <c r="S66" s="333">
        <v>43790</v>
      </c>
      <c r="T66" s="329">
        <v>55</v>
      </c>
      <c r="U66" s="333">
        <v>43790</v>
      </c>
      <c r="V66" s="333">
        <v>44109</v>
      </c>
      <c r="W66" s="329" t="b">
        <v>1</v>
      </c>
      <c r="X66" s="331" t="s">
        <v>22</v>
      </c>
      <c r="Y66" s="329">
        <v>726</v>
      </c>
      <c r="Z66" s="331" t="s">
        <v>25</v>
      </c>
      <c r="AA66" s="331" t="s">
        <v>919</v>
      </c>
      <c r="AB66" s="331" t="s">
        <v>920</v>
      </c>
      <c r="AC66" s="331" t="s">
        <v>2315</v>
      </c>
      <c r="AD66" s="331" t="s">
        <v>24</v>
      </c>
      <c r="AE66" s="329">
        <v>221</v>
      </c>
      <c r="AF66" s="331" t="s">
        <v>254</v>
      </c>
      <c r="AG66" s="329"/>
      <c r="AH66" s="329">
        <v>17</v>
      </c>
      <c r="AI66" s="331" t="s">
        <v>280</v>
      </c>
      <c r="AJ66" s="331" t="s">
        <v>281</v>
      </c>
      <c r="AK66" s="331" t="s">
        <v>299</v>
      </c>
      <c r="AL66" s="331" t="s">
        <v>328</v>
      </c>
      <c r="AM66" s="331" t="s">
        <v>328</v>
      </c>
      <c r="AN66" s="331" t="s">
        <v>331</v>
      </c>
      <c r="AO66" s="331" t="s">
        <v>289</v>
      </c>
      <c r="AP66" s="329"/>
      <c r="AQ66" s="329"/>
      <c r="AR66" s="329"/>
      <c r="AS66" s="329"/>
      <c r="AT66" s="329" t="s">
        <v>5521</v>
      </c>
      <c r="AU66" s="329" t="s">
        <v>963</v>
      </c>
      <c r="AV66" s="331" t="s">
        <v>297</v>
      </c>
      <c r="AW66" s="329"/>
      <c r="AX66" s="329"/>
      <c r="AY66" s="329"/>
      <c r="AZ66" s="329"/>
      <c r="BA66" s="329"/>
      <c r="BB66" s="329"/>
      <c r="BC66" s="329"/>
      <c r="BD66" s="329"/>
      <c r="BE66" s="329" t="s">
        <v>257</v>
      </c>
      <c r="BF66" s="329" t="s">
        <v>841</v>
      </c>
      <c r="BG66" s="329"/>
      <c r="BH66" s="329"/>
      <c r="BI66" s="329"/>
      <c r="BJ66" s="329"/>
      <c r="BK66" s="329">
        <v>9000</v>
      </c>
      <c r="BL66" s="329"/>
      <c r="BM66" s="331" t="s">
        <v>189</v>
      </c>
      <c r="BN66" s="329" t="s">
        <v>260</v>
      </c>
      <c r="BO66" s="333">
        <v>43791</v>
      </c>
      <c r="BP66" s="329"/>
      <c r="BQ66" s="329"/>
      <c r="BR66" s="329"/>
      <c r="BS66" s="329"/>
      <c r="BT66" s="329"/>
      <c r="BU66" s="331" t="s">
        <v>261</v>
      </c>
      <c r="BV66" s="329"/>
      <c r="BW66" s="329"/>
      <c r="BX66" s="329"/>
      <c r="BY66" s="331" t="s">
        <v>5866</v>
      </c>
      <c r="BZ66" s="331" t="s">
        <v>5867</v>
      </c>
      <c r="CA66" s="331" t="s">
        <v>5868</v>
      </c>
      <c r="CB66" s="331" t="s">
        <v>297</v>
      </c>
      <c r="CC66" s="331" t="s">
        <v>5869</v>
      </c>
    </row>
    <row r="67" spans="1:81" x14ac:dyDescent="0.25">
      <c r="A67" s="329">
        <v>198281</v>
      </c>
      <c r="B67" s="331" t="s">
        <v>5870</v>
      </c>
      <c r="C67" s="329">
        <v>35194</v>
      </c>
      <c r="D67" s="331" t="s">
        <v>2810</v>
      </c>
      <c r="E67" s="331" t="s">
        <v>573</v>
      </c>
      <c r="F67" s="331" t="s">
        <v>5871</v>
      </c>
      <c r="G67" s="331" t="s">
        <v>5872</v>
      </c>
      <c r="H67" s="331" t="s">
        <v>5873</v>
      </c>
      <c r="I67" s="331" t="s">
        <v>5874</v>
      </c>
      <c r="J67" s="331" t="s">
        <v>279</v>
      </c>
      <c r="K67" s="331" t="s">
        <v>5875</v>
      </c>
      <c r="L67" s="329"/>
      <c r="M67" s="329">
        <v>6</v>
      </c>
      <c r="N67" s="329">
        <v>0</v>
      </c>
      <c r="O67" s="329">
        <v>3.19</v>
      </c>
      <c r="P67" s="329"/>
      <c r="Q67" s="333">
        <v>43644.784722222219</v>
      </c>
      <c r="R67" s="329"/>
      <c r="S67" s="333">
        <v>43790</v>
      </c>
      <c r="T67" s="329">
        <v>55</v>
      </c>
      <c r="U67" s="333">
        <v>43790</v>
      </c>
      <c r="V67" s="333">
        <v>44109</v>
      </c>
      <c r="W67" s="329" t="b">
        <v>1</v>
      </c>
      <c r="X67" s="331" t="s">
        <v>22</v>
      </c>
      <c r="Y67" s="329">
        <v>726</v>
      </c>
      <c r="Z67" s="331" t="s">
        <v>23</v>
      </c>
      <c r="AA67" s="331" t="s">
        <v>919</v>
      </c>
      <c r="AB67" s="331" t="s">
        <v>920</v>
      </c>
      <c r="AC67" s="331" t="s">
        <v>1097</v>
      </c>
      <c r="AD67" s="331" t="s">
        <v>24</v>
      </c>
      <c r="AE67" s="329">
        <v>221</v>
      </c>
      <c r="AF67" s="331" t="s">
        <v>254</v>
      </c>
      <c r="AG67" s="329"/>
      <c r="AH67" s="329">
        <v>17</v>
      </c>
      <c r="AI67" s="331" t="s">
        <v>280</v>
      </c>
      <c r="AJ67" s="331" t="s">
        <v>281</v>
      </c>
      <c r="AK67" s="329"/>
      <c r="AL67" s="329"/>
      <c r="AM67" s="329"/>
      <c r="AN67" s="329"/>
      <c r="AO67" s="329"/>
      <c r="AP67" s="331" t="s">
        <v>432</v>
      </c>
      <c r="AQ67" s="329">
        <v>520</v>
      </c>
      <c r="AR67" s="329">
        <v>460</v>
      </c>
      <c r="AS67" s="329"/>
      <c r="AT67" s="329" t="s">
        <v>466</v>
      </c>
      <c r="AU67" s="329" t="s">
        <v>283</v>
      </c>
      <c r="AV67" s="331" t="s">
        <v>279</v>
      </c>
      <c r="AW67" s="329"/>
      <c r="AX67" s="329"/>
      <c r="AY67" s="329"/>
      <c r="AZ67" s="329"/>
      <c r="BA67" s="329"/>
      <c r="BB67" s="329"/>
      <c r="BC67" s="329"/>
      <c r="BD67" s="329"/>
      <c r="BE67" s="329" t="s">
        <v>257</v>
      </c>
      <c r="BF67" s="329" t="s">
        <v>838</v>
      </c>
      <c r="BG67" s="329"/>
      <c r="BH67" s="329"/>
      <c r="BI67" s="329"/>
      <c r="BJ67" s="329"/>
      <c r="BK67" s="329">
        <v>15600</v>
      </c>
      <c r="BL67" s="329"/>
      <c r="BM67" s="331" t="s">
        <v>259</v>
      </c>
      <c r="BN67" s="329" t="s">
        <v>260</v>
      </c>
      <c r="BO67" s="333">
        <v>43791</v>
      </c>
      <c r="BP67" s="329"/>
      <c r="BQ67" s="329"/>
      <c r="BR67" s="329"/>
      <c r="BS67" s="329"/>
      <c r="BT67" s="329"/>
      <c r="BU67" s="331" t="s">
        <v>261</v>
      </c>
      <c r="BV67" s="329"/>
      <c r="BW67" s="329"/>
      <c r="BX67" s="329"/>
      <c r="BY67" s="331" t="s">
        <v>5876</v>
      </c>
      <c r="BZ67" s="331" t="s">
        <v>5877</v>
      </c>
      <c r="CA67" s="331" t="s">
        <v>5874</v>
      </c>
      <c r="CB67" s="331" t="s">
        <v>279</v>
      </c>
      <c r="CC67" s="331" t="s">
        <v>5878</v>
      </c>
    </row>
    <row r="68" spans="1:81" x14ac:dyDescent="0.25">
      <c r="A68" s="329">
        <v>196589</v>
      </c>
      <c r="B68" s="331" t="s">
        <v>5879</v>
      </c>
      <c r="C68" s="329">
        <v>34698</v>
      </c>
      <c r="D68" s="331" t="s">
        <v>523</v>
      </c>
      <c r="E68" s="331" t="s">
        <v>2559</v>
      </c>
      <c r="F68" s="331" t="s">
        <v>5880</v>
      </c>
      <c r="G68" s="331" t="s">
        <v>5881</v>
      </c>
      <c r="H68" s="331" t="s">
        <v>5882</v>
      </c>
      <c r="I68" s="331" t="s">
        <v>5883</v>
      </c>
      <c r="J68" s="331" t="s">
        <v>350</v>
      </c>
      <c r="K68" s="331" t="s">
        <v>5884</v>
      </c>
      <c r="L68" s="329"/>
      <c r="M68" s="329">
        <v>6</v>
      </c>
      <c r="N68" s="329">
        <v>0</v>
      </c>
      <c r="O68" s="329">
        <v>3.5552000000000001</v>
      </c>
      <c r="P68" s="329"/>
      <c r="Q68" s="333">
        <v>43704.645833333336</v>
      </c>
      <c r="R68" s="329"/>
      <c r="S68" s="333">
        <v>43790</v>
      </c>
      <c r="T68" s="329">
        <v>55</v>
      </c>
      <c r="U68" s="333">
        <v>43790</v>
      </c>
      <c r="V68" s="333">
        <v>44109</v>
      </c>
      <c r="W68" s="329" t="b">
        <v>1</v>
      </c>
      <c r="X68" s="331" t="s">
        <v>187</v>
      </c>
      <c r="Y68" s="329">
        <v>718</v>
      </c>
      <c r="Z68" s="331" t="s">
        <v>25</v>
      </c>
      <c r="AA68" s="331" t="s">
        <v>919</v>
      </c>
      <c r="AB68" s="331" t="s">
        <v>920</v>
      </c>
      <c r="AC68" s="331" t="s">
        <v>5885</v>
      </c>
      <c r="AD68" s="331" t="s">
        <v>24</v>
      </c>
      <c r="AE68" s="329">
        <v>221</v>
      </c>
      <c r="AF68" s="331" t="s">
        <v>254</v>
      </c>
      <c r="AG68" s="329"/>
      <c r="AH68" s="329">
        <v>17</v>
      </c>
      <c r="AI68" s="331" t="s">
        <v>280</v>
      </c>
      <c r="AJ68" s="331" t="s">
        <v>281</v>
      </c>
      <c r="AK68" s="331" t="s">
        <v>301</v>
      </c>
      <c r="AL68" s="331" t="s">
        <v>301</v>
      </c>
      <c r="AM68" s="331" t="s">
        <v>329</v>
      </c>
      <c r="AN68" s="331" t="s">
        <v>272</v>
      </c>
      <c r="AO68" s="331" t="s">
        <v>300</v>
      </c>
      <c r="AP68" s="329"/>
      <c r="AQ68" s="329"/>
      <c r="AR68" s="329"/>
      <c r="AS68" s="329"/>
      <c r="AT68" s="329" t="s">
        <v>833</v>
      </c>
      <c r="AU68" s="329" t="s">
        <v>256</v>
      </c>
      <c r="AV68" s="331" t="s">
        <v>350</v>
      </c>
      <c r="AW68" s="329"/>
      <c r="AX68" s="329"/>
      <c r="AY68" s="329"/>
      <c r="AZ68" s="329"/>
      <c r="BA68" s="329"/>
      <c r="BB68" s="329"/>
      <c r="BC68" s="329"/>
      <c r="BD68" s="329"/>
      <c r="BE68" s="329" t="s">
        <v>257</v>
      </c>
      <c r="BF68" s="329" t="s">
        <v>837</v>
      </c>
      <c r="BG68" s="329"/>
      <c r="BH68" s="329"/>
      <c r="BI68" s="329"/>
      <c r="BJ68" s="329"/>
      <c r="BK68" s="329">
        <v>15000</v>
      </c>
      <c r="BL68" s="329"/>
      <c r="BM68" s="331" t="s">
        <v>295</v>
      </c>
      <c r="BN68" s="329" t="s">
        <v>260</v>
      </c>
      <c r="BO68" s="333">
        <v>43791</v>
      </c>
      <c r="BP68" s="329"/>
      <c r="BQ68" s="329"/>
      <c r="BR68" s="329"/>
      <c r="BS68" s="329"/>
      <c r="BT68" s="329"/>
      <c r="BU68" s="331" t="s">
        <v>261</v>
      </c>
      <c r="BV68" s="329"/>
      <c r="BW68" s="329"/>
      <c r="BX68" s="329"/>
      <c r="BY68" s="331" t="s">
        <v>5886</v>
      </c>
      <c r="BZ68" s="331" t="s">
        <v>5887</v>
      </c>
      <c r="CA68" s="331" t="s">
        <v>5888</v>
      </c>
      <c r="CB68" s="331" t="s">
        <v>350</v>
      </c>
      <c r="CC68" s="331" t="s">
        <v>5889</v>
      </c>
    </row>
    <row r="69" spans="1:81" x14ac:dyDescent="0.25">
      <c r="A69" s="329">
        <v>198641</v>
      </c>
      <c r="B69" s="331" t="s">
        <v>5890</v>
      </c>
      <c r="C69" s="329">
        <v>35339</v>
      </c>
      <c r="D69" s="331" t="s">
        <v>5891</v>
      </c>
      <c r="E69" s="331" t="s">
        <v>406</v>
      </c>
      <c r="F69" s="331" t="s">
        <v>5892</v>
      </c>
      <c r="G69" s="331" t="s">
        <v>5893</v>
      </c>
      <c r="H69" s="331" t="s">
        <v>5894</v>
      </c>
      <c r="I69" s="331" t="s">
        <v>5895</v>
      </c>
      <c r="J69" s="331" t="s">
        <v>498</v>
      </c>
      <c r="K69" s="331" t="s">
        <v>5896</v>
      </c>
      <c r="L69" s="329"/>
      <c r="M69" s="329">
        <v>6</v>
      </c>
      <c r="N69" s="329">
        <v>0</v>
      </c>
      <c r="O69" s="329">
        <v>1.8</v>
      </c>
      <c r="P69" s="329"/>
      <c r="Q69" s="333">
        <v>43587.625694444447</v>
      </c>
      <c r="R69" s="329"/>
      <c r="S69" s="333">
        <v>43791</v>
      </c>
      <c r="T69" s="329">
        <v>55</v>
      </c>
      <c r="U69" s="333">
        <v>43791</v>
      </c>
      <c r="V69" s="333">
        <v>44109</v>
      </c>
      <c r="W69" s="329" t="b">
        <v>1</v>
      </c>
      <c r="X69" s="331" t="s">
        <v>22</v>
      </c>
      <c r="Y69" s="329">
        <v>726</v>
      </c>
      <c r="Z69" s="331" t="s">
        <v>23</v>
      </c>
      <c r="AA69" s="331" t="s">
        <v>919</v>
      </c>
      <c r="AB69" s="331" t="s">
        <v>920</v>
      </c>
      <c r="AC69" s="331" t="s">
        <v>337</v>
      </c>
      <c r="AD69" s="331" t="s">
        <v>24</v>
      </c>
      <c r="AE69" s="329">
        <v>221</v>
      </c>
      <c r="AF69" s="331" t="s">
        <v>254</v>
      </c>
      <c r="AG69" s="329"/>
      <c r="AH69" s="329">
        <v>17</v>
      </c>
      <c r="AI69" s="331" t="s">
        <v>280</v>
      </c>
      <c r="AJ69" s="331" t="s">
        <v>281</v>
      </c>
      <c r="AK69" s="329"/>
      <c r="AL69" s="329"/>
      <c r="AM69" s="329"/>
      <c r="AN69" s="329"/>
      <c r="AO69" s="329"/>
      <c r="AP69" s="331" t="s">
        <v>491</v>
      </c>
      <c r="AQ69" s="329">
        <v>560</v>
      </c>
      <c r="AR69" s="329">
        <v>440</v>
      </c>
      <c r="AS69" s="329"/>
      <c r="AT69" s="329" t="s">
        <v>5897</v>
      </c>
      <c r="AU69" s="329" t="s">
        <v>256</v>
      </c>
      <c r="AV69" s="331" t="s">
        <v>498</v>
      </c>
      <c r="AW69" s="329"/>
      <c r="AX69" s="329"/>
      <c r="AY69" s="329"/>
      <c r="AZ69" s="329"/>
      <c r="BA69" s="329"/>
      <c r="BB69" s="329"/>
      <c r="BC69" s="329"/>
      <c r="BD69" s="329"/>
      <c r="BE69" s="329"/>
      <c r="BF69" s="329"/>
      <c r="BG69" s="329"/>
      <c r="BH69" s="329"/>
      <c r="BI69" s="329"/>
      <c r="BJ69" s="329"/>
      <c r="BK69" s="329">
        <v>0</v>
      </c>
      <c r="BL69" s="329"/>
      <c r="BM69" s="331" t="s">
        <v>323</v>
      </c>
      <c r="BN69" s="329" t="s">
        <v>260</v>
      </c>
      <c r="BO69" s="333">
        <v>43791</v>
      </c>
      <c r="BP69" s="329"/>
      <c r="BQ69" s="329"/>
      <c r="BR69" s="329"/>
      <c r="BS69" s="329"/>
      <c r="BT69" s="329"/>
      <c r="BU69" s="331" t="s">
        <v>261</v>
      </c>
      <c r="BV69" s="329"/>
      <c r="BW69" s="329"/>
      <c r="BX69" s="329"/>
      <c r="BY69" s="331" t="s">
        <v>5898</v>
      </c>
      <c r="BZ69" s="331" t="s">
        <v>5899</v>
      </c>
      <c r="CA69" s="331" t="s">
        <v>5900</v>
      </c>
      <c r="CB69" s="331" t="s">
        <v>498</v>
      </c>
      <c r="CC69" s="331" t="s">
        <v>5901</v>
      </c>
    </row>
    <row r="70" spans="1:81" x14ac:dyDescent="0.25">
      <c r="A70" s="329">
        <v>199502</v>
      </c>
      <c r="B70" s="331" t="s">
        <v>5902</v>
      </c>
      <c r="C70" s="329">
        <v>35586</v>
      </c>
      <c r="D70" s="331" t="s">
        <v>702</v>
      </c>
      <c r="E70" s="331" t="s">
        <v>5903</v>
      </c>
      <c r="F70" s="331" t="s">
        <v>5904</v>
      </c>
      <c r="G70" s="331" t="s">
        <v>5905</v>
      </c>
      <c r="H70" s="331" t="s">
        <v>5906</v>
      </c>
      <c r="I70" s="331" t="s">
        <v>2940</v>
      </c>
      <c r="J70" s="331" t="s">
        <v>307</v>
      </c>
      <c r="K70" s="331" t="s">
        <v>5907</v>
      </c>
      <c r="L70" s="329"/>
      <c r="M70" s="329">
        <v>6</v>
      </c>
      <c r="N70" s="329">
        <v>0</v>
      </c>
      <c r="O70" s="329">
        <v>2.59</v>
      </c>
      <c r="P70" s="329"/>
      <c r="Q70" s="333">
        <v>43615.537499999999</v>
      </c>
      <c r="R70" s="329"/>
      <c r="S70" s="333">
        <v>43790</v>
      </c>
      <c r="T70" s="329">
        <v>55</v>
      </c>
      <c r="U70" s="333">
        <v>43790</v>
      </c>
      <c r="V70" s="333">
        <v>44109</v>
      </c>
      <c r="W70" s="329" t="b">
        <v>1</v>
      </c>
      <c r="X70" s="331" t="s">
        <v>22</v>
      </c>
      <c r="Y70" s="329">
        <v>429</v>
      </c>
      <c r="Z70" s="331" t="s">
        <v>23</v>
      </c>
      <c r="AA70" s="331" t="s">
        <v>919</v>
      </c>
      <c r="AB70" s="331" t="s">
        <v>920</v>
      </c>
      <c r="AC70" s="331" t="s">
        <v>264</v>
      </c>
      <c r="AD70" s="331" t="s">
        <v>24</v>
      </c>
      <c r="AE70" s="329">
        <v>221</v>
      </c>
      <c r="AF70" s="331" t="s">
        <v>254</v>
      </c>
      <c r="AG70" s="329"/>
      <c r="AH70" s="329">
        <v>17</v>
      </c>
      <c r="AI70" s="331" t="s">
        <v>280</v>
      </c>
      <c r="AJ70" s="331" t="s">
        <v>281</v>
      </c>
      <c r="AK70" s="329"/>
      <c r="AL70" s="329"/>
      <c r="AM70" s="329"/>
      <c r="AN70" s="329"/>
      <c r="AO70" s="329"/>
      <c r="AP70" s="329"/>
      <c r="AQ70" s="329"/>
      <c r="AR70" s="329"/>
      <c r="AS70" s="329"/>
      <c r="AT70" s="329" t="s">
        <v>258</v>
      </c>
      <c r="AU70" s="329" t="s">
        <v>256</v>
      </c>
      <c r="AV70" s="331" t="s">
        <v>307</v>
      </c>
      <c r="AW70" s="329"/>
      <c r="AX70" s="329"/>
      <c r="AY70" s="329"/>
      <c r="AZ70" s="329"/>
      <c r="BA70" s="329"/>
      <c r="BB70" s="329"/>
      <c r="BC70" s="329"/>
      <c r="BD70" s="329"/>
      <c r="BE70" s="329"/>
      <c r="BF70" s="329"/>
      <c r="BG70" s="329"/>
      <c r="BH70" s="329"/>
      <c r="BI70" s="329"/>
      <c r="BJ70" s="329"/>
      <c r="BK70" s="329">
        <v>0</v>
      </c>
      <c r="BL70" s="329"/>
      <c r="BM70" s="331" t="s">
        <v>27</v>
      </c>
      <c r="BN70" s="329" t="s">
        <v>260</v>
      </c>
      <c r="BO70" s="333">
        <v>43791</v>
      </c>
      <c r="BP70" s="329"/>
      <c r="BQ70" s="329"/>
      <c r="BR70" s="329"/>
      <c r="BS70" s="329"/>
      <c r="BT70" s="329"/>
      <c r="BU70" s="331" t="s">
        <v>261</v>
      </c>
      <c r="BV70" s="329"/>
      <c r="BW70" s="329"/>
      <c r="BX70" s="329"/>
      <c r="BY70" s="331" t="s">
        <v>5908</v>
      </c>
      <c r="BZ70" s="331" t="s">
        <v>5909</v>
      </c>
      <c r="CA70" s="331" t="s">
        <v>2940</v>
      </c>
      <c r="CB70" s="331" t="s">
        <v>307</v>
      </c>
      <c r="CC70" s="331" t="s">
        <v>5910</v>
      </c>
    </row>
    <row r="71" spans="1:81" x14ac:dyDescent="0.25">
      <c r="A71" s="329">
        <v>199330</v>
      </c>
      <c r="B71" s="331" t="s">
        <v>5911</v>
      </c>
      <c r="C71" s="329">
        <v>35603</v>
      </c>
      <c r="D71" s="331" t="s">
        <v>5912</v>
      </c>
      <c r="E71" s="331" t="s">
        <v>515</v>
      </c>
      <c r="F71" s="331" t="s">
        <v>5913</v>
      </c>
      <c r="G71" s="331" t="s">
        <v>5914</v>
      </c>
      <c r="H71" s="331" t="s">
        <v>5915</v>
      </c>
      <c r="I71" s="331" t="s">
        <v>5916</v>
      </c>
      <c r="J71" s="331" t="s">
        <v>484</v>
      </c>
      <c r="K71" s="331" t="s">
        <v>5917</v>
      </c>
      <c r="L71" s="329"/>
      <c r="M71" s="329">
        <v>6</v>
      </c>
      <c r="N71" s="329">
        <v>0</v>
      </c>
      <c r="O71" s="329">
        <v>3.11</v>
      </c>
      <c r="P71" s="329"/>
      <c r="Q71" s="333">
        <v>43774.662499999999</v>
      </c>
      <c r="R71" s="329"/>
      <c r="S71" s="333">
        <v>43790</v>
      </c>
      <c r="T71" s="329">
        <v>55</v>
      </c>
      <c r="U71" s="333">
        <v>43790</v>
      </c>
      <c r="V71" s="333">
        <v>44109</v>
      </c>
      <c r="W71" s="329" t="b">
        <v>1</v>
      </c>
      <c r="X71" s="331" t="s">
        <v>22</v>
      </c>
      <c r="Y71" s="329">
        <v>429</v>
      </c>
      <c r="Z71" s="331" t="s">
        <v>23</v>
      </c>
      <c r="AA71" s="331" t="s">
        <v>919</v>
      </c>
      <c r="AB71" s="331" t="s">
        <v>920</v>
      </c>
      <c r="AC71" s="331" t="s">
        <v>5618</v>
      </c>
      <c r="AD71" s="331" t="s">
        <v>24</v>
      </c>
      <c r="AE71" s="329">
        <v>221</v>
      </c>
      <c r="AF71" s="331" t="s">
        <v>254</v>
      </c>
      <c r="AG71" s="329"/>
      <c r="AH71" s="329">
        <v>17</v>
      </c>
      <c r="AI71" s="331" t="s">
        <v>280</v>
      </c>
      <c r="AJ71" s="331" t="s">
        <v>281</v>
      </c>
      <c r="AK71" s="329"/>
      <c r="AL71" s="329"/>
      <c r="AM71" s="329"/>
      <c r="AN71" s="329"/>
      <c r="AO71" s="329"/>
      <c r="AP71" s="331" t="s">
        <v>489</v>
      </c>
      <c r="AQ71" s="329">
        <v>440</v>
      </c>
      <c r="AR71" s="329">
        <v>550</v>
      </c>
      <c r="AS71" s="329"/>
      <c r="AT71" s="329" t="s">
        <v>365</v>
      </c>
      <c r="AU71" s="329" t="s">
        <v>283</v>
      </c>
      <c r="AV71" s="331" t="s">
        <v>484</v>
      </c>
      <c r="AW71" s="329"/>
      <c r="AX71" s="329"/>
      <c r="AY71" s="329"/>
      <c r="AZ71" s="329"/>
      <c r="BA71" s="329"/>
      <c r="BB71" s="329"/>
      <c r="BC71" s="329"/>
      <c r="BD71" s="329"/>
      <c r="BE71" s="329" t="s">
        <v>257</v>
      </c>
      <c r="BF71" s="329" t="s">
        <v>830</v>
      </c>
      <c r="BG71" s="329"/>
      <c r="BH71" s="329"/>
      <c r="BI71" s="329"/>
      <c r="BJ71" s="329"/>
      <c r="BK71" s="329">
        <v>12000</v>
      </c>
      <c r="BL71" s="329"/>
      <c r="BM71" s="331" t="s">
        <v>26</v>
      </c>
      <c r="BN71" s="329" t="s">
        <v>260</v>
      </c>
      <c r="BO71" s="333">
        <v>43791</v>
      </c>
      <c r="BP71" s="329"/>
      <c r="BQ71" s="329"/>
      <c r="BR71" s="329"/>
      <c r="BS71" s="329"/>
      <c r="BT71" s="329"/>
      <c r="BU71" s="331" t="s">
        <v>261</v>
      </c>
      <c r="BV71" s="329"/>
      <c r="BW71" s="329"/>
      <c r="BX71" s="329"/>
      <c r="BY71" s="331" t="s">
        <v>5918</v>
      </c>
      <c r="BZ71" s="331" t="s">
        <v>5919</v>
      </c>
      <c r="CA71" s="329"/>
      <c r="CB71" s="331" t="s">
        <v>558</v>
      </c>
      <c r="CC71" s="331" t="s">
        <v>304</v>
      </c>
    </row>
    <row r="72" spans="1:81" x14ac:dyDescent="0.25">
      <c r="A72" s="329">
        <v>199211</v>
      </c>
      <c r="B72" s="331" t="s">
        <v>5920</v>
      </c>
      <c r="C72" s="329">
        <v>35485</v>
      </c>
      <c r="D72" s="331" t="s">
        <v>5921</v>
      </c>
      <c r="E72" s="331" t="s">
        <v>5922</v>
      </c>
      <c r="F72" s="331" t="s">
        <v>5923</v>
      </c>
      <c r="G72" s="331" t="s">
        <v>5924</v>
      </c>
      <c r="H72" s="331" t="s">
        <v>5925</v>
      </c>
      <c r="I72" s="331" t="s">
        <v>572</v>
      </c>
      <c r="J72" s="331" t="s">
        <v>263</v>
      </c>
      <c r="K72" s="331" t="s">
        <v>591</v>
      </c>
      <c r="L72" s="329"/>
      <c r="M72" s="329">
        <v>6</v>
      </c>
      <c r="N72" s="329">
        <v>0</v>
      </c>
      <c r="O72" s="329">
        <v>2.931</v>
      </c>
      <c r="P72" s="329"/>
      <c r="Q72" s="333">
        <v>43769.446527777778</v>
      </c>
      <c r="R72" s="329"/>
      <c r="S72" s="333">
        <v>43790</v>
      </c>
      <c r="T72" s="329">
        <v>55</v>
      </c>
      <c r="U72" s="333">
        <v>43790</v>
      </c>
      <c r="V72" s="333">
        <v>44109</v>
      </c>
      <c r="W72" s="329" t="b">
        <v>1</v>
      </c>
      <c r="X72" s="331" t="s">
        <v>22</v>
      </c>
      <c r="Y72" s="329">
        <v>429</v>
      </c>
      <c r="Z72" s="331" t="s">
        <v>25</v>
      </c>
      <c r="AA72" s="331" t="s">
        <v>252</v>
      </c>
      <c r="AB72" s="331" t="s">
        <v>253</v>
      </c>
      <c r="AC72" s="331" t="s">
        <v>5208</v>
      </c>
      <c r="AD72" s="331" t="s">
        <v>24</v>
      </c>
      <c r="AE72" s="329">
        <v>221</v>
      </c>
      <c r="AF72" s="331" t="s">
        <v>254</v>
      </c>
      <c r="AG72" s="329"/>
      <c r="AH72" s="329">
        <v>17</v>
      </c>
      <c r="AI72" s="331" t="s">
        <v>280</v>
      </c>
      <c r="AJ72" s="331" t="s">
        <v>281</v>
      </c>
      <c r="AK72" s="329"/>
      <c r="AL72" s="329"/>
      <c r="AM72" s="329"/>
      <c r="AN72" s="329"/>
      <c r="AO72" s="329"/>
      <c r="AP72" s="331" t="s">
        <v>5926</v>
      </c>
      <c r="AQ72" s="329">
        <v>380</v>
      </c>
      <c r="AR72" s="329">
        <v>460</v>
      </c>
      <c r="AS72" s="329"/>
      <c r="AT72" s="329" t="s">
        <v>845</v>
      </c>
      <c r="AU72" s="329" t="s">
        <v>567</v>
      </c>
      <c r="AV72" s="331" t="s">
        <v>263</v>
      </c>
      <c r="AW72" s="329"/>
      <c r="AX72" s="329"/>
      <c r="AY72" s="329"/>
      <c r="AZ72" s="329"/>
      <c r="BA72" s="329"/>
      <c r="BB72" s="329"/>
      <c r="BC72" s="329"/>
      <c r="BD72" s="329"/>
      <c r="BE72" s="329"/>
      <c r="BF72" s="329"/>
      <c r="BG72" s="329"/>
      <c r="BH72" s="329"/>
      <c r="BI72" s="329"/>
      <c r="BJ72" s="329"/>
      <c r="BK72" s="329">
        <v>0</v>
      </c>
      <c r="BL72" s="329"/>
      <c r="BM72" s="331" t="s">
        <v>267</v>
      </c>
      <c r="BN72" s="329" t="s">
        <v>260</v>
      </c>
      <c r="BO72" s="333">
        <v>43791</v>
      </c>
      <c r="BP72" s="329"/>
      <c r="BQ72" s="329"/>
      <c r="BR72" s="329"/>
      <c r="BS72" s="329"/>
      <c r="BT72" s="329"/>
      <c r="BU72" s="331" t="s">
        <v>261</v>
      </c>
      <c r="BV72" s="329"/>
      <c r="BW72" s="329"/>
      <c r="BX72" s="329"/>
      <c r="BY72" s="331" t="s">
        <v>5927</v>
      </c>
      <c r="BZ72" s="331" t="s">
        <v>5928</v>
      </c>
      <c r="CA72" s="331" t="s">
        <v>5929</v>
      </c>
      <c r="CB72" s="331" t="s">
        <v>263</v>
      </c>
      <c r="CC72" s="331" t="s">
        <v>5930</v>
      </c>
    </row>
    <row r="73" spans="1:81" x14ac:dyDescent="0.25">
      <c r="A73" s="329">
        <v>198106</v>
      </c>
      <c r="B73" s="331" t="s">
        <v>5931</v>
      </c>
      <c r="C73" s="329">
        <v>35095</v>
      </c>
      <c r="D73" s="331" t="s">
        <v>5932</v>
      </c>
      <c r="E73" s="331" t="s">
        <v>317</v>
      </c>
      <c r="F73" s="331" t="s">
        <v>5933</v>
      </c>
      <c r="G73" s="331" t="s">
        <v>5934</v>
      </c>
      <c r="H73" s="331" t="s">
        <v>5935</v>
      </c>
      <c r="I73" s="331" t="s">
        <v>5401</v>
      </c>
      <c r="J73" s="331" t="s">
        <v>298</v>
      </c>
      <c r="K73" s="331" t="s">
        <v>5936</v>
      </c>
      <c r="L73" s="329"/>
      <c r="M73" s="329">
        <v>6</v>
      </c>
      <c r="N73" s="329">
        <v>0</v>
      </c>
      <c r="O73" s="329">
        <v>2.81</v>
      </c>
      <c r="P73" s="329"/>
      <c r="Q73" s="333">
        <v>43717.670138888891</v>
      </c>
      <c r="R73" s="329"/>
      <c r="S73" s="333">
        <v>43790</v>
      </c>
      <c r="T73" s="329">
        <v>55</v>
      </c>
      <c r="U73" s="333">
        <v>43790</v>
      </c>
      <c r="V73" s="333">
        <v>44109</v>
      </c>
      <c r="W73" s="329" t="b">
        <v>1</v>
      </c>
      <c r="X73" s="331" t="s">
        <v>22</v>
      </c>
      <c r="Y73" s="329">
        <v>429</v>
      </c>
      <c r="Z73" s="331" t="s">
        <v>23</v>
      </c>
      <c r="AA73" s="331" t="s">
        <v>919</v>
      </c>
      <c r="AB73" s="331" t="s">
        <v>920</v>
      </c>
      <c r="AC73" s="331" t="s">
        <v>1446</v>
      </c>
      <c r="AD73" s="331" t="s">
        <v>24</v>
      </c>
      <c r="AE73" s="329">
        <v>221</v>
      </c>
      <c r="AF73" s="331" t="s">
        <v>254</v>
      </c>
      <c r="AG73" s="329"/>
      <c r="AH73" s="329">
        <v>17</v>
      </c>
      <c r="AI73" s="331" t="s">
        <v>280</v>
      </c>
      <c r="AJ73" s="331" t="s">
        <v>281</v>
      </c>
      <c r="AK73" s="329"/>
      <c r="AL73" s="329"/>
      <c r="AM73" s="329"/>
      <c r="AN73" s="329"/>
      <c r="AO73" s="329"/>
      <c r="AP73" s="329"/>
      <c r="AQ73" s="329"/>
      <c r="AR73" s="329"/>
      <c r="AS73" s="329"/>
      <c r="AT73" s="329" t="s">
        <v>258</v>
      </c>
      <c r="AU73" s="329" t="s">
        <v>283</v>
      </c>
      <c r="AV73" s="331" t="s">
        <v>298</v>
      </c>
      <c r="AW73" s="329"/>
      <c r="AX73" s="329"/>
      <c r="AY73" s="329"/>
      <c r="AZ73" s="329"/>
      <c r="BA73" s="329"/>
      <c r="BB73" s="329"/>
      <c r="BC73" s="329"/>
      <c r="BD73" s="329"/>
      <c r="BE73" s="329" t="s">
        <v>257</v>
      </c>
      <c r="BF73" s="329" t="s">
        <v>841</v>
      </c>
      <c r="BG73" s="329"/>
      <c r="BH73" s="329"/>
      <c r="BI73" s="329"/>
      <c r="BJ73" s="329"/>
      <c r="BK73" s="329">
        <v>9000</v>
      </c>
      <c r="BL73" s="329"/>
      <c r="BM73" s="331" t="s">
        <v>189</v>
      </c>
      <c r="BN73" s="329" t="s">
        <v>260</v>
      </c>
      <c r="BO73" s="333">
        <v>43791</v>
      </c>
      <c r="BP73" s="329"/>
      <c r="BQ73" s="329"/>
      <c r="BR73" s="329"/>
      <c r="BS73" s="329"/>
      <c r="BT73" s="329"/>
      <c r="BU73" s="331" t="s">
        <v>261</v>
      </c>
      <c r="BV73" s="329"/>
      <c r="BW73" s="329"/>
      <c r="BX73" s="329"/>
      <c r="BY73" s="331" t="s">
        <v>5937</v>
      </c>
      <c r="BZ73" s="331" t="s">
        <v>5938</v>
      </c>
      <c r="CA73" s="331" t="s">
        <v>5939</v>
      </c>
      <c r="CB73" s="331" t="s">
        <v>298</v>
      </c>
      <c r="CC73" s="331" t="s">
        <v>5940</v>
      </c>
    </row>
    <row r="74" spans="1:81" x14ac:dyDescent="0.25">
      <c r="A74" s="329">
        <v>198066</v>
      </c>
      <c r="B74" s="331" t="s">
        <v>5941</v>
      </c>
      <c r="C74" s="329">
        <v>35652</v>
      </c>
      <c r="D74" s="331" t="s">
        <v>5942</v>
      </c>
      <c r="E74" s="331" t="s">
        <v>320</v>
      </c>
      <c r="F74" s="331" t="s">
        <v>5943</v>
      </c>
      <c r="G74" s="331" t="s">
        <v>5944</v>
      </c>
      <c r="H74" s="331" t="s">
        <v>5945</v>
      </c>
      <c r="I74" s="331" t="s">
        <v>5946</v>
      </c>
      <c r="J74" s="331" t="s">
        <v>251</v>
      </c>
      <c r="K74" s="331" t="s">
        <v>5947</v>
      </c>
      <c r="L74" s="329"/>
      <c r="M74" s="329">
        <v>6</v>
      </c>
      <c r="N74" s="329">
        <v>0</v>
      </c>
      <c r="O74" s="329">
        <v>3.7</v>
      </c>
      <c r="P74" s="329"/>
      <c r="Q74" s="333">
        <v>43733.473611111112</v>
      </c>
      <c r="R74" s="329"/>
      <c r="S74" s="333">
        <v>43790</v>
      </c>
      <c r="T74" s="329">
        <v>55</v>
      </c>
      <c r="U74" s="333">
        <v>43790</v>
      </c>
      <c r="V74" s="333">
        <v>44109</v>
      </c>
      <c r="W74" s="329" t="b">
        <v>1</v>
      </c>
      <c r="X74" s="331" t="s">
        <v>905</v>
      </c>
      <c r="Y74" s="329">
        <v>747</v>
      </c>
      <c r="Z74" s="331" t="s">
        <v>23</v>
      </c>
      <c r="AA74" s="331" t="s">
        <v>919</v>
      </c>
      <c r="AB74" s="331" t="s">
        <v>920</v>
      </c>
      <c r="AC74" s="331" t="s">
        <v>346</v>
      </c>
      <c r="AD74" s="331" t="s">
        <v>24</v>
      </c>
      <c r="AE74" s="329">
        <v>221</v>
      </c>
      <c r="AF74" s="331" t="s">
        <v>254</v>
      </c>
      <c r="AG74" s="329"/>
      <c r="AH74" s="329">
        <v>17</v>
      </c>
      <c r="AI74" s="331" t="s">
        <v>280</v>
      </c>
      <c r="AJ74" s="331" t="s">
        <v>281</v>
      </c>
      <c r="AK74" s="331" t="s">
        <v>422</v>
      </c>
      <c r="AL74" s="329"/>
      <c r="AM74" s="329"/>
      <c r="AN74" s="329"/>
      <c r="AO74" s="329"/>
      <c r="AP74" s="331" t="s">
        <v>293</v>
      </c>
      <c r="AQ74" s="329">
        <v>570</v>
      </c>
      <c r="AR74" s="329">
        <v>460</v>
      </c>
      <c r="AS74" s="329"/>
      <c r="AT74" s="329" t="s">
        <v>355</v>
      </c>
      <c r="AU74" s="329" t="s">
        <v>283</v>
      </c>
      <c r="AV74" s="331" t="s">
        <v>251</v>
      </c>
      <c r="AW74" s="329"/>
      <c r="AX74" s="329"/>
      <c r="AY74" s="329"/>
      <c r="AZ74" s="329"/>
      <c r="BA74" s="329"/>
      <c r="BB74" s="329"/>
      <c r="BC74" s="329"/>
      <c r="BD74" s="329"/>
      <c r="BE74" s="329" t="s">
        <v>257</v>
      </c>
      <c r="BF74" s="329" t="s">
        <v>836</v>
      </c>
      <c r="BG74" s="329"/>
      <c r="BH74" s="329"/>
      <c r="BI74" s="329"/>
      <c r="BJ74" s="329"/>
      <c r="BK74" s="329">
        <v>18000</v>
      </c>
      <c r="BL74" s="329"/>
      <c r="BM74" s="331" t="s">
        <v>310</v>
      </c>
      <c r="BN74" s="329" t="s">
        <v>260</v>
      </c>
      <c r="BO74" s="333">
        <v>43791</v>
      </c>
      <c r="BP74" s="329"/>
      <c r="BQ74" s="329"/>
      <c r="BR74" s="329"/>
      <c r="BS74" s="329"/>
      <c r="BT74" s="329"/>
      <c r="BU74" s="331" t="s">
        <v>261</v>
      </c>
      <c r="BV74" s="329"/>
      <c r="BW74" s="329"/>
      <c r="BX74" s="329"/>
      <c r="BY74" s="331" t="s">
        <v>5948</v>
      </c>
      <c r="BZ74" s="331" t="s">
        <v>5949</v>
      </c>
      <c r="CA74" s="331" t="s">
        <v>5946</v>
      </c>
      <c r="CB74" s="331" t="s">
        <v>251</v>
      </c>
      <c r="CC74" s="331" t="s">
        <v>5950</v>
      </c>
    </row>
    <row r="75" spans="1:81" x14ac:dyDescent="0.25">
      <c r="A75" s="329">
        <v>198662</v>
      </c>
      <c r="B75" s="331" t="s">
        <v>5951</v>
      </c>
      <c r="C75" s="329">
        <v>35347</v>
      </c>
      <c r="D75" s="331" t="s">
        <v>540</v>
      </c>
      <c r="E75" s="331" t="s">
        <v>3319</v>
      </c>
      <c r="F75" s="331" t="s">
        <v>5952</v>
      </c>
      <c r="G75" s="331" t="s">
        <v>5953</v>
      </c>
      <c r="H75" s="331" t="s">
        <v>5954</v>
      </c>
      <c r="I75" s="331" t="s">
        <v>429</v>
      </c>
      <c r="J75" s="331" t="s">
        <v>430</v>
      </c>
      <c r="K75" s="331" t="s">
        <v>5955</v>
      </c>
      <c r="L75" s="329"/>
      <c r="M75" s="329">
        <v>6</v>
      </c>
      <c r="N75" s="329">
        <v>0</v>
      </c>
      <c r="O75" s="329">
        <v>3.5419999999999998</v>
      </c>
      <c r="P75" s="329"/>
      <c r="Q75" s="333">
        <v>43750.616666666669</v>
      </c>
      <c r="R75" s="329"/>
      <c r="S75" s="333">
        <v>43790</v>
      </c>
      <c r="T75" s="329">
        <v>55</v>
      </c>
      <c r="U75" s="333">
        <v>43790</v>
      </c>
      <c r="V75" s="333">
        <v>44109</v>
      </c>
      <c r="W75" s="329" t="b">
        <v>1</v>
      </c>
      <c r="X75" s="331" t="s">
        <v>22</v>
      </c>
      <c r="Y75" s="329">
        <v>726</v>
      </c>
      <c r="Z75" s="331" t="s">
        <v>23</v>
      </c>
      <c r="AA75" s="331" t="s">
        <v>919</v>
      </c>
      <c r="AB75" s="331" t="s">
        <v>920</v>
      </c>
      <c r="AC75" s="331" t="s">
        <v>1688</v>
      </c>
      <c r="AD75" s="331" t="s">
        <v>24</v>
      </c>
      <c r="AE75" s="329">
        <v>221</v>
      </c>
      <c r="AF75" s="331" t="s">
        <v>254</v>
      </c>
      <c r="AG75" s="329"/>
      <c r="AH75" s="329">
        <v>17</v>
      </c>
      <c r="AI75" s="331" t="s">
        <v>280</v>
      </c>
      <c r="AJ75" s="331" t="s">
        <v>281</v>
      </c>
      <c r="AK75" s="331" t="s">
        <v>290</v>
      </c>
      <c r="AL75" s="331" t="s">
        <v>301</v>
      </c>
      <c r="AM75" s="331" t="s">
        <v>331</v>
      </c>
      <c r="AN75" s="331" t="s">
        <v>300</v>
      </c>
      <c r="AO75" s="331" t="s">
        <v>275</v>
      </c>
      <c r="AP75" s="329"/>
      <c r="AQ75" s="329"/>
      <c r="AR75" s="329"/>
      <c r="AS75" s="329"/>
      <c r="AT75" s="329" t="s">
        <v>353</v>
      </c>
      <c r="AU75" s="329" t="s">
        <v>283</v>
      </c>
      <c r="AV75" s="331" t="s">
        <v>430</v>
      </c>
      <c r="AW75" s="329"/>
      <c r="AX75" s="329"/>
      <c r="AY75" s="329"/>
      <c r="AZ75" s="329"/>
      <c r="BA75" s="329"/>
      <c r="BB75" s="329"/>
      <c r="BC75" s="329"/>
      <c r="BD75" s="329"/>
      <c r="BE75" s="329" t="s">
        <v>257</v>
      </c>
      <c r="BF75" s="329" t="s">
        <v>836</v>
      </c>
      <c r="BG75" s="329"/>
      <c r="BH75" s="329"/>
      <c r="BI75" s="329"/>
      <c r="BJ75" s="329"/>
      <c r="BK75" s="329">
        <v>18000</v>
      </c>
      <c r="BL75" s="329"/>
      <c r="BM75" s="331" t="s">
        <v>310</v>
      </c>
      <c r="BN75" s="329" t="s">
        <v>260</v>
      </c>
      <c r="BO75" s="333">
        <v>43791</v>
      </c>
      <c r="BP75" s="329"/>
      <c r="BQ75" s="329"/>
      <c r="BR75" s="329"/>
      <c r="BS75" s="329"/>
      <c r="BT75" s="329"/>
      <c r="BU75" s="331" t="s">
        <v>261</v>
      </c>
      <c r="BV75" s="329"/>
      <c r="BW75" s="329"/>
      <c r="BX75" s="329"/>
      <c r="BY75" s="331" t="s">
        <v>5956</v>
      </c>
      <c r="BZ75" s="331" t="s">
        <v>5957</v>
      </c>
      <c r="CA75" s="331" t="s">
        <v>429</v>
      </c>
      <c r="CB75" s="331" t="s">
        <v>430</v>
      </c>
      <c r="CC75" s="331" t="s">
        <v>5958</v>
      </c>
    </row>
    <row r="76" spans="1:81" x14ac:dyDescent="0.25">
      <c r="A76" s="329">
        <v>199501</v>
      </c>
      <c r="B76" s="331" t="s">
        <v>5959</v>
      </c>
      <c r="C76" s="329">
        <v>35584</v>
      </c>
      <c r="D76" s="331" t="s">
        <v>541</v>
      </c>
      <c r="E76" s="331" t="s">
        <v>5960</v>
      </c>
      <c r="F76" s="331" t="s">
        <v>5961</v>
      </c>
      <c r="G76" s="331" t="s">
        <v>5962</v>
      </c>
      <c r="H76" s="331" t="s">
        <v>5963</v>
      </c>
      <c r="I76" s="331" t="s">
        <v>799</v>
      </c>
      <c r="J76" s="331" t="s">
        <v>21</v>
      </c>
      <c r="K76" s="331" t="s">
        <v>5395</v>
      </c>
      <c r="L76" s="329"/>
      <c r="M76" s="329">
        <v>6</v>
      </c>
      <c r="N76" s="329">
        <v>0</v>
      </c>
      <c r="O76" s="329">
        <v>2.0070000000000001</v>
      </c>
      <c r="P76" s="329"/>
      <c r="Q76" s="333">
        <v>43781.638888888891</v>
      </c>
      <c r="R76" s="329"/>
      <c r="S76" s="333">
        <v>43790</v>
      </c>
      <c r="T76" s="329">
        <v>55</v>
      </c>
      <c r="U76" s="333">
        <v>43790</v>
      </c>
      <c r="V76" s="333">
        <v>44109</v>
      </c>
      <c r="W76" s="329" t="b">
        <v>1</v>
      </c>
      <c r="X76" s="331" t="s">
        <v>187</v>
      </c>
      <c r="Y76" s="329">
        <v>718</v>
      </c>
      <c r="Z76" s="331" t="s">
        <v>23</v>
      </c>
      <c r="AA76" s="331" t="s">
        <v>5569</v>
      </c>
      <c r="AB76" s="331" t="s">
        <v>5570</v>
      </c>
      <c r="AC76" s="331" t="s">
        <v>357</v>
      </c>
      <c r="AD76" s="331" t="s">
        <v>24</v>
      </c>
      <c r="AE76" s="329">
        <v>221</v>
      </c>
      <c r="AF76" s="331" t="s">
        <v>254</v>
      </c>
      <c r="AG76" s="329"/>
      <c r="AH76" s="329">
        <v>17</v>
      </c>
      <c r="AI76" s="331" t="s">
        <v>280</v>
      </c>
      <c r="AJ76" s="331" t="s">
        <v>281</v>
      </c>
      <c r="AK76" s="331" t="s">
        <v>301</v>
      </c>
      <c r="AL76" s="331" t="s">
        <v>330</v>
      </c>
      <c r="AM76" s="331" t="s">
        <v>290</v>
      </c>
      <c r="AN76" s="331" t="s">
        <v>274</v>
      </c>
      <c r="AO76" s="331" t="s">
        <v>331</v>
      </c>
      <c r="AP76" s="329"/>
      <c r="AQ76" s="329"/>
      <c r="AR76" s="329"/>
      <c r="AS76" s="329"/>
      <c r="AT76" s="329" t="s">
        <v>5964</v>
      </c>
      <c r="AU76" s="329" t="s">
        <v>963</v>
      </c>
      <c r="AV76" s="331" t="s">
        <v>21</v>
      </c>
      <c r="AW76" s="329"/>
      <c r="AX76" s="329"/>
      <c r="AY76" s="329"/>
      <c r="AZ76" s="329"/>
      <c r="BA76" s="329"/>
      <c r="BB76" s="329"/>
      <c r="BC76" s="329"/>
      <c r="BD76" s="329"/>
      <c r="BE76" s="329"/>
      <c r="BF76" s="329"/>
      <c r="BG76" s="329"/>
      <c r="BH76" s="329"/>
      <c r="BI76" s="329" t="s">
        <v>334</v>
      </c>
      <c r="BJ76" s="329" t="s">
        <v>831</v>
      </c>
      <c r="BK76" s="329">
        <v>36000</v>
      </c>
      <c r="BL76" s="329"/>
      <c r="BM76" s="331" t="s">
        <v>28</v>
      </c>
      <c r="BN76" s="329" t="s">
        <v>260</v>
      </c>
      <c r="BO76" s="333">
        <v>43791</v>
      </c>
      <c r="BP76" s="329"/>
      <c r="BQ76" s="335">
        <v>43790</v>
      </c>
      <c r="BR76" s="329"/>
      <c r="BS76" s="329"/>
      <c r="BT76" s="329"/>
      <c r="BU76" s="331" t="s">
        <v>261</v>
      </c>
      <c r="BV76" s="329"/>
      <c r="BW76" s="329"/>
      <c r="BX76" s="329"/>
      <c r="BY76" s="331" t="s">
        <v>5965</v>
      </c>
      <c r="BZ76" s="331" t="s">
        <v>5966</v>
      </c>
      <c r="CA76" s="331" t="s">
        <v>5967</v>
      </c>
      <c r="CB76" s="331" t="s">
        <v>21</v>
      </c>
      <c r="CC76" s="331" t="s">
        <v>724</v>
      </c>
    </row>
    <row r="77" spans="1:81" x14ac:dyDescent="0.25">
      <c r="A77" s="329">
        <v>193001</v>
      </c>
      <c r="B77" s="331" t="s">
        <v>5968</v>
      </c>
      <c r="C77" s="329">
        <v>35615</v>
      </c>
      <c r="D77" s="331" t="s">
        <v>5969</v>
      </c>
      <c r="E77" s="331" t="s">
        <v>5970</v>
      </c>
      <c r="F77" s="331" t="s">
        <v>5971</v>
      </c>
      <c r="G77" s="331" t="s">
        <v>5972</v>
      </c>
      <c r="H77" s="331" t="s">
        <v>5973</v>
      </c>
      <c r="I77" s="331" t="s">
        <v>5974</v>
      </c>
      <c r="J77" s="331" t="s">
        <v>449</v>
      </c>
      <c r="K77" s="331" t="s">
        <v>5975</v>
      </c>
      <c r="L77" s="329"/>
      <c r="M77" s="329">
        <v>6</v>
      </c>
      <c r="N77" s="329">
        <v>0</v>
      </c>
      <c r="O77" s="329">
        <v>2.3477999999999999</v>
      </c>
      <c r="P77" s="329"/>
      <c r="Q77" s="333">
        <v>43624.625</v>
      </c>
      <c r="R77" s="329"/>
      <c r="S77" s="333">
        <v>43790</v>
      </c>
      <c r="T77" s="329">
        <v>55</v>
      </c>
      <c r="U77" s="333">
        <v>43790</v>
      </c>
      <c r="V77" s="333">
        <v>44109</v>
      </c>
      <c r="W77" s="329" t="b">
        <v>1</v>
      </c>
      <c r="X77" s="331" t="s">
        <v>22</v>
      </c>
      <c r="Y77" s="329">
        <v>726</v>
      </c>
      <c r="Z77" s="331" t="s">
        <v>23</v>
      </c>
      <c r="AA77" s="331" t="s">
        <v>919</v>
      </c>
      <c r="AB77" s="331" t="s">
        <v>920</v>
      </c>
      <c r="AC77" s="331" t="s">
        <v>1011</v>
      </c>
      <c r="AD77" s="331" t="s">
        <v>24</v>
      </c>
      <c r="AE77" s="329">
        <v>221</v>
      </c>
      <c r="AF77" s="331" t="s">
        <v>254</v>
      </c>
      <c r="AG77" s="329"/>
      <c r="AH77" s="329">
        <v>17</v>
      </c>
      <c r="AI77" s="331" t="s">
        <v>280</v>
      </c>
      <c r="AJ77" s="331" t="s">
        <v>281</v>
      </c>
      <c r="AK77" s="331" t="s">
        <v>331</v>
      </c>
      <c r="AL77" s="331" t="s">
        <v>299</v>
      </c>
      <c r="AM77" s="331" t="s">
        <v>386</v>
      </c>
      <c r="AN77" s="331" t="s">
        <v>301</v>
      </c>
      <c r="AO77" s="331" t="s">
        <v>301</v>
      </c>
      <c r="AP77" s="329"/>
      <c r="AQ77" s="329"/>
      <c r="AR77" s="329"/>
      <c r="AS77" s="329"/>
      <c r="AT77" s="329" t="s">
        <v>460</v>
      </c>
      <c r="AU77" s="329" t="s">
        <v>283</v>
      </c>
      <c r="AV77" s="331" t="s">
        <v>449</v>
      </c>
      <c r="AW77" s="329"/>
      <c r="AX77" s="329"/>
      <c r="AY77" s="329"/>
      <c r="AZ77" s="329"/>
      <c r="BA77" s="329"/>
      <c r="BB77" s="329"/>
      <c r="BC77" s="329"/>
      <c r="BD77" s="329"/>
      <c r="BE77" s="329"/>
      <c r="BF77" s="329"/>
      <c r="BG77" s="329"/>
      <c r="BH77" s="329"/>
      <c r="BI77" s="329"/>
      <c r="BJ77" s="329"/>
      <c r="BK77" s="329">
        <v>0</v>
      </c>
      <c r="BL77" s="329"/>
      <c r="BM77" s="331" t="s">
        <v>323</v>
      </c>
      <c r="BN77" s="329" t="s">
        <v>260</v>
      </c>
      <c r="BO77" s="333">
        <v>43791</v>
      </c>
      <c r="BP77" s="329"/>
      <c r="BQ77" s="329"/>
      <c r="BR77" s="329"/>
      <c r="BS77" s="329"/>
      <c r="BT77" s="329"/>
      <c r="BU77" s="331" t="s">
        <v>261</v>
      </c>
      <c r="BV77" s="329"/>
      <c r="BW77" s="329"/>
      <c r="BX77" s="329"/>
      <c r="BY77" s="331" t="s">
        <v>5976</v>
      </c>
      <c r="BZ77" s="331" t="s">
        <v>5977</v>
      </c>
      <c r="CA77" s="331" t="s">
        <v>5974</v>
      </c>
      <c r="CB77" s="331" t="s">
        <v>449</v>
      </c>
      <c r="CC77" s="331" t="s">
        <v>5975</v>
      </c>
    </row>
    <row r="78" spans="1:81" x14ac:dyDescent="0.25">
      <c r="A78" s="329">
        <v>192827</v>
      </c>
      <c r="B78" s="331" t="s">
        <v>5978</v>
      </c>
      <c r="C78" s="329">
        <v>35571</v>
      </c>
      <c r="D78" s="331" t="s">
        <v>5979</v>
      </c>
      <c r="E78" s="331" t="s">
        <v>505</v>
      </c>
      <c r="F78" s="331" t="s">
        <v>5980</v>
      </c>
      <c r="G78" s="331" t="s">
        <v>5981</v>
      </c>
      <c r="H78" s="331" t="s">
        <v>5982</v>
      </c>
      <c r="I78" s="331" t="s">
        <v>3134</v>
      </c>
      <c r="J78" s="331" t="s">
        <v>298</v>
      </c>
      <c r="K78" s="331" t="s">
        <v>3131</v>
      </c>
      <c r="L78" s="329"/>
      <c r="M78" s="329">
        <v>6</v>
      </c>
      <c r="N78" s="329">
        <v>0</v>
      </c>
      <c r="O78" s="329">
        <v>3.254</v>
      </c>
      <c r="P78" s="329"/>
      <c r="Q78" s="333">
        <v>43621.729166666664</v>
      </c>
      <c r="R78" s="329"/>
      <c r="S78" s="333">
        <v>43790</v>
      </c>
      <c r="T78" s="329">
        <v>55</v>
      </c>
      <c r="U78" s="333">
        <v>43790</v>
      </c>
      <c r="V78" s="333">
        <v>44109</v>
      </c>
      <c r="W78" s="329" t="b">
        <v>1</v>
      </c>
      <c r="X78" s="331" t="s">
        <v>22</v>
      </c>
      <c r="Y78" s="329">
        <v>726</v>
      </c>
      <c r="Z78" s="331" t="s">
        <v>23</v>
      </c>
      <c r="AA78" s="331" t="s">
        <v>919</v>
      </c>
      <c r="AB78" s="331" t="s">
        <v>920</v>
      </c>
      <c r="AC78" s="331" t="s">
        <v>1329</v>
      </c>
      <c r="AD78" s="331" t="s">
        <v>24</v>
      </c>
      <c r="AE78" s="329">
        <v>221</v>
      </c>
      <c r="AF78" s="331" t="s">
        <v>254</v>
      </c>
      <c r="AG78" s="329"/>
      <c r="AH78" s="329">
        <v>17</v>
      </c>
      <c r="AI78" s="331" t="s">
        <v>280</v>
      </c>
      <c r="AJ78" s="331" t="s">
        <v>281</v>
      </c>
      <c r="AK78" s="329"/>
      <c r="AL78" s="329"/>
      <c r="AM78" s="329"/>
      <c r="AN78" s="329"/>
      <c r="AO78" s="329"/>
      <c r="AP78" s="331" t="s">
        <v>265</v>
      </c>
      <c r="AQ78" s="329">
        <v>560</v>
      </c>
      <c r="AR78" s="329">
        <v>520</v>
      </c>
      <c r="AS78" s="329"/>
      <c r="AT78" s="329" t="s">
        <v>255</v>
      </c>
      <c r="AU78" s="329" t="s">
        <v>256</v>
      </c>
      <c r="AV78" s="331" t="s">
        <v>298</v>
      </c>
      <c r="AW78" s="329"/>
      <c r="AX78" s="329"/>
      <c r="AY78" s="329"/>
      <c r="AZ78" s="329"/>
      <c r="BA78" s="329"/>
      <c r="BB78" s="329"/>
      <c r="BC78" s="329"/>
      <c r="BD78" s="329"/>
      <c r="BE78" s="329" t="s">
        <v>257</v>
      </c>
      <c r="BF78" s="329" t="s">
        <v>834</v>
      </c>
      <c r="BG78" s="329"/>
      <c r="BH78" s="329"/>
      <c r="BI78" s="329"/>
      <c r="BJ78" s="329"/>
      <c r="BK78" s="329">
        <v>20400</v>
      </c>
      <c r="BL78" s="329"/>
      <c r="BM78" s="331" t="s">
        <v>278</v>
      </c>
      <c r="BN78" s="329" t="s">
        <v>260</v>
      </c>
      <c r="BO78" s="333">
        <v>43791</v>
      </c>
      <c r="BP78" s="329"/>
      <c r="BQ78" s="329"/>
      <c r="BR78" s="329"/>
      <c r="BS78" s="329"/>
      <c r="BT78" s="329"/>
      <c r="BU78" s="331" t="s">
        <v>261</v>
      </c>
      <c r="BV78" s="329"/>
      <c r="BW78" s="329"/>
      <c r="BX78" s="329"/>
      <c r="BY78" s="331" t="s">
        <v>3132</v>
      </c>
      <c r="BZ78" s="331" t="s">
        <v>3133</v>
      </c>
      <c r="CA78" s="331" t="s">
        <v>3134</v>
      </c>
      <c r="CB78" s="331" t="s">
        <v>298</v>
      </c>
      <c r="CC78" s="331" t="s">
        <v>3131</v>
      </c>
    </row>
    <row r="79" spans="1:81" x14ac:dyDescent="0.25">
      <c r="A79" s="329">
        <v>191890</v>
      </c>
      <c r="B79" s="331" t="s">
        <v>5983</v>
      </c>
      <c r="C79" s="329">
        <v>35530</v>
      </c>
      <c r="D79" s="331" t="s">
        <v>5984</v>
      </c>
      <c r="E79" s="331" t="s">
        <v>5985</v>
      </c>
      <c r="F79" s="331" t="s">
        <v>5986</v>
      </c>
      <c r="G79" s="331" t="s">
        <v>5987</v>
      </c>
      <c r="H79" s="331" t="s">
        <v>5988</v>
      </c>
      <c r="I79" s="331" t="s">
        <v>1968</v>
      </c>
      <c r="J79" s="331" t="s">
        <v>297</v>
      </c>
      <c r="K79" s="331" t="s">
        <v>5989</v>
      </c>
      <c r="L79" s="329"/>
      <c r="M79" s="329">
        <v>6</v>
      </c>
      <c r="N79" s="329">
        <v>0</v>
      </c>
      <c r="O79" s="329">
        <v>3.88</v>
      </c>
      <c r="P79" s="329"/>
      <c r="Q79" s="333">
        <v>43585.729166666664</v>
      </c>
      <c r="R79" s="329"/>
      <c r="S79" s="333">
        <v>43790</v>
      </c>
      <c r="T79" s="329">
        <v>55</v>
      </c>
      <c r="U79" s="333">
        <v>43790</v>
      </c>
      <c r="V79" s="333">
        <v>44109</v>
      </c>
      <c r="W79" s="329" t="b">
        <v>1</v>
      </c>
      <c r="X79" s="331" t="s">
        <v>22</v>
      </c>
      <c r="Y79" s="329">
        <v>429</v>
      </c>
      <c r="Z79" s="331" t="s">
        <v>25</v>
      </c>
      <c r="AA79" s="331" t="s">
        <v>919</v>
      </c>
      <c r="AB79" s="331" t="s">
        <v>920</v>
      </c>
      <c r="AC79" s="331" t="s">
        <v>1218</v>
      </c>
      <c r="AD79" s="331" t="s">
        <v>24</v>
      </c>
      <c r="AE79" s="329">
        <v>221</v>
      </c>
      <c r="AF79" s="331" t="s">
        <v>254</v>
      </c>
      <c r="AG79" s="329"/>
      <c r="AH79" s="329">
        <v>17</v>
      </c>
      <c r="AI79" s="331" t="s">
        <v>280</v>
      </c>
      <c r="AJ79" s="331" t="s">
        <v>281</v>
      </c>
      <c r="AK79" s="329"/>
      <c r="AL79" s="329"/>
      <c r="AM79" s="329"/>
      <c r="AN79" s="329"/>
      <c r="AO79" s="329"/>
      <c r="AP79" s="329"/>
      <c r="AQ79" s="329"/>
      <c r="AR79" s="329"/>
      <c r="AS79" s="329"/>
      <c r="AT79" s="329" t="s">
        <v>258</v>
      </c>
      <c r="AU79" s="329" t="s">
        <v>256</v>
      </c>
      <c r="AV79" s="331" t="s">
        <v>297</v>
      </c>
      <c r="AW79" s="329"/>
      <c r="AX79" s="329"/>
      <c r="AY79" s="329"/>
      <c r="AZ79" s="329"/>
      <c r="BA79" s="329"/>
      <c r="BB79" s="329"/>
      <c r="BC79" s="329"/>
      <c r="BD79" s="329"/>
      <c r="BE79" s="329" t="s">
        <v>257</v>
      </c>
      <c r="BF79" s="329" t="s">
        <v>836</v>
      </c>
      <c r="BG79" s="329"/>
      <c r="BH79" s="329"/>
      <c r="BI79" s="329"/>
      <c r="BJ79" s="329"/>
      <c r="BK79" s="329">
        <v>18000</v>
      </c>
      <c r="BL79" s="329"/>
      <c r="BM79" s="331" t="s">
        <v>310</v>
      </c>
      <c r="BN79" s="329" t="s">
        <v>260</v>
      </c>
      <c r="BO79" s="333">
        <v>43791</v>
      </c>
      <c r="BP79" s="329"/>
      <c r="BQ79" s="329"/>
      <c r="BR79" s="329"/>
      <c r="BS79" s="329"/>
      <c r="BT79" s="329"/>
      <c r="BU79" s="331" t="s">
        <v>261</v>
      </c>
      <c r="BV79" s="329"/>
      <c r="BW79" s="329"/>
      <c r="BX79" s="329"/>
      <c r="BY79" s="331" t="s">
        <v>3279</v>
      </c>
      <c r="BZ79" s="331" t="s">
        <v>3280</v>
      </c>
      <c r="CA79" s="331" t="s">
        <v>1968</v>
      </c>
      <c r="CB79" s="331" t="s">
        <v>297</v>
      </c>
      <c r="CC79" s="331" t="s">
        <v>3281</v>
      </c>
    </row>
    <row r="80" spans="1:81" x14ac:dyDescent="0.25">
      <c r="A80" s="329">
        <v>192847</v>
      </c>
      <c r="B80" s="331" t="s">
        <v>5990</v>
      </c>
      <c r="C80" s="329">
        <v>33704</v>
      </c>
      <c r="D80" s="331" t="s">
        <v>5991</v>
      </c>
      <c r="E80" s="331" t="s">
        <v>2009</v>
      </c>
      <c r="F80" s="331" t="s">
        <v>5992</v>
      </c>
      <c r="G80" s="331" t="s">
        <v>5993</v>
      </c>
      <c r="H80" s="331" t="s">
        <v>5994</v>
      </c>
      <c r="I80" s="331" t="s">
        <v>5995</v>
      </c>
      <c r="J80" s="331" t="s">
        <v>344</v>
      </c>
      <c r="K80" s="331" t="s">
        <v>5996</v>
      </c>
      <c r="L80" s="329"/>
      <c r="M80" s="329">
        <v>6</v>
      </c>
      <c r="N80" s="329">
        <v>0</v>
      </c>
      <c r="O80" s="329">
        <v>3</v>
      </c>
      <c r="P80" s="329"/>
      <c r="Q80" s="333">
        <v>43622.534733796296</v>
      </c>
      <c r="R80" s="329"/>
      <c r="S80" s="333">
        <v>43790</v>
      </c>
      <c r="T80" s="329">
        <v>55</v>
      </c>
      <c r="U80" s="333">
        <v>43790</v>
      </c>
      <c r="V80" s="333">
        <v>44109</v>
      </c>
      <c r="W80" s="329" t="b">
        <v>1</v>
      </c>
      <c r="X80" s="331" t="s">
        <v>905</v>
      </c>
      <c r="Y80" s="329">
        <v>747</v>
      </c>
      <c r="Z80" s="331" t="s">
        <v>23</v>
      </c>
      <c r="AA80" s="331" t="s">
        <v>919</v>
      </c>
      <c r="AB80" s="331" t="s">
        <v>920</v>
      </c>
      <c r="AC80" s="331" t="s">
        <v>1670</v>
      </c>
      <c r="AD80" s="331" t="s">
        <v>24</v>
      </c>
      <c r="AE80" s="329">
        <v>221</v>
      </c>
      <c r="AF80" s="331" t="s">
        <v>254</v>
      </c>
      <c r="AG80" s="329"/>
      <c r="AH80" s="329">
        <v>17</v>
      </c>
      <c r="AI80" s="331" t="s">
        <v>280</v>
      </c>
      <c r="AJ80" s="331" t="s">
        <v>281</v>
      </c>
      <c r="AK80" s="329"/>
      <c r="AL80" s="329"/>
      <c r="AM80" s="329"/>
      <c r="AN80" s="329"/>
      <c r="AO80" s="329"/>
      <c r="AP80" s="329"/>
      <c r="AQ80" s="329"/>
      <c r="AR80" s="329"/>
      <c r="AS80" s="329"/>
      <c r="AT80" s="329" t="s">
        <v>258</v>
      </c>
      <c r="AU80" s="329" t="s">
        <v>283</v>
      </c>
      <c r="AV80" s="331" t="s">
        <v>344</v>
      </c>
      <c r="AW80" s="329"/>
      <c r="AX80" s="329"/>
      <c r="AY80" s="329"/>
      <c r="AZ80" s="329"/>
      <c r="BA80" s="329"/>
      <c r="BB80" s="329"/>
      <c r="BC80" s="329"/>
      <c r="BD80" s="329"/>
      <c r="BE80" s="329"/>
      <c r="BF80" s="329"/>
      <c r="BG80" s="329"/>
      <c r="BH80" s="329"/>
      <c r="BI80" s="329"/>
      <c r="BJ80" s="329"/>
      <c r="BK80" s="329">
        <v>0</v>
      </c>
      <c r="BL80" s="329"/>
      <c r="BM80" s="331" t="s">
        <v>27</v>
      </c>
      <c r="BN80" s="329" t="s">
        <v>260</v>
      </c>
      <c r="BO80" s="333">
        <v>43791</v>
      </c>
      <c r="BP80" s="329"/>
      <c r="BQ80" s="329"/>
      <c r="BR80" s="329"/>
      <c r="BS80" s="329"/>
      <c r="BT80" s="329"/>
      <c r="BU80" s="331" t="s">
        <v>261</v>
      </c>
      <c r="BV80" s="329"/>
      <c r="BW80" s="329"/>
      <c r="BX80" s="329"/>
      <c r="BY80" s="331" t="s">
        <v>5997</v>
      </c>
      <c r="BZ80" s="331" t="s">
        <v>5998</v>
      </c>
      <c r="CA80" s="331" t="s">
        <v>5999</v>
      </c>
      <c r="CB80" s="331" t="s">
        <v>344</v>
      </c>
      <c r="CC80" s="331" t="s">
        <v>6000</v>
      </c>
    </row>
    <row r="81" spans="1:81" x14ac:dyDescent="0.25">
      <c r="A81" s="329">
        <v>199075</v>
      </c>
      <c r="B81" s="331" t="s">
        <v>6001</v>
      </c>
      <c r="C81" s="329">
        <v>35510</v>
      </c>
      <c r="D81" s="331" t="s">
        <v>6002</v>
      </c>
      <c r="E81" s="331" t="s">
        <v>1235</v>
      </c>
      <c r="F81" s="331" t="s">
        <v>6003</v>
      </c>
      <c r="G81" s="331" t="s">
        <v>6004</v>
      </c>
      <c r="H81" s="331" t="s">
        <v>6005</v>
      </c>
      <c r="I81" s="331" t="s">
        <v>6006</v>
      </c>
      <c r="J81" s="331" t="s">
        <v>344</v>
      </c>
      <c r="K81" s="331" t="s">
        <v>6007</v>
      </c>
      <c r="L81" s="329"/>
      <c r="M81" s="329">
        <v>6</v>
      </c>
      <c r="N81" s="329">
        <v>0</v>
      </c>
      <c r="O81" s="329">
        <v>3.6640000000000001</v>
      </c>
      <c r="P81" s="329"/>
      <c r="Q81" s="333">
        <v>43763.886805555558</v>
      </c>
      <c r="R81" s="329"/>
      <c r="S81" s="333">
        <v>43790</v>
      </c>
      <c r="T81" s="329">
        <v>55</v>
      </c>
      <c r="U81" s="333">
        <v>43790</v>
      </c>
      <c r="V81" s="333">
        <v>44109</v>
      </c>
      <c r="W81" s="329" t="b">
        <v>1</v>
      </c>
      <c r="X81" s="331" t="s">
        <v>187</v>
      </c>
      <c r="Y81" s="329">
        <v>718</v>
      </c>
      <c r="Z81" s="331" t="s">
        <v>23</v>
      </c>
      <c r="AA81" s="331" t="s">
        <v>919</v>
      </c>
      <c r="AB81" s="331" t="s">
        <v>920</v>
      </c>
      <c r="AC81" s="331" t="s">
        <v>311</v>
      </c>
      <c r="AD81" s="331" t="s">
        <v>24</v>
      </c>
      <c r="AE81" s="329">
        <v>221</v>
      </c>
      <c r="AF81" s="331" t="s">
        <v>254</v>
      </c>
      <c r="AG81" s="329"/>
      <c r="AH81" s="329">
        <v>17</v>
      </c>
      <c r="AI81" s="331" t="s">
        <v>280</v>
      </c>
      <c r="AJ81" s="331" t="s">
        <v>281</v>
      </c>
      <c r="AK81" s="331" t="s">
        <v>290</v>
      </c>
      <c r="AL81" s="331" t="s">
        <v>301</v>
      </c>
      <c r="AM81" s="331" t="s">
        <v>290</v>
      </c>
      <c r="AN81" s="331" t="s">
        <v>289</v>
      </c>
      <c r="AO81" s="331" t="s">
        <v>331</v>
      </c>
      <c r="AP81" s="329"/>
      <c r="AQ81" s="329"/>
      <c r="AR81" s="329"/>
      <c r="AS81" s="329"/>
      <c r="AT81" s="329" t="s">
        <v>338</v>
      </c>
      <c r="AU81" s="329" t="s">
        <v>963</v>
      </c>
      <c r="AV81" s="331" t="s">
        <v>344</v>
      </c>
      <c r="AW81" s="329"/>
      <c r="AX81" s="329"/>
      <c r="AY81" s="329"/>
      <c r="AZ81" s="329"/>
      <c r="BA81" s="329"/>
      <c r="BB81" s="329"/>
      <c r="BC81" s="329"/>
      <c r="BD81" s="329"/>
      <c r="BE81" s="329" t="s">
        <v>257</v>
      </c>
      <c r="BF81" s="329" t="s">
        <v>838</v>
      </c>
      <c r="BG81" s="329"/>
      <c r="BH81" s="329"/>
      <c r="BI81" s="329"/>
      <c r="BJ81" s="329"/>
      <c r="BK81" s="329">
        <v>15600</v>
      </c>
      <c r="BL81" s="329"/>
      <c r="BM81" s="331" t="s">
        <v>259</v>
      </c>
      <c r="BN81" s="329" t="s">
        <v>260</v>
      </c>
      <c r="BO81" s="333">
        <v>43791</v>
      </c>
      <c r="BP81" s="329"/>
      <c r="BQ81" s="329"/>
      <c r="BR81" s="329"/>
      <c r="BS81" s="329"/>
      <c r="BT81" s="329"/>
      <c r="BU81" s="331" t="s">
        <v>261</v>
      </c>
      <c r="BV81" s="329"/>
      <c r="BW81" s="329"/>
      <c r="BX81" s="329"/>
      <c r="BY81" s="331" t="s">
        <v>6008</v>
      </c>
      <c r="BZ81" s="331" t="s">
        <v>6009</v>
      </c>
      <c r="CA81" s="331" t="s">
        <v>6010</v>
      </c>
      <c r="CB81" s="331" t="s">
        <v>344</v>
      </c>
      <c r="CC81" s="331" t="s">
        <v>6007</v>
      </c>
    </row>
    <row r="82" spans="1:81" x14ac:dyDescent="0.25">
      <c r="A82" s="329">
        <v>196057</v>
      </c>
      <c r="B82" s="331" t="s">
        <v>6011</v>
      </c>
      <c r="C82" s="329">
        <v>34481</v>
      </c>
      <c r="D82" s="331" t="s">
        <v>827</v>
      </c>
      <c r="E82" s="331" t="s">
        <v>6012</v>
      </c>
      <c r="F82" s="331" t="s">
        <v>6013</v>
      </c>
      <c r="G82" s="331" t="s">
        <v>6014</v>
      </c>
      <c r="H82" s="331" t="s">
        <v>6015</v>
      </c>
      <c r="I82" s="331" t="s">
        <v>6016</v>
      </c>
      <c r="J82" s="331" t="s">
        <v>321</v>
      </c>
      <c r="K82" s="331" t="s">
        <v>6017</v>
      </c>
      <c r="L82" s="329"/>
      <c r="M82" s="329">
        <v>6</v>
      </c>
      <c r="N82" s="329">
        <v>0</v>
      </c>
      <c r="O82" s="329">
        <v>3.2618999999999998</v>
      </c>
      <c r="P82" s="329"/>
      <c r="Q82" s="333">
        <v>43685.354166666664</v>
      </c>
      <c r="R82" s="329"/>
      <c r="S82" s="333">
        <v>43791</v>
      </c>
      <c r="T82" s="329">
        <v>55</v>
      </c>
      <c r="U82" s="333">
        <v>43791</v>
      </c>
      <c r="V82" s="333">
        <v>44109</v>
      </c>
      <c r="W82" s="329" t="b">
        <v>1</v>
      </c>
      <c r="X82" s="331" t="s">
        <v>187</v>
      </c>
      <c r="Y82" s="329">
        <v>718</v>
      </c>
      <c r="Z82" s="331" t="s">
        <v>336</v>
      </c>
      <c r="AA82" s="331" t="s">
        <v>919</v>
      </c>
      <c r="AB82" s="331" t="s">
        <v>920</v>
      </c>
      <c r="AC82" s="331" t="s">
        <v>1011</v>
      </c>
      <c r="AD82" s="331" t="s">
        <v>24</v>
      </c>
      <c r="AE82" s="329">
        <v>221</v>
      </c>
      <c r="AF82" s="331" t="s">
        <v>254</v>
      </c>
      <c r="AG82" s="329"/>
      <c r="AH82" s="329">
        <v>17</v>
      </c>
      <c r="AI82" s="331" t="s">
        <v>280</v>
      </c>
      <c r="AJ82" s="331" t="s">
        <v>281</v>
      </c>
      <c r="AK82" s="331" t="s">
        <v>386</v>
      </c>
      <c r="AL82" s="331" t="s">
        <v>416</v>
      </c>
      <c r="AM82" s="331" t="s">
        <v>386</v>
      </c>
      <c r="AN82" s="331" t="s">
        <v>329</v>
      </c>
      <c r="AO82" s="331" t="s">
        <v>328</v>
      </c>
      <c r="AP82" s="329"/>
      <c r="AQ82" s="329"/>
      <c r="AR82" s="329"/>
      <c r="AS82" s="329"/>
      <c r="AT82" s="329" t="s">
        <v>315</v>
      </c>
      <c r="AU82" s="329" t="s">
        <v>283</v>
      </c>
      <c r="AV82" s="331" t="s">
        <v>321</v>
      </c>
      <c r="AW82" s="329"/>
      <c r="AX82" s="329"/>
      <c r="AY82" s="329"/>
      <c r="AZ82" s="329"/>
      <c r="BA82" s="329"/>
      <c r="BB82" s="329"/>
      <c r="BC82" s="329"/>
      <c r="BD82" s="329"/>
      <c r="BE82" s="329" t="s">
        <v>257</v>
      </c>
      <c r="BF82" s="329" t="s">
        <v>830</v>
      </c>
      <c r="BG82" s="329"/>
      <c r="BH82" s="329"/>
      <c r="BI82" s="329"/>
      <c r="BJ82" s="329"/>
      <c r="BK82" s="329">
        <v>12000</v>
      </c>
      <c r="BL82" s="329"/>
      <c r="BM82" s="331" t="s">
        <v>26</v>
      </c>
      <c r="BN82" s="329" t="s">
        <v>260</v>
      </c>
      <c r="BO82" s="333">
        <v>43791</v>
      </c>
      <c r="BP82" s="329"/>
      <c r="BQ82" s="329"/>
      <c r="BR82" s="329"/>
      <c r="BS82" s="329"/>
      <c r="BT82" s="329"/>
      <c r="BU82" s="331" t="s">
        <v>261</v>
      </c>
      <c r="BV82" s="329"/>
      <c r="BW82" s="329"/>
      <c r="BX82" s="329"/>
      <c r="BY82" s="331" t="s">
        <v>6018</v>
      </c>
      <c r="BZ82" s="331" t="s">
        <v>6019</v>
      </c>
      <c r="CA82" s="331" t="s">
        <v>6016</v>
      </c>
      <c r="CB82" s="331" t="s">
        <v>321</v>
      </c>
      <c r="CC82" s="331" t="s">
        <v>6020</v>
      </c>
    </row>
    <row r="83" spans="1:81" x14ac:dyDescent="0.25">
      <c r="A83" s="329">
        <v>199367</v>
      </c>
      <c r="B83" s="331" t="s">
        <v>6021</v>
      </c>
      <c r="C83" s="329">
        <v>35536</v>
      </c>
      <c r="D83" s="331" t="s">
        <v>6022</v>
      </c>
      <c r="E83" s="331" t="s">
        <v>6023</v>
      </c>
      <c r="F83" s="331" t="s">
        <v>6024</v>
      </c>
      <c r="G83" s="331" t="s">
        <v>6025</v>
      </c>
      <c r="H83" s="331" t="s">
        <v>6026</v>
      </c>
      <c r="I83" s="331" t="s">
        <v>6027</v>
      </c>
      <c r="J83" s="331" t="s">
        <v>480</v>
      </c>
      <c r="K83" s="331" t="s">
        <v>6028</v>
      </c>
      <c r="L83" s="329"/>
      <c r="M83" s="329">
        <v>6</v>
      </c>
      <c r="N83" s="329">
        <v>0</v>
      </c>
      <c r="O83" s="329">
        <v>2.92</v>
      </c>
      <c r="P83" s="329"/>
      <c r="Q83" s="333">
        <v>43775.426412037035</v>
      </c>
      <c r="R83" s="329"/>
      <c r="S83" s="333">
        <v>43790</v>
      </c>
      <c r="T83" s="329">
        <v>55</v>
      </c>
      <c r="U83" s="333">
        <v>43790</v>
      </c>
      <c r="V83" s="333">
        <v>44109</v>
      </c>
      <c r="W83" s="329" t="b">
        <v>1</v>
      </c>
      <c r="X83" s="331" t="s">
        <v>905</v>
      </c>
      <c r="Y83" s="329">
        <v>747</v>
      </c>
      <c r="Z83" s="331" t="s">
        <v>25</v>
      </c>
      <c r="AA83" s="331" t="s">
        <v>919</v>
      </c>
      <c r="AB83" s="331" t="s">
        <v>920</v>
      </c>
      <c r="AC83" s="331" t="s">
        <v>1750</v>
      </c>
      <c r="AD83" s="331" t="s">
        <v>24</v>
      </c>
      <c r="AE83" s="329">
        <v>221</v>
      </c>
      <c r="AF83" s="331" t="s">
        <v>254</v>
      </c>
      <c r="AG83" s="329"/>
      <c r="AH83" s="329">
        <v>17</v>
      </c>
      <c r="AI83" s="331" t="s">
        <v>280</v>
      </c>
      <c r="AJ83" s="331" t="s">
        <v>281</v>
      </c>
      <c r="AK83" s="329"/>
      <c r="AL83" s="329"/>
      <c r="AM83" s="329"/>
      <c r="AN83" s="329"/>
      <c r="AO83" s="329"/>
      <c r="AP83" s="329"/>
      <c r="AQ83" s="329"/>
      <c r="AR83" s="329"/>
      <c r="AS83" s="329"/>
      <c r="AT83" s="329" t="s">
        <v>258</v>
      </c>
      <c r="AU83" s="329" t="s">
        <v>283</v>
      </c>
      <c r="AV83" s="331" t="s">
        <v>480</v>
      </c>
      <c r="AW83" s="329"/>
      <c r="AX83" s="329"/>
      <c r="AY83" s="329"/>
      <c r="AZ83" s="329"/>
      <c r="BA83" s="329"/>
      <c r="BB83" s="329"/>
      <c r="BC83" s="329"/>
      <c r="BD83" s="329"/>
      <c r="BE83" s="329" t="s">
        <v>257</v>
      </c>
      <c r="BF83" s="329" t="s">
        <v>841</v>
      </c>
      <c r="BG83" s="329"/>
      <c r="BH83" s="329"/>
      <c r="BI83" s="329"/>
      <c r="BJ83" s="329"/>
      <c r="BK83" s="329">
        <v>9000</v>
      </c>
      <c r="BL83" s="329"/>
      <c r="BM83" s="331" t="s">
        <v>189</v>
      </c>
      <c r="BN83" s="329" t="s">
        <v>260</v>
      </c>
      <c r="BO83" s="333">
        <v>43791</v>
      </c>
      <c r="BP83" s="329"/>
      <c r="BQ83" s="329"/>
      <c r="BR83" s="329"/>
      <c r="BS83" s="329"/>
      <c r="BT83" s="329"/>
      <c r="BU83" s="331" t="s">
        <v>261</v>
      </c>
      <c r="BV83" s="329"/>
      <c r="BW83" s="329"/>
      <c r="BX83" s="329"/>
      <c r="BY83" s="331" t="s">
        <v>6029</v>
      </c>
      <c r="BZ83" s="331" t="s">
        <v>6030</v>
      </c>
      <c r="CA83" s="331" t="s">
        <v>4943</v>
      </c>
      <c r="CB83" s="331" t="s">
        <v>480</v>
      </c>
      <c r="CC83" s="331" t="s">
        <v>6028</v>
      </c>
    </row>
    <row r="84" spans="1:81" x14ac:dyDescent="0.25">
      <c r="A84" s="329">
        <v>169771</v>
      </c>
      <c r="B84" s="331" t="s">
        <v>6031</v>
      </c>
      <c r="C84" s="329">
        <v>26529</v>
      </c>
      <c r="D84" s="331" t="s">
        <v>6032</v>
      </c>
      <c r="E84" s="331" t="s">
        <v>2689</v>
      </c>
      <c r="F84" s="331" t="s">
        <v>6033</v>
      </c>
      <c r="G84" s="331" t="s">
        <v>6034</v>
      </c>
      <c r="H84" s="331" t="s">
        <v>6035</v>
      </c>
      <c r="I84" s="331" t="s">
        <v>6036</v>
      </c>
      <c r="J84" s="331" t="s">
        <v>21</v>
      </c>
      <c r="K84" s="331" t="s">
        <v>6037</v>
      </c>
      <c r="L84" s="329"/>
      <c r="M84" s="329">
        <v>6</v>
      </c>
      <c r="N84" s="329">
        <v>0</v>
      </c>
      <c r="O84" s="329">
        <v>2.41</v>
      </c>
      <c r="P84" s="329"/>
      <c r="Q84" s="333">
        <v>43587.729166666664</v>
      </c>
      <c r="R84" s="329"/>
      <c r="S84" s="333">
        <v>43790</v>
      </c>
      <c r="T84" s="329">
        <v>55</v>
      </c>
      <c r="U84" s="333">
        <v>43790</v>
      </c>
      <c r="V84" s="333">
        <v>44109</v>
      </c>
      <c r="W84" s="329" t="b">
        <v>1</v>
      </c>
      <c r="X84" s="331" t="s">
        <v>187</v>
      </c>
      <c r="Y84" s="329">
        <v>718</v>
      </c>
      <c r="Z84" s="331" t="s">
        <v>23</v>
      </c>
      <c r="AA84" s="331" t="s">
        <v>919</v>
      </c>
      <c r="AB84" s="331" t="s">
        <v>920</v>
      </c>
      <c r="AC84" s="331" t="s">
        <v>6038</v>
      </c>
      <c r="AD84" s="331" t="s">
        <v>592</v>
      </c>
      <c r="AE84" s="329">
        <v>222</v>
      </c>
      <c r="AF84" s="331" t="s">
        <v>254</v>
      </c>
      <c r="AG84" s="329"/>
      <c r="AH84" s="329">
        <v>17</v>
      </c>
      <c r="AI84" s="331" t="s">
        <v>280</v>
      </c>
      <c r="AJ84" s="331" t="s">
        <v>281</v>
      </c>
      <c r="AK84" s="331" t="s">
        <v>300</v>
      </c>
      <c r="AL84" s="331" t="s">
        <v>299</v>
      </c>
      <c r="AM84" s="331" t="s">
        <v>301</v>
      </c>
      <c r="AN84" s="331" t="s">
        <v>347</v>
      </c>
      <c r="AO84" s="331" t="s">
        <v>300</v>
      </c>
      <c r="AP84" s="329"/>
      <c r="AQ84" s="329"/>
      <c r="AR84" s="329"/>
      <c r="AS84" s="329"/>
      <c r="AT84" s="329" t="s">
        <v>382</v>
      </c>
      <c r="AU84" s="329" t="s">
        <v>283</v>
      </c>
      <c r="AV84" s="331" t="s">
        <v>21</v>
      </c>
      <c r="AW84" s="329"/>
      <c r="AX84" s="329"/>
      <c r="AY84" s="329"/>
      <c r="AZ84" s="329"/>
      <c r="BA84" s="329"/>
      <c r="BB84" s="329"/>
      <c r="BC84" s="329"/>
      <c r="BD84" s="329"/>
      <c r="BE84" s="329"/>
      <c r="BF84" s="329"/>
      <c r="BG84" s="329"/>
      <c r="BH84" s="329"/>
      <c r="BI84" s="329" t="s">
        <v>334</v>
      </c>
      <c r="BJ84" s="329" t="s">
        <v>831</v>
      </c>
      <c r="BK84" s="329">
        <v>36000</v>
      </c>
      <c r="BL84" s="329"/>
      <c r="BM84" s="331" t="s">
        <v>27</v>
      </c>
      <c r="BN84" s="329" t="s">
        <v>260</v>
      </c>
      <c r="BO84" s="333">
        <v>43791</v>
      </c>
      <c r="BP84" s="329"/>
      <c r="BQ84" s="329"/>
      <c r="BR84" s="329"/>
      <c r="BS84" s="329"/>
      <c r="BT84" s="329"/>
      <c r="BU84" s="331" t="s">
        <v>261</v>
      </c>
      <c r="BV84" s="329"/>
      <c r="BW84" s="329"/>
      <c r="BX84" s="329"/>
      <c r="BY84" s="331" t="s">
        <v>6039</v>
      </c>
      <c r="BZ84" s="331" t="s">
        <v>6040</v>
      </c>
      <c r="CA84" s="331" t="s">
        <v>5651</v>
      </c>
      <c r="CB84" s="331" t="s">
        <v>21</v>
      </c>
      <c r="CC84" s="331" t="s">
        <v>5652</v>
      </c>
    </row>
    <row r="85" spans="1:81" x14ac:dyDescent="0.25">
      <c r="A85" s="329">
        <v>199274</v>
      </c>
      <c r="B85" s="331" t="s">
        <v>5366</v>
      </c>
      <c r="C85" s="329">
        <v>35514</v>
      </c>
      <c r="D85" s="331" t="s">
        <v>5367</v>
      </c>
      <c r="E85" s="331" t="s">
        <v>4550</v>
      </c>
      <c r="F85" s="331" t="s">
        <v>5368</v>
      </c>
      <c r="G85" s="331" t="s">
        <v>5369</v>
      </c>
      <c r="H85" s="331" t="s">
        <v>5370</v>
      </c>
      <c r="I85" s="331" t="s">
        <v>5371</v>
      </c>
      <c r="J85" s="331" t="s">
        <v>21</v>
      </c>
      <c r="K85" s="331" t="s">
        <v>4298</v>
      </c>
      <c r="L85" s="329"/>
      <c r="M85" s="329">
        <v>6</v>
      </c>
      <c r="N85" s="329">
        <v>0</v>
      </c>
      <c r="O85" s="329">
        <v>3.0910000000000002</v>
      </c>
      <c r="P85" s="329"/>
      <c r="Q85" s="333">
        <v>43773.474282407406</v>
      </c>
      <c r="R85" s="329"/>
      <c r="S85" s="333">
        <v>43783</v>
      </c>
      <c r="T85" s="329">
        <v>55</v>
      </c>
      <c r="U85" s="333">
        <v>43783</v>
      </c>
      <c r="V85" s="333">
        <v>44109</v>
      </c>
      <c r="W85" s="329" t="b">
        <v>1</v>
      </c>
      <c r="X85" s="331" t="s">
        <v>906</v>
      </c>
      <c r="Y85" s="329">
        <v>748</v>
      </c>
      <c r="Z85" s="331" t="s">
        <v>23</v>
      </c>
      <c r="AA85" s="331" t="s">
        <v>919</v>
      </c>
      <c r="AB85" s="331" t="s">
        <v>920</v>
      </c>
      <c r="AC85" s="331" t="s">
        <v>720</v>
      </c>
      <c r="AD85" s="331" t="s">
        <v>24</v>
      </c>
      <c r="AE85" s="329">
        <v>221</v>
      </c>
      <c r="AF85" s="331" t="s">
        <v>254</v>
      </c>
      <c r="AG85" s="329"/>
      <c r="AH85" s="329">
        <v>17</v>
      </c>
      <c r="AI85" s="331" t="s">
        <v>280</v>
      </c>
      <c r="AJ85" s="331" t="s">
        <v>281</v>
      </c>
      <c r="AK85" s="331" t="s">
        <v>275</v>
      </c>
      <c r="AL85" s="331" t="s">
        <v>290</v>
      </c>
      <c r="AM85" s="331" t="s">
        <v>300</v>
      </c>
      <c r="AN85" s="331" t="s">
        <v>347</v>
      </c>
      <c r="AO85" s="331" t="s">
        <v>300</v>
      </c>
      <c r="AP85" s="329"/>
      <c r="AQ85" s="329"/>
      <c r="AR85" s="329"/>
      <c r="AS85" s="329"/>
      <c r="AT85" s="329" t="s">
        <v>255</v>
      </c>
      <c r="AU85" s="329" t="s">
        <v>283</v>
      </c>
      <c r="AV85" s="331" t="s">
        <v>21</v>
      </c>
      <c r="AW85" s="329"/>
      <c r="AX85" s="329"/>
      <c r="AY85" s="329"/>
      <c r="AZ85" s="329"/>
      <c r="BA85" s="329"/>
      <c r="BB85" s="329"/>
      <c r="BC85" s="329"/>
      <c r="BD85" s="329"/>
      <c r="BE85" s="329" t="s">
        <v>257</v>
      </c>
      <c r="BF85" s="329" t="s">
        <v>838</v>
      </c>
      <c r="BG85" s="329"/>
      <c r="BH85" s="329"/>
      <c r="BI85" s="329" t="s">
        <v>334</v>
      </c>
      <c r="BJ85" s="329" t="s">
        <v>831</v>
      </c>
      <c r="BK85" s="329">
        <v>51600</v>
      </c>
      <c r="BL85" s="329"/>
      <c r="BM85" s="331" t="s">
        <v>259</v>
      </c>
      <c r="BN85" s="329" t="s">
        <v>260</v>
      </c>
      <c r="BO85" s="333">
        <v>43783</v>
      </c>
      <c r="BP85" s="329"/>
      <c r="BQ85" s="329"/>
      <c r="BR85" s="329"/>
      <c r="BS85" s="329"/>
      <c r="BT85" s="329"/>
      <c r="BU85" s="331" t="s">
        <v>261</v>
      </c>
      <c r="BV85" s="329"/>
      <c r="BW85" s="329"/>
      <c r="BX85" s="329"/>
      <c r="BY85" s="331" t="s">
        <v>4299</v>
      </c>
      <c r="BZ85" s="331" t="s">
        <v>4300</v>
      </c>
      <c r="CA85" s="331" t="s">
        <v>4297</v>
      </c>
      <c r="CB85" s="331" t="s">
        <v>21</v>
      </c>
      <c r="CC85" s="331" t="s">
        <v>4298</v>
      </c>
    </row>
    <row r="86" spans="1:81" x14ac:dyDescent="0.25">
      <c r="A86" s="329">
        <v>199255</v>
      </c>
      <c r="B86" s="331" t="s">
        <v>5374</v>
      </c>
      <c r="C86" s="329">
        <v>35508</v>
      </c>
      <c r="D86" s="331" t="s">
        <v>5375</v>
      </c>
      <c r="E86" s="331" t="s">
        <v>5376</v>
      </c>
      <c r="F86" s="331" t="s">
        <v>5377</v>
      </c>
      <c r="G86" s="331" t="s">
        <v>5378</v>
      </c>
      <c r="H86" s="331" t="s">
        <v>5379</v>
      </c>
      <c r="I86" s="331" t="s">
        <v>5380</v>
      </c>
      <c r="J86" s="331" t="s">
        <v>5381</v>
      </c>
      <c r="K86" s="331" t="s">
        <v>5382</v>
      </c>
      <c r="L86" s="329"/>
      <c r="M86" s="329">
        <v>6</v>
      </c>
      <c r="N86" s="329">
        <v>0</v>
      </c>
      <c r="O86" s="329">
        <v>3.3</v>
      </c>
      <c r="P86" s="329"/>
      <c r="Q86" s="333">
        <v>43772.338194444441</v>
      </c>
      <c r="R86" s="329"/>
      <c r="S86" s="333">
        <v>43783</v>
      </c>
      <c r="T86" s="329">
        <v>55</v>
      </c>
      <c r="U86" s="333">
        <v>43783</v>
      </c>
      <c r="V86" s="333">
        <v>44109</v>
      </c>
      <c r="W86" s="329" t="b">
        <v>1</v>
      </c>
      <c r="X86" s="331" t="s">
        <v>905</v>
      </c>
      <c r="Y86" s="329">
        <v>747</v>
      </c>
      <c r="Z86" s="331" t="s">
        <v>23</v>
      </c>
      <c r="AA86" s="331" t="s">
        <v>919</v>
      </c>
      <c r="AB86" s="331" t="s">
        <v>920</v>
      </c>
      <c r="AC86" s="331" t="s">
        <v>337</v>
      </c>
      <c r="AD86" s="331" t="s">
        <v>24</v>
      </c>
      <c r="AE86" s="329">
        <v>221</v>
      </c>
      <c r="AF86" s="331" t="s">
        <v>254</v>
      </c>
      <c r="AG86" s="329"/>
      <c r="AH86" s="329">
        <v>17</v>
      </c>
      <c r="AI86" s="331" t="s">
        <v>280</v>
      </c>
      <c r="AJ86" s="331" t="s">
        <v>281</v>
      </c>
      <c r="AK86" s="329"/>
      <c r="AL86" s="329"/>
      <c r="AM86" s="329"/>
      <c r="AN86" s="329"/>
      <c r="AO86" s="329"/>
      <c r="AP86" s="331" t="s">
        <v>832</v>
      </c>
      <c r="AQ86" s="329">
        <v>600</v>
      </c>
      <c r="AR86" s="329">
        <v>490</v>
      </c>
      <c r="AS86" s="329"/>
      <c r="AT86" s="329" t="s">
        <v>309</v>
      </c>
      <c r="AU86" s="329" t="s">
        <v>283</v>
      </c>
      <c r="AV86" s="331" t="s">
        <v>5381</v>
      </c>
      <c r="AW86" s="329"/>
      <c r="AX86" s="329"/>
      <c r="AY86" s="329"/>
      <c r="AZ86" s="329"/>
      <c r="BA86" s="329"/>
      <c r="BB86" s="329"/>
      <c r="BC86" s="329"/>
      <c r="BD86" s="329"/>
      <c r="BE86" s="329" t="s">
        <v>257</v>
      </c>
      <c r="BF86" s="329" t="s">
        <v>830</v>
      </c>
      <c r="BG86" s="329"/>
      <c r="BH86" s="329"/>
      <c r="BI86" s="329"/>
      <c r="BJ86" s="329"/>
      <c r="BK86" s="329">
        <v>12000</v>
      </c>
      <c r="BL86" s="329"/>
      <c r="BM86" s="331" t="s">
        <v>26</v>
      </c>
      <c r="BN86" s="329" t="s">
        <v>260</v>
      </c>
      <c r="BO86" s="333">
        <v>43783</v>
      </c>
      <c r="BP86" s="329"/>
      <c r="BQ86" s="329"/>
      <c r="BR86" s="329"/>
      <c r="BS86" s="329"/>
      <c r="BT86" s="329"/>
      <c r="BU86" s="331" t="s">
        <v>261</v>
      </c>
      <c r="BV86" s="329"/>
      <c r="BW86" s="329"/>
      <c r="BX86" s="329"/>
      <c r="BY86" s="331" t="s">
        <v>5383</v>
      </c>
      <c r="BZ86" s="331" t="s">
        <v>5384</v>
      </c>
      <c r="CA86" s="331" t="s">
        <v>5385</v>
      </c>
      <c r="CB86" s="331" t="s">
        <v>5381</v>
      </c>
      <c r="CC86" s="331" t="s">
        <v>5386</v>
      </c>
    </row>
    <row r="87" spans="1:81" x14ac:dyDescent="0.25">
      <c r="A87" s="329">
        <v>198684</v>
      </c>
      <c r="B87" s="331" t="s">
        <v>5387</v>
      </c>
      <c r="C87" s="329">
        <v>35353</v>
      </c>
      <c r="D87" s="331" t="s">
        <v>5388</v>
      </c>
      <c r="E87" s="331" t="s">
        <v>5389</v>
      </c>
      <c r="F87" s="331" t="s">
        <v>5390</v>
      </c>
      <c r="G87" s="331" t="s">
        <v>5391</v>
      </c>
      <c r="H87" s="331" t="s">
        <v>5392</v>
      </c>
      <c r="I87" s="331" t="s">
        <v>445</v>
      </c>
      <c r="J87" s="331" t="s">
        <v>21</v>
      </c>
      <c r="K87" s="331" t="s">
        <v>444</v>
      </c>
      <c r="L87" s="329"/>
      <c r="M87" s="329">
        <v>6</v>
      </c>
      <c r="N87" s="329">
        <v>0</v>
      </c>
      <c r="O87" s="329">
        <v>3.242</v>
      </c>
      <c r="P87" s="329"/>
      <c r="Q87" s="333">
        <v>43751.773611111108</v>
      </c>
      <c r="R87" s="329"/>
      <c r="S87" s="333">
        <v>43783</v>
      </c>
      <c r="T87" s="329">
        <v>55</v>
      </c>
      <c r="U87" s="333">
        <v>43783</v>
      </c>
      <c r="V87" s="333">
        <v>44109</v>
      </c>
      <c r="W87" s="329" t="b">
        <v>1</v>
      </c>
      <c r="X87" s="331" t="s">
        <v>906</v>
      </c>
      <c r="Y87" s="329">
        <v>748</v>
      </c>
      <c r="Z87" s="331" t="s">
        <v>23</v>
      </c>
      <c r="AA87" s="331" t="s">
        <v>919</v>
      </c>
      <c r="AB87" s="331" t="s">
        <v>920</v>
      </c>
      <c r="AC87" s="331" t="s">
        <v>720</v>
      </c>
      <c r="AD87" s="331" t="s">
        <v>24</v>
      </c>
      <c r="AE87" s="329">
        <v>221</v>
      </c>
      <c r="AF87" s="331" t="s">
        <v>254</v>
      </c>
      <c r="AG87" s="329"/>
      <c r="AH87" s="329">
        <v>17</v>
      </c>
      <c r="AI87" s="331" t="s">
        <v>280</v>
      </c>
      <c r="AJ87" s="331" t="s">
        <v>281</v>
      </c>
      <c r="AK87" s="331" t="s">
        <v>363</v>
      </c>
      <c r="AL87" s="331" t="s">
        <v>359</v>
      </c>
      <c r="AM87" s="331" t="s">
        <v>330</v>
      </c>
      <c r="AN87" s="331" t="s">
        <v>328</v>
      </c>
      <c r="AO87" s="331" t="s">
        <v>330</v>
      </c>
      <c r="AP87" s="329"/>
      <c r="AQ87" s="329"/>
      <c r="AR87" s="329"/>
      <c r="AS87" s="329"/>
      <c r="AT87" s="329" t="s">
        <v>258</v>
      </c>
      <c r="AU87" s="329" t="s">
        <v>256</v>
      </c>
      <c r="AV87" s="331" t="s">
        <v>21</v>
      </c>
      <c r="AW87" s="329"/>
      <c r="AX87" s="329"/>
      <c r="AY87" s="329"/>
      <c r="AZ87" s="329"/>
      <c r="BA87" s="329"/>
      <c r="BB87" s="329"/>
      <c r="BC87" s="329"/>
      <c r="BD87" s="329"/>
      <c r="BE87" s="329"/>
      <c r="BF87" s="329"/>
      <c r="BG87" s="329"/>
      <c r="BH87" s="329"/>
      <c r="BI87" s="329" t="s">
        <v>334</v>
      </c>
      <c r="BJ87" s="329" t="s">
        <v>831</v>
      </c>
      <c r="BK87" s="329">
        <v>36000</v>
      </c>
      <c r="BL87" s="329"/>
      <c r="BM87" s="331" t="s">
        <v>267</v>
      </c>
      <c r="BN87" s="329" t="s">
        <v>260</v>
      </c>
      <c r="BO87" s="333">
        <v>43783</v>
      </c>
      <c r="BP87" s="329"/>
      <c r="BQ87" s="329"/>
      <c r="BR87" s="329"/>
      <c r="BS87" s="329"/>
      <c r="BT87" s="329"/>
      <c r="BU87" s="331" t="s">
        <v>261</v>
      </c>
      <c r="BV87" s="329"/>
      <c r="BW87" s="329"/>
      <c r="BX87" s="329"/>
      <c r="BY87" s="331" t="s">
        <v>5393</v>
      </c>
      <c r="BZ87" s="331" t="s">
        <v>5394</v>
      </c>
      <c r="CA87" s="331" t="s">
        <v>799</v>
      </c>
      <c r="CB87" s="331" t="s">
        <v>21</v>
      </c>
      <c r="CC87" s="331" t="s">
        <v>5395</v>
      </c>
    </row>
    <row r="88" spans="1:81" x14ac:dyDescent="0.25">
      <c r="A88" s="329">
        <v>199370</v>
      </c>
      <c r="B88" s="331" t="s">
        <v>5396</v>
      </c>
      <c r="C88" s="329">
        <v>35548</v>
      </c>
      <c r="D88" s="331" t="s">
        <v>5397</v>
      </c>
      <c r="E88" s="331" t="s">
        <v>380</v>
      </c>
      <c r="F88" s="331" t="s">
        <v>5398</v>
      </c>
      <c r="G88" s="331" t="s">
        <v>5399</v>
      </c>
      <c r="H88" s="331" t="s">
        <v>5400</v>
      </c>
      <c r="I88" s="331" t="s">
        <v>5401</v>
      </c>
      <c r="J88" s="331" t="s">
        <v>298</v>
      </c>
      <c r="K88" s="331" t="s">
        <v>5402</v>
      </c>
      <c r="L88" s="329"/>
      <c r="M88" s="329">
        <v>6</v>
      </c>
      <c r="N88" s="329">
        <v>0</v>
      </c>
      <c r="O88" s="329">
        <v>3.55</v>
      </c>
      <c r="P88" s="329"/>
      <c r="Q88" s="333">
        <v>43775.447916666664</v>
      </c>
      <c r="R88" s="329"/>
      <c r="S88" s="333">
        <v>43783</v>
      </c>
      <c r="T88" s="329">
        <v>55</v>
      </c>
      <c r="U88" s="333">
        <v>43783</v>
      </c>
      <c r="V88" s="333">
        <v>44109</v>
      </c>
      <c r="W88" s="329" t="b">
        <v>1</v>
      </c>
      <c r="X88" s="331" t="s">
        <v>22</v>
      </c>
      <c r="Y88" s="329">
        <v>429</v>
      </c>
      <c r="Z88" s="331" t="s">
        <v>23</v>
      </c>
      <c r="AA88" s="331" t="s">
        <v>919</v>
      </c>
      <c r="AB88" s="331" t="s">
        <v>920</v>
      </c>
      <c r="AC88" s="331" t="s">
        <v>4556</v>
      </c>
      <c r="AD88" s="331" t="s">
        <v>24</v>
      </c>
      <c r="AE88" s="329">
        <v>221</v>
      </c>
      <c r="AF88" s="331" t="s">
        <v>254</v>
      </c>
      <c r="AG88" s="329"/>
      <c r="AH88" s="329">
        <v>17</v>
      </c>
      <c r="AI88" s="331" t="s">
        <v>280</v>
      </c>
      <c r="AJ88" s="331" t="s">
        <v>281</v>
      </c>
      <c r="AK88" s="329"/>
      <c r="AL88" s="329"/>
      <c r="AM88" s="329"/>
      <c r="AN88" s="329"/>
      <c r="AO88" s="329"/>
      <c r="AP88" s="331" t="s">
        <v>499</v>
      </c>
      <c r="AQ88" s="329">
        <v>530</v>
      </c>
      <c r="AR88" s="329">
        <v>490</v>
      </c>
      <c r="AS88" s="329"/>
      <c r="AT88" s="329" t="s">
        <v>309</v>
      </c>
      <c r="AU88" s="329" t="s">
        <v>256</v>
      </c>
      <c r="AV88" s="331" t="s">
        <v>298</v>
      </c>
      <c r="AW88" s="329"/>
      <c r="AX88" s="329"/>
      <c r="AY88" s="329"/>
      <c r="AZ88" s="329"/>
      <c r="BA88" s="329"/>
      <c r="BB88" s="329"/>
      <c r="BC88" s="329"/>
      <c r="BD88" s="329"/>
      <c r="BE88" s="329" t="s">
        <v>257</v>
      </c>
      <c r="BF88" s="329" t="s">
        <v>837</v>
      </c>
      <c r="BG88" s="329"/>
      <c r="BH88" s="329"/>
      <c r="BI88" s="329"/>
      <c r="BJ88" s="329"/>
      <c r="BK88" s="329">
        <v>15000</v>
      </c>
      <c r="BL88" s="329"/>
      <c r="BM88" s="331" t="s">
        <v>295</v>
      </c>
      <c r="BN88" s="329" t="s">
        <v>260</v>
      </c>
      <c r="BO88" s="333">
        <v>43783</v>
      </c>
      <c r="BP88" s="329"/>
      <c r="BQ88" s="329"/>
      <c r="BR88" s="329"/>
      <c r="BS88" s="329"/>
      <c r="BT88" s="329"/>
      <c r="BU88" s="331" t="s">
        <v>261</v>
      </c>
      <c r="BV88" s="329"/>
      <c r="BW88" s="329"/>
      <c r="BX88" s="329"/>
      <c r="BY88" s="331" t="s">
        <v>5403</v>
      </c>
      <c r="BZ88" s="331" t="s">
        <v>5404</v>
      </c>
      <c r="CA88" s="329"/>
      <c r="CB88" s="331" t="s">
        <v>558</v>
      </c>
      <c r="CC88" s="331" t="s">
        <v>304</v>
      </c>
    </row>
    <row r="89" spans="1:81" x14ac:dyDescent="0.25">
      <c r="A89" s="329">
        <v>192082</v>
      </c>
      <c r="B89" s="331" t="s">
        <v>5405</v>
      </c>
      <c r="C89" s="329">
        <v>35430</v>
      </c>
      <c r="D89" s="331" t="s">
        <v>5406</v>
      </c>
      <c r="E89" s="331" t="s">
        <v>470</v>
      </c>
      <c r="F89" s="331" t="s">
        <v>5407</v>
      </c>
      <c r="G89" s="331" t="s">
        <v>5408</v>
      </c>
      <c r="H89" s="331" t="s">
        <v>5409</v>
      </c>
      <c r="I89" s="331" t="s">
        <v>5410</v>
      </c>
      <c r="J89" s="331" t="s">
        <v>307</v>
      </c>
      <c r="K89" s="331" t="s">
        <v>5411</v>
      </c>
      <c r="L89" s="329"/>
      <c r="M89" s="329">
        <v>6</v>
      </c>
      <c r="N89" s="329">
        <v>0</v>
      </c>
      <c r="O89" s="329">
        <v>3.7309999999999999</v>
      </c>
      <c r="P89" s="329"/>
      <c r="Q89" s="333">
        <v>43591.729166666664</v>
      </c>
      <c r="R89" s="329"/>
      <c r="S89" s="333">
        <v>43783</v>
      </c>
      <c r="T89" s="329">
        <v>55</v>
      </c>
      <c r="U89" s="333">
        <v>43783</v>
      </c>
      <c r="V89" s="333">
        <v>44109</v>
      </c>
      <c r="W89" s="329" t="b">
        <v>1</v>
      </c>
      <c r="X89" s="331" t="s">
        <v>187</v>
      </c>
      <c r="Y89" s="329">
        <v>718</v>
      </c>
      <c r="Z89" s="331" t="s">
        <v>23</v>
      </c>
      <c r="AA89" s="331" t="s">
        <v>919</v>
      </c>
      <c r="AB89" s="331" t="s">
        <v>920</v>
      </c>
      <c r="AC89" s="331" t="s">
        <v>1361</v>
      </c>
      <c r="AD89" s="331" t="s">
        <v>24</v>
      </c>
      <c r="AE89" s="329">
        <v>221</v>
      </c>
      <c r="AF89" s="331" t="s">
        <v>254</v>
      </c>
      <c r="AG89" s="329"/>
      <c r="AH89" s="329">
        <v>17</v>
      </c>
      <c r="AI89" s="331" t="s">
        <v>280</v>
      </c>
      <c r="AJ89" s="331" t="s">
        <v>281</v>
      </c>
      <c r="AK89" s="329"/>
      <c r="AL89" s="329"/>
      <c r="AM89" s="329"/>
      <c r="AN89" s="329"/>
      <c r="AO89" s="329"/>
      <c r="AP89" s="329"/>
      <c r="AQ89" s="329"/>
      <c r="AR89" s="329"/>
      <c r="AS89" s="329"/>
      <c r="AT89" s="329" t="s">
        <v>258</v>
      </c>
      <c r="AU89" s="329" t="s">
        <v>256</v>
      </c>
      <c r="AV89" s="331" t="s">
        <v>307</v>
      </c>
      <c r="AW89" s="329"/>
      <c r="AX89" s="329"/>
      <c r="AY89" s="329"/>
      <c r="AZ89" s="329"/>
      <c r="BA89" s="329"/>
      <c r="BB89" s="329"/>
      <c r="BC89" s="329"/>
      <c r="BD89" s="329"/>
      <c r="BE89" s="329" t="s">
        <v>257</v>
      </c>
      <c r="BF89" s="329" t="s">
        <v>837</v>
      </c>
      <c r="BG89" s="329"/>
      <c r="BH89" s="329"/>
      <c r="BI89" s="329"/>
      <c r="BJ89" s="329"/>
      <c r="BK89" s="329">
        <v>15000</v>
      </c>
      <c r="BL89" s="329"/>
      <c r="BM89" s="331" t="s">
        <v>295</v>
      </c>
      <c r="BN89" s="329" t="s">
        <v>260</v>
      </c>
      <c r="BO89" s="333">
        <v>43783</v>
      </c>
      <c r="BP89" s="329"/>
      <c r="BQ89" s="329"/>
      <c r="BR89" s="329"/>
      <c r="BS89" s="329"/>
      <c r="BT89" s="329"/>
      <c r="BU89" s="331" t="s">
        <v>261</v>
      </c>
      <c r="BV89" s="329"/>
      <c r="BW89" s="329"/>
      <c r="BX89" s="329"/>
      <c r="BY89" s="331" t="s">
        <v>5412</v>
      </c>
      <c r="BZ89" s="331" t="s">
        <v>5413</v>
      </c>
      <c r="CA89" s="331" t="s">
        <v>5410</v>
      </c>
      <c r="CB89" s="331" t="s">
        <v>307</v>
      </c>
      <c r="CC89" s="331" t="s">
        <v>5411</v>
      </c>
    </row>
    <row r="90" spans="1:81" x14ac:dyDescent="0.25">
      <c r="A90" s="329">
        <v>196545</v>
      </c>
      <c r="B90" s="331" t="s">
        <v>5414</v>
      </c>
      <c r="C90" s="329">
        <v>35577</v>
      </c>
      <c r="D90" s="331" t="s">
        <v>2044</v>
      </c>
      <c r="E90" s="331" t="s">
        <v>485</v>
      </c>
      <c r="F90" s="331" t="s">
        <v>5415</v>
      </c>
      <c r="G90" s="331" t="s">
        <v>5416</v>
      </c>
      <c r="H90" s="331" t="s">
        <v>5417</v>
      </c>
      <c r="I90" s="331" t="s">
        <v>1661</v>
      </c>
      <c r="J90" s="331" t="s">
        <v>292</v>
      </c>
      <c r="K90" s="331" t="s">
        <v>1662</v>
      </c>
      <c r="L90" s="329"/>
      <c r="M90" s="329">
        <v>6</v>
      </c>
      <c r="N90" s="329">
        <v>0</v>
      </c>
      <c r="O90" s="329">
        <v>3.8</v>
      </c>
      <c r="P90" s="329"/>
      <c r="Q90" s="333">
        <v>43704.260416666664</v>
      </c>
      <c r="R90" s="329"/>
      <c r="S90" s="333">
        <v>43783</v>
      </c>
      <c r="T90" s="329">
        <v>55</v>
      </c>
      <c r="U90" s="333">
        <v>43783</v>
      </c>
      <c r="V90" s="333">
        <v>44109</v>
      </c>
      <c r="W90" s="329" t="b">
        <v>1</v>
      </c>
      <c r="X90" s="331" t="s">
        <v>905</v>
      </c>
      <c r="Y90" s="329">
        <v>747</v>
      </c>
      <c r="Z90" s="331" t="s">
        <v>23</v>
      </c>
      <c r="AA90" s="331" t="s">
        <v>919</v>
      </c>
      <c r="AB90" s="331" t="s">
        <v>920</v>
      </c>
      <c r="AC90" s="331" t="s">
        <v>1405</v>
      </c>
      <c r="AD90" s="331" t="s">
        <v>24</v>
      </c>
      <c r="AE90" s="329">
        <v>221</v>
      </c>
      <c r="AF90" s="331" t="s">
        <v>254</v>
      </c>
      <c r="AG90" s="329"/>
      <c r="AH90" s="329">
        <v>17</v>
      </c>
      <c r="AI90" s="331" t="s">
        <v>280</v>
      </c>
      <c r="AJ90" s="331" t="s">
        <v>281</v>
      </c>
      <c r="AK90" s="329"/>
      <c r="AL90" s="329"/>
      <c r="AM90" s="329"/>
      <c r="AN90" s="329"/>
      <c r="AO90" s="329"/>
      <c r="AP90" s="329"/>
      <c r="AQ90" s="329"/>
      <c r="AR90" s="329"/>
      <c r="AS90" s="329"/>
      <c r="AT90" s="329" t="s">
        <v>258</v>
      </c>
      <c r="AU90" s="329" t="s">
        <v>283</v>
      </c>
      <c r="AV90" s="331" t="s">
        <v>292</v>
      </c>
      <c r="AW90" s="329"/>
      <c r="AX90" s="329"/>
      <c r="AY90" s="329"/>
      <c r="AZ90" s="329"/>
      <c r="BA90" s="329"/>
      <c r="BB90" s="329"/>
      <c r="BC90" s="329"/>
      <c r="BD90" s="329"/>
      <c r="BE90" s="329" t="s">
        <v>257</v>
      </c>
      <c r="BF90" s="329" t="s">
        <v>834</v>
      </c>
      <c r="BG90" s="329"/>
      <c r="BH90" s="329"/>
      <c r="BI90" s="329"/>
      <c r="BJ90" s="329"/>
      <c r="BK90" s="329">
        <v>20400</v>
      </c>
      <c r="BL90" s="329"/>
      <c r="BM90" s="331" t="s">
        <v>278</v>
      </c>
      <c r="BN90" s="329" t="s">
        <v>260</v>
      </c>
      <c r="BO90" s="333">
        <v>43783</v>
      </c>
      <c r="BP90" s="329"/>
      <c r="BQ90" s="329"/>
      <c r="BR90" s="329"/>
      <c r="BS90" s="329"/>
      <c r="BT90" s="329"/>
      <c r="BU90" s="331" t="s">
        <v>261</v>
      </c>
      <c r="BV90" s="329"/>
      <c r="BW90" s="329"/>
      <c r="BX90" s="329"/>
      <c r="BY90" s="331" t="s">
        <v>5418</v>
      </c>
      <c r="BZ90" s="331" t="s">
        <v>5419</v>
      </c>
      <c r="CA90" s="331" t="s">
        <v>5420</v>
      </c>
      <c r="CB90" s="331" t="s">
        <v>292</v>
      </c>
      <c r="CC90" s="331" t="s">
        <v>5421</v>
      </c>
    </row>
    <row r="91" spans="1:81" x14ac:dyDescent="0.25">
      <c r="A91" s="329">
        <v>199058</v>
      </c>
      <c r="B91" s="331" t="s">
        <v>5422</v>
      </c>
      <c r="C91" s="329">
        <v>35449</v>
      </c>
      <c r="D91" s="331" t="s">
        <v>5423</v>
      </c>
      <c r="E91" s="331" t="s">
        <v>5424</v>
      </c>
      <c r="F91" s="331" t="s">
        <v>5425</v>
      </c>
      <c r="G91" s="331" t="s">
        <v>5426</v>
      </c>
      <c r="H91" s="331" t="s">
        <v>5427</v>
      </c>
      <c r="I91" s="331" t="s">
        <v>5428</v>
      </c>
      <c r="J91" s="331" t="s">
        <v>21</v>
      </c>
      <c r="K91" s="331" t="s">
        <v>575</v>
      </c>
      <c r="L91" s="329"/>
      <c r="M91" s="329">
        <v>6</v>
      </c>
      <c r="N91" s="329">
        <v>0</v>
      </c>
      <c r="O91" s="329">
        <v>3.9790000000000001</v>
      </c>
      <c r="P91" s="329"/>
      <c r="Q91" s="333">
        <v>43728.395833333336</v>
      </c>
      <c r="R91" s="329"/>
      <c r="S91" s="333">
        <v>43783</v>
      </c>
      <c r="T91" s="329">
        <v>55</v>
      </c>
      <c r="U91" s="333">
        <v>43783</v>
      </c>
      <c r="V91" s="333">
        <v>44109</v>
      </c>
      <c r="W91" s="329" t="b">
        <v>1</v>
      </c>
      <c r="X91" s="331" t="s">
        <v>906</v>
      </c>
      <c r="Y91" s="329">
        <v>748</v>
      </c>
      <c r="Z91" s="331" t="s">
        <v>23</v>
      </c>
      <c r="AA91" s="331" t="s">
        <v>919</v>
      </c>
      <c r="AB91" s="331" t="s">
        <v>920</v>
      </c>
      <c r="AC91" s="331" t="s">
        <v>5429</v>
      </c>
      <c r="AD91" s="331" t="s">
        <v>24</v>
      </c>
      <c r="AE91" s="329">
        <v>221</v>
      </c>
      <c r="AF91" s="331" t="s">
        <v>254</v>
      </c>
      <c r="AG91" s="329"/>
      <c r="AH91" s="329">
        <v>17</v>
      </c>
      <c r="AI91" s="331" t="s">
        <v>280</v>
      </c>
      <c r="AJ91" s="331" t="s">
        <v>281</v>
      </c>
      <c r="AK91" s="331" t="s">
        <v>275</v>
      </c>
      <c r="AL91" s="331" t="s">
        <v>287</v>
      </c>
      <c r="AM91" s="331" t="s">
        <v>300</v>
      </c>
      <c r="AN91" s="331" t="s">
        <v>328</v>
      </c>
      <c r="AO91" s="331" t="s">
        <v>290</v>
      </c>
      <c r="AP91" s="329"/>
      <c r="AQ91" s="329"/>
      <c r="AR91" s="329"/>
      <c r="AS91" s="329"/>
      <c r="AT91" s="329" t="s">
        <v>379</v>
      </c>
      <c r="AU91" s="329" t="s">
        <v>256</v>
      </c>
      <c r="AV91" s="331" t="s">
        <v>21</v>
      </c>
      <c r="AW91" s="329"/>
      <c r="AX91" s="329"/>
      <c r="AY91" s="329"/>
      <c r="AZ91" s="329"/>
      <c r="BA91" s="329"/>
      <c r="BB91" s="329"/>
      <c r="BC91" s="329"/>
      <c r="BD91" s="329"/>
      <c r="BE91" s="329" t="s">
        <v>257</v>
      </c>
      <c r="BF91" s="329" t="s">
        <v>834</v>
      </c>
      <c r="BG91" s="329"/>
      <c r="BH91" s="329"/>
      <c r="BI91" s="329" t="s">
        <v>334</v>
      </c>
      <c r="BJ91" s="329" t="s">
        <v>831</v>
      </c>
      <c r="BK91" s="329">
        <v>56400</v>
      </c>
      <c r="BL91" s="329"/>
      <c r="BM91" s="331" t="s">
        <v>278</v>
      </c>
      <c r="BN91" s="329" t="s">
        <v>260</v>
      </c>
      <c r="BO91" s="333">
        <v>43783</v>
      </c>
      <c r="BP91" s="329"/>
      <c r="BQ91" s="329"/>
      <c r="BR91" s="329"/>
      <c r="BS91" s="329"/>
      <c r="BT91" s="329"/>
      <c r="BU91" s="331" t="s">
        <v>261</v>
      </c>
      <c r="BV91" s="329"/>
      <c r="BW91" s="329"/>
      <c r="BX91" s="329"/>
      <c r="BY91" s="331" t="s">
        <v>5430</v>
      </c>
      <c r="BZ91" s="331" t="s">
        <v>5431</v>
      </c>
      <c r="CA91" s="331" t="s">
        <v>5432</v>
      </c>
      <c r="CB91" s="331" t="s">
        <v>21</v>
      </c>
      <c r="CC91" s="331" t="s">
        <v>575</v>
      </c>
    </row>
    <row r="92" spans="1:81" x14ac:dyDescent="0.25">
      <c r="A92" s="329">
        <v>196180</v>
      </c>
      <c r="B92" s="331" t="s">
        <v>5433</v>
      </c>
      <c r="C92" s="329">
        <v>34544</v>
      </c>
      <c r="D92" s="331" t="s">
        <v>5434</v>
      </c>
      <c r="E92" s="331" t="s">
        <v>5435</v>
      </c>
      <c r="F92" s="331" t="s">
        <v>5436</v>
      </c>
      <c r="G92" s="331" t="s">
        <v>5437</v>
      </c>
      <c r="H92" s="331" t="s">
        <v>5438</v>
      </c>
      <c r="I92" s="331" t="s">
        <v>5439</v>
      </c>
      <c r="J92" s="331" t="s">
        <v>354</v>
      </c>
      <c r="K92" s="331" t="s">
        <v>5440</v>
      </c>
      <c r="L92" s="329"/>
      <c r="M92" s="329">
        <v>6</v>
      </c>
      <c r="N92" s="329">
        <v>0</v>
      </c>
      <c r="O92" s="329">
        <v>3.1</v>
      </c>
      <c r="P92" s="329"/>
      <c r="Q92" s="333">
        <v>43704.729930555557</v>
      </c>
      <c r="R92" s="329"/>
      <c r="S92" s="333">
        <v>43783</v>
      </c>
      <c r="T92" s="329">
        <v>55</v>
      </c>
      <c r="U92" s="333">
        <v>43783</v>
      </c>
      <c r="V92" s="333">
        <v>44109</v>
      </c>
      <c r="W92" s="329" t="b">
        <v>1</v>
      </c>
      <c r="X92" s="331" t="s">
        <v>905</v>
      </c>
      <c r="Y92" s="329">
        <v>747</v>
      </c>
      <c r="Z92" s="331" t="s">
        <v>23</v>
      </c>
      <c r="AA92" s="331" t="s">
        <v>919</v>
      </c>
      <c r="AB92" s="331" t="s">
        <v>920</v>
      </c>
      <c r="AC92" s="331" t="s">
        <v>1085</v>
      </c>
      <c r="AD92" s="331" t="s">
        <v>24</v>
      </c>
      <c r="AE92" s="329">
        <v>221</v>
      </c>
      <c r="AF92" s="331" t="s">
        <v>254</v>
      </c>
      <c r="AG92" s="329"/>
      <c r="AH92" s="329">
        <v>17</v>
      </c>
      <c r="AI92" s="331" t="s">
        <v>280</v>
      </c>
      <c r="AJ92" s="331" t="s">
        <v>281</v>
      </c>
      <c r="AK92" s="329"/>
      <c r="AL92" s="329"/>
      <c r="AM92" s="329"/>
      <c r="AN92" s="329"/>
      <c r="AO92" s="329"/>
      <c r="AP92" s="329"/>
      <c r="AQ92" s="329"/>
      <c r="AR92" s="329"/>
      <c r="AS92" s="329"/>
      <c r="AT92" s="329" t="s">
        <v>258</v>
      </c>
      <c r="AU92" s="329" t="s">
        <v>283</v>
      </c>
      <c r="AV92" s="331" t="s">
        <v>354</v>
      </c>
      <c r="AW92" s="329"/>
      <c r="AX92" s="329"/>
      <c r="AY92" s="329"/>
      <c r="AZ92" s="329"/>
      <c r="BA92" s="329"/>
      <c r="BB92" s="329"/>
      <c r="BC92" s="329"/>
      <c r="BD92" s="329"/>
      <c r="BE92" s="329"/>
      <c r="BF92" s="329"/>
      <c r="BG92" s="329"/>
      <c r="BH92" s="329"/>
      <c r="BI92" s="329"/>
      <c r="BJ92" s="329"/>
      <c r="BK92" s="329">
        <v>0</v>
      </c>
      <c r="BL92" s="329"/>
      <c r="BM92" s="331" t="s">
        <v>27</v>
      </c>
      <c r="BN92" s="329" t="s">
        <v>260</v>
      </c>
      <c r="BO92" s="333">
        <v>43783</v>
      </c>
      <c r="BP92" s="329"/>
      <c r="BQ92" s="329"/>
      <c r="BR92" s="329"/>
      <c r="BS92" s="329"/>
      <c r="BT92" s="329"/>
      <c r="BU92" s="331" t="s">
        <v>261</v>
      </c>
      <c r="BV92" s="329"/>
      <c r="BW92" s="329"/>
      <c r="BX92" s="329"/>
      <c r="BY92" s="331" t="s">
        <v>5441</v>
      </c>
      <c r="BZ92" s="331" t="s">
        <v>5442</v>
      </c>
      <c r="CA92" s="331" t="s">
        <v>5443</v>
      </c>
      <c r="CB92" s="331" t="s">
        <v>354</v>
      </c>
      <c r="CC92" s="331" t="s">
        <v>5444</v>
      </c>
    </row>
    <row r="93" spans="1:81" x14ac:dyDescent="0.25">
      <c r="A93" s="329">
        <v>196296</v>
      </c>
      <c r="B93" s="331" t="s">
        <v>5445</v>
      </c>
      <c r="C93" s="329">
        <v>35506</v>
      </c>
      <c r="D93" s="331" t="s">
        <v>2240</v>
      </c>
      <c r="E93" s="331" t="s">
        <v>5446</v>
      </c>
      <c r="F93" s="331" t="s">
        <v>5447</v>
      </c>
      <c r="G93" s="331" t="s">
        <v>5448</v>
      </c>
      <c r="H93" s="331" t="s">
        <v>5449</v>
      </c>
      <c r="I93" s="331" t="s">
        <v>5450</v>
      </c>
      <c r="J93" s="331" t="s">
        <v>823</v>
      </c>
      <c r="K93" s="331" t="s">
        <v>5451</v>
      </c>
      <c r="L93" s="329"/>
      <c r="M93" s="329">
        <v>6</v>
      </c>
      <c r="N93" s="329">
        <v>0</v>
      </c>
      <c r="O93" s="329">
        <v>4.0999999999999996</v>
      </c>
      <c r="P93" s="329"/>
      <c r="Q93" s="333">
        <v>43699.753472222219</v>
      </c>
      <c r="R93" s="329"/>
      <c r="S93" s="333">
        <v>43783</v>
      </c>
      <c r="T93" s="329">
        <v>55</v>
      </c>
      <c r="U93" s="333">
        <v>43783</v>
      </c>
      <c r="V93" s="333">
        <v>44109</v>
      </c>
      <c r="W93" s="329" t="b">
        <v>1</v>
      </c>
      <c r="X93" s="331" t="s">
        <v>905</v>
      </c>
      <c r="Y93" s="329">
        <v>747</v>
      </c>
      <c r="Z93" s="331" t="s">
        <v>23</v>
      </c>
      <c r="AA93" s="331" t="s">
        <v>919</v>
      </c>
      <c r="AB93" s="331" t="s">
        <v>920</v>
      </c>
      <c r="AC93" s="331" t="s">
        <v>346</v>
      </c>
      <c r="AD93" s="331" t="s">
        <v>24</v>
      </c>
      <c r="AE93" s="329">
        <v>221</v>
      </c>
      <c r="AF93" s="331" t="s">
        <v>254</v>
      </c>
      <c r="AG93" s="329"/>
      <c r="AH93" s="329">
        <v>17</v>
      </c>
      <c r="AI93" s="331" t="s">
        <v>280</v>
      </c>
      <c r="AJ93" s="331" t="s">
        <v>281</v>
      </c>
      <c r="AK93" s="329"/>
      <c r="AL93" s="329"/>
      <c r="AM93" s="329"/>
      <c r="AN93" s="329"/>
      <c r="AO93" s="329"/>
      <c r="AP93" s="331" t="s">
        <v>342</v>
      </c>
      <c r="AQ93" s="329">
        <v>620</v>
      </c>
      <c r="AR93" s="329">
        <v>540</v>
      </c>
      <c r="AS93" s="329"/>
      <c r="AT93" s="329" t="s">
        <v>258</v>
      </c>
      <c r="AU93" s="329" t="s">
        <v>283</v>
      </c>
      <c r="AV93" s="331" t="s">
        <v>823</v>
      </c>
      <c r="AW93" s="329"/>
      <c r="AX93" s="329"/>
      <c r="AY93" s="329"/>
      <c r="AZ93" s="329"/>
      <c r="BA93" s="329"/>
      <c r="BB93" s="329"/>
      <c r="BC93" s="329"/>
      <c r="BD93" s="329"/>
      <c r="BE93" s="329" t="s">
        <v>257</v>
      </c>
      <c r="BF93" s="329" t="s">
        <v>834</v>
      </c>
      <c r="BG93" s="329"/>
      <c r="BH93" s="329"/>
      <c r="BI93" s="329"/>
      <c r="BJ93" s="329"/>
      <c r="BK93" s="329">
        <v>20400</v>
      </c>
      <c r="BL93" s="329"/>
      <c r="BM93" s="331" t="s">
        <v>278</v>
      </c>
      <c r="BN93" s="329" t="s">
        <v>260</v>
      </c>
      <c r="BO93" s="333">
        <v>43783</v>
      </c>
      <c r="BP93" s="329"/>
      <c r="BQ93" s="329"/>
      <c r="BR93" s="329"/>
      <c r="BS93" s="329"/>
      <c r="BT93" s="329"/>
      <c r="BU93" s="331" t="s">
        <v>261</v>
      </c>
      <c r="BV93" s="329"/>
      <c r="BW93" s="329"/>
      <c r="BX93" s="329"/>
      <c r="BY93" s="331" t="s">
        <v>5452</v>
      </c>
      <c r="BZ93" s="331" t="s">
        <v>5453</v>
      </c>
      <c r="CA93" s="329"/>
      <c r="CB93" s="331" t="s">
        <v>558</v>
      </c>
      <c r="CC93" s="331" t="s">
        <v>304</v>
      </c>
    </row>
    <row r="94" spans="1:81" x14ac:dyDescent="0.25">
      <c r="A94" s="329">
        <v>199202</v>
      </c>
      <c r="B94" s="331" t="s">
        <v>5454</v>
      </c>
      <c r="C94" s="329">
        <v>35532</v>
      </c>
      <c r="D94" s="331" t="s">
        <v>377</v>
      </c>
      <c r="E94" s="331" t="s">
        <v>5455</v>
      </c>
      <c r="F94" s="331" t="s">
        <v>5456</v>
      </c>
      <c r="G94" s="331" t="s">
        <v>5457</v>
      </c>
      <c r="H94" s="331" t="s">
        <v>5458</v>
      </c>
      <c r="I94" s="331" t="s">
        <v>5459</v>
      </c>
      <c r="J94" s="331" t="s">
        <v>376</v>
      </c>
      <c r="K94" s="331" t="s">
        <v>5460</v>
      </c>
      <c r="L94" s="329"/>
      <c r="M94" s="329">
        <v>6</v>
      </c>
      <c r="N94" s="329">
        <v>0</v>
      </c>
      <c r="O94" s="329">
        <v>3.78</v>
      </c>
      <c r="P94" s="329"/>
      <c r="Q94" s="333">
        <v>43769.268055555556</v>
      </c>
      <c r="R94" s="329"/>
      <c r="S94" s="333">
        <v>43783</v>
      </c>
      <c r="T94" s="329">
        <v>55</v>
      </c>
      <c r="U94" s="333">
        <v>43783</v>
      </c>
      <c r="V94" s="333">
        <v>44109</v>
      </c>
      <c r="W94" s="329" t="b">
        <v>1</v>
      </c>
      <c r="X94" s="331" t="s">
        <v>22</v>
      </c>
      <c r="Y94" s="329">
        <v>429</v>
      </c>
      <c r="Z94" s="331" t="s">
        <v>25</v>
      </c>
      <c r="AA94" s="331" t="s">
        <v>919</v>
      </c>
      <c r="AB94" s="331" t="s">
        <v>920</v>
      </c>
      <c r="AC94" s="331" t="s">
        <v>346</v>
      </c>
      <c r="AD94" s="331" t="s">
        <v>24</v>
      </c>
      <c r="AE94" s="329">
        <v>221</v>
      </c>
      <c r="AF94" s="331" t="s">
        <v>254</v>
      </c>
      <c r="AG94" s="329"/>
      <c r="AH94" s="329">
        <v>17</v>
      </c>
      <c r="AI94" s="331" t="s">
        <v>280</v>
      </c>
      <c r="AJ94" s="331" t="s">
        <v>281</v>
      </c>
      <c r="AK94" s="331" t="s">
        <v>330</v>
      </c>
      <c r="AL94" s="331" t="s">
        <v>386</v>
      </c>
      <c r="AM94" s="331" t="s">
        <v>299</v>
      </c>
      <c r="AN94" s="331" t="s">
        <v>299</v>
      </c>
      <c r="AO94" s="331" t="s">
        <v>363</v>
      </c>
      <c r="AP94" s="329"/>
      <c r="AQ94" s="329"/>
      <c r="AR94" s="329"/>
      <c r="AS94" s="329"/>
      <c r="AT94" s="329" t="s">
        <v>255</v>
      </c>
      <c r="AU94" s="329" t="s">
        <v>283</v>
      </c>
      <c r="AV94" s="331" t="s">
        <v>376</v>
      </c>
      <c r="AW94" s="329"/>
      <c r="AX94" s="329"/>
      <c r="AY94" s="329"/>
      <c r="AZ94" s="329"/>
      <c r="BA94" s="329"/>
      <c r="BB94" s="329"/>
      <c r="BC94" s="329"/>
      <c r="BD94" s="329"/>
      <c r="BE94" s="329" t="s">
        <v>257</v>
      </c>
      <c r="BF94" s="329" t="s">
        <v>834</v>
      </c>
      <c r="BG94" s="329"/>
      <c r="BH94" s="329"/>
      <c r="BI94" s="329"/>
      <c r="BJ94" s="329"/>
      <c r="BK94" s="329">
        <v>20400</v>
      </c>
      <c r="BL94" s="329"/>
      <c r="BM94" s="331" t="s">
        <v>278</v>
      </c>
      <c r="BN94" s="329" t="s">
        <v>260</v>
      </c>
      <c r="BO94" s="333">
        <v>43783</v>
      </c>
      <c r="BP94" s="329"/>
      <c r="BQ94" s="329"/>
      <c r="BR94" s="329"/>
      <c r="BS94" s="329"/>
      <c r="BT94" s="329"/>
      <c r="BU94" s="331" t="s">
        <v>261</v>
      </c>
      <c r="BV94" s="329"/>
      <c r="BW94" s="329"/>
      <c r="BX94" s="329"/>
      <c r="BY94" s="331" t="s">
        <v>5461</v>
      </c>
      <c r="BZ94" s="331" t="s">
        <v>5462</v>
      </c>
      <c r="CA94" s="331" t="s">
        <v>5459</v>
      </c>
      <c r="CB94" s="331" t="s">
        <v>376</v>
      </c>
      <c r="CC94" s="331" t="s">
        <v>5460</v>
      </c>
    </row>
    <row r="95" spans="1:81" x14ac:dyDescent="0.25">
      <c r="A95" s="329">
        <v>199222</v>
      </c>
      <c r="B95" s="331" t="s">
        <v>5463</v>
      </c>
      <c r="C95" s="329">
        <v>35495</v>
      </c>
      <c r="D95" s="331" t="s">
        <v>513</v>
      </c>
      <c r="E95" s="331" t="s">
        <v>395</v>
      </c>
      <c r="F95" s="331" t="s">
        <v>5464</v>
      </c>
      <c r="G95" s="331" t="s">
        <v>5465</v>
      </c>
      <c r="H95" s="331" t="s">
        <v>5466</v>
      </c>
      <c r="I95" s="331" t="s">
        <v>5467</v>
      </c>
      <c r="J95" s="331" t="s">
        <v>21</v>
      </c>
      <c r="K95" s="331" t="s">
        <v>5468</v>
      </c>
      <c r="L95" s="329"/>
      <c r="M95" s="329">
        <v>6</v>
      </c>
      <c r="N95" s="329">
        <v>0</v>
      </c>
      <c r="O95" s="329">
        <v>3.14</v>
      </c>
      <c r="P95" s="329"/>
      <c r="Q95" s="333">
        <v>43769.832638888889</v>
      </c>
      <c r="R95" s="329"/>
      <c r="S95" s="333">
        <v>43783</v>
      </c>
      <c r="T95" s="329">
        <v>55</v>
      </c>
      <c r="U95" s="333">
        <v>43783</v>
      </c>
      <c r="V95" s="333">
        <v>44109</v>
      </c>
      <c r="W95" s="329" t="b">
        <v>1</v>
      </c>
      <c r="X95" s="331" t="s">
        <v>906</v>
      </c>
      <c r="Y95" s="329">
        <v>748</v>
      </c>
      <c r="Z95" s="331" t="s">
        <v>23</v>
      </c>
      <c r="AA95" s="331" t="s">
        <v>252</v>
      </c>
      <c r="AB95" s="331" t="s">
        <v>253</v>
      </c>
      <c r="AC95" s="331" t="s">
        <v>372</v>
      </c>
      <c r="AD95" s="331" t="s">
        <v>24</v>
      </c>
      <c r="AE95" s="329">
        <v>221</v>
      </c>
      <c r="AF95" s="331" t="s">
        <v>254</v>
      </c>
      <c r="AG95" s="329"/>
      <c r="AH95" s="329">
        <v>17</v>
      </c>
      <c r="AI95" s="331" t="s">
        <v>280</v>
      </c>
      <c r="AJ95" s="331" t="s">
        <v>281</v>
      </c>
      <c r="AK95" s="331" t="s">
        <v>328</v>
      </c>
      <c r="AL95" s="331" t="s">
        <v>417</v>
      </c>
      <c r="AM95" s="331" t="s">
        <v>272</v>
      </c>
      <c r="AN95" s="331" t="s">
        <v>329</v>
      </c>
      <c r="AO95" s="331" t="s">
        <v>299</v>
      </c>
      <c r="AP95" s="329"/>
      <c r="AQ95" s="329"/>
      <c r="AR95" s="329"/>
      <c r="AS95" s="329"/>
      <c r="AT95" s="329" t="s">
        <v>409</v>
      </c>
      <c r="AU95" s="329" t="s">
        <v>256</v>
      </c>
      <c r="AV95" s="331" t="s">
        <v>21</v>
      </c>
      <c r="AW95" s="329"/>
      <c r="AX95" s="329"/>
      <c r="AY95" s="329"/>
      <c r="AZ95" s="329"/>
      <c r="BA95" s="329"/>
      <c r="BB95" s="329"/>
      <c r="BC95" s="329"/>
      <c r="BD95" s="329"/>
      <c r="BE95" s="329"/>
      <c r="BF95" s="329"/>
      <c r="BG95" s="329"/>
      <c r="BH95" s="329"/>
      <c r="BI95" s="329" t="s">
        <v>334</v>
      </c>
      <c r="BJ95" s="329" t="s">
        <v>831</v>
      </c>
      <c r="BK95" s="329">
        <v>36000</v>
      </c>
      <c r="BL95" s="329"/>
      <c r="BM95" s="331" t="s">
        <v>267</v>
      </c>
      <c r="BN95" s="329" t="s">
        <v>260</v>
      </c>
      <c r="BO95" s="333">
        <v>43783</v>
      </c>
      <c r="BP95" s="329"/>
      <c r="BQ95" s="329"/>
      <c r="BR95" s="329"/>
      <c r="BS95" s="329"/>
      <c r="BT95" s="329"/>
      <c r="BU95" s="331" t="s">
        <v>261</v>
      </c>
      <c r="BV95" s="329"/>
      <c r="BW95" s="329"/>
      <c r="BX95" s="329"/>
      <c r="BY95" s="331" t="s">
        <v>2377</v>
      </c>
      <c r="BZ95" s="331" t="s">
        <v>2378</v>
      </c>
      <c r="CA95" s="331" t="s">
        <v>2379</v>
      </c>
      <c r="CB95" s="331" t="s">
        <v>21</v>
      </c>
      <c r="CC95" s="331" t="s">
        <v>2380</v>
      </c>
    </row>
    <row r="96" spans="1:81" x14ac:dyDescent="0.25">
      <c r="A96" s="329">
        <v>199233</v>
      </c>
      <c r="B96" s="331" t="s">
        <v>5469</v>
      </c>
      <c r="C96" s="329">
        <v>35501</v>
      </c>
      <c r="D96" s="331" t="s">
        <v>5470</v>
      </c>
      <c r="E96" s="331" t="s">
        <v>5471</v>
      </c>
      <c r="F96" s="331" t="s">
        <v>5472</v>
      </c>
      <c r="G96" s="331" t="s">
        <v>5473</v>
      </c>
      <c r="H96" s="331" t="s">
        <v>5474</v>
      </c>
      <c r="I96" s="331" t="s">
        <v>5475</v>
      </c>
      <c r="J96" s="331" t="s">
        <v>21</v>
      </c>
      <c r="K96" s="331" t="s">
        <v>5476</v>
      </c>
      <c r="L96" s="329"/>
      <c r="M96" s="329">
        <v>6</v>
      </c>
      <c r="N96" s="329">
        <v>0</v>
      </c>
      <c r="O96" s="329">
        <v>3.1219999999999999</v>
      </c>
      <c r="P96" s="329"/>
      <c r="Q96" s="333">
        <v>43770.568055555559</v>
      </c>
      <c r="R96" s="329"/>
      <c r="S96" s="333">
        <v>43783</v>
      </c>
      <c r="T96" s="329">
        <v>55</v>
      </c>
      <c r="U96" s="333">
        <v>43783</v>
      </c>
      <c r="V96" s="333">
        <v>44109</v>
      </c>
      <c r="W96" s="329" t="b">
        <v>1</v>
      </c>
      <c r="X96" s="331" t="s">
        <v>906</v>
      </c>
      <c r="Y96" s="329">
        <v>748</v>
      </c>
      <c r="Z96" s="331" t="s">
        <v>25</v>
      </c>
      <c r="AA96" s="331" t="s">
        <v>919</v>
      </c>
      <c r="AB96" s="331" t="s">
        <v>920</v>
      </c>
      <c r="AC96" s="331" t="s">
        <v>720</v>
      </c>
      <c r="AD96" s="331" t="s">
        <v>24</v>
      </c>
      <c r="AE96" s="329">
        <v>221</v>
      </c>
      <c r="AF96" s="331" t="s">
        <v>254</v>
      </c>
      <c r="AG96" s="329"/>
      <c r="AH96" s="329">
        <v>17</v>
      </c>
      <c r="AI96" s="331" t="s">
        <v>280</v>
      </c>
      <c r="AJ96" s="331" t="s">
        <v>281</v>
      </c>
      <c r="AK96" s="331" t="s">
        <v>289</v>
      </c>
      <c r="AL96" s="331" t="s">
        <v>274</v>
      </c>
      <c r="AM96" s="331" t="s">
        <v>289</v>
      </c>
      <c r="AN96" s="331" t="s">
        <v>273</v>
      </c>
      <c r="AO96" s="331" t="s">
        <v>299</v>
      </c>
      <c r="AP96" s="329"/>
      <c r="AQ96" s="329"/>
      <c r="AR96" s="329"/>
      <c r="AS96" s="329"/>
      <c r="AT96" s="329" t="s">
        <v>833</v>
      </c>
      <c r="AU96" s="329" t="s">
        <v>283</v>
      </c>
      <c r="AV96" s="331" t="s">
        <v>21</v>
      </c>
      <c r="AW96" s="329"/>
      <c r="AX96" s="329"/>
      <c r="AY96" s="329"/>
      <c r="AZ96" s="329"/>
      <c r="BA96" s="329"/>
      <c r="BB96" s="329"/>
      <c r="BC96" s="329"/>
      <c r="BD96" s="329"/>
      <c r="BE96" s="329" t="s">
        <v>257</v>
      </c>
      <c r="BF96" s="329" t="s">
        <v>834</v>
      </c>
      <c r="BG96" s="329"/>
      <c r="BH96" s="329"/>
      <c r="BI96" s="329" t="s">
        <v>334</v>
      </c>
      <c r="BJ96" s="329" t="s">
        <v>831</v>
      </c>
      <c r="BK96" s="329">
        <v>56400</v>
      </c>
      <c r="BL96" s="329"/>
      <c r="BM96" s="331" t="s">
        <v>278</v>
      </c>
      <c r="BN96" s="329" t="s">
        <v>260</v>
      </c>
      <c r="BO96" s="333">
        <v>43783</v>
      </c>
      <c r="BP96" s="329"/>
      <c r="BQ96" s="329"/>
      <c r="BR96" s="329"/>
      <c r="BS96" s="329"/>
      <c r="BT96" s="329"/>
      <c r="BU96" s="331" t="s">
        <v>261</v>
      </c>
      <c r="BV96" s="329"/>
      <c r="BW96" s="329"/>
      <c r="BX96" s="329"/>
      <c r="BY96" s="331" t="s">
        <v>3646</v>
      </c>
      <c r="BZ96" s="331" t="s">
        <v>3647</v>
      </c>
      <c r="CA96" s="331" t="s">
        <v>703</v>
      </c>
      <c r="CB96" s="331" t="s">
        <v>21</v>
      </c>
      <c r="CC96" s="331" t="s">
        <v>704</v>
      </c>
    </row>
    <row r="97" spans="1:81" x14ac:dyDescent="0.25">
      <c r="A97" s="329">
        <v>198061</v>
      </c>
      <c r="B97" s="331" t="s">
        <v>5478</v>
      </c>
      <c r="C97" s="329">
        <v>35499</v>
      </c>
      <c r="D97" s="331" t="s">
        <v>436</v>
      </c>
      <c r="E97" s="331" t="s">
        <v>406</v>
      </c>
      <c r="F97" s="331" t="s">
        <v>5479</v>
      </c>
      <c r="G97" s="331" t="s">
        <v>5480</v>
      </c>
      <c r="H97" s="331" t="s">
        <v>5481</v>
      </c>
      <c r="I97" s="331" t="s">
        <v>5482</v>
      </c>
      <c r="J97" s="331" t="s">
        <v>251</v>
      </c>
      <c r="K97" s="331" t="s">
        <v>5483</v>
      </c>
      <c r="L97" s="329"/>
      <c r="M97" s="329">
        <v>6</v>
      </c>
      <c r="N97" s="329">
        <v>0</v>
      </c>
      <c r="O97" s="329">
        <v>3.37</v>
      </c>
      <c r="P97" s="329"/>
      <c r="Q97" s="333">
        <v>43732.838888888888</v>
      </c>
      <c r="R97" s="329"/>
      <c r="S97" s="333">
        <v>43783</v>
      </c>
      <c r="T97" s="329">
        <v>55</v>
      </c>
      <c r="U97" s="333">
        <v>43783</v>
      </c>
      <c r="V97" s="333">
        <v>44109</v>
      </c>
      <c r="W97" s="329" t="b">
        <v>1</v>
      </c>
      <c r="X97" s="331" t="s">
        <v>22</v>
      </c>
      <c r="Y97" s="329">
        <v>429</v>
      </c>
      <c r="Z97" s="331" t="s">
        <v>23</v>
      </c>
      <c r="AA97" s="331" t="s">
        <v>919</v>
      </c>
      <c r="AB97" s="331" t="s">
        <v>920</v>
      </c>
      <c r="AC97" s="331" t="s">
        <v>346</v>
      </c>
      <c r="AD97" s="331" t="s">
        <v>24</v>
      </c>
      <c r="AE97" s="329">
        <v>221</v>
      </c>
      <c r="AF97" s="331" t="s">
        <v>254</v>
      </c>
      <c r="AG97" s="329"/>
      <c r="AH97" s="329">
        <v>17</v>
      </c>
      <c r="AI97" s="331" t="s">
        <v>280</v>
      </c>
      <c r="AJ97" s="331" t="s">
        <v>281</v>
      </c>
      <c r="AK97" s="329"/>
      <c r="AL97" s="329"/>
      <c r="AM97" s="329"/>
      <c r="AN97" s="329"/>
      <c r="AO97" s="329"/>
      <c r="AP97" s="331" t="s">
        <v>293</v>
      </c>
      <c r="AQ97" s="329">
        <v>490</v>
      </c>
      <c r="AR97" s="329">
        <v>540</v>
      </c>
      <c r="AS97" s="329"/>
      <c r="AT97" s="329" t="s">
        <v>856</v>
      </c>
      <c r="AU97" s="329" t="s">
        <v>283</v>
      </c>
      <c r="AV97" s="331" t="s">
        <v>251</v>
      </c>
      <c r="AW97" s="329"/>
      <c r="AX97" s="329"/>
      <c r="AY97" s="329"/>
      <c r="AZ97" s="329"/>
      <c r="BA97" s="329"/>
      <c r="BB97" s="329"/>
      <c r="BC97" s="329"/>
      <c r="BD97" s="329"/>
      <c r="BE97" s="329" t="s">
        <v>257</v>
      </c>
      <c r="BF97" s="329" t="s">
        <v>838</v>
      </c>
      <c r="BG97" s="329"/>
      <c r="BH97" s="329"/>
      <c r="BI97" s="329"/>
      <c r="BJ97" s="329"/>
      <c r="BK97" s="329">
        <v>15600</v>
      </c>
      <c r="BL97" s="329"/>
      <c r="BM97" s="331" t="s">
        <v>259</v>
      </c>
      <c r="BN97" s="329" t="s">
        <v>260</v>
      </c>
      <c r="BO97" s="333">
        <v>43783</v>
      </c>
      <c r="BP97" s="329"/>
      <c r="BQ97" s="329"/>
      <c r="BR97" s="329"/>
      <c r="BS97" s="329"/>
      <c r="BT97" s="329"/>
      <c r="BU97" s="331" t="s">
        <v>261</v>
      </c>
      <c r="BV97" s="329"/>
      <c r="BW97" s="329"/>
      <c r="BX97" s="329"/>
      <c r="BY97" s="331" t="s">
        <v>5484</v>
      </c>
      <c r="BZ97" s="331" t="s">
        <v>5485</v>
      </c>
      <c r="CA97" s="331" t="s">
        <v>5486</v>
      </c>
      <c r="CB97" s="331" t="s">
        <v>251</v>
      </c>
      <c r="CC97" s="331" t="s">
        <v>5487</v>
      </c>
    </row>
    <row r="98" spans="1:81" x14ac:dyDescent="0.25">
      <c r="A98" s="329">
        <v>199477</v>
      </c>
      <c r="B98" s="331" t="s">
        <v>5488</v>
      </c>
      <c r="C98" s="329">
        <v>35579</v>
      </c>
      <c r="D98" s="331" t="s">
        <v>436</v>
      </c>
      <c r="E98" s="331" t="s">
        <v>5489</v>
      </c>
      <c r="F98" s="331" t="s">
        <v>5490</v>
      </c>
      <c r="G98" s="331" t="s">
        <v>5491</v>
      </c>
      <c r="H98" s="331" t="s">
        <v>5492</v>
      </c>
      <c r="I98" s="331" t="s">
        <v>5493</v>
      </c>
      <c r="J98" s="331" t="s">
        <v>21</v>
      </c>
      <c r="K98" s="331" t="s">
        <v>5494</v>
      </c>
      <c r="L98" s="329"/>
      <c r="M98" s="329">
        <v>6</v>
      </c>
      <c r="N98" s="329">
        <v>0</v>
      </c>
      <c r="O98" s="329">
        <v>2.8546999999999998</v>
      </c>
      <c r="P98" s="329"/>
      <c r="Q98" s="333">
        <v>43642.283333333333</v>
      </c>
      <c r="R98" s="329"/>
      <c r="S98" s="333">
        <v>43783</v>
      </c>
      <c r="T98" s="329">
        <v>55</v>
      </c>
      <c r="U98" s="333">
        <v>43783</v>
      </c>
      <c r="V98" s="333">
        <v>44109</v>
      </c>
      <c r="W98" s="329" t="b">
        <v>1</v>
      </c>
      <c r="X98" s="331" t="s">
        <v>187</v>
      </c>
      <c r="Y98" s="329">
        <v>718</v>
      </c>
      <c r="Z98" s="331" t="s">
        <v>25</v>
      </c>
      <c r="AA98" s="331" t="s">
        <v>407</v>
      </c>
      <c r="AB98" s="331" t="s">
        <v>408</v>
      </c>
      <c r="AC98" s="331" t="s">
        <v>720</v>
      </c>
      <c r="AD98" s="331" t="s">
        <v>24</v>
      </c>
      <c r="AE98" s="329">
        <v>221</v>
      </c>
      <c r="AF98" s="331" t="s">
        <v>254</v>
      </c>
      <c r="AG98" s="329"/>
      <c r="AH98" s="329">
        <v>17</v>
      </c>
      <c r="AI98" s="331" t="s">
        <v>280</v>
      </c>
      <c r="AJ98" s="331" t="s">
        <v>281</v>
      </c>
      <c r="AK98" s="329"/>
      <c r="AL98" s="329"/>
      <c r="AM98" s="329"/>
      <c r="AN98" s="329"/>
      <c r="AO98" s="329"/>
      <c r="AP98" s="329"/>
      <c r="AQ98" s="329"/>
      <c r="AR98" s="329"/>
      <c r="AS98" s="329"/>
      <c r="AT98" s="329" t="s">
        <v>258</v>
      </c>
      <c r="AU98" s="329" t="s">
        <v>963</v>
      </c>
      <c r="AV98" s="331" t="s">
        <v>21</v>
      </c>
      <c r="AW98" s="329"/>
      <c r="AX98" s="329"/>
      <c r="AY98" s="329"/>
      <c r="AZ98" s="329"/>
      <c r="BA98" s="329"/>
      <c r="BB98" s="329"/>
      <c r="BC98" s="329"/>
      <c r="BD98" s="329"/>
      <c r="BE98" s="329"/>
      <c r="BF98" s="329"/>
      <c r="BG98" s="329"/>
      <c r="BH98" s="329"/>
      <c r="BI98" s="329" t="s">
        <v>334</v>
      </c>
      <c r="BJ98" s="329" t="s">
        <v>831</v>
      </c>
      <c r="BK98" s="329">
        <v>36000</v>
      </c>
      <c r="BL98" s="329"/>
      <c r="BM98" s="331" t="s">
        <v>323</v>
      </c>
      <c r="BN98" s="329" t="s">
        <v>260</v>
      </c>
      <c r="BO98" s="333">
        <v>43783</v>
      </c>
      <c r="BP98" s="329"/>
      <c r="BQ98" s="329"/>
      <c r="BR98" s="329"/>
      <c r="BS98" s="329"/>
      <c r="BT98" s="329"/>
      <c r="BU98" s="331" t="s">
        <v>261</v>
      </c>
      <c r="BV98" s="329"/>
      <c r="BW98" s="329"/>
      <c r="BX98" s="329"/>
      <c r="BY98" s="331" t="s">
        <v>5393</v>
      </c>
      <c r="BZ98" s="331" t="s">
        <v>5394</v>
      </c>
      <c r="CA98" s="331" t="s">
        <v>799</v>
      </c>
      <c r="CB98" s="331" t="s">
        <v>21</v>
      </c>
      <c r="CC98" s="331" t="s">
        <v>5395</v>
      </c>
    </row>
    <row r="99" spans="1:81" x14ac:dyDescent="0.25">
      <c r="A99" s="329">
        <v>198356</v>
      </c>
      <c r="B99" s="331" t="s">
        <v>5495</v>
      </c>
      <c r="C99" s="329">
        <v>35240</v>
      </c>
      <c r="D99" s="331" t="s">
        <v>5496</v>
      </c>
      <c r="E99" s="331" t="s">
        <v>5497</v>
      </c>
      <c r="F99" s="331" t="s">
        <v>5498</v>
      </c>
      <c r="G99" s="331" t="s">
        <v>5499</v>
      </c>
      <c r="H99" s="331" t="s">
        <v>5500</v>
      </c>
      <c r="I99" s="331" t="s">
        <v>5501</v>
      </c>
      <c r="J99" s="331" t="s">
        <v>279</v>
      </c>
      <c r="K99" s="331" t="s">
        <v>5502</v>
      </c>
      <c r="L99" s="329"/>
      <c r="M99" s="329">
        <v>6</v>
      </c>
      <c r="N99" s="329">
        <v>0</v>
      </c>
      <c r="O99" s="329">
        <v>3.4</v>
      </c>
      <c r="P99" s="329"/>
      <c r="Q99" s="333">
        <v>43733.630601851852</v>
      </c>
      <c r="R99" s="329"/>
      <c r="S99" s="333">
        <v>43783</v>
      </c>
      <c r="T99" s="329">
        <v>55</v>
      </c>
      <c r="U99" s="333">
        <v>43783</v>
      </c>
      <c r="V99" s="333">
        <v>44109</v>
      </c>
      <c r="W99" s="329" t="b">
        <v>1</v>
      </c>
      <c r="X99" s="331" t="s">
        <v>905</v>
      </c>
      <c r="Y99" s="329">
        <v>747</v>
      </c>
      <c r="Z99" s="331" t="s">
        <v>23</v>
      </c>
      <c r="AA99" s="331" t="s">
        <v>919</v>
      </c>
      <c r="AB99" s="331" t="s">
        <v>920</v>
      </c>
      <c r="AC99" s="331" t="s">
        <v>1750</v>
      </c>
      <c r="AD99" s="331" t="s">
        <v>24</v>
      </c>
      <c r="AE99" s="329">
        <v>221</v>
      </c>
      <c r="AF99" s="331" t="s">
        <v>254</v>
      </c>
      <c r="AG99" s="329"/>
      <c r="AH99" s="329">
        <v>17</v>
      </c>
      <c r="AI99" s="331" t="s">
        <v>280</v>
      </c>
      <c r="AJ99" s="331" t="s">
        <v>281</v>
      </c>
      <c r="AK99" s="331" t="s">
        <v>289</v>
      </c>
      <c r="AL99" s="331" t="s">
        <v>289</v>
      </c>
      <c r="AM99" s="331" t="s">
        <v>301</v>
      </c>
      <c r="AN99" s="331" t="s">
        <v>286</v>
      </c>
      <c r="AO99" s="331" t="s">
        <v>275</v>
      </c>
      <c r="AP99" s="331" t="s">
        <v>302</v>
      </c>
      <c r="AQ99" s="329">
        <v>245</v>
      </c>
      <c r="AR99" s="329">
        <v>31</v>
      </c>
      <c r="AS99" s="329"/>
      <c r="AT99" s="329" t="s">
        <v>840</v>
      </c>
      <c r="AU99" s="329" t="s">
        <v>283</v>
      </c>
      <c r="AV99" s="331" t="s">
        <v>279</v>
      </c>
      <c r="AW99" s="329"/>
      <c r="AX99" s="329"/>
      <c r="AY99" s="329"/>
      <c r="AZ99" s="329"/>
      <c r="BA99" s="329"/>
      <c r="BB99" s="329"/>
      <c r="BC99" s="329"/>
      <c r="BD99" s="329"/>
      <c r="BE99" s="329" t="s">
        <v>257</v>
      </c>
      <c r="BF99" s="329" t="s">
        <v>836</v>
      </c>
      <c r="BG99" s="329"/>
      <c r="BH99" s="329"/>
      <c r="BI99" s="329"/>
      <c r="BJ99" s="329"/>
      <c r="BK99" s="329">
        <v>18000</v>
      </c>
      <c r="BL99" s="329"/>
      <c r="BM99" s="331" t="s">
        <v>310</v>
      </c>
      <c r="BN99" s="329" t="s">
        <v>260</v>
      </c>
      <c r="BO99" s="333">
        <v>43783</v>
      </c>
      <c r="BP99" s="329"/>
      <c r="BQ99" s="329"/>
      <c r="BR99" s="329"/>
      <c r="BS99" s="329"/>
      <c r="BT99" s="329"/>
      <c r="BU99" s="331" t="s">
        <v>261</v>
      </c>
      <c r="BV99" s="329"/>
      <c r="BW99" s="329"/>
      <c r="BX99" s="329"/>
      <c r="BY99" s="331" t="s">
        <v>5503</v>
      </c>
      <c r="BZ99" s="331" t="s">
        <v>5504</v>
      </c>
      <c r="CA99" s="331" t="s">
        <v>5505</v>
      </c>
      <c r="CB99" s="331" t="s">
        <v>279</v>
      </c>
      <c r="CC99" s="331" t="s">
        <v>5506</v>
      </c>
    </row>
    <row r="100" spans="1:81" x14ac:dyDescent="0.25">
      <c r="A100" s="329">
        <v>199374</v>
      </c>
      <c r="B100" s="331" t="s">
        <v>5509</v>
      </c>
      <c r="C100" s="329">
        <v>35543</v>
      </c>
      <c r="D100" s="331" t="s">
        <v>5510</v>
      </c>
      <c r="E100" s="331" t="s">
        <v>5511</v>
      </c>
      <c r="F100" s="331" t="s">
        <v>5512</v>
      </c>
      <c r="G100" s="331" t="s">
        <v>5513</v>
      </c>
      <c r="H100" s="331" t="s">
        <v>5514</v>
      </c>
      <c r="I100" s="331" t="s">
        <v>5515</v>
      </c>
      <c r="J100" s="331" t="s">
        <v>292</v>
      </c>
      <c r="K100" s="331" t="s">
        <v>5516</v>
      </c>
      <c r="L100" s="329"/>
      <c r="M100" s="329">
        <v>6</v>
      </c>
      <c r="N100" s="329">
        <v>0</v>
      </c>
      <c r="O100" s="329">
        <v>3.1395300000000002</v>
      </c>
      <c r="P100" s="329"/>
      <c r="Q100" s="333">
        <v>43642.663194444445</v>
      </c>
      <c r="R100" s="329"/>
      <c r="S100" s="333">
        <v>43783</v>
      </c>
      <c r="T100" s="329">
        <v>55</v>
      </c>
      <c r="U100" s="333">
        <v>43783</v>
      </c>
      <c r="V100" s="333">
        <v>44109</v>
      </c>
      <c r="W100" s="329" t="b">
        <v>1</v>
      </c>
      <c r="X100" s="331" t="s">
        <v>187</v>
      </c>
      <c r="Y100" s="329">
        <v>718</v>
      </c>
      <c r="Z100" s="331" t="s">
        <v>23</v>
      </c>
      <c r="AA100" s="331" t="s">
        <v>919</v>
      </c>
      <c r="AB100" s="331" t="s">
        <v>920</v>
      </c>
      <c r="AC100" s="331" t="s">
        <v>1011</v>
      </c>
      <c r="AD100" s="331" t="s">
        <v>24</v>
      </c>
      <c r="AE100" s="329">
        <v>221</v>
      </c>
      <c r="AF100" s="331" t="s">
        <v>254</v>
      </c>
      <c r="AG100" s="329"/>
      <c r="AH100" s="329">
        <v>17</v>
      </c>
      <c r="AI100" s="331" t="s">
        <v>280</v>
      </c>
      <c r="AJ100" s="331" t="s">
        <v>281</v>
      </c>
      <c r="AK100" s="329"/>
      <c r="AL100" s="329"/>
      <c r="AM100" s="329"/>
      <c r="AN100" s="329"/>
      <c r="AO100" s="329"/>
      <c r="AP100" s="329"/>
      <c r="AQ100" s="329"/>
      <c r="AR100" s="329"/>
      <c r="AS100" s="329"/>
      <c r="AT100" s="329" t="s">
        <v>258</v>
      </c>
      <c r="AU100" s="329" t="s">
        <v>567</v>
      </c>
      <c r="AV100" s="331" t="s">
        <v>292</v>
      </c>
      <c r="AW100" s="329"/>
      <c r="AX100" s="329"/>
      <c r="AY100" s="329"/>
      <c r="AZ100" s="329"/>
      <c r="BA100" s="329"/>
      <c r="BB100" s="329"/>
      <c r="BC100" s="329"/>
      <c r="BD100" s="329"/>
      <c r="BE100" s="329"/>
      <c r="BF100" s="329"/>
      <c r="BG100" s="329"/>
      <c r="BH100" s="329"/>
      <c r="BI100" s="329"/>
      <c r="BJ100" s="329"/>
      <c r="BK100" s="329">
        <v>0</v>
      </c>
      <c r="BL100" s="329"/>
      <c r="BM100" s="331" t="s">
        <v>323</v>
      </c>
      <c r="BN100" s="329" t="s">
        <v>260</v>
      </c>
      <c r="BO100" s="333">
        <v>43783</v>
      </c>
      <c r="BP100" s="329"/>
      <c r="BQ100" s="329"/>
      <c r="BR100" s="329"/>
      <c r="BS100" s="329"/>
      <c r="BT100" s="329"/>
      <c r="BU100" s="331" t="s">
        <v>261</v>
      </c>
      <c r="BV100" s="329"/>
      <c r="BW100" s="329"/>
      <c r="BX100" s="329"/>
      <c r="BY100" s="331" t="s">
        <v>5517</v>
      </c>
      <c r="BZ100" s="331" t="s">
        <v>5518</v>
      </c>
      <c r="CA100" s="331" t="s">
        <v>5519</v>
      </c>
      <c r="CB100" s="331" t="s">
        <v>292</v>
      </c>
      <c r="CC100" s="331" t="s">
        <v>5520</v>
      </c>
    </row>
    <row r="101" spans="1:81" x14ac:dyDescent="0.25">
      <c r="A101" s="329">
        <v>199197</v>
      </c>
      <c r="B101" s="331" t="s">
        <v>5522</v>
      </c>
      <c r="C101" s="329">
        <v>35482</v>
      </c>
      <c r="D101" s="331" t="s">
        <v>5523</v>
      </c>
      <c r="E101" s="331" t="s">
        <v>5524</v>
      </c>
      <c r="F101" s="331" t="s">
        <v>5525</v>
      </c>
      <c r="G101" s="331" t="s">
        <v>5526</v>
      </c>
      <c r="H101" s="331" t="s">
        <v>5527</v>
      </c>
      <c r="I101" s="331" t="s">
        <v>2463</v>
      </c>
      <c r="J101" s="331" t="s">
        <v>20</v>
      </c>
      <c r="K101" s="331" t="s">
        <v>5528</v>
      </c>
      <c r="L101" s="329"/>
      <c r="M101" s="329">
        <v>6</v>
      </c>
      <c r="N101" s="329">
        <v>0</v>
      </c>
      <c r="O101" s="329">
        <v>3.26</v>
      </c>
      <c r="P101" s="329"/>
      <c r="Q101" s="333">
        <v>43581.864583333336</v>
      </c>
      <c r="R101" s="329"/>
      <c r="S101" s="333">
        <v>43783</v>
      </c>
      <c r="T101" s="329">
        <v>55</v>
      </c>
      <c r="U101" s="333">
        <v>43783</v>
      </c>
      <c r="V101" s="333">
        <v>44109</v>
      </c>
      <c r="W101" s="329" t="b">
        <v>1</v>
      </c>
      <c r="X101" s="331" t="s">
        <v>22</v>
      </c>
      <c r="Y101" s="329">
        <v>429</v>
      </c>
      <c r="Z101" s="331" t="s">
        <v>23</v>
      </c>
      <c r="AA101" s="331" t="s">
        <v>919</v>
      </c>
      <c r="AB101" s="331" t="s">
        <v>920</v>
      </c>
      <c r="AC101" s="331" t="s">
        <v>1329</v>
      </c>
      <c r="AD101" s="331" t="s">
        <v>24</v>
      </c>
      <c r="AE101" s="329">
        <v>221</v>
      </c>
      <c r="AF101" s="331" t="s">
        <v>254</v>
      </c>
      <c r="AG101" s="329"/>
      <c r="AH101" s="329">
        <v>17</v>
      </c>
      <c r="AI101" s="331" t="s">
        <v>280</v>
      </c>
      <c r="AJ101" s="331" t="s">
        <v>281</v>
      </c>
      <c r="AK101" s="329"/>
      <c r="AL101" s="329"/>
      <c r="AM101" s="329"/>
      <c r="AN101" s="329"/>
      <c r="AO101" s="329"/>
      <c r="AP101" s="329"/>
      <c r="AQ101" s="329"/>
      <c r="AR101" s="329"/>
      <c r="AS101" s="329"/>
      <c r="AT101" s="329" t="s">
        <v>258</v>
      </c>
      <c r="AU101" s="329" t="s">
        <v>283</v>
      </c>
      <c r="AV101" s="331" t="s">
        <v>20</v>
      </c>
      <c r="AW101" s="329"/>
      <c r="AX101" s="329"/>
      <c r="AY101" s="329"/>
      <c r="AZ101" s="329"/>
      <c r="BA101" s="329"/>
      <c r="BB101" s="329"/>
      <c r="BC101" s="329"/>
      <c r="BD101" s="329"/>
      <c r="BE101" s="329"/>
      <c r="BF101" s="329"/>
      <c r="BG101" s="329"/>
      <c r="BH101" s="329"/>
      <c r="BI101" s="329"/>
      <c r="BJ101" s="329"/>
      <c r="BK101" s="329">
        <v>0</v>
      </c>
      <c r="BL101" s="329"/>
      <c r="BM101" s="331" t="s">
        <v>267</v>
      </c>
      <c r="BN101" s="329" t="s">
        <v>260</v>
      </c>
      <c r="BO101" s="333">
        <v>43783</v>
      </c>
      <c r="BP101" s="329"/>
      <c r="BQ101" s="329"/>
      <c r="BR101" s="329"/>
      <c r="BS101" s="329"/>
      <c r="BT101" s="329"/>
      <c r="BU101" s="331" t="s">
        <v>261</v>
      </c>
      <c r="BV101" s="329"/>
      <c r="BW101" s="329"/>
      <c r="BX101" s="329"/>
      <c r="BY101" s="331" t="s">
        <v>5529</v>
      </c>
      <c r="BZ101" s="331" t="s">
        <v>5530</v>
      </c>
      <c r="CA101" s="331" t="s">
        <v>2463</v>
      </c>
      <c r="CB101" s="331" t="s">
        <v>20</v>
      </c>
      <c r="CC101" s="331" t="s">
        <v>5528</v>
      </c>
    </row>
    <row r="102" spans="1:81" x14ac:dyDescent="0.25">
      <c r="A102" s="329">
        <v>196303</v>
      </c>
      <c r="B102" s="331" t="s">
        <v>5532</v>
      </c>
      <c r="C102" s="329">
        <v>34606</v>
      </c>
      <c r="D102" s="331" t="s">
        <v>697</v>
      </c>
      <c r="E102" s="331" t="s">
        <v>5533</v>
      </c>
      <c r="F102" s="331" t="s">
        <v>5534</v>
      </c>
      <c r="G102" s="331" t="s">
        <v>5535</v>
      </c>
      <c r="H102" s="331" t="s">
        <v>5536</v>
      </c>
      <c r="I102" s="331" t="s">
        <v>5537</v>
      </c>
      <c r="J102" s="331" t="s">
        <v>298</v>
      </c>
      <c r="K102" s="331" t="s">
        <v>5538</v>
      </c>
      <c r="L102" s="329"/>
      <c r="M102" s="329">
        <v>6</v>
      </c>
      <c r="N102" s="329">
        <v>0</v>
      </c>
      <c r="O102" s="329">
        <v>2.37</v>
      </c>
      <c r="P102" s="329"/>
      <c r="Q102" s="333">
        <v>43591.729861111111</v>
      </c>
      <c r="R102" s="329"/>
      <c r="S102" s="333">
        <v>43783</v>
      </c>
      <c r="T102" s="329">
        <v>55</v>
      </c>
      <c r="U102" s="333">
        <v>43783</v>
      </c>
      <c r="V102" s="333">
        <v>44109</v>
      </c>
      <c r="W102" s="329" t="b">
        <v>1</v>
      </c>
      <c r="X102" s="331" t="s">
        <v>22</v>
      </c>
      <c r="Y102" s="329">
        <v>429</v>
      </c>
      <c r="Z102" s="331" t="s">
        <v>23</v>
      </c>
      <c r="AA102" s="331" t="s">
        <v>919</v>
      </c>
      <c r="AB102" s="331" t="s">
        <v>920</v>
      </c>
      <c r="AC102" s="331" t="s">
        <v>1329</v>
      </c>
      <c r="AD102" s="331" t="s">
        <v>24</v>
      </c>
      <c r="AE102" s="329">
        <v>221</v>
      </c>
      <c r="AF102" s="331" t="s">
        <v>254</v>
      </c>
      <c r="AG102" s="329"/>
      <c r="AH102" s="329">
        <v>17</v>
      </c>
      <c r="AI102" s="331" t="s">
        <v>280</v>
      </c>
      <c r="AJ102" s="331" t="s">
        <v>281</v>
      </c>
      <c r="AK102" s="329"/>
      <c r="AL102" s="329"/>
      <c r="AM102" s="329"/>
      <c r="AN102" s="329"/>
      <c r="AO102" s="329"/>
      <c r="AP102" s="331" t="s">
        <v>721</v>
      </c>
      <c r="AQ102" s="329">
        <v>540</v>
      </c>
      <c r="AR102" s="329">
        <v>560</v>
      </c>
      <c r="AS102" s="329"/>
      <c r="AT102" s="329" t="s">
        <v>382</v>
      </c>
      <c r="AU102" s="329" t="s">
        <v>283</v>
      </c>
      <c r="AV102" s="331" t="s">
        <v>298</v>
      </c>
      <c r="AW102" s="329"/>
      <c r="AX102" s="329"/>
      <c r="AY102" s="329"/>
      <c r="AZ102" s="329"/>
      <c r="BA102" s="329"/>
      <c r="BB102" s="329"/>
      <c r="BC102" s="329"/>
      <c r="BD102" s="329"/>
      <c r="BE102" s="329"/>
      <c r="BF102" s="329"/>
      <c r="BG102" s="329"/>
      <c r="BH102" s="329"/>
      <c r="BI102" s="329"/>
      <c r="BJ102" s="329"/>
      <c r="BK102" s="329">
        <v>0</v>
      </c>
      <c r="BL102" s="329"/>
      <c r="BM102" s="331" t="s">
        <v>323</v>
      </c>
      <c r="BN102" s="329" t="s">
        <v>260</v>
      </c>
      <c r="BO102" s="333">
        <v>43783</v>
      </c>
      <c r="BP102" s="329"/>
      <c r="BQ102" s="329"/>
      <c r="BR102" s="329"/>
      <c r="BS102" s="329"/>
      <c r="BT102" s="329"/>
      <c r="BU102" s="331" t="s">
        <v>261</v>
      </c>
      <c r="BV102" s="329"/>
      <c r="BW102" s="329"/>
      <c r="BX102" s="329"/>
      <c r="BY102" s="331" t="s">
        <v>5539</v>
      </c>
      <c r="BZ102" s="331" t="s">
        <v>5540</v>
      </c>
      <c r="CA102" s="331" t="s">
        <v>5541</v>
      </c>
      <c r="CB102" s="331" t="s">
        <v>298</v>
      </c>
      <c r="CC102" s="331" t="s">
        <v>5542</v>
      </c>
    </row>
    <row r="103" spans="1:81" x14ac:dyDescent="0.25">
      <c r="A103" s="329">
        <v>198759</v>
      </c>
      <c r="B103" s="331" t="s">
        <v>5543</v>
      </c>
      <c r="C103" s="329">
        <v>35521</v>
      </c>
      <c r="D103" s="331" t="s">
        <v>5544</v>
      </c>
      <c r="E103" s="331" t="s">
        <v>182</v>
      </c>
      <c r="F103" s="331" t="s">
        <v>5545</v>
      </c>
      <c r="G103" s="331" t="s">
        <v>5546</v>
      </c>
      <c r="H103" s="331" t="s">
        <v>5547</v>
      </c>
      <c r="I103" s="331" t="s">
        <v>5548</v>
      </c>
      <c r="J103" s="331" t="s">
        <v>187</v>
      </c>
      <c r="K103" s="331" t="s">
        <v>5549</v>
      </c>
      <c r="L103" s="329"/>
      <c r="M103" s="329">
        <v>6</v>
      </c>
      <c r="N103" s="329">
        <v>0</v>
      </c>
      <c r="O103" s="329">
        <v>3.78</v>
      </c>
      <c r="P103" s="329"/>
      <c r="Q103" s="333">
        <v>43753.579861111109</v>
      </c>
      <c r="R103" s="329"/>
      <c r="S103" s="333">
        <v>43783</v>
      </c>
      <c r="T103" s="329">
        <v>55</v>
      </c>
      <c r="U103" s="333">
        <v>43783</v>
      </c>
      <c r="V103" s="333">
        <v>44109</v>
      </c>
      <c r="W103" s="329" t="b">
        <v>1</v>
      </c>
      <c r="X103" s="331" t="s">
        <v>187</v>
      </c>
      <c r="Y103" s="329">
        <v>718</v>
      </c>
      <c r="Z103" s="331" t="s">
        <v>23</v>
      </c>
      <c r="AA103" s="331" t="s">
        <v>919</v>
      </c>
      <c r="AB103" s="331" t="s">
        <v>920</v>
      </c>
      <c r="AC103" s="331" t="s">
        <v>5550</v>
      </c>
      <c r="AD103" s="331" t="s">
        <v>24</v>
      </c>
      <c r="AE103" s="329">
        <v>221</v>
      </c>
      <c r="AF103" s="331" t="s">
        <v>254</v>
      </c>
      <c r="AG103" s="329"/>
      <c r="AH103" s="329">
        <v>17</v>
      </c>
      <c r="AI103" s="331" t="s">
        <v>280</v>
      </c>
      <c r="AJ103" s="331" t="s">
        <v>281</v>
      </c>
      <c r="AK103" s="329"/>
      <c r="AL103" s="329"/>
      <c r="AM103" s="329"/>
      <c r="AN103" s="329"/>
      <c r="AO103" s="329"/>
      <c r="AP103" s="329"/>
      <c r="AQ103" s="329"/>
      <c r="AR103" s="329"/>
      <c r="AS103" s="329"/>
      <c r="AT103" s="329" t="s">
        <v>258</v>
      </c>
      <c r="AU103" s="329" t="s">
        <v>256</v>
      </c>
      <c r="AV103" s="331" t="s">
        <v>187</v>
      </c>
      <c r="AW103" s="329"/>
      <c r="AX103" s="329"/>
      <c r="AY103" s="329"/>
      <c r="AZ103" s="329"/>
      <c r="BA103" s="329"/>
      <c r="BB103" s="329"/>
      <c r="BC103" s="329"/>
      <c r="BD103" s="329"/>
      <c r="BE103" s="329" t="s">
        <v>257</v>
      </c>
      <c r="BF103" s="329" t="s">
        <v>837</v>
      </c>
      <c r="BG103" s="329"/>
      <c r="BH103" s="329"/>
      <c r="BI103" s="329"/>
      <c r="BJ103" s="329"/>
      <c r="BK103" s="329">
        <v>15000</v>
      </c>
      <c r="BL103" s="329"/>
      <c r="BM103" s="331" t="s">
        <v>295</v>
      </c>
      <c r="BN103" s="329" t="s">
        <v>260</v>
      </c>
      <c r="BO103" s="333">
        <v>43783</v>
      </c>
      <c r="BP103" s="329"/>
      <c r="BQ103" s="329"/>
      <c r="BR103" s="329"/>
      <c r="BS103" s="329"/>
      <c r="BT103" s="329"/>
      <c r="BU103" s="331" t="s">
        <v>261</v>
      </c>
      <c r="BV103" s="329"/>
      <c r="BW103" s="329"/>
      <c r="BX103" s="329"/>
      <c r="BY103" s="331" t="s">
        <v>5551</v>
      </c>
      <c r="BZ103" s="331" t="s">
        <v>5552</v>
      </c>
      <c r="CA103" s="331" t="s">
        <v>5553</v>
      </c>
      <c r="CB103" s="331" t="s">
        <v>187</v>
      </c>
      <c r="CC103" s="331" t="s">
        <v>5549</v>
      </c>
    </row>
    <row r="104" spans="1:81" x14ac:dyDescent="0.25">
      <c r="A104" s="329">
        <v>199273</v>
      </c>
      <c r="B104" s="331" t="s">
        <v>5554</v>
      </c>
      <c r="C104" s="329">
        <v>35513</v>
      </c>
      <c r="D104" s="331" t="s">
        <v>3971</v>
      </c>
      <c r="E104" s="331" t="s">
        <v>5555</v>
      </c>
      <c r="F104" s="331" t="s">
        <v>5556</v>
      </c>
      <c r="G104" s="331" t="s">
        <v>5557</v>
      </c>
      <c r="H104" s="331" t="s">
        <v>5558</v>
      </c>
      <c r="I104" s="331" t="s">
        <v>2028</v>
      </c>
      <c r="J104" s="331" t="s">
        <v>251</v>
      </c>
      <c r="K104" s="331" t="s">
        <v>2029</v>
      </c>
      <c r="L104" s="329"/>
      <c r="M104" s="329">
        <v>6</v>
      </c>
      <c r="N104" s="329">
        <v>0</v>
      </c>
      <c r="O104" s="329">
        <v>2.88</v>
      </c>
      <c r="P104" s="329"/>
      <c r="Q104" s="333">
        <v>43712.73333333333</v>
      </c>
      <c r="R104" s="329"/>
      <c r="S104" s="333">
        <v>43783</v>
      </c>
      <c r="T104" s="329">
        <v>55</v>
      </c>
      <c r="U104" s="333">
        <v>43783</v>
      </c>
      <c r="V104" s="333">
        <v>44109</v>
      </c>
      <c r="W104" s="329" t="b">
        <v>1</v>
      </c>
      <c r="X104" s="331" t="s">
        <v>22</v>
      </c>
      <c r="Y104" s="329">
        <v>429</v>
      </c>
      <c r="Z104" s="331" t="s">
        <v>25</v>
      </c>
      <c r="AA104" s="331" t="s">
        <v>919</v>
      </c>
      <c r="AB104" s="331" t="s">
        <v>920</v>
      </c>
      <c r="AC104" s="331" t="s">
        <v>2315</v>
      </c>
      <c r="AD104" s="331" t="s">
        <v>24</v>
      </c>
      <c r="AE104" s="329">
        <v>221</v>
      </c>
      <c r="AF104" s="331" t="s">
        <v>254</v>
      </c>
      <c r="AG104" s="329"/>
      <c r="AH104" s="329">
        <v>17</v>
      </c>
      <c r="AI104" s="331" t="s">
        <v>280</v>
      </c>
      <c r="AJ104" s="331" t="s">
        <v>281</v>
      </c>
      <c r="AK104" s="329"/>
      <c r="AL104" s="329"/>
      <c r="AM104" s="329"/>
      <c r="AN104" s="329"/>
      <c r="AO104" s="329"/>
      <c r="AP104" s="329"/>
      <c r="AQ104" s="329"/>
      <c r="AR104" s="329"/>
      <c r="AS104" s="329"/>
      <c r="AT104" s="329" t="s">
        <v>258</v>
      </c>
      <c r="AU104" s="329" t="s">
        <v>283</v>
      </c>
      <c r="AV104" s="331" t="s">
        <v>251</v>
      </c>
      <c r="AW104" s="329"/>
      <c r="AX104" s="329"/>
      <c r="AY104" s="329"/>
      <c r="AZ104" s="329"/>
      <c r="BA104" s="329"/>
      <c r="BB104" s="329"/>
      <c r="BC104" s="329"/>
      <c r="BD104" s="329"/>
      <c r="BE104" s="329"/>
      <c r="BF104" s="329"/>
      <c r="BG104" s="329"/>
      <c r="BH104" s="329"/>
      <c r="BI104" s="329"/>
      <c r="BJ104" s="329"/>
      <c r="BK104" s="329">
        <v>0</v>
      </c>
      <c r="BL104" s="329"/>
      <c r="BM104" s="331" t="s">
        <v>323</v>
      </c>
      <c r="BN104" s="329" t="s">
        <v>260</v>
      </c>
      <c r="BO104" s="333">
        <v>43783</v>
      </c>
      <c r="BP104" s="329"/>
      <c r="BQ104" s="329"/>
      <c r="BR104" s="329"/>
      <c r="BS104" s="329"/>
      <c r="BT104" s="329"/>
      <c r="BU104" s="331" t="s">
        <v>261</v>
      </c>
      <c r="BV104" s="329"/>
      <c r="BW104" s="329"/>
      <c r="BX104" s="329"/>
      <c r="BY104" s="331" t="s">
        <v>5559</v>
      </c>
      <c r="BZ104" s="331" t="s">
        <v>5560</v>
      </c>
      <c r="CA104" s="331" t="s">
        <v>5561</v>
      </c>
      <c r="CB104" s="331" t="s">
        <v>251</v>
      </c>
      <c r="CC104" s="331" t="s">
        <v>5562</v>
      </c>
    </row>
    <row r="105" spans="1:81" x14ac:dyDescent="0.25">
      <c r="A105" s="329">
        <v>198663</v>
      </c>
      <c r="B105" s="331" t="s">
        <v>5563</v>
      </c>
      <c r="C105" s="329">
        <v>35348</v>
      </c>
      <c r="D105" s="331" t="s">
        <v>5564</v>
      </c>
      <c r="E105" s="331" t="s">
        <v>5565</v>
      </c>
      <c r="F105" s="331" t="s">
        <v>5566</v>
      </c>
      <c r="G105" s="331" t="s">
        <v>5567</v>
      </c>
      <c r="H105" s="331" t="s">
        <v>5568</v>
      </c>
      <c r="I105" s="331" t="s">
        <v>701</v>
      </c>
      <c r="J105" s="331" t="s">
        <v>21</v>
      </c>
      <c r="K105" s="331" t="s">
        <v>891</v>
      </c>
      <c r="L105" s="329"/>
      <c r="M105" s="329">
        <v>6</v>
      </c>
      <c r="N105" s="329">
        <v>0</v>
      </c>
      <c r="O105" s="329">
        <v>3.512</v>
      </c>
      <c r="P105" s="329"/>
      <c r="Q105" s="333">
        <v>43750.637499999997</v>
      </c>
      <c r="R105" s="329"/>
      <c r="S105" s="333">
        <v>43783</v>
      </c>
      <c r="T105" s="329">
        <v>55</v>
      </c>
      <c r="U105" s="333">
        <v>43783</v>
      </c>
      <c r="V105" s="333">
        <v>44109</v>
      </c>
      <c r="W105" s="329" t="b">
        <v>1</v>
      </c>
      <c r="X105" s="331" t="s">
        <v>906</v>
      </c>
      <c r="Y105" s="329">
        <v>748</v>
      </c>
      <c r="Z105" s="331" t="s">
        <v>25</v>
      </c>
      <c r="AA105" s="331" t="s">
        <v>5569</v>
      </c>
      <c r="AB105" s="331" t="s">
        <v>5570</v>
      </c>
      <c r="AC105" s="331" t="s">
        <v>357</v>
      </c>
      <c r="AD105" s="331" t="s">
        <v>24</v>
      </c>
      <c r="AE105" s="329">
        <v>221</v>
      </c>
      <c r="AF105" s="331" t="s">
        <v>254</v>
      </c>
      <c r="AG105" s="329"/>
      <c r="AH105" s="329">
        <v>17</v>
      </c>
      <c r="AI105" s="331" t="s">
        <v>280</v>
      </c>
      <c r="AJ105" s="331" t="s">
        <v>281</v>
      </c>
      <c r="AK105" s="331" t="s">
        <v>331</v>
      </c>
      <c r="AL105" s="331" t="s">
        <v>299</v>
      </c>
      <c r="AM105" s="331" t="s">
        <v>301</v>
      </c>
      <c r="AN105" s="331" t="s">
        <v>301</v>
      </c>
      <c r="AO105" s="331" t="s">
        <v>328</v>
      </c>
      <c r="AP105" s="329"/>
      <c r="AQ105" s="329"/>
      <c r="AR105" s="329"/>
      <c r="AS105" s="329"/>
      <c r="AT105" s="329" t="s">
        <v>400</v>
      </c>
      <c r="AU105" s="329" t="s">
        <v>256</v>
      </c>
      <c r="AV105" s="331" t="s">
        <v>21</v>
      </c>
      <c r="AW105" s="329"/>
      <c r="AX105" s="329"/>
      <c r="AY105" s="329"/>
      <c r="AZ105" s="329"/>
      <c r="BA105" s="329"/>
      <c r="BB105" s="329"/>
      <c r="BC105" s="329"/>
      <c r="BD105" s="329"/>
      <c r="BE105" s="329" t="s">
        <v>257</v>
      </c>
      <c r="BF105" s="329" t="s">
        <v>837</v>
      </c>
      <c r="BG105" s="329"/>
      <c r="BH105" s="329"/>
      <c r="BI105" s="329" t="s">
        <v>334</v>
      </c>
      <c r="BJ105" s="329" t="s">
        <v>831</v>
      </c>
      <c r="BK105" s="329">
        <v>51000</v>
      </c>
      <c r="BL105" s="329"/>
      <c r="BM105" s="331" t="s">
        <v>295</v>
      </c>
      <c r="BN105" s="329" t="s">
        <v>260</v>
      </c>
      <c r="BO105" s="333">
        <v>43783</v>
      </c>
      <c r="BP105" s="329"/>
      <c r="BQ105" s="329"/>
      <c r="BR105" s="329"/>
      <c r="BS105" s="329"/>
      <c r="BT105" s="329"/>
      <c r="BU105" s="331" t="s">
        <v>261</v>
      </c>
      <c r="BV105" s="329"/>
      <c r="BW105" s="329"/>
      <c r="BX105" s="329"/>
      <c r="BY105" s="331" t="s">
        <v>5571</v>
      </c>
      <c r="BZ105" s="331" t="s">
        <v>5572</v>
      </c>
      <c r="CA105" s="331" t="s">
        <v>5573</v>
      </c>
      <c r="CB105" s="331" t="s">
        <v>21</v>
      </c>
      <c r="CC105" s="331" t="s">
        <v>5574</v>
      </c>
    </row>
    <row r="106" spans="1:81" x14ac:dyDescent="0.25">
      <c r="A106" s="329">
        <v>199067</v>
      </c>
      <c r="B106" s="331" t="s">
        <v>5575</v>
      </c>
      <c r="C106" s="329">
        <v>35511</v>
      </c>
      <c r="D106" s="331" t="s">
        <v>373</v>
      </c>
      <c r="E106" s="331" t="s">
        <v>262</v>
      </c>
      <c r="F106" s="331" t="s">
        <v>5576</v>
      </c>
      <c r="G106" s="331" t="s">
        <v>5577</v>
      </c>
      <c r="H106" s="331" t="s">
        <v>5578</v>
      </c>
      <c r="I106" s="331" t="s">
        <v>445</v>
      </c>
      <c r="J106" s="331" t="s">
        <v>21</v>
      </c>
      <c r="K106" s="331" t="s">
        <v>5579</v>
      </c>
      <c r="L106" s="329"/>
      <c r="M106" s="329">
        <v>6</v>
      </c>
      <c r="N106" s="329">
        <v>0</v>
      </c>
      <c r="O106" s="329">
        <v>3.76</v>
      </c>
      <c r="P106" s="329"/>
      <c r="Q106" s="333">
        <v>43763.018750000003</v>
      </c>
      <c r="R106" s="329"/>
      <c r="S106" s="333">
        <v>43783</v>
      </c>
      <c r="T106" s="329">
        <v>55</v>
      </c>
      <c r="U106" s="333">
        <v>43783</v>
      </c>
      <c r="V106" s="333">
        <v>44109</v>
      </c>
      <c r="W106" s="329" t="b">
        <v>1</v>
      </c>
      <c r="X106" s="331" t="s">
        <v>22</v>
      </c>
      <c r="Y106" s="329">
        <v>429</v>
      </c>
      <c r="Z106" s="331" t="s">
        <v>23</v>
      </c>
      <c r="AA106" s="331" t="s">
        <v>919</v>
      </c>
      <c r="AB106" s="331" t="s">
        <v>920</v>
      </c>
      <c r="AC106" s="331" t="s">
        <v>364</v>
      </c>
      <c r="AD106" s="331" t="s">
        <v>24</v>
      </c>
      <c r="AE106" s="329">
        <v>221</v>
      </c>
      <c r="AF106" s="331" t="s">
        <v>254</v>
      </c>
      <c r="AG106" s="329"/>
      <c r="AH106" s="329">
        <v>17</v>
      </c>
      <c r="AI106" s="331" t="s">
        <v>280</v>
      </c>
      <c r="AJ106" s="331" t="s">
        <v>281</v>
      </c>
      <c r="AK106" s="331" t="s">
        <v>331</v>
      </c>
      <c r="AL106" s="331" t="s">
        <v>328</v>
      </c>
      <c r="AM106" s="331" t="s">
        <v>328</v>
      </c>
      <c r="AN106" s="331" t="s">
        <v>330</v>
      </c>
      <c r="AO106" s="331" t="s">
        <v>301</v>
      </c>
      <c r="AP106" s="329"/>
      <c r="AQ106" s="329"/>
      <c r="AR106" s="329"/>
      <c r="AS106" s="329"/>
      <c r="AT106" s="329" t="s">
        <v>833</v>
      </c>
      <c r="AU106" s="329" t="s">
        <v>283</v>
      </c>
      <c r="AV106" s="331" t="s">
        <v>21</v>
      </c>
      <c r="AW106" s="329"/>
      <c r="AX106" s="329"/>
      <c r="AY106" s="329"/>
      <c r="AZ106" s="329"/>
      <c r="BA106" s="329"/>
      <c r="BB106" s="329"/>
      <c r="BC106" s="329"/>
      <c r="BD106" s="329"/>
      <c r="BE106" s="329" t="s">
        <v>257</v>
      </c>
      <c r="BF106" s="329" t="s">
        <v>836</v>
      </c>
      <c r="BG106" s="329"/>
      <c r="BH106" s="329"/>
      <c r="BI106" s="329"/>
      <c r="BJ106" s="329"/>
      <c r="BK106" s="329">
        <v>18000</v>
      </c>
      <c r="BL106" s="329"/>
      <c r="BM106" s="331" t="s">
        <v>310</v>
      </c>
      <c r="BN106" s="329" t="s">
        <v>260</v>
      </c>
      <c r="BO106" s="333">
        <v>43783</v>
      </c>
      <c r="BP106" s="329"/>
      <c r="BQ106" s="329"/>
      <c r="BR106" s="329"/>
      <c r="BS106" s="329"/>
      <c r="BT106" s="329"/>
      <c r="BU106" s="331" t="s">
        <v>261</v>
      </c>
      <c r="BV106" s="329"/>
      <c r="BW106" s="329"/>
      <c r="BX106" s="329"/>
      <c r="BY106" s="331" t="s">
        <v>5430</v>
      </c>
      <c r="BZ106" s="331" t="s">
        <v>5431</v>
      </c>
      <c r="CA106" s="331" t="s">
        <v>5432</v>
      </c>
      <c r="CB106" s="331" t="s">
        <v>21</v>
      </c>
      <c r="CC106" s="331" t="s">
        <v>575</v>
      </c>
    </row>
    <row r="107" spans="1:81" x14ac:dyDescent="0.25">
      <c r="A107" s="329">
        <v>198858</v>
      </c>
      <c r="B107" s="331" t="s">
        <v>5580</v>
      </c>
      <c r="C107" s="329">
        <v>35392</v>
      </c>
      <c r="D107" s="331" t="s">
        <v>5581</v>
      </c>
      <c r="E107" s="331" t="s">
        <v>5582</v>
      </c>
      <c r="F107" s="331" t="s">
        <v>5583</v>
      </c>
      <c r="G107" s="331" t="s">
        <v>5584</v>
      </c>
      <c r="H107" s="331" t="s">
        <v>5585</v>
      </c>
      <c r="I107" s="331" t="s">
        <v>5586</v>
      </c>
      <c r="J107" s="331" t="s">
        <v>288</v>
      </c>
      <c r="K107" s="331" t="s">
        <v>5587</v>
      </c>
      <c r="L107" s="329"/>
      <c r="M107" s="329">
        <v>6</v>
      </c>
      <c r="N107" s="329">
        <v>0</v>
      </c>
      <c r="O107" s="329">
        <v>2.0089999999999999</v>
      </c>
      <c r="P107" s="329"/>
      <c r="Q107" s="333">
        <v>43755.756944444445</v>
      </c>
      <c r="R107" s="329"/>
      <c r="S107" s="333">
        <v>43783</v>
      </c>
      <c r="T107" s="329">
        <v>55</v>
      </c>
      <c r="U107" s="333">
        <v>43783</v>
      </c>
      <c r="V107" s="333">
        <v>44109</v>
      </c>
      <c r="W107" s="329" t="b">
        <v>1</v>
      </c>
      <c r="X107" s="331" t="s">
        <v>187</v>
      </c>
      <c r="Y107" s="329">
        <v>718</v>
      </c>
      <c r="Z107" s="331" t="s">
        <v>23</v>
      </c>
      <c r="AA107" s="331" t="s">
        <v>919</v>
      </c>
      <c r="AB107" s="331" t="s">
        <v>920</v>
      </c>
      <c r="AC107" s="331" t="s">
        <v>1688</v>
      </c>
      <c r="AD107" s="331" t="s">
        <v>592</v>
      </c>
      <c r="AE107" s="329">
        <v>222</v>
      </c>
      <c r="AF107" s="331" t="s">
        <v>254</v>
      </c>
      <c r="AG107" s="329"/>
      <c r="AH107" s="329">
        <v>17</v>
      </c>
      <c r="AI107" s="331" t="s">
        <v>280</v>
      </c>
      <c r="AJ107" s="331" t="s">
        <v>281</v>
      </c>
      <c r="AK107" s="329"/>
      <c r="AL107" s="329"/>
      <c r="AM107" s="329"/>
      <c r="AN107" s="329"/>
      <c r="AO107" s="329"/>
      <c r="AP107" s="329"/>
      <c r="AQ107" s="329"/>
      <c r="AR107" s="329"/>
      <c r="AS107" s="329"/>
      <c r="AT107" s="329" t="s">
        <v>258</v>
      </c>
      <c r="AU107" s="329" t="s">
        <v>256</v>
      </c>
      <c r="AV107" s="331" t="s">
        <v>288</v>
      </c>
      <c r="AW107" s="329"/>
      <c r="AX107" s="329"/>
      <c r="AY107" s="329"/>
      <c r="AZ107" s="329"/>
      <c r="BA107" s="329"/>
      <c r="BB107" s="329"/>
      <c r="BC107" s="329"/>
      <c r="BD107" s="329"/>
      <c r="BE107" s="329"/>
      <c r="BF107" s="329"/>
      <c r="BG107" s="329"/>
      <c r="BH107" s="329"/>
      <c r="BI107" s="329"/>
      <c r="BJ107" s="329"/>
      <c r="BK107" s="329">
        <v>0</v>
      </c>
      <c r="BL107" s="329"/>
      <c r="BM107" s="331" t="s">
        <v>323</v>
      </c>
      <c r="BN107" s="329" t="s">
        <v>260</v>
      </c>
      <c r="BO107" s="333">
        <v>43783</v>
      </c>
      <c r="BP107" s="329"/>
      <c r="BQ107" s="329"/>
      <c r="BR107" s="329"/>
      <c r="BS107" s="329"/>
      <c r="BT107" s="329"/>
      <c r="BU107" s="331" t="s">
        <v>261</v>
      </c>
      <c r="BV107" s="329"/>
      <c r="BW107" s="329"/>
      <c r="BX107" s="329"/>
      <c r="BY107" s="331" t="s">
        <v>5588</v>
      </c>
      <c r="BZ107" s="331" t="s">
        <v>5589</v>
      </c>
      <c r="CA107" s="331" t="s">
        <v>5590</v>
      </c>
      <c r="CB107" s="331" t="s">
        <v>288</v>
      </c>
      <c r="CC107" s="331" t="s">
        <v>5591</v>
      </c>
    </row>
    <row r="108" spans="1:81" x14ac:dyDescent="0.25">
      <c r="A108" s="329">
        <v>199188</v>
      </c>
      <c r="B108" s="331" t="s">
        <v>4908</v>
      </c>
      <c r="C108" s="329">
        <v>35480</v>
      </c>
      <c r="D108" s="331" t="s">
        <v>4909</v>
      </c>
      <c r="E108" s="331" t="s">
        <v>4910</v>
      </c>
      <c r="F108" s="331" t="s">
        <v>4911</v>
      </c>
      <c r="G108" s="331" t="s">
        <v>4912</v>
      </c>
      <c r="H108" s="331" t="s">
        <v>4913</v>
      </c>
      <c r="I108" s="331" t="s">
        <v>4914</v>
      </c>
      <c r="J108" s="331" t="s">
        <v>292</v>
      </c>
      <c r="K108" s="331" t="s">
        <v>4915</v>
      </c>
      <c r="L108" s="329"/>
      <c r="M108" s="329">
        <v>6</v>
      </c>
      <c r="N108" s="329">
        <v>0</v>
      </c>
      <c r="O108" s="329">
        <v>3.8519999999999999</v>
      </c>
      <c r="P108" s="329"/>
      <c r="Q108" s="333">
        <v>43768.629861111112</v>
      </c>
      <c r="R108" s="329"/>
      <c r="S108" s="333">
        <v>43777</v>
      </c>
      <c r="T108" s="329">
        <v>55</v>
      </c>
      <c r="U108" s="333">
        <v>43777</v>
      </c>
      <c r="V108" s="333">
        <v>44109</v>
      </c>
      <c r="W108" s="329" t="b">
        <v>1</v>
      </c>
      <c r="X108" s="331" t="s">
        <v>187</v>
      </c>
      <c r="Y108" s="329">
        <v>718</v>
      </c>
      <c r="Z108" s="331" t="s">
        <v>23</v>
      </c>
      <c r="AA108" s="331" t="s">
        <v>919</v>
      </c>
      <c r="AB108" s="331" t="s">
        <v>920</v>
      </c>
      <c r="AC108" s="331" t="s">
        <v>372</v>
      </c>
      <c r="AD108" s="331" t="s">
        <v>24</v>
      </c>
      <c r="AE108" s="329">
        <v>221</v>
      </c>
      <c r="AF108" s="331" t="s">
        <v>254</v>
      </c>
      <c r="AG108" s="329"/>
      <c r="AH108" s="329">
        <v>17</v>
      </c>
      <c r="AI108" s="331" t="s">
        <v>280</v>
      </c>
      <c r="AJ108" s="331" t="s">
        <v>281</v>
      </c>
      <c r="AK108" s="329"/>
      <c r="AL108" s="329"/>
      <c r="AM108" s="329"/>
      <c r="AN108" s="329"/>
      <c r="AO108" s="329"/>
      <c r="AP108" s="331" t="s">
        <v>508</v>
      </c>
      <c r="AQ108" s="329">
        <v>570</v>
      </c>
      <c r="AR108" s="329">
        <v>620</v>
      </c>
      <c r="AS108" s="329"/>
      <c r="AT108" s="329" t="s">
        <v>379</v>
      </c>
      <c r="AU108" s="329" t="s">
        <v>283</v>
      </c>
      <c r="AV108" s="331" t="s">
        <v>292</v>
      </c>
      <c r="AW108" s="329"/>
      <c r="AX108" s="329"/>
      <c r="AY108" s="329"/>
      <c r="AZ108" s="329"/>
      <c r="BA108" s="329"/>
      <c r="BB108" s="329"/>
      <c r="BC108" s="329"/>
      <c r="BD108" s="329"/>
      <c r="BE108" s="329" t="s">
        <v>257</v>
      </c>
      <c r="BF108" s="329" t="s">
        <v>834</v>
      </c>
      <c r="BG108" s="329"/>
      <c r="BH108" s="329"/>
      <c r="BI108" s="329"/>
      <c r="BJ108" s="329"/>
      <c r="BK108" s="329">
        <v>20400</v>
      </c>
      <c r="BL108" s="329"/>
      <c r="BM108" s="331" t="s">
        <v>278</v>
      </c>
      <c r="BN108" s="329" t="s">
        <v>260</v>
      </c>
      <c r="BO108" s="333">
        <v>43777</v>
      </c>
      <c r="BP108" s="329"/>
      <c r="BQ108" s="329"/>
      <c r="BR108" s="329"/>
      <c r="BS108" s="329"/>
      <c r="BT108" s="329"/>
      <c r="BU108" s="331" t="s">
        <v>261</v>
      </c>
      <c r="BV108" s="329"/>
      <c r="BW108" s="329"/>
      <c r="BX108" s="329"/>
      <c r="BY108" s="331" t="s">
        <v>4523</v>
      </c>
      <c r="BZ108" s="331" t="s">
        <v>4524</v>
      </c>
      <c r="CA108" s="331" t="s">
        <v>2773</v>
      </c>
      <c r="CB108" s="331" t="s">
        <v>292</v>
      </c>
      <c r="CC108" s="331" t="s">
        <v>4525</v>
      </c>
    </row>
    <row r="109" spans="1:81" x14ac:dyDescent="0.25">
      <c r="A109" s="329">
        <v>199218</v>
      </c>
      <c r="B109" s="331" t="s">
        <v>4916</v>
      </c>
      <c r="C109" s="329">
        <v>35526</v>
      </c>
      <c r="D109" s="331" t="s">
        <v>4917</v>
      </c>
      <c r="E109" s="331" t="s">
        <v>4918</v>
      </c>
      <c r="F109" s="331" t="s">
        <v>4919</v>
      </c>
      <c r="G109" s="331" t="s">
        <v>4920</v>
      </c>
      <c r="H109" s="331" t="s">
        <v>4921</v>
      </c>
      <c r="I109" s="331" t="s">
        <v>4922</v>
      </c>
      <c r="J109" s="331" t="s">
        <v>496</v>
      </c>
      <c r="K109" s="331" t="s">
        <v>4923</v>
      </c>
      <c r="L109" s="329"/>
      <c r="M109" s="329">
        <v>6</v>
      </c>
      <c r="N109" s="329">
        <v>0</v>
      </c>
      <c r="O109" s="329">
        <v>3.9</v>
      </c>
      <c r="P109" s="329"/>
      <c r="Q109" s="333">
        <v>43769.677083333336</v>
      </c>
      <c r="R109" s="329"/>
      <c r="S109" s="333">
        <v>43777</v>
      </c>
      <c r="T109" s="329">
        <v>55</v>
      </c>
      <c r="U109" s="333">
        <v>43777</v>
      </c>
      <c r="V109" s="333">
        <v>44109</v>
      </c>
      <c r="W109" s="329" t="b">
        <v>1</v>
      </c>
      <c r="X109" s="331" t="s">
        <v>905</v>
      </c>
      <c r="Y109" s="329">
        <v>747</v>
      </c>
      <c r="Z109" s="331" t="s">
        <v>23</v>
      </c>
      <c r="AA109" s="331" t="s">
        <v>919</v>
      </c>
      <c r="AB109" s="331" t="s">
        <v>920</v>
      </c>
      <c r="AC109" s="331" t="s">
        <v>4924</v>
      </c>
      <c r="AD109" s="331" t="s">
        <v>24</v>
      </c>
      <c r="AE109" s="329">
        <v>221</v>
      </c>
      <c r="AF109" s="331" t="s">
        <v>254</v>
      </c>
      <c r="AG109" s="329"/>
      <c r="AH109" s="329">
        <v>17</v>
      </c>
      <c r="AI109" s="331" t="s">
        <v>280</v>
      </c>
      <c r="AJ109" s="331" t="s">
        <v>281</v>
      </c>
      <c r="AK109" s="329"/>
      <c r="AL109" s="329"/>
      <c r="AM109" s="329"/>
      <c r="AN109" s="329"/>
      <c r="AO109" s="329"/>
      <c r="AP109" s="331" t="s">
        <v>391</v>
      </c>
      <c r="AQ109" s="329">
        <v>680</v>
      </c>
      <c r="AR109" s="329">
        <v>600</v>
      </c>
      <c r="AS109" s="329"/>
      <c r="AT109" s="329" t="s">
        <v>843</v>
      </c>
      <c r="AU109" s="329" t="s">
        <v>283</v>
      </c>
      <c r="AV109" s="331" t="s">
        <v>496</v>
      </c>
      <c r="AW109" s="329"/>
      <c r="AX109" s="329"/>
      <c r="AY109" s="329"/>
      <c r="AZ109" s="329"/>
      <c r="BA109" s="329"/>
      <c r="BB109" s="329"/>
      <c r="BC109" s="329"/>
      <c r="BD109" s="329"/>
      <c r="BE109" s="329" t="s">
        <v>257</v>
      </c>
      <c r="BF109" s="329" t="s">
        <v>834</v>
      </c>
      <c r="BG109" s="329"/>
      <c r="BH109" s="329"/>
      <c r="BI109" s="329"/>
      <c r="BJ109" s="329"/>
      <c r="BK109" s="329">
        <v>20400</v>
      </c>
      <c r="BL109" s="329"/>
      <c r="BM109" s="331" t="s">
        <v>278</v>
      </c>
      <c r="BN109" s="329" t="s">
        <v>260</v>
      </c>
      <c r="BO109" s="333">
        <v>43777</v>
      </c>
      <c r="BP109" s="329"/>
      <c r="BQ109" s="329"/>
      <c r="BR109" s="329"/>
      <c r="BS109" s="329"/>
      <c r="BT109" s="329"/>
      <c r="BU109" s="331" t="s">
        <v>261</v>
      </c>
      <c r="BV109" s="329"/>
      <c r="BW109" s="329"/>
      <c r="BX109" s="329"/>
      <c r="BY109" s="331" t="s">
        <v>4925</v>
      </c>
      <c r="BZ109" s="331" t="s">
        <v>4926</v>
      </c>
      <c r="CA109" s="331" t="s">
        <v>4922</v>
      </c>
      <c r="CB109" s="331" t="s">
        <v>496</v>
      </c>
      <c r="CC109" s="331" t="s">
        <v>4923</v>
      </c>
    </row>
    <row r="110" spans="1:81" x14ac:dyDescent="0.25">
      <c r="A110" s="329">
        <v>195208</v>
      </c>
      <c r="B110" s="331" t="s">
        <v>4927</v>
      </c>
      <c r="C110" s="329">
        <v>34264</v>
      </c>
      <c r="D110" s="331" t="s">
        <v>4928</v>
      </c>
      <c r="E110" s="331" t="s">
        <v>4929</v>
      </c>
      <c r="F110" s="331" t="s">
        <v>4930</v>
      </c>
      <c r="G110" s="331" t="s">
        <v>4931</v>
      </c>
      <c r="H110" s="331" t="s">
        <v>4932</v>
      </c>
      <c r="I110" s="331" t="s">
        <v>520</v>
      </c>
      <c r="J110" s="331" t="s">
        <v>496</v>
      </c>
      <c r="K110" s="331" t="s">
        <v>4933</v>
      </c>
      <c r="L110" s="329"/>
      <c r="M110" s="329">
        <v>6</v>
      </c>
      <c r="N110" s="329">
        <v>0</v>
      </c>
      <c r="O110" s="329">
        <v>2.9285999999999999</v>
      </c>
      <c r="P110" s="329"/>
      <c r="Q110" s="333">
        <v>43600.409722222219</v>
      </c>
      <c r="R110" s="329"/>
      <c r="S110" s="333">
        <v>43777</v>
      </c>
      <c r="T110" s="329">
        <v>55</v>
      </c>
      <c r="U110" s="333">
        <v>43777</v>
      </c>
      <c r="V110" s="333">
        <v>44109</v>
      </c>
      <c r="W110" s="329" t="b">
        <v>1</v>
      </c>
      <c r="X110" s="331" t="s">
        <v>187</v>
      </c>
      <c r="Y110" s="329">
        <v>718</v>
      </c>
      <c r="Z110" s="331" t="s">
        <v>25</v>
      </c>
      <c r="AA110" s="331" t="s">
        <v>919</v>
      </c>
      <c r="AB110" s="331" t="s">
        <v>920</v>
      </c>
      <c r="AC110" s="331" t="s">
        <v>1264</v>
      </c>
      <c r="AD110" s="331" t="s">
        <v>24</v>
      </c>
      <c r="AE110" s="329">
        <v>221</v>
      </c>
      <c r="AF110" s="331" t="s">
        <v>254</v>
      </c>
      <c r="AG110" s="329"/>
      <c r="AH110" s="329">
        <v>17</v>
      </c>
      <c r="AI110" s="331" t="s">
        <v>280</v>
      </c>
      <c r="AJ110" s="331" t="s">
        <v>281</v>
      </c>
      <c r="AK110" s="329"/>
      <c r="AL110" s="329"/>
      <c r="AM110" s="329"/>
      <c r="AN110" s="329"/>
      <c r="AO110" s="329"/>
      <c r="AP110" s="331" t="s">
        <v>832</v>
      </c>
      <c r="AQ110" s="329">
        <v>550</v>
      </c>
      <c r="AR110" s="329">
        <v>540</v>
      </c>
      <c r="AS110" s="329"/>
      <c r="AT110" s="329" t="s">
        <v>466</v>
      </c>
      <c r="AU110" s="329" t="s">
        <v>256</v>
      </c>
      <c r="AV110" s="331" t="s">
        <v>496</v>
      </c>
      <c r="AW110" s="329"/>
      <c r="AX110" s="329"/>
      <c r="AY110" s="329"/>
      <c r="AZ110" s="329"/>
      <c r="BA110" s="329"/>
      <c r="BB110" s="329"/>
      <c r="BC110" s="329"/>
      <c r="BD110" s="329"/>
      <c r="BE110" s="329" t="s">
        <v>257</v>
      </c>
      <c r="BF110" s="329" t="s">
        <v>830</v>
      </c>
      <c r="BG110" s="329"/>
      <c r="BH110" s="329"/>
      <c r="BI110" s="329"/>
      <c r="BJ110" s="329"/>
      <c r="BK110" s="329">
        <v>12000</v>
      </c>
      <c r="BL110" s="329"/>
      <c r="BM110" s="331" t="s">
        <v>26</v>
      </c>
      <c r="BN110" s="329" t="s">
        <v>260</v>
      </c>
      <c r="BO110" s="333">
        <v>43777</v>
      </c>
      <c r="BP110" s="329"/>
      <c r="BQ110" s="329"/>
      <c r="BR110" s="329"/>
      <c r="BS110" s="329"/>
      <c r="BT110" s="329"/>
      <c r="BU110" s="331" t="s">
        <v>261</v>
      </c>
      <c r="BV110" s="329"/>
      <c r="BW110" s="329"/>
      <c r="BX110" s="329"/>
      <c r="BY110" s="331" t="s">
        <v>4934</v>
      </c>
      <c r="BZ110" s="331" t="s">
        <v>4935</v>
      </c>
      <c r="CA110" s="331" t="s">
        <v>4936</v>
      </c>
      <c r="CB110" s="331" t="s">
        <v>496</v>
      </c>
      <c r="CC110" s="331" t="s">
        <v>4937</v>
      </c>
    </row>
    <row r="111" spans="1:81" x14ac:dyDescent="0.25">
      <c r="A111" s="329">
        <v>198689</v>
      </c>
      <c r="B111" s="331" t="s">
        <v>4938</v>
      </c>
      <c r="C111" s="329">
        <v>35354</v>
      </c>
      <c r="D111" s="331" t="s">
        <v>4939</v>
      </c>
      <c r="E111" s="331" t="s">
        <v>4026</v>
      </c>
      <c r="F111" s="331" t="s">
        <v>4940</v>
      </c>
      <c r="G111" s="331" t="s">
        <v>4941</v>
      </c>
      <c r="H111" s="331" t="s">
        <v>4942</v>
      </c>
      <c r="I111" s="331" t="s">
        <v>4943</v>
      </c>
      <c r="J111" s="331" t="s">
        <v>480</v>
      </c>
      <c r="K111" s="331" t="s">
        <v>4944</v>
      </c>
      <c r="L111" s="329"/>
      <c r="M111" s="329">
        <v>6</v>
      </c>
      <c r="N111" s="329">
        <v>0</v>
      </c>
      <c r="O111" s="329">
        <v>2.3809999999999998</v>
      </c>
      <c r="P111" s="329"/>
      <c r="Q111" s="333">
        <v>43633.799305555556</v>
      </c>
      <c r="R111" s="329"/>
      <c r="S111" s="333">
        <v>43777</v>
      </c>
      <c r="T111" s="329">
        <v>55</v>
      </c>
      <c r="U111" s="333">
        <v>43777</v>
      </c>
      <c r="V111" s="333">
        <v>44109</v>
      </c>
      <c r="W111" s="329" t="b">
        <v>1</v>
      </c>
      <c r="X111" s="331" t="s">
        <v>22</v>
      </c>
      <c r="Y111" s="329">
        <v>726</v>
      </c>
      <c r="Z111" s="331" t="s">
        <v>23</v>
      </c>
      <c r="AA111" s="331" t="s">
        <v>919</v>
      </c>
      <c r="AB111" s="331" t="s">
        <v>920</v>
      </c>
      <c r="AC111" s="331" t="s">
        <v>1372</v>
      </c>
      <c r="AD111" s="331" t="s">
        <v>24</v>
      </c>
      <c r="AE111" s="329">
        <v>221</v>
      </c>
      <c r="AF111" s="331" t="s">
        <v>254</v>
      </c>
      <c r="AG111" s="329"/>
      <c r="AH111" s="329">
        <v>17</v>
      </c>
      <c r="AI111" s="331" t="s">
        <v>280</v>
      </c>
      <c r="AJ111" s="331" t="s">
        <v>281</v>
      </c>
      <c r="AK111" s="329"/>
      <c r="AL111" s="329"/>
      <c r="AM111" s="329"/>
      <c r="AN111" s="329"/>
      <c r="AO111" s="329"/>
      <c r="AP111" s="331" t="s">
        <v>499</v>
      </c>
      <c r="AQ111" s="329">
        <v>540</v>
      </c>
      <c r="AR111" s="329">
        <v>480</v>
      </c>
      <c r="AS111" s="329"/>
      <c r="AT111" s="329" t="s">
        <v>845</v>
      </c>
      <c r="AU111" s="329" t="s">
        <v>283</v>
      </c>
      <c r="AV111" s="331" t="s">
        <v>480</v>
      </c>
      <c r="AW111" s="329"/>
      <c r="AX111" s="329"/>
      <c r="AY111" s="329"/>
      <c r="AZ111" s="329"/>
      <c r="BA111" s="329"/>
      <c r="BB111" s="329"/>
      <c r="BC111" s="329"/>
      <c r="BD111" s="329"/>
      <c r="BE111" s="329"/>
      <c r="BF111" s="329"/>
      <c r="BG111" s="329"/>
      <c r="BH111" s="329"/>
      <c r="BI111" s="329"/>
      <c r="BJ111" s="329"/>
      <c r="BK111" s="329">
        <v>0</v>
      </c>
      <c r="BL111" s="329"/>
      <c r="BM111" s="331" t="s">
        <v>323</v>
      </c>
      <c r="BN111" s="329" t="s">
        <v>260</v>
      </c>
      <c r="BO111" s="333">
        <v>43777</v>
      </c>
      <c r="BP111" s="329"/>
      <c r="BQ111" s="329"/>
      <c r="BR111" s="329"/>
      <c r="BS111" s="329"/>
      <c r="BT111" s="329"/>
      <c r="BU111" s="331" t="s">
        <v>261</v>
      </c>
      <c r="BV111" s="329"/>
      <c r="BW111" s="329"/>
      <c r="BX111" s="329"/>
      <c r="BY111" s="331" t="s">
        <v>4945</v>
      </c>
      <c r="BZ111" s="331" t="s">
        <v>4946</v>
      </c>
      <c r="CA111" s="331" t="s">
        <v>4943</v>
      </c>
      <c r="CB111" s="331" t="s">
        <v>480</v>
      </c>
      <c r="CC111" s="331" t="s">
        <v>4944</v>
      </c>
    </row>
    <row r="112" spans="1:81" x14ac:dyDescent="0.25">
      <c r="A112" s="329">
        <v>196290</v>
      </c>
      <c r="B112" s="331" t="s">
        <v>4947</v>
      </c>
      <c r="C112" s="329">
        <v>34597</v>
      </c>
      <c r="D112" s="331" t="s">
        <v>4948</v>
      </c>
      <c r="E112" s="331" t="s">
        <v>4949</v>
      </c>
      <c r="F112" s="331" t="s">
        <v>4950</v>
      </c>
      <c r="G112" s="331" t="s">
        <v>4951</v>
      </c>
      <c r="H112" s="331" t="s">
        <v>4952</v>
      </c>
      <c r="I112" s="331" t="s">
        <v>4953</v>
      </c>
      <c r="J112" s="331" t="s">
        <v>298</v>
      </c>
      <c r="K112" s="331" t="s">
        <v>4954</v>
      </c>
      <c r="L112" s="329"/>
      <c r="M112" s="329">
        <v>6</v>
      </c>
      <c r="N112" s="329">
        <v>0</v>
      </c>
      <c r="O112" s="329">
        <v>3.7368000000000001</v>
      </c>
      <c r="P112" s="329"/>
      <c r="Q112" s="333">
        <v>43699.722222222219</v>
      </c>
      <c r="R112" s="329"/>
      <c r="S112" s="333">
        <v>43777</v>
      </c>
      <c r="T112" s="329">
        <v>55</v>
      </c>
      <c r="U112" s="333">
        <v>43777</v>
      </c>
      <c r="V112" s="333">
        <v>44109</v>
      </c>
      <c r="W112" s="329" t="b">
        <v>1</v>
      </c>
      <c r="X112" s="331" t="s">
        <v>22</v>
      </c>
      <c r="Y112" s="329">
        <v>726</v>
      </c>
      <c r="Z112" s="331" t="s">
        <v>23</v>
      </c>
      <c r="AA112" s="331" t="s">
        <v>919</v>
      </c>
      <c r="AB112" s="331" t="s">
        <v>920</v>
      </c>
      <c r="AC112" s="331" t="s">
        <v>3077</v>
      </c>
      <c r="AD112" s="331" t="s">
        <v>24</v>
      </c>
      <c r="AE112" s="329">
        <v>221</v>
      </c>
      <c r="AF112" s="331" t="s">
        <v>254</v>
      </c>
      <c r="AG112" s="329"/>
      <c r="AH112" s="329">
        <v>17</v>
      </c>
      <c r="AI112" s="331" t="s">
        <v>280</v>
      </c>
      <c r="AJ112" s="331" t="s">
        <v>281</v>
      </c>
      <c r="AK112" s="329"/>
      <c r="AL112" s="329"/>
      <c r="AM112" s="329"/>
      <c r="AN112" s="329"/>
      <c r="AO112" s="329"/>
      <c r="AP112" s="331" t="s">
        <v>740</v>
      </c>
      <c r="AQ112" s="329">
        <v>500</v>
      </c>
      <c r="AR112" s="329">
        <v>470</v>
      </c>
      <c r="AS112" s="329"/>
      <c r="AT112" s="329" t="s">
        <v>309</v>
      </c>
      <c r="AU112" s="329" t="s">
        <v>256</v>
      </c>
      <c r="AV112" s="331" t="s">
        <v>298</v>
      </c>
      <c r="AW112" s="329"/>
      <c r="AX112" s="329"/>
      <c r="AY112" s="329"/>
      <c r="AZ112" s="329"/>
      <c r="BA112" s="329"/>
      <c r="BB112" s="329"/>
      <c r="BC112" s="329"/>
      <c r="BD112" s="329"/>
      <c r="BE112" s="329" t="s">
        <v>257</v>
      </c>
      <c r="BF112" s="329" t="s">
        <v>837</v>
      </c>
      <c r="BG112" s="329"/>
      <c r="BH112" s="329"/>
      <c r="BI112" s="329"/>
      <c r="BJ112" s="329"/>
      <c r="BK112" s="329">
        <v>15000</v>
      </c>
      <c r="BL112" s="329"/>
      <c r="BM112" s="331" t="s">
        <v>295</v>
      </c>
      <c r="BN112" s="329" t="s">
        <v>260</v>
      </c>
      <c r="BO112" s="333">
        <v>43777</v>
      </c>
      <c r="BP112" s="329"/>
      <c r="BQ112" s="329"/>
      <c r="BR112" s="329"/>
      <c r="BS112" s="329"/>
      <c r="BT112" s="329"/>
      <c r="BU112" s="331" t="s">
        <v>261</v>
      </c>
      <c r="BV112" s="329"/>
      <c r="BW112" s="329"/>
      <c r="BX112" s="329"/>
      <c r="BY112" s="331" t="s">
        <v>4955</v>
      </c>
      <c r="BZ112" s="331" t="s">
        <v>4956</v>
      </c>
      <c r="CA112" s="331" t="s">
        <v>4957</v>
      </c>
      <c r="CB112" s="331" t="s">
        <v>298</v>
      </c>
      <c r="CC112" s="331" t="s">
        <v>4954</v>
      </c>
    </row>
    <row r="113" spans="1:81" x14ac:dyDescent="0.25">
      <c r="A113" s="329">
        <v>199000</v>
      </c>
      <c r="B113" s="331" t="s">
        <v>4960</v>
      </c>
      <c r="C113" s="329">
        <v>35432</v>
      </c>
      <c r="D113" s="331" t="s">
        <v>4961</v>
      </c>
      <c r="E113" s="331" t="s">
        <v>4962</v>
      </c>
      <c r="F113" s="331" t="s">
        <v>4963</v>
      </c>
      <c r="G113" s="331" t="s">
        <v>4964</v>
      </c>
      <c r="H113" s="331" t="s">
        <v>4965</v>
      </c>
      <c r="I113" s="331" t="s">
        <v>3185</v>
      </c>
      <c r="J113" s="331" t="s">
        <v>292</v>
      </c>
      <c r="K113" s="331" t="s">
        <v>1772</v>
      </c>
      <c r="L113" s="329"/>
      <c r="M113" s="329">
        <v>6</v>
      </c>
      <c r="N113" s="329">
        <v>0</v>
      </c>
      <c r="O113" s="329">
        <v>3.1</v>
      </c>
      <c r="P113" s="329"/>
      <c r="Q113" s="333">
        <v>43760.864583333336</v>
      </c>
      <c r="R113" s="329"/>
      <c r="S113" s="333">
        <v>43777</v>
      </c>
      <c r="T113" s="329">
        <v>55</v>
      </c>
      <c r="U113" s="333">
        <v>43777</v>
      </c>
      <c r="V113" s="333">
        <v>44109</v>
      </c>
      <c r="W113" s="329" t="b">
        <v>1</v>
      </c>
      <c r="X113" s="331" t="s">
        <v>22</v>
      </c>
      <c r="Y113" s="329">
        <v>429</v>
      </c>
      <c r="Z113" s="331" t="s">
        <v>23</v>
      </c>
      <c r="AA113" s="331" t="s">
        <v>919</v>
      </c>
      <c r="AB113" s="331" t="s">
        <v>920</v>
      </c>
      <c r="AC113" s="331" t="s">
        <v>357</v>
      </c>
      <c r="AD113" s="331" t="s">
        <v>24</v>
      </c>
      <c r="AE113" s="329">
        <v>221</v>
      </c>
      <c r="AF113" s="331" t="s">
        <v>254</v>
      </c>
      <c r="AG113" s="329"/>
      <c r="AH113" s="329">
        <v>17</v>
      </c>
      <c r="AI113" s="331" t="s">
        <v>280</v>
      </c>
      <c r="AJ113" s="331" t="s">
        <v>281</v>
      </c>
      <c r="AK113" s="329"/>
      <c r="AL113" s="329"/>
      <c r="AM113" s="329"/>
      <c r="AN113" s="329"/>
      <c r="AO113" s="329"/>
      <c r="AP113" s="329"/>
      <c r="AQ113" s="329"/>
      <c r="AR113" s="329"/>
      <c r="AS113" s="329"/>
      <c r="AT113" s="329" t="s">
        <v>258</v>
      </c>
      <c r="AU113" s="329" t="s">
        <v>283</v>
      </c>
      <c r="AV113" s="331" t="s">
        <v>292</v>
      </c>
      <c r="AW113" s="329"/>
      <c r="AX113" s="329"/>
      <c r="AY113" s="329"/>
      <c r="AZ113" s="329"/>
      <c r="BA113" s="329"/>
      <c r="BB113" s="329"/>
      <c r="BC113" s="329"/>
      <c r="BD113" s="329"/>
      <c r="BE113" s="329"/>
      <c r="BF113" s="329"/>
      <c r="BG113" s="329"/>
      <c r="BH113" s="329"/>
      <c r="BI113" s="329"/>
      <c r="BJ113" s="329"/>
      <c r="BK113" s="329">
        <v>0</v>
      </c>
      <c r="BL113" s="329"/>
      <c r="BM113" s="331" t="s">
        <v>267</v>
      </c>
      <c r="BN113" s="329" t="s">
        <v>260</v>
      </c>
      <c r="BO113" s="333">
        <v>43777</v>
      </c>
      <c r="BP113" s="329"/>
      <c r="BQ113" s="329"/>
      <c r="BR113" s="329"/>
      <c r="BS113" s="329"/>
      <c r="BT113" s="329"/>
      <c r="BU113" s="331" t="s">
        <v>261</v>
      </c>
      <c r="BV113" s="329"/>
      <c r="BW113" s="329"/>
      <c r="BX113" s="329"/>
      <c r="BY113" s="331" t="s">
        <v>4966</v>
      </c>
      <c r="BZ113" s="331" t="s">
        <v>4967</v>
      </c>
      <c r="CA113" s="331" t="s">
        <v>4968</v>
      </c>
      <c r="CB113" s="331" t="s">
        <v>292</v>
      </c>
      <c r="CC113" s="331" t="s">
        <v>4969</v>
      </c>
    </row>
    <row r="114" spans="1:81" x14ac:dyDescent="0.25">
      <c r="A114" s="329">
        <v>198155</v>
      </c>
      <c r="B114" s="331" t="s">
        <v>4970</v>
      </c>
      <c r="C114" s="329">
        <v>35123</v>
      </c>
      <c r="D114" s="331" t="s">
        <v>4971</v>
      </c>
      <c r="E114" s="331" t="s">
        <v>4972</v>
      </c>
      <c r="F114" s="331" t="s">
        <v>4973</v>
      </c>
      <c r="G114" s="331" t="s">
        <v>4974</v>
      </c>
      <c r="H114" s="331" t="s">
        <v>4975</v>
      </c>
      <c r="I114" s="331" t="s">
        <v>543</v>
      </c>
      <c r="J114" s="331" t="s">
        <v>251</v>
      </c>
      <c r="K114" s="331" t="s">
        <v>4976</v>
      </c>
      <c r="L114" s="329"/>
      <c r="M114" s="329">
        <v>6</v>
      </c>
      <c r="N114" s="329">
        <v>0</v>
      </c>
      <c r="O114" s="329">
        <v>3.98</v>
      </c>
      <c r="P114" s="329"/>
      <c r="Q114" s="333">
        <v>43671.784722222219</v>
      </c>
      <c r="R114" s="329"/>
      <c r="S114" s="333">
        <v>43777</v>
      </c>
      <c r="T114" s="329">
        <v>55</v>
      </c>
      <c r="U114" s="333">
        <v>43777</v>
      </c>
      <c r="V114" s="333">
        <v>44109</v>
      </c>
      <c r="W114" s="329" t="b">
        <v>1</v>
      </c>
      <c r="X114" s="331" t="s">
        <v>22</v>
      </c>
      <c r="Y114" s="329">
        <v>726</v>
      </c>
      <c r="Z114" s="331" t="s">
        <v>25</v>
      </c>
      <c r="AA114" s="331" t="s">
        <v>919</v>
      </c>
      <c r="AB114" s="331" t="s">
        <v>920</v>
      </c>
      <c r="AC114" s="331" t="s">
        <v>1750</v>
      </c>
      <c r="AD114" s="331" t="s">
        <v>24</v>
      </c>
      <c r="AE114" s="329">
        <v>221</v>
      </c>
      <c r="AF114" s="331" t="s">
        <v>254</v>
      </c>
      <c r="AG114" s="329"/>
      <c r="AH114" s="329">
        <v>17</v>
      </c>
      <c r="AI114" s="331" t="s">
        <v>280</v>
      </c>
      <c r="AJ114" s="331" t="s">
        <v>281</v>
      </c>
      <c r="AK114" s="329"/>
      <c r="AL114" s="329"/>
      <c r="AM114" s="329"/>
      <c r="AN114" s="329"/>
      <c r="AO114" s="329"/>
      <c r="AP114" s="331" t="s">
        <v>476</v>
      </c>
      <c r="AQ114" s="329">
        <v>430</v>
      </c>
      <c r="AR114" s="329">
        <v>530</v>
      </c>
      <c r="AS114" s="329"/>
      <c r="AT114" s="329" t="s">
        <v>338</v>
      </c>
      <c r="AU114" s="329" t="s">
        <v>567</v>
      </c>
      <c r="AV114" s="331" t="s">
        <v>251</v>
      </c>
      <c r="AW114" s="329"/>
      <c r="AX114" s="329"/>
      <c r="AY114" s="329"/>
      <c r="AZ114" s="329"/>
      <c r="BA114" s="329"/>
      <c r="BB114" s="329"/>
      <c r="BC114" s="329"/>
      <c r="BD114" s="329"/>
      <c r="BE114" s="329" t="s">
        <v>257</v>
      </c>
      <c r="BF114" s="329" t="s">
        <v>834</v>
      </c>
      <c r="BG114" s="329"/>
      <c r="BH114" s="329"/>
      <c r="BI114" s="329"/>
      <c r="BJ114" s="329"/>
      <c r="BK114" s="329">
        <v>20400</v>
      </c>
      <c r="BL114" s="329"/>
      <c r="BM114" s="331" t="s">
        <v>278</v>
      </c>
      <c r="BN114" s="329" t="s">
        <v>260</v>
      </c>
      <c r="BO114" s="333">
        <v>43777</v>
      </c>
      <c r="BP114" s="329"/>
      <c r="BQ114" s="329"/>
      <c r="BR114" s="329"/>
      <c r="BS114" s="329"/>
      <c r="BT114" s="329"/>
      <c r="BU114" s="331" t="s">
        <v>261</v>
      </c>
      <c r="BV114" s="329"/>
      <c r="BW114" s="329"/>
      <c r="BX114" s="329"/>
      <c r="BY114" s="331" t="s">
        <v>4977</v>
      </c>
      <c r="BZ114" s="331" t="s">
        <v>4978</v>
      </c>
      <c r="CA114" s="331" t="s">
        <v>2028</v>
      </c>
      <c r="CB114" s="331" t="s">
        <v>251</v>
      </c>
      <c r="CC114" s="331" t="s">
        <v>4979</v>
      </c>
    </row>
    <row r="115" spans="1:81" x14ac:dyDescent="0.25">
      <c r="A115" s="329">
        <v>198861</v>
      </c>
      <c r="B115" s="331" t="s">
        <v>4980</v>
      </c>
      <c r="C115" s="329">
        <v>35393</v>
      </c>
      <c r="D115" s="331" t="s">
        <v>4981</v>
      </c>
      <c r="E115" s="331" t="s">
        <v>4982</v>
      </c>
      <c r="F115" s="331" t="s">
        <v>4983</v>
      </c>
      <c r="G115" s="331" t="s">
        <v>4984</v>
      </c>
      <c r="H115" s="331" t="s">
        <v>4985</v>
      </c>
      <c r="I115" s="331" t="s">
        <v>2028</v>
      </c>
      <c r="J115" s="331" t="s">
        <v>251</v>
      </c>
      <c r="K115" s="331" t="s">
        <v>4986</v>
      </c>
      <c r="L115" s="329"/>
      <c r="M115" s="329">
        <v>6</v>
      </c>
      <c r="N115" s="329">
        <v>0</v>
      </c>
      <c r="O115" s="329">
        <v>3.75</v>
      </c>
      <c r="P115" s="329"/>
      <c r="Q115" s="333">
        <v>43755.774305555555</v>
      </c>
      <c r="R115" s="329"/>
      <c r="S115" s="333">
        <v>43777</v>
      </c>
      <c r="T115" s="329">
        <v>55</v>
      </c>
      <c r="U115" s="333">
        <v>43777</v>
      </c>
      <c r="V115" s="333">
        <v>44109</v>
      </c>
      <c r="W115" s="329" t="b">
        <v>1</v>
      </c>
      <c r="X115" s="331" t="s">
        <v>22</v>
      </c>
      <c r="Y115" s="329">
        <v>429</v>
      </c>
      <c r="Z115" s="331" t="s">
        <v>23</v>
      </c>
      <c r="AA115" s="331" t="s">
        <v>919</v>
      </c>
      <c r="AB115" s="331" t="s">
        <v>920</v>
      </c>
      <c r="AC115" s="331" t="s">
        <v>3077</v>
      </c>
      <c r="AD115" s="331" t="s">
        <v>24</v>
      </c>
      <c r="AE115" s="329">
        <v>221</v>
      </c>
      <c r="AF115" s="331" t="s">
        <v>254</v>
      </c>
      <c r="AG115" s="329"/>
      <c r="AH115" s="329">
        <v>17</v>
      </c>
      <c r="AI115" s="331" t="s">
        <v>280</v>
      </c>
      <c r="AJ115" s="331" t="s">
        <v>281</v>
      </c>
      <c r="AK115" s="329"/>
      <c r="AL115" s="329"/>
      <c r="AM115" s="329"/>
      <c r="AN115" s="329"/>
      <c r="AO115" s="329"/>
      <c r="AP115" s="331" t="s">
        <v>437</v>
      </c>
      <c r="AQ115" s="329">
        <v>510</v>
      </c>
      <c r="AR115" s="329">
        <v>550</v>
      </c>
      <c r="AS115" s="329"/>
      <c r="AT115" s="329" t="s">
        <v>319</v>
      </c>
      <c r="AU115" s="329" t="s">
        <v>283</v>
      </c>
      <c r="AV115" s="331" t="s">
        <v>251</v>
      </c>
      <c r="AW115" s="329"/>
      <c r="AX115" s="329"/>
      <c r="AY115" s="329"/>
      <c r="AZ115" s="329"/>
      <c r="BA115" s="329"/>
      <c r="BB115" s="329"/>
      <c r="BC115" s="329"/>
      <c r="BD115" s="329"/>
      <c r="BE115" s="329" t="s">
        <v>257</v>
      </c>
      <c r="BF115" s="329" t="s">
        <v>838</v>
      </c>
      <c r="BG115" s="329"/>
      <c r="BH115" s="329"/>
      <c r="BI115" s="329"/>
      <c r="BJ115" s="329"/>
      <c r="BK115" s="329">
        <v>15600</v>
      </c>
      <c r="BL115" s="329"/>
      <c r="BM115" s="331" t="s">
        <v>259</v>
      </c>
      <c r="BN115" s="329" t="s">
        <v>260</v>
      </c>
      <c r="BO115" s="333">
        <v>43777</v>
      </c>
      <c r="BP115" s="329"/>
      <c r="BQ115" s="329"/>
      <c r="BR115" s="329"/>
      <c r="BS115" s="329"/>
      <c r="BT115" s="329"/>
      <c r="BU115" s="331" t="s">
        <v>261</v>
      </c>
      <c r="BV115" s="329"/>
      <c r="BW115" s="329"/>
      <c r="BX115" s="329"/>
      <c r="BY115" s="331" t="s">
        <v>4987</v>
      </c>
      <c r="BZ115" s="331" t="s">
        <v>4988</v>
      </c>
      <c r="CA115" s="331" t="s">
        <v>2028</v>
      </c>
      <c r="CB115" s="331" t="s">
        <v>251</v>
      </c>
      <c r="CC115" s="331" t="s">
        <v>4989</v>
      </c>
    </row>
    <row r="116" spans="1:81" x14ac:dyDescent="0.25">
      <c r="A116" s="329">
        <v>197756</v>
      </c>
      <c r="B116" s="331" t="s">
        <v>4990</v>
      </c>
      <c r="C116" s="329">
        <v>34982</v>
      </c>
      <c r="D116" s="331" t="s">
        <v>4991</v>
      </c>
      <c r="E116" s="331" t="s">
        <v>4992</v>
      </c>
      <c r="F116" s="331" t="s">
        <v>4993</v>
      </c>
      <c r="G116" s="331" t="s">
        <v>4994</v>
      </c>
      <c r="H116" s="331" t="s">
        <v>4995</v>
      </c>
      <c r="I116" s="331" t="s">
        <v>4996</v>
      </c>
      <c r="J116" s="331" t="s">
        <v>746</v>
      </c>
      <c r="K116" s="331" t="s">
        <v>4997</v>
      </c>
      <c r="L116" s="329"/>
      <c r="M116" s="329">
        <v>6</v>
      </c>
      <c r="N116" s="329">
        <v>0</v>
      </c>
      <c r="O116" s="329">
        <v>3.46</v>
      </c>
      <c r="P116" s="329"/>
      <c r="Q116" s="333">
        <v>43627.729861111111</v>
      </c>
      <c r="R116" s="329"/>
      <c r="S116" s="333">
        <v>43777</v>
      </c>
      <c r="T116" s="329">
        <v>55</v>
      </c>
      <c r="U116" s="333">
        <v>43777</v>
      </c>
      <c r="V116" s="333">
        <v>44109</v>
      </c>
      <c r="W116" s="329" t="b">
        <v>1</v>
      </c>
      <c r="X116" s="331" t="s">
        <v>22</v>
      </c>
      <c r="Y116" s="329">
        <v>429</v>
      </c>
      <c r="Z116" s="331" t="s">
        <v>25</v>
      </c>
      <c r="AA116" s="331" t="s">
        <v>919</v>
      </c>
      <c r="AB116" s="331" t="s">
        <v>920</v>
      </c>
      <c r="AC116" s="331" t="s">
        <v>972</v>
      </c>
      <c r="AD116" s="331" t="s">
        <v>24</v>
      </c>
      <c r="AE116" s="329">
        <v>221</v>
      </c>
      <c r="AF116" s="331" t="s">
        <v>254</v>
      </c>
      <c r="AG116" s="329"/>
      <c r="AH116" s="329">
        <v>17</v>
      </c>
      <c r="AI116" s="331" t="s">
        <v>280</v>
      </c>
      <c r="AJ116" s="331" t="s">
        <v>281</v>
      </c>
      <c r="AK116" s="329"/>
      <c r="AL116" s="329"/>
      <c r="AM116" s="329"/>
      <c r="AN116" s="329"/>
      <c r="AO116" s="329"/>
      <c r="AP116" s="329"/>
      <c r="AQ116" s="329"/>
      <c r="AR116" s="329"/>
      <c r="AS116" s="329"/>
      <c r="AT116" s="329" t="s">
        <v>258</v>
      </c>
      <c r="AU116" s="329" t="s">
        <v>567</v>
      </c>
      <c r="AV116" s="331" t="s">
        <v>746</v>
      </c>
      <c r="AW116" s="329"/>
      <c r="AX116" s="329"/>
      <c r="AY116" s="329"/>
      <c r="AZ116" s="329"/>
      <c r="BA116" s="329"/>
      <c r="BB116" s="329"/>
      <c r="BC116" s="329"/>
      <c r="BD116" s="329"/>
      <c r="BE116" s="329"/>
      <c r="BF116" s="329"/>
      <c r="BG116" s="329"/>
      <c r="BH116" s="329"/>
      <c r="BI116" s="329"/>
      <c r="BJ116" s="329"/>
      <c r="BK116" s="329">
        <v>0</v>
      </c>
      <c r="BL116" s="329"/>
      <c r="BM116" s="331" t="s">
        <v>267</v>
      </c>
      <c r="BN116" s="329" t="s">
        <v>260</v>
      </c>
      <c r="BO116" s="333">
        <v>43777</v>
      </c>
      <c r="BP116" s="329"/>
      <c r="BQ116" s="329"/>
      <c r="BR116" s="329"/>
      <c r="BS116" s="329"/>
      <c r="BT116" s="329"/>
      <c r="BU116" s="331" t="s">
        <v>261</v>
      </c>
      <c r="BV116" s="329"/>
      <c r="BW116" s="329"/>
      <c r="BX116" s="329"/>
      <c r="BY116" s="331" t="s">
        <v>4998</v>
      </c>
      <c r="BZ116" s="331" t="s">
        <v>4999</v>
      </c>
      <c r="CA116" s="331" t="s">
        <v>5000</v>
      </c>
      <c r="CB116" s="331" t="s">
        <v>746</v>
      </c>
      <c r="CC116" s="331" t="s">
        <v>4997</v>
      </c>
    </row>
    <row r="117" spans="1:81" x14ac:dyDescent="0.25">
      <c r="A117" s="329">
        <v>197432</v>
      </c>
      <c r="B117" s="331" t="s">
        <v>5001</v>
      </c>
      <c r="C117" s="329">
        <v>35469</v>
      </c>
      <c r="D117" s="331" t="s">
        <v>5002</v>
      </c>
      <c r="E117" s="331" t="s">
        <v>324</v>
      </c>
      <c r="F117" s="331" t="s">
        <v>5003</v>
      </c>
      <c r="G117" s="331" t="s">
        <v>5004</v>
      </c>
      <c r="H117" s="331" t="s">
        <v>5005</v>
      </c>
      <c r="I117" s="331" t="s">
        <v>5006</v>
      </c>
      <c r="J117" s="331" t="s">
        <v>360</v>
      </c>
      <c r="K117" s="331" t="s">
        <v>5007</v>
      </c>
      <c r="L117" s="329"/>
      <c r="M117" s="329">
        <v>6</v>
      </c>
      <c r="N117" s="329">
        <v>0</v>
      </c>
      <c r="O117" s="329">
        <v>3.89</v>
      </c>
      <c r="P117" s="329"/>
      <c r="Q117" s="333">
        <v>43717.729861111111</v>
      </c>
      <c r="R117" s="329"/>
      <c r="S117" s="333">
        <v>43777</v>
      </c>
      <c r="T117" s="329">
        <v>55</v>
      </c>
      <c r="U117" s="333">
        <v>43777</v>
      </c>
      <c r="V117" s="333">
        <v>44109</v>
      </c>
      <c r="W117" s="329" t="b">
        <v>1</v>
      </c>
      <c r="X117" s="331" t="s">
        <v>22</v>
      </c>
      <c r="Y117" s="329">
        <v>726</v>
      </c>
      <c r="Z117" s="331" t="s">
        <v>25</v>
      </c>
      <c r="AA117" s="331" t="s">
        <v>919</v>
      </c>
      <c r="AB117" s="331" t="s">
        <v>920</v>
      </c>
      <c r="AC117" s="331" t="s">
        <v>5008</v>
      </c>
      <c r="AD117" s="331" t="s">
        <v>24</v>
      </c>
      <c r="AE117" s="329">
        <v>221</v>
      </c>
      <c r="AF117" s="331" t="s">
        <v>254</v>
      </c>
      <c r="AG117" s="329"/>
      <c r="AH117" s="329">
        <v>17</v>
      </c>
      <c r="AI117" s="331" t="s">
        <v>280</v>
      </c>
      <c r="AJ117" s="331" t="s">
        <v>281</v>
      </c>
      <c r="AK117" s="331" t="s">
        <v>274</v>
      </c>
      <c r="AL117" s="331" t="s">
        <v>272</v>
      </c>
      <c r="AM117" s="331" t="s">
        <v>274</v>
      </c>
      <c r="AN117" s="331" t="s">
        <v>301</v>
      </c>
      <c r="AO117" s="331" t="s">
        <v>287</v>
      </c>
      <c r="AP117" s="331" t="s">
        <v>402</v>
      </c>
      <c r="AQ117" s="329">
        <v>610</v>
      </c>
      <c r="AR117" s="329">
        <v>650</v>
      </c>
      <c r="AS117" s="329"/>
      <c r="AT117" s="329" t="s">
        <v>843</v>
      </c>
      <c r="AU117" s="329" t="s">
        <v>963</v>
      </c>
      <c r="AV117" s="331" t="s">
        <v>360</v>
      </c>
      <c r="AW117" s="329"/>
      <c r="AX117" s="329"/>
      <c r="AY117" s="329"/>
      <c r="AZ117" s="329"/>
      <c r="BA117" s="329"/>
      <c r="BB117" s="329"/>
      <c r="BC117" s="329"/>
      <c r="BD117" s="329"/>
      <c r="BE117" s="329" t="s">
        <v>257</v>
      </c>
      <c r="BF117" s="329" t="s">
        <v>834</v>
      </c>
      <c r="BG117" s="329"/>
      <c r="BH117" s="329"/>
      <c r="BI117" s="329"/>
      <c r="BJ117" s="329"/>
      <c r="BK117" s="329">
        <v>20400</v>
      </c>
      <c r="BL117" s="329"/>
      <c r="BM117" s="331" t="s">
        <v>278</v>
      </c>
      <c r="BN117" s="329" t="s">
        <v>260</v>
      </c>
      <c r="BO117" s="333">
        <v>43777</v>
      </c>
      <c r="BP117" s="329"/>
      <c r="BQ117" s="329"/>
      <c r="BR117" s="329"/>
      <c r="BS117" s="329"/>
      <c r="BT117" s="329"/>
      <c r="BU117" s="331" t="s">
        <v>261</v>
      </c>
      <c r="BV117" s="329"/>
      <c r="BW117" s="329"/>
      <c r="BX117" s="329"/>
      <c r="BY117" s="331" t="s">
        <v>5009</v>
      </c>
      <c r="BZ117" s="331" t="s">
        <v>5010</v>
      </c>
      <c r="CA117" s="331" t="s">
        <v>5011</v>
      </c>
      <c r="CB117" s="331" t="s">
        <v>823</v>
      </c>
      <c r="CC117" s="331" t="s">
        <v>5012</v>
      </c>
    </row>
    <row r="118" spans="1:81" x14ac:dyDescent="0.25">
      <c r="A118" s="329">
        <v>198314</v>
      </c>
      <c r="B118" s="331" t="s">
        <v>5022</v>
      </c>
      <c r="C118" s="329">
        <v>35219</v>
      </c>
      <c r="D118" s="331" t="s">
        <v>5023</v>
      </c>
      <c r="E118" s="331" t="s">
        <v>442</v>
      </c>
      <c r="F118" s="331" t="s">
        <v>5024</v>
      </c>
      <c r="G118" s="331" t="s">
        <v>5025</v>
      </c>
      <c r="H118" s="331" t="s">
        <v>5026</v>
      </c>
      <c r="I118" s="331" t="s">
        <v>576</v>
      </c>
      <c r="J118" s="331" t="s">
        <v>21</v>
      </c>
      <c r="K118" s="331" t="s">
        <v>715</v>
      </c>
      <c r="L118" s="329"/>
      <c r="M118" s="329">
        <v>6</v>
      </c>
      <c r="N118" s="329">
        <v>0</v>
      </c>
      <c r="O118" s="329">
        <v>2.5636999999999999</v>
      </c>
      <c r="P118" s="329"/>
      <c r="Q118" s="333">
        <v>43035.633333333331</v>
      </c>
      <c r="R118" s="329"/>
      <c r="S118" s="333">
        <v>43777</v>
      </c>
      <c r="T118" s="329">
        <v>55</v>
      </c>
      <c r="U118" s="333">
        <v>43777</v>
      </c>
      <c r="V118" s="333">
        <v>44109</v>
      </c>
      <c r="W118" s="329" t="b">
        <v>1</v>
      </c>
      <c r="X118" s="331" t="s">
        <v>906</v>
      </c>
      <c r="Y118" s="329">
        <v>748</v>
      </c>
      <c r="Z118" s="331" t="s">
        <v>23</v>
      </c>
      <c r="AA118" s="331" t="s">
        <v>919</v>
      </c>
      <c r="AB118" s="331" t="s">
        <v>920</v>
      </c>
      <c r="AC118" s="331" t="s">
        <v>5027</v>
      </c>
      <c r="AD118" s="331" t="s">
        <v>24</v>
      </c>
      <c r="AE118" s="329">
        <v>221</v>
      </c>
      <c r="AF118" s="331" t="s">
        <v>254</v>
      </c>
      <c r="AG118" s="329"/>
      <c r="AH118" s="329">
        <v>17</v>
      </c>
      <c r="AI118" s="331" t="s">
        <v>280</v>
      </c>
      <c r="AJ118" s="331" t="s">
        <v>281</v>
      </c>
      <c r="AK118" s="331" t="s">
        <v>330</v>
      </c>
      <c r="AL118" s="331" t="s">
        <v>331</v>
      </c>
      <c r="AM118" s="331" t="s">
        <v>363</v>
      </c>
      <c r="AN118" s="331" t="s">
        <v>363</v>
      </c>
      <c r="AO118" s="331" t="s">
        <v>328</v>
      </c>
      <c r="AP118" s="329"/>
      <c r="AQ118" s="329"/>
      <c r="AR118" s="329"/>
      <c r="AS118" s="329"/>
      <c r="AT118" s="329" t="s">
        <v>849</v>
      </c>
      <c r="AU118" s="329" t="s">
        <v>256</v>
      </c>
      <c r="AV118" s="331" t="s">
        <v>21</v>
      </c>
      <c r="AW118" s="329"/>
      <c r="AX118" s="329"/>
      <c r="AY118" s="329"/>
      <c r="AZ118" s="329"/>
      <c r="BA118" s="329"/>
      <c r="BB118" s="329"/>
      <c r="BC118" s="329"/>
      <c r="BD118" s="329"/>
      <c r="BE118" s="329" t="s">
        <v>257</v>
      </c>
      <c r="BF118" s="329" t="s">
        <v>841</v>
      </c>
      <c r="BG118" s="329"/>
      <c r="BH118" s="329"/>
      <c r="BI118" s="329" t="s">
        <v>334</v>
      </c>
      <c r="BJ118" s="329" t="s">
        <v>831</v>
      </c>
      <c r="BK118" s="329">
        <v>45000</v>
      </c>
      <c r="BL118" s="329"/>
      <c r="BM118" s="331" t="s">
        <v>189</v>
      </c>
      <c r="BN118" s="329" t="s">
        <v>260</v>
      </c>
      <c r="BO118" s="333">
        <v>43777</v>
      </c>
      <c r="BP118" s="329"/>
      <c r="BQ118" s="329"/>
      <c r="BR118" s="329"/>
      <c r="BS118" s="329"/>
      <c r="BT118" s="329"/>
      <c r="BU118" s="331" t="s">
        <v>261</v>
      </c>
      <c r="BV118" s="329"/>
      <c r="BW118" s="329"/>
      <c r="BX118" s="329"/>
      <c r="BY118" s="331" t="s">
        <v>5028</v>
      </c>
      <c r="BZ118" s="331" t="s">
        <v>5029</v>
      </c>
      <c r="CA118" s="331" t="s">
        <v>799</v>
      </c>
      <c r="CB118" s="331" t="s">
        <v>21</v>
      </c>
      <c r="CC118" s="331" t="s">
        <v>891</v>
      </c>
    </row>
    <row r="119" spans="1:81" x14ac:dyDescent="0.25">
      <c r="A119" s="329">
        <v>198987</v>
      </c>
      <c r="B119" s="331" t="s">
        <v>5030</v>
      </c>
      <c r="C119" s="329">
        <v>35427</v>
      </c>
      <c r="D119" s="331" t="s">
        <v>5031</v>
      </c>
      <c r="E119" s="331" t="s">
        <v>5032</v>
      </c>
      <c r="F119" s="331" t="s">
        <v>5033</v>
      </c>
      <c r="G119" s="331" t="s">
        <v>5034</v>
      </c>
      <c r="H119" s="331" t="s">
        <v>5035</v>
      </c>
      <c r="I119" s="331" t="s">
        <v>5036</v>
      </c>
      <c r="J119" s="331" t="s">
        <v>187</v>
      </c>
      <c r="K119" s="331" t="s">
        <v>5037</v>
      </c>
      <c r="L119" s="329"/>
      <c r="M119" s="329">
        <v>6</v>
      </c>
      <c r="N119" s="329">
        <v>0</v>
      </c>
      <c r="O119" s="329">
        <v>3.44</v>
      </c>
      <c r="P119" s="329"/>
      <c r="Q119" s="333">
        <v>43760.597222222219</v>
      </c>
      <c r="R119" s="329"/>
      <c r="S119" s="333">
        <v>43777</v>
      </c>
      <c r="T119" s="329">
        <v>55</v>
      </c>
      <c r="U119" s="333">
        <v>43777</v>
      </c>
      <c r="V119" s="333">
        <v>44109</v>
      </c>
      <c r="W119" s="329" t="b">
        <v>1</v>
      </c>
      <c r="X119" s="331" t="s">
        <v>22</v>
      </c>
      <c r="Y119" s="329">
        <v>429</v>
      </c>
      <c r="Z119" s="331" t="s">
        <v>25</v>
      </c>
      <c r="AA119" s="331" t="s">
        <v>407</v>
      </c>
      <c r="AB119" s="331" t="s">
        <v>408</v>
      </c>
      <c r="AC119" s="331" t="s">
        <v>372</v>
      </c>
      <c r="AD119" s="331" t="s">
        <v>24</v>
      </c>
      <c r="AE119" s="329">
        <v>221</v>
      </c>
      <c r="AF119" s="331" t="s">
        <v>254</v>
      </c>
      <c r="AG119" s="329"/>
      <c r="AH119" s="329">
        <v>17</v>
      </c>
      <c r="AI119" s="331" t="s">
        <v>280</v>
      </c>
      <c r="AJ119" s="331" t="s">
        <v>281</v>
      </c>
      <c r="AK119" s="331" t="s">
        <v>330</v>
      </c>
      <c r="AL119" s="331" t="s">
        <v>330</v>
      </c>
      <c r="AM119" s="331" t="s">
        <v>330</v>
      </c>
      <c r="AN119" s="331" t="s">
        <v>386</v>
      </c>
      <c r="AO119" s="331" t="s">
        <v>331</v>
      </c>
      <c r="AP119" s="329"/>
      <c r="AQ119" s="329"/>
      <c r="AR119" s="329"/>
      <c r="AS119" s="329"/>
      <c r="AT119" s="329" t="s">
        <v>365</v>
      </c>
      <c r="AU119" s="329" t="s">
        <v>283</v>
      </c>
      <c r="AV119" s="331" t="s">
        <v>187</v>
      </c>
      <c r="AW119" s="329"/>
      <c r="AX119" s="329"/>
      <c r="AY119" s="329"/>
      <c r="AZ119" s="329"/>
      <c r="BA119" s="329"/>
      <c r="BB119" s="329"/>
      <c r="BC119" s="329"/>
      <c r="BD119" s="329"/>
      <c r="BE119" s="329" t="s">
        <v>257</v>
      </c>
      <c r="BF119" s="329" t="s">
        <v>830</v>
      </c>
      <c r="BG119" s="329"/>
      <c r="BH119" s="329"/>
      <c r="BI119" s="329"/>
      <c r="BJ119" s="329"/>
      <c r="BK119" s="329">
        <v>12000</v>
      </c>
      <c r="BL119" s="329"/>
      <c r="BM119" s="331" t="s">
        <v>26</v>
      </c>
      <c r="BN119" s="329" t="s">
        <v>260</v>
      </c>
      <c r="BO119" s="333">
        <v>43777</v>
      </c>
      <c r="BP119" s="329"/>
      <c r="BQ119" s="329"/>
      <c r="BR119" s="329"/>
      <c r="BS119" s="329"/>
      <c r="BT119" s="329"/>
      <c r="BU119" s="331" t="s">
        <v>261</v>
      </c>
      <c r="BV119" s="329"/>
      <c r="BW119" s="329"/>
      <c r="BX119" s="329"/>
      <c r="BY119" s="331" t="s">
        <v>5038</v>
      </c>
      <c r="BZ119" s="331" t="s">
        <v>5039</v>
      </c>
      <c r="CA119" s="331" t="s">
        <v>5040</v>
      </c>
      <c r="CB119" s="331" t="s">
        <v>187</v>
      </c>
      <c r="CC119" s="331" t="s">
        <v>5041</v>
      </c>
    </row>
    <row r="120" spans="1:81" x14ac:dyDescent="0.25">
      <c r="A120" s="329">
        <v>189134</v>
      </c>
      <c r="B120" s="331" t="s">
        <v>5042</v>
      </c>
      <c r="C120" s="329">
        <v>35478</v>
      </c>
      <c r="D120" s="331" t="s">
        <v>5043</v>
      </c>
      <c r="E120" s="331" t="s">
        <v>5044</v>
      </c>
      <c r="F120" s="331" t="s">
        <v>5045</v>
      </c>
      <c r="G120" s="331" t="s">
        <v>5046</v>
      </c>
      <c r="H120" s="331" t="s">
        <v>5047</v>
      </c>
      <c r="I120" s="331" t="s">
        <v>4320</v>
      </c>
      <c r="J120" s="331" t="s">
        <v>546</v>
      </c>
      <c r="K120" s="331" t="s">
        <v>547</v>
      </c>
      <c r="L120" s="329"/>
      <c r="M120" s="329">
        <v>6</v>
      </c>
      <c r="N120" s="329">
        <v>0</v>
      </c>
      <c r="O120" s="329">
        <v>2.46</v>
      </c>
      <c r="P120" s="329"/>
      <c r="Q120" s="333">
        <v>43418.402777777781</v>
      </c>
      <c r="R120" s="329"/>
      <c r="S120" s="333">
        <v>43777</v>
      </c>
      <c r="T120" s="329">
        <v>55</v>
      </c>
      <c r="U120" s="333">
        <v>43777</v>
      </c>
      <c r="V120" s="333">
        <v>44109</v>
      </c>
      <c r="W120" s="329" t="b">
        <v>1</v>
      </c>
      <c r="X120" s="331" t="s">
        <v>22</v>
      </c>
      <c r="Y120" s="329">
        <v>726</v>
      </c>
      <c r="Z120" s="331" t="s">
        <v>23</v>
      </c>
      <c r="AA120" s="331" t="s">
        <v>919</v>
      </c>
      <c r="AB120" s="331" t="s">
        <v>920</v>
      </c>
      <c r="AC120" s="331" t="s">
        <v>337</v>
      </c>
      <c r="AD120" s="331" t="s">
        <v>24</v>
      </c>
      <c r="AE120" s="329">
        <v>221</v>
      </c>
      <c r="AF120" s="331" t="s">
        <v>254</v>
      </c>
      <c r="AG120" s="329"/>
      <c r="AH120" s="329">
        <v>17</v>
      </c>
      <c r="AI120" s="331" t="s">
        <v>280</v>
      </c>
      <c r="AJ120" s="331" t="s">
        <v>281</v>
      </c>
      <c r="AK120" s="329"/>
      <c r="AL120" s="329"/>
      <c r="AM120" s="329"/>
      <c r="AN120" s="329"/>
      <c r="AO120" s="329"/>
      <c r="AP120" s="331" t="s">
        <v>800</v>
      </c>
      <c r="AQ120" s="329">
        <v>470</v>
      </c>
      <c r="AR120" s="329">
        <v>460</v>
      </c>
      <c r="AS120" s="329"/>
      <c r="AT120" s="329" t="s">
        <v>460</v>
      </c>
      <c r="AU120" s="329" t="s">
        <v>256</v>
      </c>
      <c r="AV120" s="331" t="s">
        <v>546</v>
      </c>
      <c r="AW120" s="329"/>
      <c r="AX120" s="329"/>
      <c r="AY120" s="329"/>
      <c r="AZ120" s="329"/>
      <c r="BA120" s="329"/>
      <c r="BB120" s="329"/>
      <c r="BC120" s="329"/>
      <c r="BD120" s="329"/>
      <c r="BE120" s="329"/>
      <c r="BF120" s="329"/>
      <c r="BG120" s="329"/>
      <c r="BH120" s="329"/>
      <c r="BI120" s="329"/>
      <c r="BJ120" s="329"/>
      <c r="BK120" s="329">
        <v>0</v>
      </c>
      <c r="BL120" s="329"/>
      <c r="BM120" s="331" t="s">
        <v>323</v>
      </c>
      <c r="BN120" s="329" t="s">
        <v>260</v>
      </c>
      <c r="BO120" s="333">
        <v>43777</v>
      </c>
      <c r="BP120" s="329"/>
      <c r="BQ120" s="329"/>
      <c r="BR120" s="329"/>
      <c r="BS120" s="329"/>
      <c r="BT120" s="329"/>
      <c r="BU120" s="331" t="s">
        <v>261</v>
      </c>
      <c r="BV120" s="329"/>
      <c r="BW120" s="329"/>
      <c r="BX120" s="329"/>
      <c r="BY120" s="331" t="s">
        <v>5048</v>
      </c>
      <c r="BZ120" s="331" t="s">
        <v>5049</v>
      </c>
      <c r="CA120" s="331" t="s">
        <v>4320</v>
      </c>
      <c r="CB120" s="331" t="s">
        <v>546</v>
      </c>
      <c r="CC120" s="331" t="s">
        <v>547</v>
      </c>
    </row>
    <row r="121" spans="1:81" x14ac:dyDescent="0.25">
      <c r="A121" s="329">
        <v>198706</v>
      </c>
      <c r="B121" s="331" t="s">
        <v>5050</v>
      </c>
      <c r="C121" s="329">
        <v>35370</v>
      </c>
      <c r="D121" s="331" t="s">
        <v>5051</v>
      </c>
      <c r="E121" s="331" t="s">
        <v>5052</v>
      </c>
      <c r="F121" s="331" t="s">
        <v>5053</v>
      </c>
      <c r="G121" s="331" t="s">
        <v>5054</v>
      </c>
      <c r="H121" s="331" t="s">
        <v>5055</v>
      </c>
      <c r="I121" s="331" t="s">
        <v>808</v>
      </c>
      <c r="J121" s="331" t="s">
        <v>392</v>
      </c>
      <c r="K121" s="331" t="s">
        <v>5056</v>
      </c>
      <c r="L121" s="329"/>
      <c r="M121" s="329">
        <v>6</v>
      </c>
      <c r="N121" s="329">
        <v>0</v>
      </c>
      <c r="O121" s="329">
        <v>3.6469999999999998</v>
      </c>
      <c r="P121" s="329"/>
      <c r="Q121" s="333">
        <v>43629.763888888891</v>
      </c>
      <c r="R121" s="329"/>
      <c r="S121" s="333">
        <v>43777</v>
      </c>
      <c r="T121" s="329">
        <v>55</v>
      </c>
      <c r="U121" s="333">
        <v>43777</v>
      </c>
      <c r="V121" s="333">
        <v>44109</v>
      </c>
      <c r="W121" s="329" t="b">
        <v>1</v>
      </c>
      <c r="X121" s="331" t="s">
        <v>22</v>
      </c>
      <c r="Y121" s="329">
        <v>429</v>
      </c>
      <c r="Z121" s="331" t="s">
        <v>25</v>
      </c>
      <c r="AA121" s="331" t="s">
        <v>919</v>
      </c>
      <c r="AB121" s="331" t="s">
        <v>920</v>
      </c>
      <c r="AC121" s="331" t="s">
        <v>1218</v>
      </c>
      <c r="AD121" s="331" t="s">
        <v>24</v>
      </c>
      <c r="AE121" s="329">
        <v>221</v>
      </c>
      <c r="AF121" s="331" t="s">
        <v>254</v>
      </c>
      <c r="AG121" s="329"/>
      <c r="AH121" s="329">
        <v>17</v>
      </c>
      <c r="AI121" s="331" t="s">
        <v>280</v>
      </c>
      <c r="AJ121" s="331" t="s">
        <v>281</v>
      </c>
      <c r="AK121" s="329"/>
      <c r="AL121" s="329"/>
      <c r="AM121" s="329"/>
      <c r="AN121" s="329"/>
      <c r="AO121" s="329"/>
      <c r="AP121" s="331" t="s">
        <v>483</v>
      </c>
      <c r="AQ121" s="329">
        <v>550</v>
      </c>
      <c r="AR121" s="329">
        <v>590</v>
      </c>
      <c r="AS121" s="329"/>
      <c r="AT121" s="329" t="s">
        <v>319</v>
      </c>
      <c r="AU121" s="329" t="s">
        <v>256</v>
      </c>
      <c r="AV121" s="331" t="s">
        <v>392</v>
      </c>
      <c r="AW121" s="329"/>
      <c r="AX121" s="329"/>
      <c r="AY121" s="329"/>
      <c r="AZ121" s="329"/>
      <c r="BA121" s="329"/>
      <c r="BB121" s="329"/>
      <c r="BC121" s="329"/>
      <c r="BD121" s="329"/>
      <c r="BE121" s="329" t="s">
        <v>257</v>
      </c>
      <c r="BF121" s="329" t="s">
        <v>834</v>
      </c>
      <c r="BG121" s="329"/>
      <c r="BH121" s="329"/>
      <c r="BI121" s="329"/>
      <c r="BJ121" s="329"/>
      <c r="BK121" s="329">
        <v>20400</v>
      </c>
      <c r="BL121" s="329"/>
      <c r="BM121" s="331" t="s">
        <v>278</v>
      </c>
      <c r="BN121" s="329" t="s">
        <v>260</v>
      </c>
      <c r="BO121" s="333">
        <v>43777</v>
      </c>
      <c r="BP121" s="329"/>
      <c r="BQ121" s="329"/>
      <c r="BR121" s="329"/>
      <c r="BS121" s="329"/>
      <c r="BT121" s="329"/>
      <c r="BU121" s="331" t="s">
        <v>261</v>
      </c>
      <c r="BV121" s="329"/>
      <c r="BW121" s="329"/>
      <c r="BX121" s="329"/>
      <c r="BY121" s="331" t="s">
        <v>866</v>
      </c>
      <c r="BZ121" s="331" t="s">
        <v>807</v>
      </c>
      <c r="CA121" s="331" t="s">
        <v>808</v>
      </c>
      <c r="CB121" s="331" t="s">
        <v>392</v>
      </c>
      <c r="CC121" s="331" t="s">
        <v>867</v>
      </c>
    </row>
    <row r="122" spans="1:81" x14ac:dyDescent="0.25">
      <c r="A122" s="329">
        <v>198271</v>
      </c>
      <c r="B122" s="331" t="s">
        <v>5058</v>
      </c>
      <c r="C122" s="329">
        <v>35184</v>
      </c>
      <c r="D122" s="331" t="s">
        <v>2484</v>
      </c>
      <c r="E122" s="331" t="s">
        <v>5059</v>
      </c>
      <c r="F122" s="331" t="s">
        <v>5060</v>
      </c>
      <c r="G122" s="331" t="s">
        <v>5061</v>
      </c>
      <c r="H122" s="331" t="s">
        <v>5062</v>
      </c>
      <c r="I122" s="331" t="s">
        <v>5063</v>
      </c>
      <c r="J122" s="331" t="s">
        <v>292</v>
      </c>
      <c r="K122" s="331" t="s">
        <v>5064</v>
      </c>
      <c r="L122" s="329"/>
      <c r="M122" s="329">
        <v>6</v>
      </c>
      <c r="N122" s="329">
        <v>0</v>
      </c>
      <c r="O122" s="329">
        <v>3.56</v>
      </c>
      <c r="P122" s="329"/>
      <c r="Q122" s="333">
        <v>43640.463888888888</v>
      </c>
      <c r="R122" s="329"/>
      <c r="S122" s="333">
        <v>43777</v>
      </c>
      <c r="T122" s="329">
        <v>55</v>
      </c>
      <c r="U122" s="333">
        <v>43777</v>
      </c>
      <c r="V122" s="333">
        <v>44109</v>
      </c>
      <c r="W122" s="329" t="b">
        <v>1</v>
      </c>
      <c r="X122" s="331" t="s">
        <v>187</v>
      </c>
      <c r="Y122" s="329">
        <v>718</v>
      </c>
      <c r="Z122" s="331" t="s">
        <v>336</v>
      </c>
      <c r="AA122" s="331" t="s">
        <v>919</v>
      </c>
      <c r="AB122" s="331" t="s">
        <v>920</v>
      </c>
      <c r="AC122" s="331" t="s">
        <v>1252</v>
      </c>
      <c r="AD122" s="331" t="s">
        <v>24</v>
      </c>
      <c r="AE122" s="329">
        <v>221</v>
      </c>
      <c r="AF122" s="331" t="s">
        <v>254</v>
      </c>
      <c r="AG122" s="329"/>
      <c r="AH122" s="329">
        <v>17</v>
      </c>
      <c r="AI122" s="331" t="s">
        <v>280</v>
      </c>
      <c r="AJ122" s="331" t="s">
        <v>281</v>
      </c>
      <c r="AK122" s="329"/>
      <c r="AL122" s="329"/>
      <c r="AM122" s="329"/>
      <c r="AN122" s="329"/>
      <c r="AO122" s="329"/>
      <c r="AP122" s="329"/>
      <c r="AQ122" s="329"/>
      <c r="AR122" s="329"/>
      <c r="AS122" s="329"/>
      <c r="AT122" s="329" t="s">
        <v>258</v>
      </c>
      <c r="AU122" s="329" t="s">
        <v>283</v>
      </c>
      <c r="AV122" s="331" t="s">
        <v>292</v>
      </c>
      <c r="AW122" s="329"/>
      <c r="AX122" s="329"/>
      <c r="AY122" s="329"/>
      <c r="AZ122" s="329"/>
      <c r="BA122" s="329"/>
      <c r="BB122" s="329"/>
      <c r="BC122" s="329"/>
      <c r="BD122" s="329"/>
      <c r="BE122" s="329" t="s">
        <v>257</v>
      </c>
      <c r="BF122" s="329" t="s">
        <v>837</v>
      </c>
      <c r="BG122" s="329"/>
      <c r="BH122" s="329"/>
      <c r="BI122" s="329"/>
      <c r="BJ122" s="329"/>
      <c r="BK122" s="329">
        <v>15000</v>
      </c>
      <c r="BL122" s="329"/>
      <c r="BM122" s="331" t="s">
        <v>295</v>
      </c>
      <c r="BN122" s="329" t="s">
        <v>260</v>
      </c>
      <c r="BO122" s="333">
        <v>43777</v>
      </c>
      <c r="BP122" s="329"/>
      <c r="BQ122" s="329"/>
      <c r="BR122" s="329"/>
      <c r="BS122" s="329"/>
      <c r="BT122" s="329"/>
      <c r="BU122" s="331" t="s">
        <v>261</v>
      </c>
      <c r="BV122" s="329"/>
      <c r="BW122" s="329"/>
      <c r="BX122" s="329"/>
      <c r="BY122" s="331" t="s">
        <v>5065</v>
      </c>
      <c r="BZ122" s="331" t="s">
        <v>5066</v>
      </c>
      <c r="CA122" s="331" t="s">
        <v>5063</v>
      </c>
      <c r="CB122" s="331" t="s">
        <v>292</v>
      </c>
      <c r="CC122" s="331" t="s">
        <v>5067</v>
      </c>
    </row>
    <row r="123" spans="1:81" x14ac:dyDescent="0.25">
      <c r="A123" s="329">
        <v>198367</v>
      </c>
      <c r="B123" s="331" t="s">
        <v>5068</v>
      </c>
      <c r="C123" s="329">
        <v>35248</v>
      </c>
      <c r="D123" s="331" t="s">
        <v>2688</v>
      </c>
      <c r="E123" s="331" t="s">
        <v>5069</v>
      </c>
      <c r="F123" s="331" t="s">
        <v>5070</v>
      </c>
      <c r="G123" s="331" t="s">
        <v>5071</v>
      </c>
      <c r="H123" s="331" t="s">
        <v>5072</v>
      </c>
      <c r="I123" s="331" t="s">
        <v>932</v>
      </c>
      <c r="J123" s="331" t="s">
        <v>298</v>
      </c>
      <c r="K123" s="331" t="s">
        <v>5073</v>
      </c>
      <c r="L123" s="329"/>
      <c r="M123" s="329">
        <v>6</v>
      </c>
      <c r="N123" s="329">
        <v>0</v>
      </c>
      <c r="O123" s="329">
        <v>3.8740000000000001</v>
      </c>
      <c r="P123" s="329"/>
      <c r="Q123" s="333">
        <v>43646.788206018522</v>
      </c>
      <c r="R123" s="329"/>
      <c r="S123" s="333">
        <v>43777</v>
      </c>
      <c r="T123" s="329">
        <v>55</v>
      </c>
      <c r="U123" s="333">
        <v>43777</v>
      </c>
      <c r="V123" s="333">
        <v>44109</v>
      </c>
      <c r="W123" s="329" t="b">
        <v>1</v>
      </c>
      <c r="X123" s="331" t="s">
        <v>187</v>
      </c>
      <c r="Y123" s="329">
        <v>718</v>
      </c>
      <c r="Z123" s="331" t="s">
        <v>25</v>
      </c>
      <c r="AA123" s="331" t="s">
        <v>919</v>
      </c>
      <c r="AB123" s="331" t="s">
        <v>920</v>
      </c>
      <c r="AC123" s="331" t="s">
        <v>1097</v>
      </c>
      <c r="AD123" s="331" t="s">
        <v>24</v>
      </c>
      <c r="AE123" s="329">
        <v>221</v>
      </c>
      <c r="AF123" s="331" t="s">
        <v>254</v>
      </c>
      <c r="AG123" s="329"/>
      <c r="AH123" s="329">
        <v>17</v>
      </c>
      <c r="AI123" s="331" t="s">
        <v>280</v>
      </c>
      <c r="AJ123" s="331" t="s">
        <v>281</v>
      </c>
      <c r="AK123" s="329"/>
      <c r="AL123" s="329"/>
      <c r="AM123" s="329"/>
      <c r="AN123" s="329"/>
      <c r="AO123" s="329"/>
      <c r="AP123" s="331" t="s">
        <v>490</v>
      </c>
      <c r="AQ123" s="329">
        <v>530</v>
      </c>
      <c r="AR123" s="329">
        <v>540</v>
      </c>
      <c r="AS123" s="329"/>
      <c r="AT123" s="329" t="s">
        <v>840</v>
      </c>
      <c r="AU123" s="329" t="s">
        <v>283</v>
      </c>
      <c r="AV123" s="331" t="s">
        <v>298</v>
      </c>
      <c r="AW123" s="329"/>
      <c r="AX123" s="329"/>
      <c r="AY123" s="329"/>
      <c r="AZ123" s="329"/>
      <c r="BA123" s="329"/>
      <c r="BB123" s="329"/>
      <c r="BC123" s="329"/>
      <c r="BD123" s="329"/>
      <c r="BE123" s="329" t="s">
        <v>257</v>
      </c>
      <c r="BF123" s="329" t="s">
        <v>834</v>
      </c>
      <c r="BG123" s="329"/>
      <c r="BH123" s="329"/>
      <c r="BI123" s="329"/>
      <c r="BJ123" s="329"/>
      <c r="BK123" s="329">
        <v>20400</v>
      </c>
      <c r="BL123" s="329"/>
      <c r="BM123" s="331" t="s">
        <v>278</v>
      </c>
      <c r="BN123" s="329" t="s">
        <v>260</v>
      </c>
      <c r="BO123" s="333">
        <v>43777</v>
      </c>
      <c r="BP123" s="329"/>
      <c r="BQ123" s="329"/>
      <c r="BR123" s="329"/>
      <c r="BS123" s="329"/>
      <c r="BT123" s="329"/>
      <c r="BU123" s="331" t="s">
        <v>261</v>
      </c>
      <c r="BV123" s="329"/>
      <c r="BW123" s="329"/>
      <c r="BX123" s="329"/>
      <c r="BY123" s="331" t="s">
        <v>5074</v>
      </c>
      <c r="BZ123" s="331" t="s">
        <v>5075</v>
      </c>
      <c r="CA123" s="331" t="s">
        <v>932</v>
      </c>
      <c r="CB123" s="331" t="s">
        <v>298</v>
      </c>
      <c r="CC123" s="331" t="s">
        <v>5076</v>
      </c>
    </row>
    <row r="124" spans="1:81" x14ac:dyDescent="0.25">
      <c r="A124" s="329">
        <v>195399</v>
      </c>
      <c r="B124" s="331" t="s">
        <v>5077</v>
      </c>
      <c r="C124" s="329">
        <v>34324</v>
      </c>
      <c r="D124" s="331" t="s">
        <v>5078</v>
      </c>
      <c r="E124" s="331" t="s">
        <v>5079</v>
      </c>
      <c r="F124" s="331" t="s">
        <v>5080</v>
      </c>
      <c r="G124" s="331" t="s">
        <v>5081</v>
      </c>
      <c r="H124" s="331" t="s">
        <v>5082</v>
      </c>
      <c r="I124" s="331" t="s">
        <v>5083</v>
      </c>
      <c r="J124" s="331" t="s">
        <v>350</v>
      </c>
      <c r="K124" s="331" t="s">
        <v>5084</v>
      </c>
      <c r="L124" s="329"/>
      <c r="M124" s="329">
        <v>6</v>
      </c>
      <c r="N124" s="329">
        <v>0</v>
      </c>
      <c r="O124" s="329">
        <v>3.4897999999999998</v>
      </c>
      <c r="P124" s="329"/>
      <c r="Q124" s="333">
        <v>43647.731249999997</v>
      </c>
      <c r="R124" s="329"/>
      <c r="S124" s="333">
        <v>43777</v>
      </c>
      <c r="T124" s="329">
        <v>55</v>
      </c>
      <c r="U124" s="333">
        <v>43777</v>
      </c>
      <c r="V124" s="333">
        <v>44109</v>
      </c>
      <c r="W124" s="329" t="b">
        <v>1</v>
      </c>
      <c r="X124" s="331" t="s">
        <v>22</v>
      </c>
      <c r="Y124" s="329">
        <v>726</v>
      </c>
      <c r="Z124" s="331" t="s">
        <v>25</v>
      </c>
      <c r="AA124" s="331" t="s">
        <v>919</v>
      </c>
      <c r="AB124" s="331" t="s">
        <v>920</v>
      </c>
      <c r="AC124" s="331" t="s">
        <v>1184</v>
      </c>
      <c r="AD124" s="331" t="s">
        <v>24</v>
      </c>
      <c r="AE124" s="329">
        <v>221</v>
      </c>
      <c r="AF124" s="331" t="s">
        <v>254</v>
      </c>
      <c r="AG124" s="329"/>
      <c r="AH124" s="329">
        <v>17</v>
      </c>
      <c r="AI124" s="331" t="s">
        <v>280</v>
      </c>
      <c r="AJ124" s="331" t="s">
        <v>281</v>
      </c>
      <c r="AK124" s="331" t="s">
        <v>328</v>
      </c>
      <c r="AL124" s="331" t="s">
        <v>299</v>
      </c>
      <c r="AM124" s="331" t="s">
        <v>363</v>
      </c>
      <c r="AN124" s="331" t="s">
        <v>363</v>
      </c>
      <c r="AO124" s="331" t="s">
        <v>328</v>
      </c>
      <c r="AP124" s="329"/>
      <c r="AQ124" s="329"/>
      <c r="AR124" s="329"/>
      <c r="AS124" s="329"/>
      <c r="AT124" s="329" t="s">
        <v>453</v>
      </c>
      <c r="AU124" s="329" t="s">
        <v>256</v>
      </c>
      <c r="AV124" s="331" t="s">
        <v>350</v>
      </c>
      <c r="AW124" s="329"/>
      <c r="AX124" s="329"/>
      <c r="AY124" s="329"/>
      <c r="AZ124" s="329"/>
      <c r="BA124" s="329"/>
      <c r="BB124" s="329"/>
      <c r="BC124" s="329"/>
      <c r="BD124" s="329"/>
      <c r="BE124" s="329" t="s">
        <v>257</v>
      </c>
      <c r="BF124" s="329" t="s">
        <v>841</v>
      </c>
      <c r="BG124" s="329"/>
      <c r="BH124" s="329"/>
      <c r="BI124" s="329"/>
      <c r="BJ124" s="329"/>
      <c r="BK124" s="329">
        <v>9000</v>
      </c>
      <c r="BL124" s="329"/>
      <c r="BM124" s="331" t="s">
        <v>189</v>
      </c>
      <c r="BN124" s="329" t="s">
        <v>260</v>
      </c>
      <c r="BO124" s="333">
        <v>43777</v>
      </c>
      <c r="BP124" s="329"/>
      <c r="BQ124" s="329"/>
      <c r="BR124" s="329"/>
      <c r="BS124" s="329"/>
      <c r="BT124" s="329"/>
      <c r="BU124" s="331" t="s">
        <v>261</v>
      </c>
      <c r="BV124" s="329"/>
      <c r="BW124" s="329"/>
      <c r="BX124" s="329"/>
      <c r="BY124" s="331" t="s">
        <v>5085</v>
      </c>
      <c r="BZ124" s="331" t="s">
        <v>5086</v>
      </c>
      <c r="CA124" s="331" t="s">
        <v>5087</v>
      </c>
      <c r="CB124" s="331" t="s">
        <v>325</v>
      </c>
      <c r="CC124" s="331" t="s">
        <v>5088</v>
      </c>
    </row>
    <row r="125" spans="1:81" x14ac:dyDescent="0.25">
      <c r="A125" s="329">
        <v>198337</v>
      </c>
      <c r="B125" s="331" t="s">
        <v>5089</v>
      </c>
      <c r="C125" s="329">
        <v>35232</v>
      </c>
      <c r="D125" s="331" t="s">
        <v>439</v>
      </c>
      <c r="E125" s="331" t="s">
        <v>5090</v>
      </c>
      <c r="F125" s="331" t="s">
        <v>5091</v>
      </c>
      <c r="G125" s="331" t="s">
        <v>5092</v>
      </c>
      <c r="H125" s="331" t="s">
        <v>5093</v>
      </c>
      <c r="I125" s="331" t="s">
        <v>5094</v>
      </c>
      <c r="J125" s="331" t="s">
        <v>397</v>
      </c>
      <c r="K125" s="331" t="s">
        <v>5095</v>
      </c>
      <c r="L125" s="329"/>
      <c r="M125" s="329">
        <v>6</v>
      </c>
      <c r="N125" s="329">
        <v>0</v>
      </c>
      <c r="O125" s="329">
        <v>3.0710000000000002</v>
      </c>
      <c r="P125" s="329"/>
      <c r="Q125" s="333">
        <v>43708.675694444442</v>
      </c>
      <c r="R125" s="329"/>
      <c r="S125" s="333">
        <v>43777</v>
      </c>
      <c r="T125" s="329">
        <v>55</v>
      </c>
      <c r="U125" s="333">
        <v>43777</v>
      </c>
      <c r="V125" s="333">
        <v>44109</v>
      </c>
      <c r="W125" s="329" t="b">
        <v>1</v>
      </c>
      <c r="X125" s="331" t="s">
        <v>22</v>
      </c>
      <c r="Y125" s="329">
        <v>726</v>
      </c>
      <c r="Z125" s="331" t="s">
        <v>25</v>
      </c>
      <c r="AA125" s="331" t="s">
        <v>919</v>
      </c>
      <c r="AB125" s="331" t="s">
        <v>920</v>
      </c>
      <c r="AC125" s="331" t="s">
        <v>346</v>
      </c>
      <c r="AD125" s="331" t="s">
        <v>24</v>
      </c>
      <c r="AE125" s="329">
        <v>221</v>
      </c>
      <c r="AF125" s="331" t="s">
        <v>254</v>
      </c>
      <c r="AG125" s="329"/>
      <c r="AH125" s="329">
        <v>17</v>
      </c>
      <c r="AI125" s="331" t="s">
        <v>280</v>
      </c>
      <c r="AJ125" s="331" t="s">
        <v>281</v>
      </c>
      <c r="AK125" s="331" t="s">
        <v>329</v>
      </c>
      <c r="AL125" s="331" t="s">
        <v>417</v>
      </c>
      <c r="AM125" s="331" t="s">
        <v>386</v>
      </c>
      <c r="AN125" s="331" t="s">
        <v>416</v>
      </c>
      <c r="AO125" s="331" t="s">
        <v>328</v>
      </c>
      <c r="AP125" s="329"/>
      <c r="AQ125" s="329"/>
      <c r="AR125" s="329"/>
      <c r="AS125" s="329"/>
      <c r="AT125" s="329" t="s">
        <v>858</v>
      </c>
      <c r="AU125" s="329" t="s">
        <v>283</v>
      </c>
      <c r="AV125" s="331" t="s">
        <v>397</v>
      </c>
      <c r="AW125" s="329"/>
      <c r="AX125" s="329"/>
      <c r="AY125" s="329"/>
      <c r="AZ125" s="329"/>
      <c r="BA125" s="329"/>
      <c r="BB125" s="329"/>
      <c r="BC125" s="329"/>
      <c r="BD125" s="329"/>
      <c r="BE125" s="329"/>
      <c r="BF125" s="329"/>
      <c r="BG125" s="329"/>
      <c r="BH125" s="329"/>
      <c r="BI125" s="329"/>
      <c r="BJ125" s="329"/>
      <c r="BK125" s="329">
        <v>0</v>
      </c>
      <c r="BL125" s="329"/>
      <c r="BM125" s="331" t="s">
        <v>27</v>
      </c>
      <c r="BN125" s="329" t="s">
        <v>260</v>
      </c>
      <c r="BO125" s="333">
        <v>43777</v>
      </c>
      <c r="BP125" s="329"/>
      <c r="BQ125" s="329"/>
      <c r="BR125" s="329"/>
      <c r="BS125" s="329"/>
      <c r="BT125" s="329"/>
      <c r="BU125" s="331" t="s">
        <v>261</v>
      </c>
      <c r="BV125" s="329"/>
      <c r="BW125" s="329"/>
      <c r="BX125" s="329"/>
      <c r="BY125" s="331" t="s">
        <v>5096</v>
      </c>
      <c r="BZ125" s="331" t="s">
        <v>5097</v>
      </c>
      <c r="CA125" s="331" t="s">
        <v>5098</v>
      </c>
      <c r="CB125" s="331" t="s">
        <v>397</v>
      </c>
      <c r="CC125" s="331" t="s">
        <v>5099</v>
      </c>
    </row>
    <row r="126" spans="1:81" x14ac:dyDescent="0.25">
      <c r="A126" s="329">
        <v>197233</v>
      </c>
      <c r="B126" s="331" t="s">
        <v>5100</v>
      </c>
      <c r="C126" s="329">
        <v>34820</v>
      </c>
      <c r="D126" s="331" t="s">
        <v>5101</v>
      </c>
      <c r="E126" s="331" t="s">
        <v>5102</v>
      </c>
      <c r="F126" s="331" t="s">
        <v>5103</v>
      </c>
      <c r="G126" s="331" t="s">
        <v>5104</v>
      </c>
      <c r="H126" s="331" t="s">
        <v>5105</v>
      </c>
      <c r="I126" s="331" t="s">
        <v>711</v>
      </c>
      <c r="J126" s="331" t="s">
        <v>21</v>
      </c>
      <c r="K126" s="331" t="s">
        <v>864</v>
      </c>
      <c r="L126" s="329"/>
      <c r="M126" s="329">
        <v>6</v>
      </c>
      <c r="N126" s="329">
        <v>0</v>
      </c>
      <c r="O126" s="329">
        <v>3.94</v>
      </c>
      <c r="P126" s="329"/>
      <c r="Q126" s="333">
        <v>43012.676388888889</v>
      </c>
      <c r="R126" s="329"/>
      <c r="S126" s="333">
        <v>43777</v>
      </c>
      <c r="T126" s="329">
        <v>55</v>
      </c>
      <c r="U126" s="333">
        <v>43777</v>
      </c>
      <c r="V126" s="333">
        <v>44109</v>
      </c>
      <c r="W126" s="329" t="b">
        <v>1</v>
      </c>
      <c r="X126" s="331" t="s">
        <v>906</v>
      </c>
      <c r="Y126" s="329">
        <v>748</v>
      </c>
      <c r="Z126" s="331" t="s">
        <v>23</v>
      </c>
      <c r="AA126" s="331" t="s">
        <v>919</v>
      </c>
      <c r="AB126" s="331" t="s">
        <v>920</v>
      </c>
      <c r="AC126" s="331" t="s">
        <v>5106</v>
      </c>
      <c r="AD126" s="331" t="s">
        <v>24</v>
      </c>
      <c r="AE126" s="329">
        <v>221</v>
      </c>
      <c r="AF126" s="331" t="s">
        <v>254</v>
      </c>
      <c r="AG126" s="329"/>
      <c r="AH126" s="329">
        <v>17</v>
      </c>
      <c r="AI126" s="331" t="s">
        <v>280</v>
      </c>
      <c r="AJ126" s="331" t="s">
        <v>281</v>
      </c>
      <c r="AK126" s="331" t="s">
        <v>286</v>
      </c>
      <c r="AL126" s="331" t="s">
        <v>285</v>
      </c>
      <c r="AM126" s="331" t="s">
        <v>348</v>
      </c>
      <c r="AN126" s="331" t="s">
        <v>285</v>
      </c>
      <c r="AO126" s="331" t="s">
        <v>285</v>
      </c>
      <c r="AP126" s="329"/>
      <c r="AQ126" s="329"/>
      <c r="AR126" s="329"/>
      <c r="AS126" s="329"/>
      <c r="AT126" s="329" t="s">
        <v>857</v>
      </c>
      <c r="AU126" s="329" t="s">
        <v>256</v>
      </c>
      <c r="AV126" s="331" t="s">
        <v>21</v>
      </c>
      <c r="AW126" s="329"/>
      <c r="AX126" s="329"/>
      <c r="AY126" s="329"/>
      <c r="AZ126" s="329"/>
      <c r="BA126" s="329"/>
      <c r="BB126" s="329"/>
      <c r="BC126" s="329"/>
      <c r="BD126" s="329"/>
      <c r="BE126" s="329" t="s">
        <v>257</v>
      </c>
      <c r="BF126" s="329" t="s">
        <v>834</v>
      </c>
      <c r="BG126" s="329"/>
      <c r="BH126" s="329"/>
      <c r="BI126" s="329" t="s">
        <v>334</v>
      </c>
      <c r="BJ126" s="329" t="s">
        <v>831</v>
      </c>
      <c r="BK126" s="329">
        <v>56400</v>
      </c>
      <c r="BL126" s="329"/>
      <c r="BM126" s="331" t="s">
        <v>278</v>
      </c>
      <c r="BN126" s="329" t="s">
        <v>260</v>
      </c>
      <c r="BO126" s="333">
        <v>43777</v>
      </c>
      <c r="BP126" s="329"/>
      <c r="BQ126" s="329"/>
      <c r="BR126" s="329"/>
      <c r="BS126" s="329"/>
      <c r="BT126" s="329"/>
      <c r="BU126" s="331" t="s">
        <v>261</v>
      </c>
      <c r="BV126" s="329"/>
      <c r="BW126" s="329"/>
      <c r="BX126" s="329"/>
      <c r="BY126" s="331" t="s">
        <v>5107</v>
      </c>
      <c r="BZ126" s="331" t="s">
        <v>5108</v>
      </c>
      <c r="CA126" s="331" t="s">
        <v>799</v>
      </c>
      <c r="CB126" s="331" t="s">
        <v>21</v>
      </c>
      <c r="CC126" s="331" t="s">
        <v>586</v>
      </c>
    </row>
    <row r="127" spans="1:81" x14ac:dyDescent="0.25">
      <c r="A127" s="329">
        <v>195768</v>
      </c>
      <c r="B127" s="331" t="s">
        <v>5109</v>
      </c>
      <c r="C127" s="329">
        <v>34402</v>
      </c>
      <c r="D127" s="331" t="s">
        <v>801</v>
      </c>
      <c r="E127" s="331" t="s">
        <v>5110</v>
      </c>
      <c r="F127" s="331" t="s">
        <v>5111</v>
      </c>
      <c r="G127" s="331" t="s">
        <v>5112</v>
      </c>
      <c r="H127" s="331" t="s">
        <v>5113</v>
      </c>
      <c r="I127" s="331" t="s">
        <v>5114</v>
      </c>
      <c r="J127" s="331" t="s">
        <v>306</v>
      </c>
      <c r="K127" s="331" t="s">
        <v>5115</v>
      </c>
      <c r="L127" s="329"/>
      <c r="M127" s="329">
        <v>6</v>
      </c>
      <c r="N127" s="329">
        <v>0</v>
      </c>
      <c r="O127" s="329">
        <v>3.12</v>
      </c>
      <c r="P127" s="329"/>
      <c r="Q127" s="333">
        <v>43671.461805555555</v>
      </c>
      <c r="R127" s="329"/>
      <c r="S127" s="333">
        <v>43777</v>
      </c>
      <c r="T127" s="329">
        <v>55</v>
      </c>
      <c r="U127" s="333">
        <v>43777</v>
      </c>
      <c r="V127" s="333">
        <v>44109</v>
      </c>
      <c r="W127" s="329" t="b">
        <v>1</v>
      </c>
      <c r="X127" s="331" t="s">
        <v>22</v>
      </c>
      <c r="Y127" s="329">
        <v>726</v>
      </c>
      <c r="Z127" s="331" t="s">
        <v>25</v>
      </c>
      <c r="AA127" s="331" t="s">
        <v>919</v>
      </c>
      <c r="AB127" s="331" t="s">
        <v>920</v>
      </c>
      <c r="AC127" s="331" t="s">
        <v>962</v>
      </c>
      <c r="AD127" s="331" t="s">
        <v>24</v>
      </c>
      <c r="AE127" s="329">
        <v>221</v>
      </c>
      <c r="AF127" s="331" t="s">
        <v>254</v>
      </c>
      <c r="AG127" s="329"/>
      <c r="AH127" s="329">
        <v>17</v>
      </c>
      <c r="AI127" s="331" t="s">
        <v>280</v>
      </c>
      <c r="AJ127" s="331" t="s">
        <v>281</v>
      </c>
      <c r="AK127" s="331" t="s">
        <v>331</v>
      </c>
      <c r="AL127" s="331" t="s">
        <v>330</v>
      </c>
      <c r="AM127" s="331" t="s">
        <v>299</v>
      </c>
      <c r="AN127" s="331" t="s">
        <v>330</v>
      </c>
      <c r="AO127" s="331" t="s">
        <v>301</v>
      </c>
      <c r="AP127" s="329"/>
      <c r="AQ127" s="329"/>
      <c r="AR127" s="329"/>
      <c r="AS127" s="329"/>
      <c r="AT127" s="329" t="s">
        <v>266</v>
      </c>
      <c r="AU127" s="329" t="s">
        <v>283</v>
      </c>
      <c r="AV127" s="331" t="s">
        <v>306</v>
      </c>
      <c r="AW127" s="329"/>
      <c r="AX127" s="329"/>
      <c r="AY127" s="329"/>
      <c r="AZ127" s="329"/>
      <c r="BA127" s="329"/>
      <c r="BB127" s="329"/>
      <c r="BC127" s="329"/>
      <c r="BD127" s="329"/>
      <c r="BE127" s="329" t="s">
        <v>257</v>
      </c>
      <c r="BF127" s="329" t="s">
        <v>830</v>
      </c>
      <c r="BG127" s="329"/>
      <c r="BH127" s="329"/>
      <c r="BI127" s="329"/>
      <c r="BJ127" s="329"/>
      <c r="BK127" s="329">
        <v>12000</v>
      </c>
      <c r="BL127" s="329"/>
      <c r="BM127" s="331" t="s">
        <v>26</v>
      </c>
      <c r="BN127" s="329" t="s">
        <v>260</v>
      </c>
      <c r="BO127" s="333">
        <v>43777</v>
      </c>
      <c r="BP127" s="329"/>
      <c r="BQ127" s="329"/>
      <c r="BR127" s="329"/>
      <c r="BS127" s="329"/>
      <c r="BT127" s="329"/>
      <c r="BU127" s="331" t="s">
        <v>261</v>
      </c>
      <c r="BV127" s="329"/>
      <c r="BW127" s="329"/>
      <c r="BX127" s="329"/>
      <c r="BY127" s="331" t="s">
        <v>5116</v>
      </c>
      <c r="BZ127" s="331" t="s">
        <v>5117</v>
      </c>
      <c r="CA127" s="331" t="s">
        <v>5118</v>
      </c>
      <c r="CB127" s="331" t="s">
        <v>306</v>
      </c>
      <c r="CC127" s="331" t="s">
        <v>5115</v>
      </c>
    </row>
    <row r="128" spans="1:81" x14ac:dyDescent="0.25">
      <c r="A128" s="329">
        <v>197064</v>
      </c>
      <c r="B128" s="331" t="s">
        <v>5119</v>
      </c>
      <c r="C128" s="329">
        <v>34796</v>
      </c>
      <c r="D128" s="331" t="s">
        <v>702</v>
      </c>
      <c r="E128" s="331" t="s">
        <v>739</v>
      </c>
      <c r="F128" s="331" t="s">
        <v>5120</v>
      </c>
      <c r="G128" s="331" t="s">
        <v>5121</v>
      </c>
      <c r="H128" s="331" t="s">
        <v>5122</v>
      </c>
      <c r="I128" s="331" t="s">
        <v>5123</v>
      </c>
      <c r="J128" s="331" t="s">
        <v>397</v>
      </c>
      <c r="K128" s="331" t="s">
        <v>5124</v>
      </c>
      <c r="L128" s="329"/>
      <c r="M128" s="329">
        <v>6</v>
      </c>
      <c r="N128" s="329">
        <v>0</v>
      </c>
      <c r="O128" s="329">
        <v>3.1</v>
      </c>
      <c r="P128" s="329"/>
      <c r="Q128" s="333">
        <v>43710.597222222219</v>
      </c>
      <c r="R128" s="329"/>
      <c r="S128" s="333">
        <v>43777</v>
      </c>
      <c r="T128" s="329">
        <v>55</v>
      </c>
      <c r="U128" s="333">
        <v>43777</v>
      </c>
      <c r="V128" s="333">
        <v>44109</v>
      </c>
      <c r="W128" s="329" t="b">
        <v>1</v>
      </c>
      <c r="X128" s="331" t="s">
        <v>905</v>
      </c>
      <c r="Y128" s="329">
        <v>747</v>
      </c>
      <c r="Z128" s="331" t="s">
        <v>23</v>
      </c>
      <c r="AA128" s="331" t="s">
        <v>919</v>
      </c>
      <c r="AB128" s="331" t="s">
        <v>920</v>
      </c>
      <c r="AC128" s="331" t="s">
        <v>1405</v>
      </c>
      <c r="AD128" s="331" t="s">
        <v>24</v>
      </c>
      <c r="AE128" s="329">
        <v>221</v>
      </c>
      <c r="AF128" s="331" t="s">
        <v>254</v>
      </c>
      <c r="AG128" s="329"/>
      <c r="AH128" s="329">
        <v>17</v>
      </c>
      <c r="AI128" s="331" t="s">
        <v>280</v>
      </c>
      <c r="AJ128" s="331" t="s">
        <v>281</v>
      </c>
      <c r="AK128" s="329"/>
      <c r="AL128" s="329"/>
      <c r="AM128" s="329"/>
      <c r="AN128" s="329"/>
      <c r="AO128" s="329"/>
      <c r="AP128" s="329"/>
      <c r="AQ128" s="329"/>
      <c r="AR128" s="329"/>
      <c r="AS128" s="329"/>
      <c r="AT128" s="329" t="s">
        <v>258</v>
      </c>
      <c r="AU128" s="329" t="s">
        <v>283</v>
      </c>
      <c r="AV128" s="331" t="s">
        <v>397</v>
      </c>
      <c r="AW128" s="329"/>
      <c r="AX128" s="329"/>
      <c r="AY128" s="329"/>
      <c r="AZ128" s="329"/>
      <c r="BA128" s="329"/>
      <c r="BB128" s="329"/>
      <c r="BC128" s="329"/>
      <c r="BD128" s="329"/>
      <c r="BE128" s="329"/>
      <c r="BF128" s="329"/>
      <c r="BG128" s="329"/>
      <c r="BH128" s="329"/>
      <c r="BI128" s="329"/>
      <c r="BJ128" s="329"/>
      <c r="BK128" s="329">
        <v>0</v>
      </c>
      <c r="BL128" s="329"/>
      <c r="BM128" s="331" t="s">
        <v>323</v>
      </c>
      <c r="BN128" s="329" t="s">
        <v>260</v>
      </c>
      <c r="BO128" s="333">
        <v>43777</v>
      </c>
      <c r="BP128" s="329"/>
      <c r="BQ128" s="329"/>
      <c r="BR128" s="329"/>
      <c r="BS128" s="329"/>
      <c r="BT128" s="329"/>
      <c r="BU128" s="331" t="s">
        <v>261</v>
      </c>
      <c r="BV128" s="329"/>
      <c r="BW128" s="329"/>
      <c r="BX128" s="329"/>
      <c r="BY128" s="331" t="s">
        <v>5125</v>
      </c>
      <c r="BZ128" s="331" t="s">
        <v>5126</v>
      </c>
      <c r="CA128" s="331" t="s">
        <v>5127</v>
      </c>
      <c r="CB128" s="331" t="s">
        <v>397</v>
      </c>
      <c r="CC128" s="331" t="s">
        <v>5128</v>
      </c>
    </row>
    <row r="129" spans="1:81" x14ac:dyDescent="0.25">
      <c r="A129" s="329">
        <v>198556</v>
      </c>
      <c r="B129" s="331" t="s">
        <v>5129</v>
      </c>
      <c r="C129" s="329">
        <v>35313</v>
      </c>
      <c r="D129" s="331" t="s">
        <v>423</v>
      </c>
      <c r="E129" s="331" t="s">
        <v>424</v>
      </c>
      <c r="F129" s="331" t="s">
        <v>425</v>
      </c>
      <c r="G129" s="331" t="s">
        <v>5130</v>
      </c>
      <c r="H129" s="331" t="s">
        <v>5131</v>
      </c>
      <c r="I129" s="331" t="s">
        <v>5132</v>
      </c>
      <c r="J129" s="331" t="s">
        <v>21</v>
      </c>
      <c r="K129" s="331" t="s">
        <v>575</v>
      </c>
      <c r="L129" s="329"/>
      <c r="M129" s="329">
        <v>6</v>
      </c>
      <c r="N129" s="329">
        <v>0</v>
      </c>
      <c r="O129" s="329">
        <v>3.996</v>
      </c>
      <c r="P129" s="329"/>
      <c r="Q129" s="333">
        <v>43035.634027777778</v>
      </c>
      <c r="R129" s="329"/>
      <c r="S129" s="333">
        <v>43777</v>
      </c>
      <c r="T129" s="329">
        <v>55</v>
      </c>
      <c r="U129" s="333">
        <v>43777</v>
      </c>
      <c r="V129" s="333">
        <v>44109</v>
      </c>
      <c r="W129" s="329" t="b">
        <v>1</v>
      </c>
      <c r="X129" s="331" t="s">
        <v>906</v>
      </c>
      <c r="Y129" s="329">
        <v>748</v>
      </c>
      <c r="Z129" s="331" t="s">
        <v>23</v>
      </c>
      <c r="AA129" s="331" t="s">
        <v>919</v>
      </c>
      <c r="AB129" s="331" t="s">
        <v>920</v>
      </c>
      <c r="AC129" s="331" t="s">
        <v>1469</v>
      </c>
      <c r="AD129" s="331" t="s">
        <v>24</v>
      </c>
      <c r="AE129" s="329">
        <v>221</v>
      </c>
      <c r="AF129" s="331" t="s">
        <v>254</v>
      </c>
      <c r="AG129" s="329"/>
      <c r="AH129" s="329">
        <v>17</v>
      </c>
      <c r="AI129" s="331" t="s">
        <v>280</v>
      </c>
      <c r="AJ129" s="331" t="s">
        <v>281</v>
      </c>
      <c r="AK129" s="331" t="s">
        <v>301</v>
      </c>
      <c r="AL129" s="331" t="s">
        <v>299</v>
      </c>
      <c r="AM129" s="331" t="s">
        <v>275</v>
      </c>
      <c r="AN129" s="331" t="s">
        <v>328</v>
      </c>
      <c r="AO129" s="331" t="s">
        <v>301</v>
      </c>
      <c r="AP129" s="329"/>
      <c r="AQ129" s="329"/>
      <c r="AR129" s="329"/>
      <c r="AS129" s="329"/>
      <c r="AT129" s="329" t="s">
        <v>303</v>
      </c>
      <c r="AU129" s="329" t="s">
        <v>256</v>
      </c>
      <c r="AV129" s="331" t="s">
        <v>21</v>
      </c>
      <c r="AW129" s="329"/>
      <c r="AX129" s="329"/>
      <c r="AY129" s="329"/>
      <c r="AZ129" s="329"/>
      <c r="BA129" s="329"/>
      <c r="BB129" s="329"/>
      <c r="BC129" s="329"/>
      <c r="BD129" s="329"/>
      <c r="BE129" s="329" t="s">
        <v>257</v>
      </c>
      <c r="BF129" s="329" t="s">
        <v>834</v>
      </c>
      <c r="BG129" s="329"/>
      <c r="BH129" s="329"/>
      <c r="BI129" s="329" t="s">
        <v>334</v>
      </c>
      <c r="BJ129" s="329" t="s">
        <v>831</v>
      </c>
      <c r="BK129" s="329">
        <v>56400</v>
      </c>
      <c r="BL129" s="329"/>
      <c r="BM129" s="331" t="s">
        <v>278</v>
      </c>
      <c r="BN129" s="329" t="s">
        <v>260</v>
      </c>
      <c r="BO129" s="333">
        <v>43777</v>
      </c>
      <c r="BP129" s="329"/>
      <c r="BQ129" s="329"/>
      <c r="BR129" s="329"/>
      <c r="BS129" s="329"/>
      <c r="BT129" s="329"/>
      <c r="BU129" s="331" t="s">
        <v>261</v>
      </c>
      <c r="BV129" s="329"/>
      <c r="BW129" s="329"/>
      <c r="BX129" s="329"/>
      <c r="BY129" s="331" t="s">
        <v>5133</v>
      </c>
      <c r="BZ129" s="331" t="s">
        <v>5134</v>
      </c>
      <c r="CA129" s="331" t="s">
        <v>5135</v>
      </c>
      <c r="CB129" s="331" t="s">
        <v>21</v>
      </c>
      <c r="CC129" s="331" t="s">
        <v>883</v>
      </c>
    </row>
    <row r="130" spans="1:81" x14ac:dyDescent="0.25">
      <c r="A130" s="329">
        <v>198664</v>
      </c>
      <c r="B130" s="331" t="s">
        <v>5137</v>
      </c>
      <c r="C130" s="329">
        <v>35349</v>
      </c>
      <c r="D130" s="331" t="s">
        <v>5138</v>
      </c>
      <c r="E130" s="331" t="s">
        <v>3326</v>
      </c>
      <c r="F130" s="331" t="s">
        <v>5139</v>
      </c>
      <c r="G130" s="331" t="s">
        <v>5140</v>
      </c>
      <c r="H130" s="331" t="s">
        <v>5141</v>
      </c>
      <c r="I130" s="331" t="s">
        <v>5142</v>
      </c>
      <c r="J130" s="331" t="s">
        <v>292</v>
      </c>
      <c r="K130" s="331" t="s">
        <v>5143</v>
      </c>
      <c r="L130" s="329"/>
      <c r="M130" s="329">
        <v>6</v>
      </c>
      <c r="N130" s="329">
        <v>0</v>
      </c>
      <c r="O130" s="329">
        <v>3.4762</v>
      </c>
      <c r="P130" s="329"/>
      <c r="Q130" s="333">
        <v>43739.729166666664</v>
      </c>
      <c r="R130" s="329"/>
      <c r="S130" s="333">
        <v>43777</v>
      </c>
      <c r="T130" s="329">
        <v>55</v>
      </c>
      <c r="U130" s="333">
        <v>43777</v>
      </c>
      <c r="V130" s="333">
        <v>44109</v>
      </c>
      <c r="W130" s="329" t="b">
        <v>1</v>
      </c>
      <c r="X130" s="331" t="s">
        <v>22</v>
      </c>
      <c r="Y130" s="329">
        <v>429</v>
      </c>
      <c r="Z130" s="331" t="s">
        <v>23</v>
      </c>
      <c r="AA130" s="331" t="s">
        <v>188</v>
      </c>
      <c r="AB130" s="331" t="s">
        <v>4503</v>
      </c>
      <c r="AC130" s="331" t="s">
        <v>2015</v>
      </c>
      <c r="AD130" s="331" t="s">
        <v>24</v>
      </c>
      <c r="AE130" s="329">
        <v>221</v>
      </c>
      <c r="AF130" s="331" t="s">
        <v>254</v>
      </c>
      <c r="AG130" s="329"/>
      <c r="AH130" s="329">
        <v>17</v>
      </c>
      <c r="AI130" s="331" t="s">
        <v>280</v>
      </c>
      <c r="AJ130" s="331" t="s">
        <v>281</v>
      </c>
      <c r="AK130" s="331" t="s">
        <v>285</v>
      </c>
      <c r="AL130" s="331" t="s">
        <v>273</v>
      </c>
      <c r="AM130" s="331" t="s">
        <v>273</v>
      </c>
      <c r="AN130" s="331" t="s">
        <v>273</v>
      </c>
      <c r="AO130" s="331" t="s">
        <v>348</v>
      </c>
      <c r="AP130" s="331" t="s">
        <v>1649</v>
      </c>
      <c r="AQ130" s="329">
        <v>730</v>
      </c>
      <c r="AR130" s="329">
        <v>690</v>
      </c>
      <c r="AS130" s="329"/>
      <c r="AT130" s="329" t="s">
        <v>367</v>
      </c>
      <c r="AU130" s="329" t="s">
        <v>283</v>
      </c>
      <c r="AV130" s="331" t="s">
        <v>292</v>
      </c>
      <c r="AW130" s="329"/>
      <c r="AX130" s="329"/>
      <c r="AY130" s="329"/>
      <c r="AZ130" s="329"/>
      <c r="BA130" s="329"/>
      <c r="BB130" s="329"/>
      <c r="BC130" s="329"/>
      <c r="BD130" s="329"/>
      <c r="BE130" s="329" t="s">
        <v>257</v>
      </c>
      <c r="BF130" s="329" t="s">
        <v>834</v>
      </c>
      <c r="BG130" s="329"/>
      <c r="BH130" s="329"/>
      <c r="BI130" s="329"/>
      <c r="BJ130" s="329"/>
      <c r="BK130" s="329">
        <v>20400</v>
      </c>
      <c r="BL130" s="329"/>
      <c r="BM130" s="331" t="s">
        <v>278</v>
      </c>
      <c r="BN130" s="329" t="s">
        <v>260</v>
      </c>
      <c r="BO130" s="333">
        <v>43777</v>
      </c>
      <c r="BP130" s="329"/>
      <c r="BQ130" s="329"/>
      <c r="BR130" s="329"/>
      <c r="BS130" s="329"/>
      <c r="BT130" s="329"/>
      <c r="BU130" s="331" t="s">
        <v>261</v>
      </c>
      <c r="BV130" s="329"/>
      <c r="BW130" s="329"/>
      <c r="BX130" s="329"/>
      <c r="BY130" s="331" t="s">
        <v>5144</v>
      </c>
      <c r="BZ130" s="331" t="s">
        <v>5145</v>
      </c>
      <c r="CA130" s="331" t="s">
        <v>5146</v>
      </c>
      <c r="CB130" s="331" t="s">
        <v>292</v>
      </c>
      <c r="CC130" s="331" t="s">
        <v>5147</v>
      </c>
    </row>
    <row r="131" spans="1:81" x14ac:dyDescent="0.25">
      <c r="A131" s="329">
        <v>199019</v>
      </c>
      <c r="B131" s="331" t="s">
        <v>5148</v>
      </c>
      <c r="C131" s="329">
        <v>35441</v>
      </c>
      <c r="D131" s="331" t="s">
        <v>433</v>
      </c>
      <c r="E131" s="331" t="s">
        <v>5149</v>
      </c>
      <c r="F131" s="331" t="s">
        <v>5150</v>
      </c>
      <c r="G131" s="331" t="s">
        <v>5151</v>
      </c>
      <c r="H131" s="331" t="s">
        <v>5152</v>
      </c>
      <c r="I131" s="331" t="s">
        <v>5153</v>
      </c>
      <c r="J131" s="331" t="s">
        <v>263</v>
      </c>
      <c r="K131" s="331" t="s">
        <v>5154</v>
      </c>
      <c r="L131" s="329"/>
      <c r="M131" s="329">
        <v>6</v>
      </c>
      <c r="N131" s="329">
        <v>0</v>
      </c>
      <c r="O131" s="329">
        <v>3.5</v>
      </c>
      <c r="P131" s="329"/>
      <c r="Q131" s="333">
        <v>43761.518055555556</v>
      </c>
      <c r="R131" s="329"/>
      <c r="S131" s="333">
        <v>43777</v>
      </c>
      <c r="T131" s="329">
        <v>55</v>
      </c>
      <c r="U131" s="333">
        <v>43777</v>
      </c>
      <c r="V131" s="333">
        <v>44109</v>
      </c>
      <c r="W131" s="329" t="b">
        <v>1</v>
      </c>
      <c r="X131" s="331" t="s">
        <v>22</v>
      </c>
      <c r="Y131" s="329">
        <v>726</v>
      </c>
      <c r="Z131" s="331" t="s">
        <v>25</v>
      </c>
      <c r="AA131" s="331" t="s">
        <v>919</v>
      </c>
      <c r="AB131" s="331" t="s">
        <v>920</v>
      </c>
      <c r="AC131" s="331" t="s">
        <v>311</v>
      </c>
      <c r="AD131" s="331" t="s">
        <v>24</v>
      </c>
      <c r="AE131" s="329">
        <v>221</v>
      </c>
      <c r="AF131" s="331" t="s">
        <v>254</v>
      </c>
      <c r="AG131" s="329"/>
      <c r="AH131" s="329">
        <v>17</v>
      </c>
      <c r="AI131" s="331" t="s">
        <v>280</v>
      </c>
      <c r="AJ131" s="331" t="s">
        <v>281</v>
      </c>
      <c r="AK131" s="329"/>
      <c r="AL131" s="329"/>
      <c r="AM131" s="329"/>
      <c r="AN131" s="329"/>
      <c r="AO131" s="329"/>
      <c r="AP131" s="331" t="s">
        <v>499</v>
      </c>
      <c r="AQ131" s="329">
        <v>490</v>
      </c>
      <c r="AR131" s="329">
        <v>530</v>
      </c>
      <c r="AS131" s="329"/>
      <c r="AT131" s="329" t="s">
        <v>309</v>
      </c>
      <c r="AU131" s="329" t="s">
        <v>283</v>
      </c>
      <c r="AV131" s="331" t="s">
        <v>263</v>
      </c>
      <c r="AW131" s="329"/>
      <c r="AX131" s="329"/>
      <c r="AY131" s="329"/>
      <c r="AZ131" s="329"/>
      <c r="BA131" s="329"/>
      <c r="BB131" s="329"/>
      <c r="BC131" s="329"/>
      <c r="BD131" s="329"/>
      <c r="BE131" s="329" t="s">
        <v>257</v>
      </c>
      <c r="BF131" s="329" t="s">
        <v>834</v>
      </c>
      <c r="BG131" s="329"/>
      <c r="BH131" s="329"/>
      <c r="BI131" s="329"/>
      <c r="BJ131" s="329"/>
      <c r="BK131" s="329">
        <v>20400</v>
      </c>
      <c r="BL131" s="329"/>
      <c r="BM131" s="331" t="s">
        <v>278</v>
      </c>
      <c r="BN131" s="329" t="s">
        <v>260</v>
      </c>
      <c r="BO131" s="333">
        <v>43777</v>
      </c>
      <c r="BP131" s="329"/>
      <c r="BQ131" s="329"/>
      <c r="BR131" s="329"/>
      <c r="BS131" s="329"/>
      <c r="BT131" s="329"/>
      <c r="BU131" s="331" t="s">
        <v>261</v>
      </c>
      <c r="BV131" s="329"/>
      <c r="BW131" s="329"/>
      <c r="BX131" s="329"/>
      <c r="BY131" s="331" t="s">
        <v>5155</v>
      </c>
      <c r="BZ131" s="331" t="s">
        <v>5156</v>
      </c>
      <c r="CA131" s="331" t="s">
        <v>5153</v>
      </c>
      <c r="CB131" s="331" t="s">
        <v>263</v>
      </c>
      <c r="CC131" s="331" t="s">
        <v>5154</v>
      </c>
    </row>
    <row r="132" spans="1:81" x14ac:dyDescent="0.25">
      <c r="A132" s="329">
        <v>199219</v>
      </c>
      <c r="B132" s="331" t="s">
        <v>5165</v>
      </c>
      <c r="C132" s="329">
        <v>35492</v>
      </c>
      <c r="D132" s="331" t="s">
        <v>5166</v>
      </c>
      <c r="E132" s="331" t="s">
        <v>698</v>
      </c>
      <c r="F132" s="331" t="s">
        <v>5167</v>
      </c>
      <c r="G132" s="331" t="s">
        <v>5168</v>
      </c>
      <c r="H132" s="331" t="s">
        <v>5169</v>
      </c>
      <c r="I132" s="331" t="s">
        <v>5170</v>
      </c>
      <c r="J132" s="331" t="s">
        <v>279</v>
      </c>
      <c r="K132" s="331" t="s">
        <v>5171</v>
      </c>
      <c r="L132" s="329"/>
      <c r="M132" s="329">
        <v>6</v>
      </c>
      <c r="N132" s="329">
        <v>0</v>
      </c>
      <c r="O132" s="329">
        <v>3.7044999999999999</v>
      </c>
      <c r="P132" s="329"/>
      <c r="Q132" s="333">
        <v>43769.677777777775</v>
      </c>
      <c r="R132" s="329"/>
      <c r="S132" s="333">
        <v>43777</v>
      </c>
      <c r="T132" s="329">
        <v>55</v>
      </c>
      <c r="U132" s="333">
        <v>43777</v>
      </c>
      <c r="V132" s="333">
        <v>44109</v>
      </c>
      <c r="W132" s="329" t="b">
        <v>1</v>
      </c>
      <c r="X132" s="331" t="s">
        <v>187</v>
      </c>
      <c r="Y132" s="329">
        <v>718</v>
      </c>
      <c r="Z132" s="331" t="s">
        <v>23</v>
      </c>
      <c r="AA132" s="331" t="s">
        <v>919</v>
      </c>
      <c r="AB132" s="331" t="s">
        <v>920</v>
      </c>
      <c r="AC132" s="331" t="s">
        <v>264</v>
      </c>
      <c r="AD132" s="331" t="s">
        <v>24</v>
      </c>
      <c r="AE132" s="329">
        <v>221</v>
      </c>
      <c r="AF132" s="331" t="s">
        <v>254</v>
      </c>
      <c r="AG132" s="329"/>
      <c r="AH132" s="329">
        <v>17</v>
      </c>
      <c r="AI132" s="331" t="s">
        <v>280</v>
      </c>
      <c r="AJ132" s="331" t="s">
        <v>281</v>
      </c>
      <c r="AK132" s="331" t="s">
        <v>272</v>
      </c>
      <c r="AL132" s="331" t="s">
        <v>272</v>
      </c>
      <c r="AM132" s="331" t="s">
        <v>272</v>
      </c>
      <c r="AN132" s="331" t="s">
        <v>351</v>
      </c>
      <c r="AO132" s="331" t="s">
        <v>275</v>
      </c>
      <c r="AP132" s="331" t="s">
        <v>5477</v>
      </c>
      <c r="AQ132" s="329">
        <v>680</v>
      </c>
      <c r="AR132" s="329">
        <v>680</v>
      </c>
      <c r="AS132" s="329"/>
      <c r="AT132" s="329" t="s">
        <v>718</v>
      </c>
      <c r="AU132" s="329" t="s">
        <v>256</v>
      </c>
      <c r="AV132" s="331" t="s">
        <v>279</v>
      </c>
      <c r="AW132" s="329"/>
      <c r="AX132" s="329"/>
      <c r="AY132" s="329"/>
      <c r="AZ132" s="329"/>
      <c r="BA132" s="329"/>
      <c r="BB132" s="329"/>
      <c r="BC132" s="329"/>
      <c r="BD132" s="329"/>
      <c r="BE132" s="329" t="s">
        <v>257</v>
      </c>
      <c r="BF132" s="329" t="s">
        <v>834</v>
      </c>
      <c r="BG132" s="329"/>
      <c r="BH132" s="329"/>
      <c r="BI132" s="329"/>
      <c r="BJ132" s="329"/>
      <c r="BK132" s="329">
        <v>20400</v>
      </c>
      <c r="BL132" s="329"/>
      <c r="BM132" s="331" t="s">
        <v>278</v>
      </c>
      <c r="BN132" s="329" t="s">
        <v>260</v>
      </c>
      <c r="BO132" s="333">
        <v>43777</v>
      </c>
      <c r="BP132" s="329"/>
      <c r="BQ132" s="329"/>
      <c r="BR132" s="329"/>
      <c r="BS132" s="329"/>
      <c r="BT132" s="329"/>
      <c r="BU132" s="331" t="s">
        <v>261</v>
      </c>
      <c r="BV132" s="329"/>
      <c r="BW132" s="329"/>
      <c r="BX132" s="329"/>
      <c r="BY132" s="331" t="s">
        <v>5172</v>
      </c>
      <c r="BZ132" s="331" t="s">
        <v>5173</v>
      </c>
      <c r="CA132" s="331" t="s">
        <v>5174</v>
      </c>
      <c r="CB132" s="331" t="s">
        <v>279</v>
      </c>
      <c r="CC132" s="331" t="s">
        <v>5175</v>
      </c>
    </row>
    <row r="133" spans="1:81" x14ac:dyDescent="0.25">
      <c r="A133" s="329">
        <v>196158</v>
      </c>
      <c r="B133" s="331" t="s">
        <v>5176</v>
      </c>
      <c r="C133" s="329">
        <v>35397</v>
      </c>
      <c r="D133" s="331" t="s">
        <v>887</v>
      </c>
      <c r="E133" s="331" t="s">
        <v>317</v>
      </c>
      <c r="F133" s="331" t="s">
        <v>5177</v>
      </c>
      <c r="G133" s="331" t="s">
        <v>5178</v>
      </c>
      <c r="H133" s="331" t="s">
        <v>5179</v>
      </c>
      <c r="I133" s="331" t="s">
        <v>5180</v>
      </c>
      <c r="J133" s="331" t="s">
        <v>350</v>
      </c>
      <c r="K133" s="331" t="s">
        <v>5181</v>
      </c>
      <c r="L133" s="329"/>
      <c r="M133" s="329">
        <v>6</v>
      </c>
      <c r="N133" s="329">
        <v>0</v>
      </c>
      <c r="O133" s="329">
        <v>2.71</v>
      </c>
      <c r="P133" s="329"/>
      <c r="Q133" s="333">
        <v>43696.449305555558</v>
      </c>
      <c r="R133" s="329"/>
      <c r="S133" s="333">
        <v>43777</v>
      </c>
      <c r="T133" s="329">
        <v>55</v>
      </c>
      <c r="U133" s="333">
        <v>43777</v>
      </c>
      <c r="V133" s="333">
        <v>44109</v>
      </c>
      <c r="W133" s="329" t="b">
        <v>1</v>
      </c>
      <c r="X133" s="331" t="s">
        <v>22</v>
      </c>
      <c r="Y133" s="329">
        <v>726</v>
      </c>
      <c r="Z133" s="331" t="s">
        <v>23</v>
      </c>
      <c r="AA133" s="331" t="s">
        <v>919</v>
      </c>
      <c r="AB133" s="331" t="s">
        <v>920</v>
      </c>
      <c r="AC133" s="331" t="s">
        <v>264</v>
      </c>
      <c r="AD133" s="331" t="s">
        <v>24</v>
      </c>
      <c r="AE133" s="329">
        <v>221</v>
      </c>
      <c r="AF133" s="331" t="s">
        <v>254</v>
      </c>
      <c r="AG133" s="329"/>
      <c r="AH133" s="329">
        <v>17</v>
      </c>
      <c r="AI133" s="331" t="s">
        <v>280</v>
      </c>
      <c r="AJ133" s="331" t="s">
        <v>281</v>
      </c>
      <c r="AK133" s="331" t="s">
        <v>329</v>
      </c>
      <c r="AL133" s="331" t="s">
        <v>329</v>
      </c>
      <c r="AM133" s="331" t="s">
        <v>386</v>
      </c>
      <c r="AN133" s="331" t="s">
        <v>416</v>
      </c>
      <c r="AO133" s="331" t="s">
        <v>386</v>
      </c>
      <c r="AP133" s="329"/>
      <c r="AQ133" s="329"/>
      <c r="AR133" s="329"/>
      <c r="AS133" s="329"/>
      <c r="AT133" s="329" t="s">
        <v>835</v>
      </c>
      <c r="AU133" s="329" t="s">
        <v>283</v>
      </c>
      <c r="AV133" s="331" t="s">
        <v>350</v>
      </c>
      <c r="AW133" s="329"/>
      <c r="AX133" s="329"/>
      <c r="AY133" s="329"/>
      <c r="AZ133" s="329"/>
      <c r="BA133" s="329"/>
      <c r="BB133" s="329"/>
      <c r="BC133" s="329"/>
      <c r="BD133" s="329"/>
      <c r="BE133" s="329"/>
      <c r="BF133" s="329"/>
      <c r="BG133" s="329"/>
      <c r="BH133" s="329"/>
      <c r="BI133" s="329"/>
      <c r="BJ133" s="329"/>
      <c r="BK133" s="329">
        <v>0</v>
      </c>
      <c r="BL133" s="329"/>
      <c r="BM133" s="331" t="s">
        <v>28</v>
      </c>
      <c r="BN133" s="329" t="s">
        <v>260</v>
      </c>
      <c r="BO133" s="333">
        <v>43777</v>
      </c>
      <c r="BP133" s="329"/>
      <c r="BQ133" s="329"/>
      <c r="BR133" s="329"/>
      <c r="BS133" s="329"/>
      <c r="BT133" s="329"/>
      <c r="BU133" s="331" t="s">
        <v>261</v>
      </c>
      <c r="BV133" s="329"/>
      <c r="BW133" s="329"/>
      <c r="BX133" s="329"/>
      <c r="BY133" s="331" t="s">
        <v>5182</v>
      </c>
      <c r="BZ133" s="331" t="s">
        <v>5183</v>
      </c>
      <c r="CA133" s="331" t="s">
        <v>5184</v>
      </c>
      <c r="CB133" s="331" t="s">
        <v>350</v>
      </c>
      <c r="CC133" s="331" t="s">
        <v>5181</v>
      </c>
    </row>
    <row r="134" spans="1:81" x14ac:dyDescent="0.25">
      <c r="A134" s="329">
        <v>199124</v>
      </c>
      <c r="B134" s="331" t="s">
        <v>5185</v>
      </c>
      <c r="C134" s="329">
        <v>35468</v>
      </c>
      <c r="D134" s="331" t="s">
        <v>5186</v>
      </c>
      <c r="E134" s="331" t="s">
        <v>182</v>
      </c>
      <c r="F134" s="331" t="s">
        <v>5187</v>
      </c>
      <c r="G134" s="331" t="s">
        <v>5188</v>
      </c>
      <c r="H134" s="331" t="s">
        <v>5189</v>
      </c>
      <c r="I134" s="331" t="s">
        <v>5190</v>
      </c>
      <c r="J134" s="331" t="s">
        <v>307</v>
      </c>
      <c r="K134" s="331" t="s">
        <v>5191</v>
      </c>
      <c r="L134" s="329"/>
      <c r="M134" s="329">
        <v>6</v>
      </c>
      <c r="N134" s="329">
        <v>0</v>
      </c>
      <c r="O134" s="329">
        <v>3.7</v>
      </c>
      <c r="P134" s="329"/>
      <c r="Q134" s="333">
        <v>43760.746527777781</v>
      </c>
      <c r="R134" s="329"/>
      <c r="S134" s="333">
        <v>43777</v>
      </c>
      <c r="T134" s="329">
        <v>55</v>
      </c>
      <c r="U134" s="333">
        <v>43777</v>
      </c>
      <c r="V134" s="333">
        <v>44109</v>
      </c>
      <c r="W134" s="329" t="b">
        <v>1</v>
      </c>
      <c r="X134" s="331" t="s">
        <v>905</v>
      </c>
      <c r="Y134" s="329">
        <v>747</v>
      </c>
      <c r="Z134" s="331" t="s">
        <v>23</v>
      </c>
      <c r="AA134" s="331" t="s">
        <v>919</v>
      </c>
      <c r="AB134" s="331" t="s">
        <v>920</v>
      </c>
      <c r="AC134" s="331" t="s">
        <v>346</v>
      </c>
      <c r="AD134" s="331" t="s">
        <v>24</v>
      </c>
      <c r="AE134" s="329">
        <v>221</v>
      </c>
      <c r="AF134" s="331" t="s">
        <v>254</v>
      </c>
      <c r="AG134" s="329"/>
      <c r="AH134" s="329">
        <v>17</v>
      </c>
      <c r="AI134" s="331" t="s">
        <v>280</v>
      </c>
      <c r="AJ134" s="331" t="s">
        <v>281</v>
      </c>
      <c r="AK134" s="329"/>
      <c r="AL134" s="329"/>
      <c r="AM134" s="329"/>
      <c r="AN134" s="329"/>
      <c r="AO134" s="329"/>
      <c r="AP134" s="329"/>
      <c r="AQ134" s="329"/>
      <c r="AR134" s="329"/>
      <c r="AS134" s="329"/>
      <c r="AT134" s="329" t="s">
        <v>258</v>
      </c>
      <c r="AU134" s="329" t="s">
        <v>283</v>
      </c>
      <c r="AV134" s="331" t="s">
        <v>307</v>
      </c>
      <c r="AW134" s="329"/>
      <c r="AX134" s="329"/>
      <c r="AY134" s="329"/>
      <c r="AZ134" s="329"/>
      <c r="BA134" s="329"/>
      <c r="BB134" s="329"/>
      <c r="BC134" s="329"/>
      <c r="BD134" s="329"/>
      <c r="BE134" s="329" t="s">
        <v>257</v>
      </c>
      <c r="BF134" s="329" t="s">
        <v>837</v>
      </c>
      <c r="BG134" s="329"/>
      <c r="BH134" s="329"/>
      <c r="BI134" s="329"/>
      <c r="BJ134" s="329"/>
      <c r="BK134" s="329">
        <v>15000</v>
      </c>
      <c r="BL134" s="329"/>
      <c r="BM134" s="331" t="s">
        <v>295</v>
      </c>
      <c r="BN134" s="329" t="s">
        <v>260</v>
      </c>
      <c r="BO134" s="333">
        <v>43777</v>
      </c>
      <c r="BP134" s="329"/>
      <c r="BQ134" s="329"/>
      <c r="BR134" s="329"/>
      <c r="BS134" s="329"/>
      <c r="BT134" s="329"/>
      <c r="BU134" s="331" t="s">
        <v>261</v>
      </c>
      <c r="BV134" s="329"/>
      <c r="BW134" s="329"/>
      <c r="BX134" s="329"/>
      <c r="BY134" s="331" t="s">
        <v>4343</v>
      </c>
      <c r="BZ134" s="331" t="s">
        <v>4344</v>
      </c>
      <c r="CA134" s="331" t="s">
        <v>4345</v>
      </c>
      <c r="CB134" s="331" t="s">
        <v>307</v>
      </c>
      <c r="CC134" s="331" t="s">
        <v>4342</v>
      </c>
    </row>
    <row r="135" spans="1:81" x14ac:dyDescent="0.25">
      <c r="A135" s="329">
        <v>198525</v>
      </c>
      <c r="B135" s="331" t="s">
        <v>5192</v>
      </c>
      <c r="C135" s="329">
        <v>35475</v>
      </c>
      <c r="D135" s="331" t="s">
        <v>540</v>
      </c>
      <c r="E135" s="331" t="s">
        <v>5193</v>
      </c>
      <c r="F135" s="331" t="s">
        <v>5194</v>
      </c>
      <c r="G135" s="331" t="s">
        <v>5195</v>
      </c>
      <c r="H135" s="331" t="s">
        <v>5196</v>
      </c>
      <c r="I135" s="331" t="s">
        <v>5197</v>
      </c>
      <c r="J135" s="331" t="s">
        <v>480</v>
      </c>
      <c r="K135" s="331" t="s">
        <v>5198</v>
      </c>
      <c r="L135" s="329"/>
      <c r="M135" s="329">
        <v>6</v>
      </c>
      <c r="N135" s="329">
        <v>0</v>
      </c>
      <c r="O135" s="329">
        <v>2.84</v>
      </c>
      <c r="P135" s="329"/>
      <c r="Q135" s="333">
        <v>43745.816666666666</v>
      </c>
      <c r="R135" s="329"/>
      <c r="S135" s="333">
        <v>43777</v>
      </c>
      <c r="T135" s="329">
        <v>55</v>
      </c>
      <c r="U135" s="333">
        <v>43777</v>
      </c>
      <c r="V135" s="333">
        <v>44109</v>
      </c>
      <c r="W135" s="329" t="b">
        <v>1</v>
      </c>
      <c r="X135" s="331" t="s">
        <v>22</v>
      </c>
      <c r="Y135" s="329">
        <v>429</v>
      </c>
      <c r="Z135" s="331" t="s">
        <v>23</v>
      </c>
      <c r="AA135" s="331" t="s">
        <v>919</v>
      </c>
      <c r="AB135" s="331" t="s">
        <v>920</v>
      </c>
      <c r="AC135" s="331" t="s">
        <v>1750</v>
      </c>
      <c r="AD135" s="331" t="s">
        <v>24</v>
      </c>
      <c r="AE135" s="329">
        <v>221</v>
      </c>
      <c r="AF135" s="331" t="s">
        <v>254</v>
      </c>
      <c r="AG135" s="329"/>
      <c r="AH135" s="329">
        <v>17</v>
      </c>
      <c r="AI135" s="331" t="s">
        <v>280</v>
      </c>
      <c r="AJ135" s="331" t="s">
        <v>281</v>
      </c>
      <c r="AK135" s="329"/>
      <c r="AL135" s="329"/>
      <c r="AM135" s="329"/>
      <c r="AN135" s="329"/>
      <c r="AO135" s="329"/>
      <c r="AP135" s="329"/>
      <c r="AQ135" s="329"/>
      <c r="AR135" s="329"/>
      <c r="AS135" s="329"/>
      <c r="AT135" s="329" t="s">
        <v>258</v>
      </c>
      <c r="AU135" s="329" t="s">
        <v>283</v>
      </c>
      <c r="AV135" s="331" t="s">
        <v>480</v>
      </c>
      <c r="AW135" s="329"/>
      <c r="AX135" s="329"/>
      <c r="AY135" s="329"/>
      <c r="AZ135" s="329"/>
      <c r="BA135" s="329"/>
      <c r="BB135" s="329"/>
      <c r="BC135" s="329"/>
      <c r="BD135" s="329"/>
      <c r="BE135" s="329"/>
      <c r="BF135" s="329"/>
      <c r="BG135" s="329"/>
      <c r="BH135" s="329"/>
      <c r="BI135" s="329"/>
      <c r="BJ135" s="329"/>
      <c r="BK135" s="329">
        <v>0</v>
      </c>
      <c r="BL135" s="329"/>
      <c r="BM135" s="331" t="s">
        <v>28</v>
      </c>
      <c r="BN135" s="329" t="s">
        <v>260</v>
      </c>
      <c r="BO135" s="333">
        <v>43777</v>
      </c>
      <c r="BP135" s="329"/>
      <c r="BQ135" s="329"/>
      <c r="BR135" s="329"/>
      <c r="BS135" s="329"/>
      <c r="BT135" s="329"/>
      <c r="BU135" s="331" t="s">
        <v>261</v>
      </c>
      <c r="BV135" s="329"/>
      <c r="BW135" s="329"/>
      <c r="BX135" s="329"/>
      <c r="BY135" s="331" t="s">
        <v>5199</v>
      </c>
      <c r="BZ135" s="331" t="s">
        <v>5200</v>
      </c>
      <c r="CA135" s="331" t="s">
        <v>5197</v>
      </c>
      <c r="CB135" s="331" t="s">
        <v>480</v>
      </c>
      <c r="CC135" s="331" t="s">
        <v>5198</v>
      </c>
    </row>
    <row r="136" spans="1:81" x14ac:dyDescent="0.25">
      <c r="A136" s="329">
        <v>197371</v>
      </c>
      <c r="B136" s="331" t="s">
        <v>5214</v>
      </c>
      <c r="C136" s="329">
        <v>34863</v>
      </c>
      <c r="D136" s="331" t="s">
        <v>5215</v>
      </c>
      <c r="E136" s="331" t="s">
        <v>5216</v>
      </c>
      <c r="F136" s="331" t="s">
        <v>5217</v>
      </c>
      <c r="G136" s="331" t="s">
        <v>5218</v>
      </c>
      <c r="H136" s="331" t="s">
        <v>5219</v>
      </c>
      <c r="I136" s="331" t="s">
        <v>5220</v>
      </c>
      <c r="J136" s="331" t="s">
        <v>298</v>
      </c>
      <c r="K136" s="331" t="s">
        <v>5221</v>
      </c>
      <c r="L136" s="329"/>
      <c r="M136" s="329">
        <v>6</v>
      </c>
      <c r="N136" s="329">
        <v>0</v>
      </c>
      <c r="O136" s="329">
        <v>2.9</v>
      </c>
      <c r="P136" s="329"/>
      <c r="Q136" s="333">
        <v>43713.543749999997</v>
      </c>
      <c r="R136" s="329"/>
      <c r="S136" s="333">
        <v>43777</v>
      </c>
      <c r="T136" s="329">
        <v>55</v>
      </c>
      <c r="U136" s="333">
        <v>43777</v>
      </c>
      <c r="V136" s="333">
        <v>44109</v>
      </c>
      <c r="W136" s="329" t="b">
        <v>1</v>
      </c>
      <c r="X136" s="331" t="s">
        <v>905</v>
      </c>
      <c r="Y136" s="329">
        <v>747</v>
      </c>
      <c r="Z136" s="331" t="s">
        <v>23</v>
      </c>
      <c r="AA136" s="331" t="s">
        <v>919</v>
      </c>
      <c r="AB136" s="331" t="s">
        <v>920</v>
      </c>
      <c r="AC136" s="331" t="s">
        <v>364</v>
      </c>
      <c r="AD136" s="331" t="s">
        <v>24</v>
      </c>
      <c r="AE136" s="329">
        <v>221</v>
      </c>
      <c r="AF136" s="331" t="s">
        <v>254</v>
      </c>
      <c r="AG136" s="329"/>
      <c r="AH136" s="329">
        <v>17</v>
      </c>
      <c r="AI136" s="331" t="s">
        <v>280</v>
      </c>
      <c r="AJ136" s="331" t="s">
        <v>281</v>
      </c>
      <c r="AK136" s="329"/>
      <c r="AL136" s="329"/>
      <c r="AM136" s="329"/>
      <c r="AN136" s="329"/>
      <c r="AO136" s="329"/>
      <c r="AP136" s="329"/>
      <c r="AQ136" s="329"/>
      <c r="AR136" s="329"/>
      <c r="AS136" s="329"/>
      <c r="AT136" s="329" t="s">
        <v>258</v>
      </c>
      <c r="AU136" s="329" t="s">
        <v>283</v>
      </c>
      <c r="AV136" s="331" t="s">
        <v>298</v>
      </c>
      <c r="AW136" s="329"/>
      <c r="AX136" s="329"/>
      <c r="AY136" s="329"/>
      <c r="AZ136" s="329"/>
      <c r="BA136" s="329"/>
      <c r="BB136" s="329"/>
      <c r="BC136" s="329"/>
      <c r="BD136" s="329"/>
      <c r="BE136" s="329"/>
      <c r="BF136" s="329"/>
      <c r="BG136" s="329"/>
      <c r="BH136" s="329"/>
      <c r="BI136" s="329"/>
      <c r="BJ136" s="329"/>
      <c r="BK136" s="329">
        <v>0</v>
      </c>
      <c r="BL136" s="329"/>
      <c r="BM136" s="331" t="s">
        <v>27</v>
      </c>
      <c r="BN136" s="329" t="s">
        <v>260</v>
      </c>
      <c r="BO136" s="333">
        <v>43777</v>
      </c>
      <c r="BP136" s="329"/>
      <c r="BQ136" s="329"/>
      <c r="BR136" s="329"/>
      <c r="BS136" s="329"/>
      <c r="BT136" s="329"/>
      <c r="BU136" s="331" t="s">
        <v>261</v>
      </c>
      <c r="BV136" s="329"/>
      <c r="BW136" s="329"/>
      <c r="BX136" s="329"/>
      <c r="BY136" s="331" t="s">
        <v>5222</v>
      </c>
      <c r="BZ136" s="331" t="s">
        <v>5223</v>
      </c>
      <c r="CA136" s="331" t="s">
        <v>5220</v>
      </c>
      <c r="CB136" s="331" t="s">
        <v>298</v>
      </c>
      <c r="CC136" s="331" t="s">
        <v>5224</v>
      </c>
    </row>
    <row r="137" spans="1:81" x14ac:dyDescent="0.25">
      <c r="A137" s="329">
        <v>198874</v>
      </c>
      <c r="B137" s="331" t="s">
        <v>5225</v>
      </c>
      <c r="C137" s="329">
        <v>35396</v>
      </c>
      <c r="D137" s="331" t="s">
        <v>5226</v>
      </c>
      <c r="E137" s="331" t="s">
        <v>505</v>
      </c>
      <c r="F137" s="331" t="s">
        <v>5227</v>
      </c>
      <c r="G137" s="331" t="s">
        <v>5228</v>
      </c>
      <c r="H137" s="331" t="s">
        <v>5229</v>
      </c>
      <c r="I137" s="331" t="s">
        <v>5230</v>
      </c>
      <c r="J137" s="331" t="s">
        <v>251</v>
      </c>
      <c r="K137" s="331" t="s">
        <v>5231</v>
      </c>
      <c r="L137" s="329"/>
      <c r="M137" s="329">
        <v>6</v>
      </c>
      <c r="N137" s="329">
        <v>0</v>
      </c>
      <c r="O137" s="329">
        <v>3.2921999999999998</v>
      </c>
      <c r="P137" s="329"/>
      <c r="Q137" s="333">
        <v>43712.73333333333</v>
      </c>
      <c r="R137" s="329"/>
      <c r="S137" s="333">
        <v>43777</v>
      </c>
      <c r="T137" s="329">
        <v>55</v>
      </c>
      <c r="U137" s="333">
        <v>43777</v>
      </c>
      <c r="V137" s="333">
        <v>44109</v>
      </c>
      <c r="W137" s="329" t="b">
        <v>1</v>
      </c>
      <c r="X137" s="331" t="s">
        <v>22</v>
      </c>
      <c r="Y137" s="329">
        <v>726</v>
      </c>
      <c r="Z137" s="331" t="s">
        <v>23</v>
      </c>
      <c r="AA137" s="331" t="s">
        <v>919</v>
      </c>
      <c r="AB137" s="331" t="s">
        <v>920</v>
      </c>
      <c r="AC137" s="331" t="s">
        <v>3077</v>
      </c>
      <c r="AD137" s="331" t="s">
        <v>24</v>
      </c>
      <c r="AE137" s="329">
        <v>221</v>
      </c>
      <c r="AF137" s="331" t="s">
        <v>254</v>
      </c>
      <c r="AG137" s="329"/>
      <c r="AH137" s="329">
        <v>17</v>
      </c>
      <c r="AI137" s="331" t="s">
        <v>280</v>
      </c>
      <c r="AJ137" s="331" t="s">
        <v>281</v>
      </c>
      <c r="AK137" s="329"/>
      <c r="AL137" s="329"/>
      <c r="AM137" s="329"/>
      <c r="AN137" s="329"/>
      <c r="AO137" s="329"/>
      <c r="AP137" s="331" t="s">
        <v>483</v>
      </c>
      <c r="AQ137" s="329">
        <v>560</v>
      </c>
      <c r="AR137" s="329">
        <v>580</v>
      </c>
      <c r="AS137" s="329"/>
      <c r="AT137" s="329" t="s">
        <v>833</v>
      </c>
      <c r="AU137" s="329" t="s">
        <v>283</v>
      </c>
      <c r="AV137" s="331" t="s">
        <v>251</v>
      </c>
      <c r="AW137" s="329" t="s">
        <v>5232</v>
      </c>
      <c r="AX137" s="329"/>
      <c r="AY137" s="329"/>
      <c r="AZ137" s="329"/>
      <c r="BA137" s="329"/>
      <c r="BB137" s="329"/>
      <c r="BC137" s="329"/>
      <c r="BD137" s="329"/>
      <c r="BE137" s="329" t="s">
        <v>257</v>
      </c>
      <c r="BF137" s="329" t="s">
        <v>838</v>
      </c>
      <c r="BG137" s="329"/>
      <c r="BH137" s="329"/>
      <c r="BI137" s="329"/>
      <c r="BJ137" s="329"/>
      <c r="BK137" s="329">
        <v>15600</v>
      </c>
      <c r="BL137" s="329"/>
      <c r="BM137" s="331" t="s">
        <v>259</v>
      </c>
      <c r="BN137" s="329" t="s">
        <v>260</v>
      </c>
      <c r="BO137" s="333">
        <v>43777</v>
      </c>
      <c r="BP137" s="329"/>
      <c r="BQ137" s="329"/>
      <c r="BR137" s="329"/>
      <c r="BS137" s="329"/>
      <c r="BT137" s="329"/>
      <c r="BU137" s="331" t="s">
        <v>261</v>
      </c>
      <c r="BV137" s="329"/>
      <c r="BW137" s="329"/>
      <c r="BX137" s="329"/>
      <c r="BY137" s="331" t="s">
        <v>5233</v>
      </c>
      <c r="BZ137" s="331" t="s">
        <v>5234</v>
      </c>
      <c r="CA137" s="331" t="s">
        <v>5235</v>
      </c>
      <c r="CB137" s="331" t="s">
        <v>251</v>
      </c>
      <c r="CC137" s="331" t="s">
        <v>5236</v>
      </c>
    </row>
    <row r="138" spans="1:81" x14ac:dyDescent="0.25">
      <c r="A138" s="329">
        <v>198969</v>
      </c>
      <c r="B138" s="331" t="s">
        <v>5237</v>
      </c>
      <c r="C138" s="329">
        <v>35425</v>
      </c>
      <c r="D138" s="331" t="s">
        <v>456</v>
      </c>
      <c r="E138" s="331" t="s">
        <v>5238</v>
      </c>
      <c r="F138" s="331" t="s">
        <v>5239</v>
      </c>
      <c r="G138" s="331" t="s">
        <v>6151</v>
      </c>
      <c r="H138" s="331" t="s">
        <v>6152</v>
      </c>
      <c r="I138" s="331" t="s">
        <v>6153</v>
      </c>
      <c r="J138" s="331" t="s">
        <v>396</v>
      </c>
      <c r="K138" s="331" t="s">
        <v>590</v>
      </c>
      <c r="L138" s="329"/>
      <c r="M138" s="329">
        <v>6</v>
      </c>
      <c r="N138" s="329">
        <v>0</v>
      </c>
      <c r="O138" s="329">
        <v>2.54</v>
      </c>
      <c r="P138" s="329"/>
      <c r="Q138" s="333">
        <v>43756.219444444447</v>
      </c>
      <c r="R138" s="329"/>
      <c r="S138" s="333">
        <v>43777</v>
      </c>
      <c r="T138" s="329">
        <v>55</v>
      </c>
      <c r="U138" s="333">
        <v>43777</v>
      </c>
      <c r="V138" s="333">
        <v>44109</v>
      </c>
      <c r="W138" s="329" t="b">
        <v>1</v>
      </c>
      <c r="X138" s="331" t="s">
        <v>22</v>
      </c>
      <c r="Y138" s="329">
        <v>429</v>
      </c>
      <c r="Z138" s="331" t="s">
        <v>25</v>
      </c>
      <c r="AA138" s="331" t="s">
        <v>919</v>
      </c>
      <c r="AB138" s="331" t="s">
        <v>920</v>
      </c>
      <c r="AC138" s="331" t="s">
        <v>1750</v>
      </c>
      <c r="AD138" s="331" t="s">
        <v>24</v>
      </c>
      <c r="AE138" s="329">
        <v>221</v>
      </c>
      <c r="AF138" s="331" t="s">
        <v>254</v>
      </c>
      <c r="AG138" s="329"/>
      <c r="AH138" s="329">
        <v>17</v>
      </c>
      <c r="AI138" s="331" t="s">
        <v>280</v>
      </c>
      <c r="AJ138" s="331" t="s">
        <v>281</v>
      </c>
      <c r="AK138" s="329"/>
      <c r="AL138" s="329"/>
      <c r="AM138" s="329"/>
      <c r="AN138" s="329"/>
      <c r="AO138" s="329"/>
      <c r="AP138" s="331" t="s">
        <v>476</v>
      </c>
      <c r="AQ138" s="329">
        <v>500</v>
      </c>
      <c r="AR138" s="329">
        <v>460</v>
      </c>
      <c r="AS138" s="329"/>
      <c r="AT138" s="329" t="s">
        <v>5521</v>
      </c>
      <c r="AU138" s="329" t="s">
        <v>963</v>
      </c>
      <c r="AV138" s="331" t="s">
        <v>396</v>
      </c>
      <c r="AW138" s="329"/>
      <c r="AX138" s="329"/>
      <c r="AY138" s="329"/>
      <c r="AZ138" s="329"/>
      <c r="BA138" s="329"/>
      <c r="BB138" s="329"/>
      <c r="BC138" s="329"/>
      <c r="BD138" s="329"/>
      <c r="BE138" s="329"/>
      <c r="BF138" s="329"/>
      <c r="BG138" s="329"/>
      <c r="BH138" s="329"/>
      <c r="BI138" s="329"/>
      <c r="BJ138" s="329"/>
      <c r="BK138" s="329">
        <v>0</v>
      </c>
      <c r="BL138" s="329"/>
      <c r="BM138" s="331" t="s">
        <v>267</v>
      </c>
      <c r="BN138" s="329" t="s">
        <v>260</v>
      </c>
      <c r="BO138" s="333">
        <v>43777</v>
      </c>
      <c r="BP138" s="329"/>
      <c r="BQ138" s="329"/>
      <c r="BR138" s="329"/>
      <c r="BS138" s="329"/>
      <c r="BT138" s="329"/>
      <c r="BU138" s="331" t="s">
        <v>261</v>
      </c>
      <c r="BV138" s="329"/>
      <c r="BW138" s="329"/>
      <c r="BX138" s="329"/>
      <c r="BY138" s="331" t="s">
        <v>5241</v>
      </c>
      <c r="BZ138" s="331" t="s">
        <v>5242</v>
      </c>
      <c r="CA138" s="331" t="s">
        <v>5240</v>
      </c>
      <c r="CB138" s="331" t="s">
        <v>396</v>
      </c>
      <c r="CC138" s="331" t="s">
        <v>5243</v>
      </c>
    </row>
    <row r="139" spans="1:81" x14ac:dyDescent="0.25">
      <c r="A139" s="329">
        <v>197411</v>
      </c>
      <c r="B139" s="331" t="s">
        <v>5244</v>
      </c>
      <c r="C139" s="329">
        <v>34872</v>
      </c>
      <c r="D139" s="331" t="s">
        <v>5245</v>
      </c>
      <c r="E139" s="331" t="s">
        <v>2398</v>
      </c>
      <c r="F139" s="331" t="s">
        <v>5246</v>
      </c>
      <c r="G139" s="331" t="s">
        <v>5247</v>
      </c>
      <c r="H139" s="331" t="s">
        <v>5248</v>
      </c>
      <c r="I139" s="331" t="s">
        <v>5249</v>
      </c>
      <c r="J139" s="331" t="s">
        <v>21</v>
      </c>
      <c r="K139" s="331" t="s">
        <v>5250</v>
      </c>
      <c r="L139" s="329"/>
      <c r="M139" s="329">
        <v>6</v>
      </c>
      <c r="N139" s="329">
        <v>0</v>
      </c>
      <c r="O139" s="329">
        <v>2.923</v>
      </c>
      <c r="P139" s="329"/>
      <c r="Q139" s="333">
        <v>43717.699305555558</v>
      </c>
      <c r="R139" s="329"/>
      <c r="S139" s="333">
        <v>43777</v>
      </c>
      <c r="T139" s="329">
        <v>55</v>
      </c>
      <c r="U139" s="333">
        <v>43777</v>
      </c>
      <c r="V139" s="333">
        <v>44109</v>
      </c>
      <c r="W139" s="329" t="b">
        <v>1</v>
      </c>
      <c r="X139" s="331" t="s">
        <v>906</v>
      </c>
      <c r="Y139" s="329">
        <v>748</v>
      </c>
      <c r="Z139" s="331" t="s">
        <v>23</v>
      </c>
      <c r="AA139" s="331" t="s">
        <v>919</v>
      </c>
      <c r="AB139" s="331" t="s">
        <v>920</v>
      </c>
      <c r="AC139" s="331" t="s">
        <v>264</v>
      </c>
      <c r="AD139" s="331" t="s">
        <v>24</v>
      </c>
      <c r="AE139" s="329">
        <v>221</v>
      </c>
      <c r="AF139" s="331" t="s">
        <v>254</v>
      </c>
      <c r="AG139" s="329"/>
      <c r="AH139" s="329">
        <v>17</v>
      </c>
      <c r="AI139" s="331" t="s">
        <v>280</v>
      </c>
      <c r="AJ139" s="331" t="s">
        <v>281</v>
      </c>
      <c r="AK139" s="331" t="s">
        <v>275</v>
      </c>
      <c r="AL139" s="331" t="s">
        <v>300</v>
      </c>
      <c r="AM139" s="331" t="s">
        <v>300</v>
      </c>
      <c r="AN139" s="331" t="s">
        <v>300</v>
      </c>
      <c r="AO139" s="331" t="s">
        <v>289</v>
      </c>
      <c r="AP139" s="329"/>
      <c r="AQ139" s="329"/>
      <c r="AR139" s="329"/>
      <c r="AS139" s="329"/>
      <c r="AT139" s="329" t="s">
        <v>842</v>
      </c>
      <c r="AU139" s="329" t="s">
        <v>256</v>
      </c>
      <c r="AV139" s="331" t="s">
        <v>21</v>
      </c>
      <c r="AW139" s="329"/>
      <c r="AX139" s="329"/>
      <c r="AY139" s="329"/>
      <c r="AZ139" s="329"/>
      <c r="BA139" s="329"/>
      <c r="BB139" s="329"/>
      <c r="BC139" s="329"/>
      <c r="BD139" s="329"/>
      <c r="BE139" s="329" t="s">
        <v>257</v>
      </c>
      <c r="BF139" s="329" t="s">
        <v>830</v>
      </c>
      <c r="BG139" s="329"/>
      <c r="BH139" s="329"/>
      <c r="BI139" s="329" t="s">
        <v>334</v>
      </c>
      <c r="BJ139" s="329" t="s">
        <v>831</v>
      </c>
      <c r="BK139" s="329">
        <v>48000</v>
      </c>
      <c r="BL139" s="329"/>
      <c r="BM139" s="331" t="s">
        <v>26</v>
      </c>
      <c r="BN139" s="329" t="s">
        <v>260</v>
      </c>
      <c r="BO139" s="333">
        <v>43777</v>
      </c>
      <c r="BP139" s="329"/>
      <c r="BQ139" s="329"/>
      <c r="BR139" s="329"/>
      <c r="BS139" s="329"/>
      <c r="BT139" s="329"/>
      <c r="BU139" s="331" t="s">
        <v>261</v>
      </c>
      <c r="BV139" s="329"/>
      <c r="BW139" s="329"/>
      <c r="BX139" s="329"/>
      <c r="BY139" s="331" t="s">
        <v>5251</v>
      </c>
      <c r="BZ139" s="331" t="s">
        <v>5252</v>
      </c>
      <c r="CA139" s="331" t="s">
        <v>5253</v>
      </c>
      <c r="CB139" s="331" t="s">
        <v>21</v>
      </c>
      <c r="CC139" s="331" t="s">
        <v>5254</v>
      </c>
    </row>
    <row r="140" spans="1:81" x14ac:dyDescent="0.25">
      <c r="A140" s="329">
        <v>199355</v>
      </c>
      <c r="B140" s="331" t="s">
        <v>5255</v>
      </c>
      <c r="C140" s="329">
        <v>35528</v>
      </c>
      <c r="D140" s="331" t="s">
        <v>560</v>
      </c>
      <c r="E140" s="331" t="s">
        <v>5256</v>
      </c>
      <c r="F140" s="331" t="s">
        <v>5257</v>
      </c>
      <c r="G140" s="331" t="s">
        <v>5258</v>
      </c>
      <c r="H140" s="331" t="s">
        <v>5259</v>
      </c>
      <c r="I140" s="331" t="s">
        <v>5260</v>
      </c>
      <c r="J140" s="331" t="s">
        <v>298</v>
      </c>
      <c r="K140" s="331" t="s">
        <v>5261</v>
      </c>
      <c r="L140" s="329"/>
      <c r="M140" s="329">
        <v>6</v>
      </c>
      <c r="N140" s="329">
        <v>0</v>
      </c>
      <c r="O140" s="329">
        <v>3.2778</v>
      </c>
      <c r="P140" s="329"/>
      <c r="Q140" s="333">
        <v>43774.809027777781</v>
      </c>
      <c r="R140" s="329"/>
      <c r="S140" s="333">
        <v>43777</v>
      </c>
      <c r="T140" s="329">
        <v>55</v>
      </c>
      <c r="U140" s="333">
        <v>43777</v>
      </c>
      <c r="V140" s="333">
        <v>44109</v>
      </c>
      <c r="W140" s="329" t="b">
        <v>1</v>
      </c>
      <c r="X140" s="331" t="s">
        <v>22</v>
      </c>
      <c r="Y140" s="329">
        <v>726</v>
      </c>
      <c r="Z140" s="331" t="s">
        <v>23</v>
      </c>
      <c r="AA140" s="331" t="s">
        <v>919</v>
      </c>
      <c r="AB140" s="331" t="s">
        <v>920</v>
      </c>
      <c r="AC140" s="331" t="s">
        <v>720</v>
      </c>
      <c r="AD140" s="331" t="s">
        <v>24</v>
      </c>
      <c r="AE140" s="329">
        <v>221</v>
      </c>
      <c r="AF140" s="331" t="s">
        <v>254</v>
      </c>
      <c r="AG140" s="329"/>
      <c r="AH140" s="329">
        <v>17</v>
      </c>
      <c r="AI140" s="331" t="s">
        <v>280</v>
      </c>
      <c r="AJ140" s="331" t="s">
        <v>281</v>
      </c>
      <c r="AK140" s="329"/>
      <c r="AL140" s="329"/>
      <c r="AM140" s="329"/>
      <c r="AN140" s="329"/>
      <c r="AO140" s="329"/>
      <c r="AP140" s="331" t="s">
        <v>402</v>
      </c>
      <c r="AQ140" s="329">
        <v>650</v>
      </c>
      <c r="AR140" s="329">
        <v>610</v>
      </c>
      <c r="AS140" s="329"/>
      <c r="AT140" s="329" t="s">
        <v>319</v>
      </c>
      <c r="AU140" s="329" t="s">
        <v>256</v>
      </c>
      <c r="AV140" s="331" t="s">
        <v>298</v>
      </c>
      <c r="AW140" s="329"/>
      <c r="AX140" s="329"/>
      <c r="AY140" s="329"/>
      <c r="AZ140" s="329"/>
      <c r="BA140" s="329"/>
      <c r="BB140" s="329"/>
      <c r="BC140" s="329"/>
      <c r="BD140" s="329"/>
      <c r="BE140" s="329" t="s">
        <v>257</v>
      </c>
      <c r="BF140" s="329" t="s">
        <v>837</v>
      </c>
      <c r="BG140" s="329"/>
      <c r="BH140" s="329"/>
      <c r="BI140" s="329"/>
      <c r="BJ140" s="329"/>
      <c r="BK140" s="329">
        <v>15000</v>
      </c>
      <c r="BL140" s="329"/>
      <c r="BM140" s="331" t="s">
        <v>295</v>
      </c>
      <c r="BN140" s="329" t="s">
        <v>260</v>
      </c>
      <c r="BO140" s="333">
        <v>43777</v>
      </c>
      <c r="BP140" s="329"/>
      <c r="BQ140" s="329"/>
      <c r="BR140" s="329"/>
      <c r="BS140" s="329"/>
      <c r="BT140" s="329"/>
      <c r="BU140" s="331" t="s">
        <v>261</v>
      </c>
      <c r="BV140" s="329"/>
      <c r="BW140" s="329"/>
      <c r="BX140" s="329"/>
      <c r="BY140" s="331" t="s">
        <v>5262</v>
      </c>
      <c r="BZ140" s="331" t="s">
        <v>5263</v>
      </c>
      <c r="CA140" s="331" t="s">
        <v>5264</v>
      </c>
      <c r="CB140" s="331" t="s">
        <v>298</v>
      </c>
      <c r="CC140" s="331" t="s">
        <v>5261</v>
      </c>
    </row>
    <row r="141" spans="1:81" x14ac:dyDescent="0.25">
      <c r="A141" s="329">
        <v>196217</v>
      </c>
      <c r="B141" s="331" t="s">
        <v>5265</v>
      </c>
      <c r="C141" s="329">
        <v>35457</v>
      </c>
      <c r="D141" s="331" t="s">
        <v>5266</v>
      </c>
      <c r="E141" s="331" t="s">
        <v>5267</v>
      </c>
      <c r="F141" s="331" t="s">
        <v>5268</v>
      </c>
      <c r="G141" s="331" t="s">
        <v>5269</v>
      </c>
      <c r="H141" s="331" t="s">
        <v>5270</v>
      </c>
      <c r="I141" s="331" t="s">
        <v>5271</v>
      </c>
      <c r="J141" s="331" t="s">
        <v>307</v>
      </c>
      <c r="K141" s="331" t="s">
        <v>5272</v>
      </c>
      <c r="L141" s="329"/>
      <c r="M141" s="329">
        <v>6</v>
      </c>
      <c r="N141" s="329">
        <v>0</v>
      </c>
      <c r="O141" s="329">
        <v>4</v>
      </c>
      <c r="P141" s="329"/>
      <c r="Q141" s="333">
        <v>43697.78125</v>
      </c>
      <c r="R141" s="329"/>
      <c r="S141" s="333">
        <v>43777</v>
      </c>
      <c r="T141" s="329">
        <v>55</v>
      </c>
      <c r="U141" s="333">
        <v>43777</v>
      </c>
      <c r="V141" s="333">
        <v>44109</v>
      </c>
      <c r="W141" s="329" t="b">
        <v>1</v>
      </c>
      <c r="X141" s="331" t="s">
        <v>22</v>
      </c>
      <c r="Y141" s="329">
        <v>429</v>
      </c>
      <c r="Z141" s="331" t="s">
        <v>23</v>
      </c>
      <c r="AA141" s="331" t="s">
        <v>919</v>
      </c>
      <c r="AB141" s="331" t="s">
        <v>920</v>
      </c>
      <c r="AC141" s="331" t="s">
        <v>346</v>
      </c>
      <c r="AD141" s="331" t="s">
        <v>24</v>
      </c>
      <c r="AE141" s="329">
        <v>221</v>
      </c>
      <c r="AF141" s="331" t="s">
        <v>254</v>
      </c>
      <c r="AG141" s="329"/>
      <c r="AH141" s="329">
        <v>17</v>
      </c>
      <c r="AI141" s="331" t="s">
        <v>280</v>
      </c>
      <c r="AJ141" s="331" t="s">
        <v>281</v>
      </c>
      <c r="AK141" s="329"/>
      <c r="AL141" s="329"/>
      <c r="AM141" s="329"/>
      <c r="AN141" s="329"/>
      <c r="AO141" s="329"/>
      <c r="AP141" s="329"/>
      <c r="AQ141" s="329"/>
      <c r="AR141" s="329"/>
      <c r="AS141" s="329"/>
      <c r="AT141" s="329" t="s">
        <v>258</v>
      </c>
      <c r="AU141" s="329" t="s">
        <v>283</v>
      </c>
      <c r="AV141" s="331" t="s">
        <v>307</v>
      </c>
      <c r="AW141" s="329"/>
      <c r="AX141" s="329"/>
      <c r="AY141" s="329"/>
      <c r="AZ141" s="329"/>
      <c r="BA141" s="329"/>
      <c r="BB141" s="329"/>
      <c r="BC141" s="329"/>
      <c r="BD141" s="329"/>
      <c r="BE141" s="329" t="s">
        <v>257</v>
      </c>
      <c r="BF141" s="329" t="s">
        <v>838</v>
      </c>
      <c r="BG141" s="329"/>
      <c r="BH141" s="329"/>
      <c r="BI141" s="329"/>
      <c r="BJ141" s="329"/>
      <c r="BK141" s="329">
        <v>15600</v>
      </c>
      <c r="BL141" s="329"/>
      <c r="BM141" s="331" t="s">
        <v>259</v>
      </c>
      <c r="BN141" s="329" t="s">
        <v>260</v>
      </c>
      <c r="BO141" s="333">
        <v>43777</v>
      </c>
      <c r="BP141" s="329"/>
      <c r="BQ141" s="329"/>
      <c r="BR141" s="329"/>
      <c r="BS141" s="329"/>
      <c r="BT141" s="329"/>
      <c r="BU141" s="331" t="s">
        <v>261</v>
      </c>
      <c r="BV141" s="329"/>
      <c r="BW141" s="329"/>
      <c r="BX141" s="329"/>
      <c r="BY141" s="331" t="s">
        <v>5273</v>
      </c>
      <c r="BZ141" s="331" t="s">
        <v>5274</v>
      </c>
      <c r="CA141" s="331" t="s">
        <v>5275</v>
      </c>
      <c r="CB141" s="331" t="s">
        <v>307</v>
      </c>
      <c r="CC141" s="331" t="s">
        <v>5276</v>
      </c>
    </row>
    <row r="142" spans="1:81" x14ac:dyDescent="0.25">
      <c r="A142" s="329">
        <v>198691</v>
      </c>
      <c r="B142" s="331" t="s">
        <v>5289</v>
      </c>
      <c r="C142" s="329">
        <v>35355</v>
      </c>
      <c r="D142" s="331" t="s">
        <v>5290</v>
      </c>
      <c r="E142" s="331" t="s">
        <v>475</v>
      </c>
      <c r="F142" s="331" t="s">
        <v>5291</v>
      </c>
      <c r="G142" s="331" t="s">
        <v>5292</v>
      </c>
      <c r="H142" s="331" t="s">
        <v>5293</v>
      </c>
      <c r="I142" s="331" t="s">
        <v>2028</v>
      </c>
      <c r="J142" s="331" t="s">
        <v>251</v>
      </c>
      <c r="K142" s="331" t="s">
        <v>5294</v>
      </c>
      <c r="L142" s="329"/>
      <c r="M142" s="329">
        <v>6</v>
      </c>
      <c r="N142" s="329">
        <v>0</v>
      </c>
      <c r="O142" s="329">
        <v>2.7869999999999999</v>
      </c>
      <c r="P142" s="329"/>
      <c r="Q142" s="333">
        <v>43749.284722222219</v>
      </c>
      <c r="R142" s="329"/>
      <c r="S142" s="333">
        <v>43777</v>
      </c>
      <c r="T142" s="329">
        <v>55</v>
      </c>
      <c r="U142" s="333">
        <v>43777</v>
      </c>
      <c r="V142" s="333">
        <v>44109</v>
      </c>
      <c r="W142" s="329" t="b">
        <v>1</v>
      </c>
      <c r="X142" s="331" t="s">
        <v>22</v>
      </c>
      <c r="Y142" s="329">
        <v>726</v>
      </c>
      <c r="Z142" s="331" t="s">
        <v>23</v>
      </c>
      <c r="AA142" s="331" t="s">
        <v>919</v>
      </c>
      <c r="AB142" s="331" t="s">
        <v>920</v>
      </c>
      <c r="AC142" s="331" t="s">
        <v>1750</v>
      </c>
      <c r="AD142" s="331" t="s">
        <v>24</v>
      </c>
      <c r="AE142" s="329">
        <v>221</v>
      </c>
      <c r="AF142" s="331" t="s">
        <v>254</v>
      </c>
      <c r="AG142" s="329"/>
      <c r="AH142" s="329">
        <v>17</v>
      </c>
      <c r="AI142" s="331" t="s">
        <v>280</v>
      </c>
      <c r="AJ142" s="331" t="s">
        <v>281</v>
      </c>
      <c r="AK142" s="329"/>
      <c r="AL142" s="329"/>
      <c r="AM142" s="329"/>
      <c r="AN142" s="329"/>
      <c r="AO142" s="329"/>
      <c r="AP142" s="331" t="s">
        <v>740</v>
      </c>
      <c r="AQ142" s="329">
        <v>490</v>
      </c>
      <c r="AR142" s="329">
        <v>480</v>
      </c>
      <c r="AS142" s="329"/>
      <c r="AT142" s="329" t="s">
        <v>382</v>
      </c>
      <c r="AU142" s="329" t="s">
        <v>256</v>
      </c>
      <c r="AV142" s="331" t="s">
        <v>251</v>
      </c>
      <c r="AW142" s="329"/>
      <c r="AX142" s="329"/>
      <c r="AY142" s="329"/>
      <c r="AZ142" s="329"/>
      <c r="BA142" s="329"/>
      <c r="BB142" s="329"/>
      <c r="BC142" s="329"/>
      <c r="BD142" s="329"/>
      <c r="BE142" s="329"/>
      <c r="BF142" s="329"/>
      <c r="BG142" s="329"/>
      <c r="BH142" s="329"/>
      <c r="BI142" s="329"/>
      <c r="BJ142" s="329"/>
      <c r="BK142" s="329">
        <v>0</v>
      </c>
      <c r="BL142" s="329"/>
      <c r="BM142" s="331" t="s">
        <v>267</v>
      </c>
      <c r="BN142" s="329" t="s">
        <v>260</v>
      </c>
      <c r="BO142" s="333">
        <v>43777</v>
      </c>
      <c r="BP142" s="329"/>
      <c r="BQ142" s="329"/>
      <c r="BR142" s="329"/>
      <c r="BS142" s="329"/>
      <c r="BT142" s="329"/>
      <c r="BU142" s="331" t="s">
        <v>261</v>
      </c>
      <c r="BV142" s="329"/>
      <c r="BW142" s="329"/>
      <c r="BX142" s="329"/>
      <c r="BY142" s="331" t="s">
        <v>5295</v>
      </c>
      <c r="BZ142" s="331" t="s">
        <v>5296</v>
      </c>
      <c r="CA142" s="331" t="s">
        <v>5297</v>
      </c>
      <c r="CB142" s="331" t="s">
        <v>251</v>
      </c>
      <c r="CC142" s="331" t="s">
        <v>5298</v>
      </c>
    </row>
    <row r="143" spans="1:81" x14ac:dyDescent="0.25">
      <c r="A143" s="329">
        <v>196971</v>
      </c>
      <c r="B143" s="331" t="s">
        <v>5299</v>
      </c>
      <c r="C143" s="329">
        <v>34777</v>
      </c>
      <c r="D143" s="331" t="s">
        <v>373</v>
      </c>
      <c r="E143" s="331" t="s">
        <v>5300</v>
      </c>
      <c r="F143" s="331" t="s">
        <v>5301</v>
      </c>
      <c r="G143" s="331" t="s">
        <v>5302</v>
      </c>
      <c r="H143" s="331" t="s">
        <v>5303</v>
      </c>
      <c r="I143" s="331" t="s">
        <v>5304</v>
      </c>
      <c r="J143" s="331" t="s">
        <v>376</v>
      </c>
      <c r="K143" s="331" t="s">
        <v>5305</v>
      </c>
      <c r="L143" s="329"/>
      <c r="M143" s="329">
        <v>6</v>
      </c>
      <c r="N143" s="329">
        <v>0</v>
      </c>
      <c r="O143" s="329">
        <v>2.06</v>
      </c>
      <c r="P143" s="329"/>
      <c r="Q143" s="333">
        <v>43709.64166666667</v>
      </c>
      <c r="R143" s="329"/>
      <c r="S143" s="333">
        <v>43777</v>
      </c>
      <c r="T143" s="329">
        <v>55</v>
      </c>
      <c r="U143" s="333">
        <v>43777</v>
      </c>
      <c r="V143" s="333">
        <v>44109</v>
      </c>
      <c r="W143" s="329" t="b">
        <v>1</v>
      </c>
      <c r="X143" s="331" t="s">
        <v>22</v>
      </c>
      <c r="Y143" s="329">
        <v>429</v>
      </c>
      <c r="Z143" s="331" t="s">
        <v>23</v>
      </c>
      <c r="AA143" s="331" t="s">
        <v>919</v>
      </c>
      <c r="AB143" s="331" t="s">
        <v>920</v>
      </c>
      <c r="AC143" s="331" t="s">
        <v>264</v>
      </c>
      <c r="AD143" s="331" t="s">
        <v>24</v>
      </c>
      <c r="AE143" s="329">
        <v>221</v>
      </c>
      <c r="AF143" s="331" t="s">
        <v>254</v>
      </c>
      <c r="AG143" s="329"/>
      <c r="AH143" s="329">
        <v>17</v>
      </c>
      <c r="AI143" s="331" t="s">
        <v>280</v>
      </c>
      <c r="AJ143" s="331" t="s">
        <v>281</v>
      </c>
      <c r="AK143" s="329"/>
      <c r="AL143" s="329"/>
      <c r="AM143" s="329"/>
      <c r="AN143" s="329"/>
      <c r="AO143" s="329"/>
      <c r="AP143" s="331" t="s">
        <v>5306</v>
      </c>
      <c r="AQ143" s="329">
        <v>470</v>
      </c>
      <c r="AR143" s="329">
        <v>420</v>
      </c>
      <c r="AS143" s="329"/>
      <c r="AT143" s="329" t="s">
        <v>419</v>
      </c>
      <c r="AU143" s="329" t="s">
        <v>256</v>
      </c>
      <c r="AV143" s="331" t="s">
        <v>376</v>
      </c>
      <c r="AW143" s="329"/>
      <c r="AX143" s="329"/>
      <c r="AY143" s="329"/>
      <c r="AZ143" s="329"/>
      <c r="BA143" s="329"/>
      <c r="BB143" s="329"/>
      <c r="BC143" s="329"/>
      <c r="BD143" s="329"/>
      <c r="BE143" s="329"/>
      <c r="BF143" s="329"/>
      <c r="BG143" s="329"/>
      <c r="BH143" s="329"/>
      <c r="BI143" s="329"/>
      <c r="BJ143" s="329"/>
      <c r="BK143" s="329">
        <v>0</v>
      </c>
      <c r="BL143" s="329"/>
      <c r="BM143" s="331" t="s">
        <v>323</v>
      </c>
      <c r="BN143" s="329" t="s">
        <v>260</v>
      </c>
      <c r="BO143" s="333">
        <v>43777</v>
      </c>
      <c r="BP143" s="329"/>
      <c r="BQ143" s="329"/>
      <c r="BR143" s="329"/>
      <c r="BS143" s="329"/>
      <c r="BT143" s="329"/>
      <c r="BU143" s="331" t="s">
        <v>261</v>
      </c>
      <c r="BV143" s="329"/>
      <c r="BW143" s="329"/>
      <c r="BX143" s="329"/>
      <c r="BY143" s="331" t="s">
        <v>5307</v>
      </c>
      <c r="BZ143" s="331" t="s">
        <v>5308</v>
      </c>
      <c r="CA143" s="331" t="s">
        <v>5309</v>
      </c>
      <c r="CB143" s="331" t="s">
        <v>376</v>
      </c>
      <c r="CC143" s="331" t="s">
        <v>5305</v>
      </c>
    </row>
    <row r="144" spans="1:81" x14ac:dyDescent="0.25">
      <c r="A144" s="329">
        <v>198744</v>
      </c>
      <c r="B144" s="331" t="s">
        <v>5013</v>
      </c>
      <c r="C144" s="329">
        <v>35481</v>
      </c>
      <c r="D144" s="331" t="s">
        <v>5014</v>
      </c>
      <c r="E144" s="331" t="s">
        <v>5015</v>
      </c>
      <c r="F144" s="331" t="s">
        <v>5016</v>
      </c>
      <c r="G144" s="331" t="s">
        <v>5017</v>
      </c>
      <c r="H144" s="331" t="s">
        <v>5018</v>
      </c>
      <c r="I144" s="331" t="s">
        <v>445</v>
      </c>
      <c r="J144" s="331" t="s">
        <v>21</v>
      </c>
      <c r="K144" s="331" t="s">
        <v>699</v>
      </c>
      <c r="L144" s="329"/>
      <c r="M144" s="329">
        <v>6</v>
      </c>
      <c r="N144" s="329">
        <v>0</v>
      </c>
      <c r="O144" s="329">
        <v>3.5</v>
      </c>
      <c r="P144" s="329"/>
      <c r="Q144" s="333">
        <v>43753.429861111108</v>
      </c>
      <c r="R144" s="329"/>
      <c r="S144" s="333">
        <v>43777</v>
      </c>
      <c r="T144" s="329">
        <v>55</v>
      </c>
      <c r="U144" s="333">
        <v>43777</v>
      </c>
      <c r="V144" s="333">
        <v>44109</v>
      </c>
      <c r="W144" s="329" t="b">
        <v>1</v>
      </c>
      <c r="X144" s="331" t="s">
        <v>906</v>
      </c>
      <c r="Y144" s="329">
        <v>748</v>
      </c>
      <c r="Z144" s="331" t="s">
        <v>23</v>
      </c>
      <c r="AA144" s="331" t="s">
        <v>919</v>
      </c>
      <c r="AB144" s="331" t="s">
        <v>920</v>
      </c>
      <c r="AC144" s="331" t="s">
        <v>5019</v>
      </c>
      <c r="AD144" s="331" t="s">
        <v>592</v>
      </c>
      <c r="AE144" s="329">
        <v>222</v>
      </c>
      <c r="AF144" s="331" t="s">
        <v>254</v>
      </c>
      <c r="AG144" s="329"/>
      <c r="AH144" s="329">
        <v>17</v>
      </c>
      <c r="AI144" s="331" t="s">
        <v>280</v>
      </c>
      <c r="AJ144" s="331" t="s">
        <v>281</v>
      </c>
      <c r="AK144" s="331" t="s">
        <v>275</v>
      </c>
      <c r="AL144" s="331" t="s">
        <v>290</v>
      </c>
      <c r="AM144" s="331" t="s">
        <v>274</v>
      </c>
      <c r="AN144" s="331" t="s">
        <v>274</v>
      </c>
      <c r="AO144" s="331" t="s">
        <v>274</v>
      </c>
      <c r="AP144" s="329"/>
      <c r="AQ144" s="329"/>
      <c r="AR144" s="329"/>
      <c r="AS144" s="329"/>
      <c r="AT144" s="329" t="s">
        <v>338</v>
      </c>
      <c r="AU144" s="329" t="s">
        <v>256</v>
      </c>
      <c r="AV144" s="331" t="s">
        <v>21</v>
      </c>
      <c r="AW144" s="329"/>
      <c r="AX144" s="329"/>
      <c r="AY144" s="329"/>
      <c r="AZ144" s="329"/>
      <c r="BA144" s="329"/>
      <c r="BB144" s="329"/>
      <c r="BC144" s="329"/>
      <c r="BD144" s="329"/>
      <c r="BE144" s="329" t="s">
        <v>257</v>
      </c>
      <c r="BF144" s="329" t="s">
        <v>834</v>
      </c>
      <c r="BG144" s="329"/>
      <c r="BH144" s="329"/>
      <c r="BI144" s="329" t="s">
        <v>334</v>
      </c>
      <c r="BJ144" s="329" t="s">
        <v>831</v>
      </c>
      <c r="BK144" s="329">
        <v>56400</v>
      </c>
      <c r="BL144" s="329"/>
      <c r="BM144" s="331" t="s">
        <v>278</v>
      </c>
      <c r="BN144" s="329" t="s">
        <v>260</v>
      </c>
      <c r="BO144" s="333">
        <v>43777</v>
      </c>
      <c r="BP144" s="329"/>
      <c r="BQ144" s="329"/>
      <c r="BR144" s="329"/>
      <c r="BS144" s="329"/>
      <c r="BT144" s="329"/>
      <c r="BU144" s="331" t="s">
        <v>261</v>
      </c>
      <c r="BV144" s="329"/>
      <c r="BW144" s="329"/>
      <c r="BX144" s="329"/>
      <c r="BY144" s="331" t="s">
        <v>5020</v>
      </c>
      <c r="BZ144" s="331" t="s">
        <v>5021</v>
      </c>
      <c r="CA144" s="331" t="s">
        <v>445</v>
      </c>
      <c r="CB144" s="331" t="s">
        <v>21</v>
      </c>
      <c r="CC144" s="331" t="s">
        <v>444</v>
      </c>
    </row>
    <row r="145" spans="1:81" x14ac:dyDescent="0.25">
      <c r="A145" s="329">
        <v>196488</v>
      </c>
      <c r="B145" s="331" t="s">
        <v>5157</v>
      </c>
      <c r="C145" s="329">
        <v>34661</v>
      </c>
      <c r="D145" s="331" t="s">
        <v>5158</v>
      </c>
      <c r="E145" s="331" t="s">
        <v>183</v>
      </c>
      <c r="F145" s="331" t="s">
        <v>5159</v>
      </c>
      <c r="G145" s="331" t="s">
        <v>5160</v>
      </c>
      <c r="H145" s="331" t="s">
        <v>5592</v>
      </c>
      <c r="I145" s="331" t="s">
        <v>519</v>
      </c>
      <c r="J145" s="331" t="s">
        <v>298</v>
      </c>
      <c r="K145" s="331" t="s">
        <v>582</v>
      </c>
      <c r="L145" s="329"/>
      <c r="M145" s="329">
        <v>6</v>
      </c>
      <c r="N145" s="329">
        <v>0</v>
      </c>
      <c r="O145" s="329">
        <v>2.38</v>
      </c>
      <c r="P145" s="329"/>
      <c r="Q145" s="333">
        <v>43672.529861111114</v>
      </c>
      <c r="R145" s="329"/>
      <c r="S145" s="333">
        <v>43776</v>
      </c>
      <c r="T145" s="329">
        <v>55</v>
      </c>
      <c r="U145" s="333">
        <v>43776</v>
      </c>
      <c r="V145" s="333">
        <v>44109</v>
      </c>
      <c r="W145" s="329" t="b">
        <v>1</v>
      </c>
      <c r="X145" s="331" t="s">
        <v>22</v>
      </c>
      <c r="Y145" s="329">
        <v>429</v>
      </c>
      <c r="Z145" s="331" t="s">
        <v>23</v>
      </c>
      <c r="AA145" s="331" t="s">
        <v>919</v>
      </c>
      <c r="AB145" s="331" t="s">
        <v>920</v>
      </c>
      <c r="AC145" s="331" t="s">
        <v>311</v>
      </c>
      <c r="AD145" s="331" t="s">
        <v>592</v>
      </c>
      <c r="AE145" s="329">
        <v>222</v>
      </c>
      <c r="AF145" s="331" t="s">
        <v>254</v>
      </c>
      <c r="AG145" s="329"/>
      <c r="AH145" s="329">
        <v>17</v>
      </c>
      <c r="AI145" s="331" t="s">
        <v>280</v>
      </c>
      <c r="AJ145" s="331" t="s">
        <v>281</v>
      </c>
      <c r="AK145" s="329"/>
      <c r="AL145" s="329"/>
      <c r="AM145" s="329"/>
      <c r="AN145" s="329"/>
      <c r="AO145" s="329"/>
      <c r="AP145" s="331" t="s">
        <v>473</v>
      </c>
      <c r="AQ145" s="329">
        <v>530</v>
      </c>
      <c r="AR145" s="329">
        <v>510</v>
      </c>
      <c r="AS145" s="329"/>
      <c r="AT145" s="329" t="s">
        <v>845</v>
      </c>
      <c r="AU145" s="329" t="s">
        <v>283</v>
      </c>
      <c r="AV145" s="331" t="s">
        <v>298</v>
      </c>
      <c r="AW145" s="329"/>
      <c r="AX145" s="329"/>
      <c r="AY145" s="329"/>
      <c r="AZ145" s="329"/>
      <c r="BA145" s="329"/>
      <c r="BB145" s="329"/>
      <c r="BC145" s="329"/>
      <c r="BD145" s="329"/>
      <c r="BE145" s="329"/>
      <c r="BF145" s="329"/>
      <c r="BG145" s="329"/>
      <c r="BH145" s="329"/>
      <c r="BI145" s="329"/>
      <c r="BJ145" s="329"/>
      <c r="BK145" s="329">
        <v>0</v>
      </c>
      <c r="BL145" s="329"/>
      <c r="BM145" s="331" t="s">
        <v>27</v>
      </c>
      <c r="BN145" s="329" t="s">
        <v>260</v>
      </c>
      <c r="BO145" s="333">
        <v>43777</v>
      </c>
      <c r="BP145" s="329"/>
      <c r="BQ145" s="329"/>
      <c r="BR145" s="329"/>
      <c r="BS145" s="329"/>
      <c r="BT145" s="329"/>
      <c r="BU145" s="331" t="s">
        <v>261</v>
      </c>
      <c r="BV145" s="329"/>
      <c r="BW145" s="329"/>
      <c r="BX145" s="329"/>
      <c r="BY145" s="331" t="s">
        <v>5161</v>
      </c>
      <c r="BZ145" s="331" t="s">
        <v>5162</v>
      </c>
      <c r="CA145" s="331" t="s">
        <v>5163</v>
      </c>
      <c r="CB145" s="331" t="s">
        <v>298</v>
      </c>
      <c r="CC145" s="331" t="s">
        <v>5164</v>
      </c>
    </row>
    <row r="146" spans="1:81" x14ac:dyDescent="0.25">
      <c r="A146" s="329">
        <v>193060</v>
      </c>
      <c r="B146" s="331" t="s">
        <v>5201</v>
      </c>
      <c r="C146" s="329">
        <v>35433</v>
      </c>
      <c r="D146" s="331" t="s">
        <v>3343</v>
      </c>
      <c r="E146" s="331" t="s">
        <v>5202</v>
      </c>
      <c r="F146" s="331" t="s">
        <v>5203</v>
      </c>
      <c r="G146" s="331" t="s">
        <v>5204</v>
      </c>
      <c r="H146" s="331" t="s">
        <v>5205</v>
      </c>
      <c r="I146" s="331" t="s">
        <v>5206</v>
      </c>
      <c r="J146" s="331" t="s">
        <v>557</v>
      </c>
      <c r="K146" s="331" t="s">
        <v>5207</v>
      </c>
      <c r="L146" s="329"/>
      <c r="M146" s="329">
        <v>6</v>
      </c>
      <c r="N146" s="329">
        <v>0</v>
      </c>
      <c r="O146" s="329">
        <v>3.2</v>
      </c>
      <c r="P146" s="329"/>
      <c r="Q146" s="333">
        <v>43626.319444444445</v>
      </c>
      <c r="R146" s="329"/>
      <c r="S146" s="333">
        <v>43777</v>
      </c>
      <c r="T146" s="329">
        <v>55</v>
      </c>
      <c r="U146" s="333">
        <v>43777</v>
      </c>
      <c r="V146" s="333">
        <v>44109</v>
      </c>
      <c r="W146" s="329" t="b">
        <v>1</v>
      </c>
      <c r="X146" s="331" t="s">
        <v>905</v>
      </c>
      <c r="Y146" s="329">
        <v>747</v>
      </c>
      <c r="Z146" s="331" t="s">
        <v>25</v>
      </c>
      <c r="AA146" s="331" t="s">
        <v>919</v>
      </c>
      <c r="AB146" s="331" t="s">
        <v>920</v>
      </c>
      <c r="AC146" s="331" t="s">
        <v>5208</v>
      </c>
      <c r="AD146" s="331" t="s">
        <v>592</v>
      </c>
      <c r="AE146" s="329">
        <v>222</v>
      </c>
      <c r="AF146" s="331" t="s">
        <v>254</v>
      </c>
      <c r="AG146" s="329"/>
      <c r="AH146" s="329">
        <v>17</v>
      </c>
      <c r="AI146" s="331" t="s">
        <v>280</v>
      </c>
      <c r="AJ146" s="331" t="s">
        <v>281</v>
      </c>
      <c r="AK146" s="329"/>
      <c r="AL146" s="329"/>
      <c r="AM146" s="329"/>
      <c r="AN146" s="329"/>
      <c r="AO146" s="329"/>
      <c r="AP146" s="329"/>
      <c r="AQ146" s="329"/>
      <c r="AR146" s="329"/>
      <c r="AS146" s="329"/>
      <c r="AT146" s="329" t="s">
        <v>258</v>
      </c>
      <c r="AU146" s="329" t="s">
        <v>283</v>
      </c>
      <c r="AV146" s="331" t="s">
        <v>557</v>
      </c>
      <c r="AW146" s="329"/>
      <c r="AX146" s="329"/>
      <c r="AY146" s="329"/>
      <c r="AZ146" s="329"/>
      <c r="BA146" s="329"/>
      <c r="BB146" s="329"/>
      <c r="BC146" s="329"/>
      <c r="BD146" s="329"/>
      <c r="BE146" s="329"/>
      <c r="BF146" s="329"/>
      <c r="BG146" s="329"/>
      <c r="BH146" s="329"/>
      <c r="BI146" s="329"/>
      <c r="BJ146" s="329"/>
      <c r="BK146" s="329">
        <v>0</v>
      </c>
      <c r="BL146" s="329"/>
      <c r="BM146" s="331" t="s">
        <v>267</v>
      </c>
      <c r="BN146" s="329" t="s">
        <v>260</v>
      </c>
      <c r="BO146" s="333">
        <v>43777</v>
      </c>
      <c r="BP146" s="329"/>
      <c r="BQ146" s="329"/>
      <c r="BR146" s="329"/>
      <c r="BS146" s="329"/>
      <c r="BT146" s="329"/>
      <c r="BU146" s="331" t="s">
        <v>261</v>
      </c>
      <c r="BV146" s="329"/>
      <c r="BW146" s="329"/>
      <c r="BX146" s="329"/>
      <c r="BY146" s="331" t="s">
        <v>5209</v>
      </c>
      <c r="BZ146" s="331" t="s">
        <v>5210</v>
      </c>
      <c r="CA146" s="331" t="s">
        <v>5211</v>
      </c>
      <c r="CB146" s="331" t="s">
        <v>557</v>
      </c>
      <c r="CC146" s="331" t="s">
        <v>5212</v>
      </c>
    </row>
    <row r="147" spans="1:81" x14ac:dyDescent="0.25">
      <c r="A147" s="329">
        <v>195366</v>
      </c>
      <c r="B147" s="331" t="s">
        <v>5277</v>
      </c>
      <c r="C147" s="329">
        <v>34313</v>
      </c>
      <c r="D147" s="331" t="s">
        <v>5278</v>
      </c>
      <c r="E147" s="331" t="s">
        <v>320</v>
      </c>
      <c r="F147" s="331" t="s">
        <v>5279</v>
      </c>
      <c r="G147" s="331" t="s">
        <v>5280</v>
      </c>
      <c r="H147" s="331" t="s">
        <v>5281</v>
      </c>
      <c r="I147" s="331" t="s">
        <v>5282</v>
      </c>
      <c r="J147" s="331" t="s">
        <v>297</v>
      </c>
      <c r="K147" s="331" t="s">
        <v>5283</v>
      </c>
      <c r="L147" s="329"/>
      <c r="M147" s="329">
        <v>6</v>
      </c>
      <c r="N147" s="329">
        <v>0</v>
      </c>
      <c r="O147" s="329">
        <v>2.5830000000000002</v>
      </c>
      <c r="P147" s="329"/>
      <c r="Q147" s="333">
        <v>43658.875</v>
      </c>
      <c r="R147" s="329"/>
      <c r="S147" s="333">
        <v>43777</v>
      </c>
      <c r="T147" s="329">
        <v>55</v>
      </c>
      <c r="U147" s="333">
        <v>43777</v>
      </c>
      <c r="V147" s="333">
        <v>44109</v>
      </c>
      <c r="W147" s="329" t="b">
        <v>1</v>
      </c>
      <c r="X147" s="331" t="s">
        <v>187</v>
      </c>
      <c r="Y147" s="329">
        <v>718</v>
      </c>
      <c r="Z147" s="331" t="s">
        <v>23</v>
      </c>
      <c r="AA147" s="331" t="s">
        <v>919</v>
      </c>
      <c r="AB147" s="331" t="s">
        <v>920</v>
      </c>
      <c r="AC147" s="331" t="s">
        <v>1064</v>
      </c>
      <c r="AD147" s="331" t="s">
        <v>592</v>
      </c>
      <c r="AE147" s="329">
        <v>222</v>
      </c>
      <c r="AF147" s="331" t="s">
        <v>254</v>
      </c>
      <c r="AG147" s="329"/>
      <c r="AH147" s="329">
        <v>17</v>
      </c>
      <c r="AI147" s="331" t="s">
        <v>280</v>
      </c>
      <c r="AJ147" s="331" t="s">
        <v>281</v>
      </c>
      <c r="AK147" s="331" t="s">
        <v>363</v>
      </c>
      <c r="AL147" s="331" t="s">
        <v>329</v>
      </c>
      <c r="AM147" s="331" t="s">
        <v>330</v>
      </c>
      <c r="AN147" s="331" t="s">
        <v>363</v>
      </c>
      <c r="AO147" s="331" t="s">
        <v>363</v>
      </c>
      <c r="AP147" s="329"/>
      <c r="AQ147" s="329"/>
      <c r="AR147" s="329"/>
      <c r="AS147" s="329"/>
      <c r="AT147" s="329" t="s">
        <v>844</v>
      </c>
      <c r="AU147" s="329" t="s">
        <v>283</v>
      </c>
      <c r="AV147" s="331" t="s">
        <v>297</v>
      </c>
      <c r="AW147" s="329"/>
      <c r="AX147" s="329"/>
      <c r="AY147" s="329"/>
      <c r="AZ147" s="329"/>
      <c r="BA147" s="329"/>
      <c r="BB147" s="329"/>
      <c r="BC147" s="329"/>
      <c r="BD147" s="329"/>
      <c r="BE147" s="329"/>
      <c r="BF147" s="329"/>
      <c r="BG147" s="329"/>
      <c r="BH147" s="329"/>
      <c r="BI147" s="329"/>
      <c r="BJ147" s="329"/>
      <c r="BK147" s="329">
        <v>0</v>
      </c>
      <c r="BL147" s="329"/>
      <c r="BM147" s="331" t="s">
        <v>28</v>
      </c>
      <c r="BN147" s="329" t="s">
        <v>260</v>
      </c>
      <c r="BO147" s="333">
        <v>43777</v>
      </c>
      <c r="BP147" s="329"/>
      <c r="BQ147" s="329"/>
      <c r="BR147" s="329"/>
      <c r="BS147" s="329"/>
      <c r="BT147" s="329"/>
      <c r="BU147" s="331" t="s">
        <v>261</v>
      </c>
      <c r="BV147" s="329"/>
      <c r="BW147" s="329"/>
      <c r="BX147" s="329"/>
      <c r="BY147" s="331" t="s">
        <v>5284</v>
      </c>
      <c r="BZ147" s="331" t="s">
        <v>5285</v>
      </c>
      <c r="CA147" s="331" t="s">
        <v>5286</v>
      </c>
      <c r="CB147" s="331" t="s">
        <v>297</v>
      </c>
      <c r="CC147" s="331" t="s">
        <v>2638</v>
      </c>
    </row>
    <row r="148" spans="1:81" x14ac:dyDescent="0.25">
      <c r="A148" s="329">
        <v>198567</v>
      </c>
      <c r="B148" s="331" t="s">
        <v>4207</v>
      </c>
      <c r="C148" s="329">
        <v>35437</v>
      </c>
      <c r="D148" s="331" t="s">
        <v>1378</v>
      </c>
      <c r="E148" s="331" t="s">
        <v>415</v>
      </c>
      <c r="F148" s="331" t="s">
        <v>4208</v>
      </c>
      <c r="G148" s="331" t="s">
        <v>4209</v>
      </c>
      <c r="H148" s="331" t="s">
        <v>4210</v>
      </c>
      <c r="I148" s="331" t="s">
        <v>2340</v>
      </c>
      <c r="J148" s="331" t="s">
        <v>251</v>
      </c>
      <c r="K148" s="331" t="s">
        <v>4211</v>
      </c>
      <c r="L148" s="329"/>
      <c r="M148" s="329">
        <v>6</v>
      </c>
      <c r="N148" s="329">
        <v>0</v>
      </c>
      <c r="O148" s="329">
        <v>3.2</v>
      </c>
      <c r="P148" s="329"/>
      <c r="Q148" s="333">
        <v>43746.659722222219</v>
      </c>
      <c r="R148" s="329"/>
      <c r="S148" s="333">
        <v>43770</v>
      </c>
      <c r="T148" s="329">
        <v>55</v>
      </c>
      <c r="U148" s="333">
        <v>43770</v>
      </c>
      <c r="V148" s="333">
        <v>44109</v>
      </c>
      <c r="W148" s="329" t="b">
        <v>1</v>
      </c>
      <c r="X148" s="331" t="s">
        <v>905</v>
      </c>
      <c r="Y148" s="329">
        <v>747</v>
      </c>
      <c r="Z148" s="331" t="s">
        <v>336</v>
      </c>
      <c r="AA148" s="331" t="s">
        <v>919</v>
      </c>
      <c r="AB148" s="331" t="s">
        <v>920</v>
      </c>
      <c r="AC148" s="331" t="s">
        <v>4212</v>
      </c>
      <c r="AD148" s="331" t="s">
        <v>24</v>
      </c>
      <c r="AE148" s="329">
        <v>221</v>
      </c>
      <c r="AF148" s="331" t="s">
        <v>254</v>
      </c>
      <c r="AG148" s="329"/>
      <c r="AH148" s="329">
        <v>17</v>
      </c>
      <c r="AI148" s="331" t="s">
        <v>280</v>
      </c>
      <c r="AJ148" s="331" t="s">
        <v>281</v>
      </c>
      <c r="AK148" s="329"/>
      <c r="AL148" s="329"/>
      <c r="AM148" s="329"/>
      <c r="AN148" s="329"/>
      <c r="AO148" s="329"/>
      <c r="AP148" s="331" t="s">
        <v>356</v>
      </c>
      <c r="AQ148" s="329">
        <v>490</v>
      </c>
      <c r="AR148" s="329">
        <v>560</v>
      </c>
      <c r="AS148" s="329"/>
      <c r="AT148" s="329" t="s">
        <v>400</v>
      </c>
      <c r="AU148" s="329" t="s">
        <v>283</v>
      </c>
      <c r="AV148" s="331" t="s">
        <v>251</v>
      </c>
      <c r="AW148" s="329"/>
      <c r="AX148" s="329"/>
      <c r="AY148" s="329"/>
      <c r="AZ148" s="329"/>
      <c r="BA148" s="329"/>
      <c r="BB148" s="329"/>
      <c r="BC148" s="329"/>
      <c r="BD148" s="329"/>
      <c r="BE148" s="329" t="s">
        <v>257</v>
      </c>
      <c r="BF148" s="329" t="s">
        <v>830</v>
      </c>
      <c r="BG148" s="329"/>
      <c r="BH148" s="329"/>
      <c r="BI148" s="329"/>
      <c r="BJ148" s="329"/>
      <c r="BK148" s="329">
        <v>12000</v>
      </c>
      <c r="BL148" s="329"/>
      <c r="BM148" s="331" t="s">
        <v>26</v>
      </c>
      <c r="BN148" s="329" t="s">
        <v>713</v>
      </c>
      <c r="BO148" s="333">
        <v>43770</v>
      </c>
      <c r="BP148" s="329"/>
      <c r="BQ148" s="329"/>
      <c r="BR148" s="329"/>
      <c r="BS148" s="329"/>
      <c r="BT148" s="329"/>
      <c r="BU148" s="331" t="s">
        <v>261</v>
      </c>
      <c r="BV148" s="329"/>
      <c r="BW148" s="329"/>
      <c r="BX148" s="329"/>
      <c r="BY148" s="331" t="s">
        <v>4213</v>
      </c>
      <c r="BZ148" s="331" t="s">
        <v>4214</v>
      </c>
      <c r="CA148" s="331" t="s">
        <v>4215</v>
      </c>
      <c r="CB148" s="331" t="s">
        <v>251</v>
      </c>
      <c r="CC148" s="331" t="s">
        <v>4216</v>
      </c>
    </row>
    <row r="149" spans="1:81" x14ac:dyDescent="0.25">
      <c r="A149" s="329">
        <v>199014</v>
      </c>
      <c r="B149" s="331" t="s">
        <v>4175</v>
      </c>
      <c r="C149" s="329">
        <v>35435</v>
      </c>
      <c r="D149" s="331" t="s">
        <v>4176</v>
      </c>
      <c r="E149" s="331" t="s">
        <v>4177</v>
      </c>
      <c r="F149" s="331" t="s">
        <v>4178</v>
      </c>
      <c r="G149" s="331" t="s">
        <v>4179</v>
      </c>
      <c r="H149" s="331" t="s">
        <v>4180</v>
      </c>
      <c r="I149" s="331" t="s">
        <v>186</v>
      </c>
      <c r="J149" s="331" t="s">
        <v>21</v>
      </c>
      <c r="K149" s="331" t="s">
        <v>4181</v>
      </c>
      <c r="L149" s="329"/>
      <c r="M149" s="329">
        <v>6</v>
      </c>
      <c r="N149" s="329">
        <v>0</v>
      </c>
      <c r="O149" s="329">
        <v>3.7120000000000002</v>
      </c>
      <c r="P149" s="329"/>
      <c r="Q149" s="333">
        <v>43615.393750000003</v>
      </c>
      <c r="R149" s="329"/>
      <c r="S149" s="333">
        <v>43769</v>
      </c>
      <c r="T149" s="329">
        <v>55</v>
      </c>
      <c r="U149" s="333">
        <v>43769</v>
      </c>
      <c r="V149" s="333">
        <v>44109</v>
      </c>
      <c r="W149" s="329" t="b">
        <v>1</v>
      </c>
      <c r="X149" s="331" t="s">
        <v>906</v>
      </c>
      <c r="Y149" s="329">
        <v>748</v>
      </c>
      <c r="Z149" s="331" t="s">
        <v>23</v>
      </c>
      <c r="AA149" s="331" t="s">
        <v>919</v>
      </c>
      <c r="AB149" s="331" t="s">
        <v>920</v>
      </c>
      <c r="AC149" s="331" t="s">
        <v>4182</v>
      </c>
      <c r="AD149" s="331" t="s">
        <v>24</v>
      </c>
      <c r="AE149" s="329">
        <v>221</v>
      </c>
      <c r="AF149" s="331" t="s">
        <v>254</v>
      </c>
      <c r="AG149" s="329"/>
      <c r="AH149" s="329">
        <v>17</v>
      </c>
      <c r="AI149" s="331" t="s">
        <v>280</v>
      </c>
      <c r="AJ149" s="331" t="s">
        <v>281</v>
      </c>
      <c r="AK149" s="331" t="s">
        <v>275</v>
      </c>
      <c r="AL149" s="331" t="s">
        <v>299</v>
      </c>
      <c r="AM149" s="331" t="s">
        <v>328</v>
      </c>
      <c r="AN149" s="331" t="s">
        <v>289</v>
      </c>
      <c r="AO149" s="331" t="s">
        <v>273</v>
      </c>
      <c r="AP149" s="329"/>
      <c r="AQ149" s="329"/>
      <c r="AR149" s="329"/>
      <c r="AS149" s="329"/>
      <c r="AT149" s="329" t="s">
        <v>303</v>
      </c>
      <c r="AU149" s="329" t="s">
        <v>567</v>
      </c>
      <c r="AV149" s="331" t="s">
        <v>21</v>
      </c>
      <c r="AW149" s="329"/>
      <c r="AX149" s="329"/>
      <c r="AY149" s="329"/>
      <c r="AZ149" s="329"/>
      <c r="BA149" s="329"/>
      <c r="BB149" s="329"/>
      <c r="BC149" s="329"/>
      <c r="BD149" s="329"/>
      <c r="BE149" s="329" t="s">
        <v>257</v>
      </c>
      <c r="BF149" s="329" t="s">
        <v>834</v>
      </c>
      <c r="BG149" s="329"/>
      <c r="BH149" s="329"/>
      <c r="BI149" s="329" t="s">
        <v>334</v>
      </c>
      <c r="BJ149" s="329" t="s">
        <v>831</v>
      </c>
      <c r="BK149" s="329">
        <v>56400</v>
      </c>
      <c r="BL149" s="329"/>
      <c r="BM149" s="331" t="s">
        <v>278</v>
      </c>
      <c r="BN149" s="329" t="s">
        <v>713</v>
      </c>
      <c r="BO149" s="333">
        <v>43769</v>
      </c>
      <c r="BP149" s="329"/>
      <c r="BQ149" s="329"/>
      <c r="BR149" s="329"/>
      <c r="BS149" s="329"/>
      <c r="BT149" s="329"/>
      <c r="BU149" s="331" t="s">
        <v>261</v>
      </c>
      <c r="BV149" s="329"/>
      <c r="BW149" s="329"/>
      <c r="BX149" s="329"/>
      <c r="BY149" s="331" t="s">
        <v>4183</v>
      </c>
      <c r="BZ149" s="331" t="s">
        <v>4184</v>
      </c>
      <c r="CA149" s="331" t="s">
        <v>4185</v>
      </c>
      <c r="CB149" s="331" t="s">
        <v>21</v>
      </c>
      <c r="CC149" s="331" t="s">
        <v>4186</v>
      </c>
    </row>
    <row r="150" spans="1:81" x14ac:dyDescent="0.25">
      <c r="A150" s="329">
        <v>198101</v>
      </c>
      <c r="B150" s="331" t="s">
        <v>4187</v>
      </c>
      <c r="C150" s="329">
        <v>35091</v>
      </c>
      <c r="D150" s="331" t="s">
        <v>4188</v>
      </c>
      <c r="E150" s="331" t="s">
        <v>406</v>
      </c>
      <c r="F150" s="331" t="s">
        <v>4189</v>
      </c>
      <c r="G150" s="331" t="s">
        <v>4190</v>
      </c>
      <c r="H150" s="331" t="s">
        <v>4191</v>
      </c>
      <c r="I150" s="331" t="s">
        <v>4192</v>
      </c>
      <c r="J150" s="331" t="s">
        <v>21</v>
      </c>
      <c r="K150" s="331" t="s">
        <v>4193</v>
      </c>
      <c r="L150" s="329"/>
      <c r="M150" s="329">
        <v>6</v>
      </c>
      <c r="N150" s="329">
        <v>0</v>
      </c>
      <c r="O150" s="329">
        <v>3.1160000000000001</v>
      </c>
      <c r="P150" s="329"/>
      <c r="Q150" s="333">
        <v>43734.455555555556</v>
      </c>
      <c r="R150" s="329"/>
      <c r="S150" s="333">
        <v>43769</v>
      </c>
      <c r="T150" s="329">
        <v>55</v>
      </c>
      <c r="U150" s="333">
        <v>43769</v>
      </c>
      <c r="V150" s="333">
        <v>44109</v>
      </c>
      <c r="W150" s="329" t="b">
        <v>1</v>
      </c>
      <c r="X150" s="331" t="s">
        <v>906</v>
      </c>
      <c r="Y150" s="329">
        <v>748</v>
      </c>
      <c r="Z150" s="331" t="s">
        <v>23</v>
      </c>
      <c r="AA150" s="331" t="s">
        <v>252</v>
      </c>
      <c r="AB150" s="331" t="s">
        <v>253</v>
      </c>
      <c r="AC150" s="331" t="s">
        <v>372</v>
      </c>
      <c r="AD150" s="331" t="s">
        <v>24</v>
      </c>
      <c r="AE150" s="329">
        <v>221</v>
      </c>
      <c r="AF150" s="331" t="s">
        <v>254</v>
      </c>
      <c r="AG150" s="329"/>
      <c r="AH150" s="329">
        <v>17</v>
      </c>
      <c r="AI150" s="331" t="s">
        <v>280</v>
      </c>
      <c r="AJ150" s="331" t="s">
        <v>281</v>
      </c>
      <c r="AK150" s="331" t="s">
        <v>290</v>
      </c>
      <c r="AL150" s="331" t="s">
        <v>290</v>
      </c>
      <c r="AM150" s="331" t="s">
        <v>331</v>
      </c>
      <c r="AN150" s="331" t="s">
        <v>300</v>
      </c>
      <c r="AO150" s="331" t="s">
        <v>290</v>
      </c>
      <c r="AP150" s="329"/>
      <c r="AQ150" s="329"/>
      <c r="AR150" s="329"/>
      <c r="AS150" s="329"/>
      <c r="AT150" s="329" t="s">
        <v>453</v>
      </c>
      <c r="AU150" s="329" t="s">
        <v>283</v>
      </c>
      <c r="AV150" s="331" t="s">
        <v>21</v>
      </c>
      <c r="AW150" s="329"/>
      <c r="AX150" s="329"/>
      <c r="AY150" s="329"/>
      <c r="AZ150" s="329"/>
      <c r="BA150" s="329"/>
      <c r="BB150" s="329"/>
      <c r="BC150" s="329"/>
      <c r="BD150" s="329"/>
      <c r="BE150" s="329" t="s">
        <v>257</v>
      </c>
      <c r="BF150" s="329" t="s">
        <v>841</v>
      </c>
      <c r="BG150" s="329"/>
      <c r="BH150" s="329"/>
      <c r="BI150" s="329" t="s">
        <v>334</v>
      </c>
      <c r="BJ150" s="329" t="s">
        <v>831</v>
      </c>
      <c r="BK150" s="329">
        <v>45000</v>
      </c>
      <c r="BL150" s="329"/>
      <c r="BM150" s="331" t="s">
        <v>189</v>
      </c>
      <c r="BN150" s="329" t="s">
        <v>713</v>
      </c>
      <c r="BO150" s="333">
        <v>43769</v>
      </c>
      <c r="BP150" s="329"/>
      <c r="BQ150" s="329"/>
      <c r="BR150" s="329"/>
      <c r="BS150" s="329"/>
      <c r="BT150" s="329"/>
      <c r="BU150" s="331" t="s">
        <v>261</v>
      </c>
      <c r="BV150" s="329"/>
      <c r="BW150" s="329"/>
      <c r="BX150" s="329"/>
      <c r="BY150" s="331" t="s">
        <v>4194</v>
      </c>
      <c r="BZ150" s="331" t="s">
        <v>4195</v>
      </c>
      <c r="CA150" s="331" t="s">
        <v>4196</v>
      </c>
      <c r="CB150" s="331" t="s">
        <v>21</v>
      </c>
      <c r="CC150" s="331" t="s">
        <v>4197</v>
      </c>
    </row>
    <row r="151" spans="1:81" x14ac:dyDescent="0.25">
      <c r="A151" s="329">
        <v>198898</v>
      </c>
      <c r="B151" s="331" t="s">
        <v>4198</v>
      </c>
      <c r="C151" s="329">
        <v>35406</v>
      </c>
      <c r="D151" s="331" t="s">
        <v>4199</v>
      </c>
      <c r="E151" s="331" t="s">
        <v>4200</v>
      </c>
      <c r="F151" s="331" t="s">
        <v>4201</v>
      </c>
      <c r="G151" s="331" t="s">
        <v>4202</v>
      </c>
      <c r="H151" s="331" t="s">
        <v>4203</v>
      </c>
      <c r="I151" s="331" t="s">
        <v>381</v>
      </c>
      <c r="J151" s="331" t="s">
        <v>292</v>
      </c>
      <c r="K151" s="331" t="s">
        <v>4204</v>
      </c>
      <c r="L151" s="329"/>
      <c r="M151" s="329">
        <v>6</v>
      </c>
      <c r="N151" s="329">
        <v>0</v>
      </c>
      <c r="O151" s="329">
        <v>3.3</v>
      </c>
      <c r="P151" s="329"/>
      <c r="Q151" s="333">
        <v>43755.708333333336</v>
      </c>
      <c r="R151" s="329"/>
      <c r="S151" s="333">
        <v>43769</v>
      </c>
      <c r="T151" s="329">
        <v>55</v>
      </c>
      <c r="U151" s="333">
        <v>43769</v>
      </c>
      <c r="V151" s="333">
        <v>44109</v>
      </c>
      <c r="W151" s="329" t="b">
        <v>1</v>
      </c>
      <c r="X151" s="331" t="s">
        <v>22</v>
      </c>
      <c r="Y151" s="329">
        <v>726</v>
      </c>
      <c r="Z151" s="331" t="s">
        <v>23</v>
      </c>
      <c r="AA151" s="331" t="s">
        <v>919</v>
      </c>
      <c r="AB151" s="331" t="s">
        <v>920</v>
      </c>
      <c r="AC151" s="331" t="s">
        <v>311</v>
      </c>
      <c r="AD151" s="331" t="s">
        <v>24</v>
      </c>
      <c r="AE151" s="329">
        <v>221</v>
      </c>
      <c r="AF151" s="331" t="s">
        <v>254</v>
      </c>
      <c r="AG151" s="329"/>
      <c r="AH151" s="329">
        <v>17</v>
      </c>
      <c r="AI151" s="331" t="s">
        <v>280</v>
      </c>
      <c r="AJ151" s="331" t="s">
        <v>281</v>
      </c>
      <c r="AK151" s="329"/>
      <c r="AL151" s="329"/>
      <c r="AM151" s="329"/>
      <c r="AN151" s="329"/>
      <c r="AO151" s="329"/>
      <c r="AP151" s="331" t="s">
        <v>494</v>
      </c>
      <c r="AQ151" s="329">
        <v>410</v>
      </c>
      <c r="AR151" s="329">
        <v>540</v>
      </c>
      <c r="AS151" s="329"/>
      <c r="AT151" s="329" t="s">
        <v>466</v>
      </c>
      <c r="AU151" s="329" t="s">
        <v>283</v>
      </c>
      <c r="AV151" s="331" t="s">
        <v>292</v>
      </c>
      <c r="AW151" s="329"/>
      <c r="AX151" s="329"/>
      <c r="AY151" s="329"/>
      <c r="AZ151" s="329"/>
      <c r="BA151" s="329"/>
      <c r="BB151" s="329"/>
      <c r="BC151" s="329"/>
      <c r="BD151" s="329"/>
      <c r="BE151" s="329" t="s">
        <v>257</v>
      </c>
      <c r="BF151" s="329" t="s">
        <v>834</v>
      </c>
      <c r="BG151" s="329"/>
      <c r="BH151" s="329"/>
      <c r="BI151" s="329"/>
      <c r="BJ151" s="329"/>
      <c r="BK151" s="329">
        <v>20400</v>
      </c>
      <c r="BL151" s="329"/>
      <c r="BM151" s="331" t="s">
        <v>278</v>
      </c>
      <c r="BN151" s="329" t="s">
        <v>713</v>
      </c>
      <c r="BO151" s="333">
        <v>43769</v>
      </c>
      <c r="BP151" s="329"/>
      <c r="BQ151" s="329"/>
      <c r="BR151" s="329"/>
      <c r="BS151" s="329"/>
      <c r="BT151" s="329"/>
      <c r="BU151" s="331" t="s">
        <v>261</v>
      </c>
      <c r="BV151" s="329"/>
      <c r="BW151" s="329"/>
      <c r="BX151" s="329"/>
      <c r="BY151" s="331" t="s">
        <v>4205</v>
      </c>
      <c r="BZ151" s="331" t="s">
        <v>4206</v>
      </c>
      <c r="CA151" s="331" t="s">
        <v>383</v>
      </c>
      <c r="CB151" s="331" t="s">
        <v>292</v>
      </c>
      <c r="CC151" s="331" t="s">
        <v>4204</v>
      </c>
    </row>
    <row r="152" spans="1:81" x14ac:dyDescent="0.25">
      <c r="A152" s="329">
        <v>192303</v>
      </c>
      <c r="B152" s="331" t="s">
        <v>4255</v>
      </c>
      <c r="C152" s="329">
        <v>35456</v>
      </c>
      <c r="D152" s="331" t="s">
        <v>4256</v>
      </c>
      <c r="E152" s="331" t="s">
        <v>4257</v>
      </c>
      <c r="F152" s="331" t="s">
        <v>4258</v>
      </c>
      <c r="G152" s="331" t="s">
        <v>4259</v>
      </c>
      <c r="H152" s="331" t="s">
        <v>4260</v>
      </c>
      <c r="I152" s="331" t="s">
        <v>4261</v>
      </c>
      <c r="J152" s="331" t="s">
        <v>546</v>
      </c>
      <c r="K152" s="331" t="s">
        <v>4262</v>
      </c>
      <c r="L152" s="329"/>
      <c r="M152" s="329">
        <v>6</v>
      </c>
      <c r="N152" s="329">
        <v>0</v>
      </c>
      <c r="O152" s="329">
        <v>3.9</v>
      </c>
      <c r="P152" s="329"/>
      <c r="Q152" s="333">
        <v>43601.291666666664</v>
      </c>
      <c r="R152" s="329"/>
      <c r="S152" s="333">
        <v>43769</v>
      </c>
      <c r="T152" s="329">
        <v>55</v>
      </c>
      <c r="U152" s="333">
        <v>43769</v>
      </c>
      <c r="V152" s="333">
        <v>44109</v>
      </c>
      <c r="W152" s="329" t="b">
        <v>1</v>
      </c>
      <c r="X152" s="331" t="s">
        <v>905</v>
      </c>
      <c r="Y152" s="329">
        <v>747</v>
      </c>
      <c r="Z152" s="331" t="s">
        <v>23</v>
      </c>
      <c r="AA152" s="331" t="s">
        <v>919</v>
      </c>
      <c r="AB152" s="331" t="s">
        <v>920</v>
      </c>
      <c r="AC152" s="331" t="s">
        <v>346</v>
      </c>
      <c r="AD152" s="331" t="s">
        <v>24</v>
      </c>
      <c r="AE152" s="329">
        <v>221</v>
      </c>
      <c r="AF152" s="331" t="s">
        <v>254</v>
      </c>
      <c r="AG152" s="329"/>
      <c r="AH152" s="329">
        <v>17</v>
      </c>
      <c r="AI152" s="331" t="s">
        <v>280</v>
      </c>
      <c r="AJ152" s="331" t="s">
        <v>281</v>
      </c>
      <c r="AK152" s="329"/>
      <c r="AL152" s="329"/>
      <c r="AM152" s="329"/>
      <c r="AN152" s="329"/>
      <c r="AO152" s="329"/>
      <c r="AP152" s="329"/>
      <c r="AQ152" s="329"/>
      <c r="AR152" s="329"/>
      <c r="AS152" s="329"/>
      <c r="AT152" s="329" t="s">
        <v>258</v>
      </c>
      <c r="AU152" s="329" t="s">
        <v>283</v>
      </c>
      <c r="AV152" s="331" t="s">
        <v>546</v>
      </c>
      <c r="AW152" s="329"/>
      <c r="AX152" s="329"/>
      <c r="AY152" s="329"/>
      <c r="AZ152" s="329"/>
      <c r="BA152" s="329"/>
      <c r="BB152" s="329"/>
      <c r="BC152" s="329"/>
      <c r="BD152" s="329"/>
      <c r="BE152" s="329" t="s">
        <v>257</v>
      </c>
      <c r="BF152" s="329" t="s">
        <v>834</v>
      </c>
      <c r="BG152" s="329"/>
      <c r="BH152" s="329"/>
      <c r="BI152" s="329"/>
      <c r="BJ152" s="329"/>
      <c r="BK152" s="329">
        <v>20400</v>
      </c>
      <c r="BL152" s="329"/>
      <c r="BM152" s="331" t="s">
        <v>278</v>
      </c>
      <c r="BN152" s="329" t="s">
        <v>713</v>
      </c>
      <c r="BO152" s="333">
        <v>43769</v>
      </c>
      <c r="BP152" s="329"/>
      <c r="BQ152" s="329"/>
      <c r="BR152" s="329"/>
      <c r="BS152" s="329"/>
      <c r="BT152" s="329"/>
      <c r="BU152" s="331" t="s">
        <v>261</v>
      </c>
      <c r="BV152" s="329"/>
      <c r="BW152" s="329"/>
      <c r="BX152" s="329"/>
      <c r="BY152" s="331" t="s">
        <v>4263</v>
      </c>
      <c r="BZ152" s="331" t="s">
        <v>4264</v>
      </c>
      <c r="CA152" s="331" t="s">
        <v>4265</v>
      </c>
      <c r="CB152" s="331" t="s">
        <v>546</v>
      </c>
      <c r="CC152" s="331" t="s">
        <v>805</v>
      </c>
    </row>
    <row r="153" spans="1:81" x14ac:dyDescent="0.25">
      <c r="A153" s="329">
        <v>192404</v>
      </c>
      <c r="B153" s="331" t="s">
        <v>4266</v>
      </c>
      <c r="C153" s="329">
        <v>33638</v>
      </c>
      <c r="D153" s="331" t="s">
        <v>4267</v>
      </c>
      <c r="E153" s="331" t="s">
        <v>1399</v>
      </c>
      <c r="F153" s="331" t="s">
        <v>4268</v>
      </c>
      <c r="G153" s="331" t="s">
        <v>4269</v>
      </c>
      <c r="H153" s="331" t="s">
        <v>4270</v>
      </c>
      <c r="I153" s="331" t="s">
        <v>4271</v>
      </c>
      <c r="J153" s="331" t="s">
        <v>396</v>
      </c>
      <c r="K153" s="331" t="s">
        <v>4272</v>
      </c>
      <c r="L153" s="329"/>
      <c r="M153" s="329">
        <v>6</v>
      </c>
      <c r="N153" s="329">
        <v>0</v>
      </c>
      <c r="O153" s="329">
        <v>4</v>
      </c>
      <c r="P153" s="329"/>
      <c r="Q153" s="333">
        <v>43591.729166666664</v>
      </c>
      <c r="R153" s="329"/>
      <c r="S153" s="333">
        <v>43769</v>
      </c>
      <c r="T153" s="329">
        <v>55</v>
      </c>
      <c r="U153" s="333">
        <v>43769</v>
      </c>
      <c r="V153" s="333">
        <v>44109</v>
      </c>
      <c r="W153" s="329" t="b">
        <v>1</v>
      </c>
      <c r="X153" s="331" t="s">
        <v>905</v>
      </c>
      <c r="Y153" s="329">
        <v>747</v>
      </c>
      <c r="Z153" s="331" t="s">
        <v>23</v>
      </c>
      <c r="AA153" s="331" t="s">
        <v>919</v>
      </c>
      <c r="AB153" s="331" t="s">
        <v>920</v>
      </c>
      <c r="AC153" s="331" t="s">
        <v>1329</v>
      </c>
      <c r="AD153" s="331" t="s">
        <v>24</v>
      </c>
      <c r="AE153" s="329">
        <v>221</v>
      </c>
      <c r="AF153" s="331" t="s">
        <v>254</v>
      </c>
      <c r="AG153" s="329"/>
      <c r="AH153" s="329">
        <v>17</v>
      </c>
      <c r="AI153" s="331" t="s">
        <v>280</v>
      </c>
      <c r="AJ153" s="331" t="s">
        <v>281</v>
      </c>
      <c r="AK153" s="329"/>
      <c r="AL153" s="329"/>
      <c r="AM153" s="329"/>
      <c r="AN153" s="329"/>
      <c r="AO153" s="329"/>
      <c r="AP153" s="329"/>
      <c r="AQ153" s="329"/>
      <c r="AR153" s="329"/>
      <c r="AS153" s="329"/>
      <c r="AT153" s="329" t="s">
        <v>258</v>
      </c>
      <c r="AU153" s="329" t="s">
        <v>283</v>
      </c>
      <c r="AV153" s="331" t="s">
        <v>396</v>
      </c>
      <c r="AW153" s="329"/>
      <c r="AX153" s="329"/>
      <c r="AY153" s="329"/>
      <c r="AZ153" s="329"/>
      <c r="BA153" s="329"/>
      <c r="BB153" s="329"/>
      <c r="BC153" s="329"/>
      <c r="BD153" s="329"/>
      <c r="BE153" s="329" t="s">
        <v>257</v>
      </c>
      <c r="BF153" s="329" t="s">
        <v>834</v>
      </c>
      <c r="BG153" s="329"/>
      <c r="BH153" s="329"/>
      <c r="BI153" s="329"/>
      <c r="BJ153" s="329"/>
      <c r="BK153" s="329">
        <v>20400</v>
      </c>
      <c r="BL153" s="329"/>
      <c r="BM153" s="331" t="s">
        <v>278</v>
      </c>
      <c r="BN153" s="329" t="s">
        <v>713</v>
      </c>
      <c r="BO153" s="333">
        <v>43769</v>
      </c>
      <c r="BP153" s="329"/>
      <c r="BQ153" s="329"/>
      <c r="BR153" s="329"/>
      <c r="BS153" s="329"/>
      <c r="BT153" s="329"/>
      <c r="BU153" s="331" t="s">
        <v>261</v>
      </c>
      <c r="BV153" s="329"/>
      <c r="BW153" s="329"/>
      <c r="BX153" s="329"/>
      <c r="BY153" s="331" t="s">
        <v>4273</v>
      </c>
      <c r="BZ153" s="331" t="s">
        <v>4274</v>
      </c>
      <c r="CA153" s="331" t="s">
        <v>4271</v>
      </c>
      <c r="CB153" s="331" t="s">
        <v>396</v>
      </c>
      <c r="CC153" s="331" t="s">
        <v>4272</v>
      </c>
    </row>
    <row r="154" spans="1:81" x14ac:dyDescent="0.25">
      <c r="A154" s="329">
        <v>192488</v>
      </c>
      <c r="B154" s="331" t="s">
        <v>4286</v>
      </c>
      <c r="C154" s="329">
        <v>33661</v>
      </c>
      <c r="D154" s="331" t="s">
        <v>4287</v>
      </c>
      <c r="E154" s="331" t="s">
        <v>3196</v>
      </c>
      <c r="F154" s="331" t="s">
        <v>4288</v>
      </c>
      <c r="G154" s="331" t="s">
        <v>4289</v>
      </c>
      <c r="H154" s="331" t="s">
        <v>4290</v>
      </c>
      <c r="I154" s="331" t="s">
        <v>4291</v>
      </c>
      <c r="J154" s="331" t="s">
        <v>396</v>
      </c>
      <c r="K154" s="331" t="s">
        <v>4272</v>
      </c>
      <c r="L154" s="329"/>
      <c r="M154" s="329">
        <v>6</v>
      </c>
      <c r="N154" s="329">
        <v>0</v>
      </c>
      <c r="O154" s="329">
        <v>2.8</v>
      </c>
      <c r="P154" s="329"/>
      <c r="Q154" s="333">
        <v>43598.729166666664</v>
      </c>
      <c r="R154" s="329"/>
      <c r="S154" s="333">
        <v>43769</v>
      </c>
      <c r="T154" s="329">
        <v>55</v>
      </c>
      <c r="U154" s="333">
        <v>43769</v>
      </c>
      <c r="V154" s="333">
        <v>44109</v>
      </c>
      <c r="W154" s="329" t="b">
        <v>1</v>
      </c>
      <c r="X154" s="331" t="s">
        <v>905</v>
      </c>
      <c r="Y154" s="329">
        <v>747</v>
      </c>
      <c r="Z154" s="331" t="s">
        <v>23</v>
      </c>
      <c r="AA154" s="331" t="s">
        <v>919</v>
      </c>
      <c r="AB154" s="331" t="s">
        <v>920</v>
      </c>
      <c r="AC154" s="331" t="s">
        <v>1329</v>
      </c>
      <c r="AD154" s="331" t="s">
        <v>24</v>
      </c>
      <c r="AE154" s="329">
        <v>221</v>
      </c>
      <c r="AF154" s="331" t="s">
        <v>254</v>
      </c>
      <c r="AG154" s="329"/>
      <c r="AH154" s="329">
        <v>17</v>
      </c>
      <c r="AI154" s="331" t="s">
        <v>280</v>
      </c>
      <c r="AJ154" s="331" t="s">
        <v>281</v>
      </c>
      <c r="AK154" s="329"/>
      <c r="AL154" s="329"/>
      <c r="AM154" s="329"/>
      <c r="AN154" s="329"/>
      <c r="AO154" s="329"/>
      <c r="AP154" s="329"/>
      <c r="AQ154" s="329"/>
      <c r="AR154" s="329"/>
      <c r="AS154" s="329"/>
      <c r="AT154" s="329" t="s">
        <v>258</v>
      </c>
      <c r="AU154" s="329" t="s">
        <v>283</v>
      </c>
      <c r="AV154" s="331" t="s">
        <v>396</v>
      </c>
      <c r="AW154" s="329"/>
      <c r="AX154" s="329"/>
      <c r="AY154" s="329"/>
      <c r="AZ154" s="329"/>
      <c r="BA154" s="329"/>
      <c r="BB154" s="329"/>
      <c r="BC154" s="329"/>
      <c r="BD154" s="329"/>
      <c r="BE154" s="329"/>
      <c r="BF154" s="329"/>
      <c r="BG154" s="329"/>
      <c r="BH154" s="329"/>
      <c r="BI154" s="329"/>
      <c r="BJ154" s="329"/>
      <c r="BK154" s="329">
        <v>0</v>
      </c>
      <c r="BL154" s="329"/>
      <c r="BM154" s="331" t="s">
        <v>267</v>
      </c>
      <c r="BN154" s="329" t="s">
        <v>713</v>
      </c>
      <c r="BO154" s="333">
        <v>43769</v>
      </c>
      <c r="BP154" s="329"/>
      <c r="BQ154" s="329"/>
      <c r="BR154" s="329"/>
      <c r="BS154" s="329"/>
      <c r="BT154" s="329"/>
      <c r="BU154" s="331" t="s">
        <v>261</v>
      </c>
      <c r="BV154" s="329"/>
      <c r="BW154" s="329"/>
      <c r="BX154" s="329"/>
      <c r="BY154" s="331" t="s">
        <v>3012</v>
      </c>
      <c r="BZ154" s="331" t="s">
        <v>3013</v>
      </c>
      <c r="CA154" s="329"/>
      <c r="CB154" s="331" t="s">
        <v>558</v>
      </c>
      <c r="CC154" s="331" t="s">
        <v>304</v>
      </c>
    </row>
    <row r="155" spans="1:81" x14ac:dyDescent="0.25">
      <c r="A155" s="329">
        <v>196007</v>
      </c>
      <c r="B155" s="331" t="s">
        <v>4301</v>
      </c>
      <c r="C155" s="329">
        <v>34465</v>
      </c>
      <c r="D155" s="331" t="s">
        <v>4302</v>
      </c>
      <c r="E155" s="331" t="s">
        <v>4303</v>
      </c>
      <c r="F155" s="331" t="s">
        <v>4304</v>
      </c>
      <c r="G155" s="331" t="s">
        <v>4305</v>
      </c>
      <c r="H155" s="331" t="s">
        <v>4306</v>
      </c>
      <c r="I155" s="331" t="s">
        <v>527</v>
      </c>
      <c r="J155" s="331" t="s">
        <v>20</v>
      </c>
      <c r="K155" s="331" t="s">
        <v>4307</v>
      </c>
      <c r="L155" s="329"/>
      <c r="M155" s="329">
        <v>6</v>
      </c>
      <c r="N155" s="329">
        <v>0</v>
      </c>
      <c r="O155" s="329">
        <v>4</v>
      </c>
      <c r="P155" s="329"/>
      <c r="Q155" s="333">
        <v>43671.445138888892</v>
      </c>
      <c r="R155" s="329"/>
      <c r="S155" s="333">
        <v>43769</v>
      </c>
      <c r="T155" s="329">
        <v>55</v>
      </c>
      <c r="U155" s="333">
        <v>43769</v>
      </c>
      <c r="V155" s="333">
        <v>44109</v>
      </c>
      <c r="W155" s="329" t="b">
        <v>1</v>
      </c>
      <c r="X155" s="331" t="s">
        <v>187</v>
      </c>
      <c r="Y155" s="329">
        <v>718</v>
      </c>
      <c r="Z155" s="331" t="s">
        <v>25</v>
      </c>
      <c r="AA155" s="331" t="s">
        <v>919</v>
      </c>
      <c r="AB155" s="331" t="s">
        <v>920</v>
      </c>
      <c r="AC155" s="331" t="s">
        <v>346</v>
      </c>
      <c r="AD155" s="331" t="s">
        <v>24</v>
      </c>
      <c r="AE155" s="329">
        <v>221</v>
      </c>
      <c r="AF155" s="331" t="s">
        <v>254</v>
      </c>
      <c r="AG155" s="329"/>
      <c r="AH155" s="329">
        <v>17</v>
      </c>
      <c r="AI155" s="331" t="s">
        <v>280</v>
      </c>
      <c r="AJ155" s="331" t="s">
        <v>281</v>
      </c>
      <c r="AK155" s="329"/>
      <c r="AL155" s="329"/>
      <c r="AM155" s="329"/>
      <c r="AN155" s="329"/>
      <c r="AO155" s="329"/>
      <c r="AP155" s="331" t="s">
        <v>508</v>
      </c>
      <c r="AQ155" s="329">
        <v>610</v>
      </c>
      <c r="AR155" s="329">
        <v>580</v>
      </c>
      <c r="AS155" s="329"/>
      <c r="AT155" s="329" t="s">
        <v>398</v>
      </c>
      <c r="AU155" s="329" t="s">
        <v>283</v>
      </c>
      <c r="AV155" s="331" t="s">
        <v>20</v>
      </c>
      <c r="AW155" s="329"/>
      <c r="AX155" s="329"/>
      <c r="AY155" s="329"/>
      <c r="AZ155" s="329"/>
      <c r="BA155" s="329"/>
      <c r="BB155" s="329"/>
      <c r="BC155" s="329"/>
      <c r="BD155" s="329"/>
      <c r="BE155" s="329" t="s">
        <v>257</v>
      </c>
      <c r="BF155" s="329" t="s">
        <v>834</v>
      </c>
      <c r="BG155" s="329"/>
      <c r="BH155" s="329"/>
      <c r="BI155" s="329"/>
      <c r="BJ155" s="329"/>
      <c r="BK155" s="329">
        <v>20400</v>
      </c>
      <c r="BL155" s="329"/>
      <c r="BM155" s="331" t="s">
        <v>278</v>
      </c>
      <c r="BN155" s="329" t="s">
        <v>713</v>
      </c>
      <c r="BO155" s="333">
        <v>43769</v>
      </c>
      <c r="BP155" s="329"/>
      <c r="BQ155" s="329"/>
      <c r="BR155" s="329"/>
      <c r="BS155" s="329"/>
      <c r="BT155" s="329"/>
      <c r="BU155" s="331" t="s">
        <v>261</v>
      </c>
      <c r="BV155" s="329"/>
      <c r="BW155" s="329"/>
      <c r="BX155" s="329"/>
      <c r="BY155" s="331" t="s">
        <v>4308</v>
      </c>
      <c r="BZ155" s="331" t="s">
        <v>4309</v>
      </c>
      <c r="CA155" s="331" t="s">
        <v>2338</v>
      </c>
      <c r="CB155" s="331" t="s">
        <v>20</v>
      </c>
      <c r="CC155" s="331" t="s">
        <v>4310</v>
      </c>
    </row>
    <row r="156" spans="1:81" x14ac:dyDescent="0.25">
      <c r="A156" s="329">
        <v>198403</v>
      </c>
      <c r="B156" s="331" t="s">
        <v>4321</v>
      </c>
      <c r="C156" s="329">
        <v>35269</v>
      </c>
      <c r="D156" s="331" t="s">
        <v>4322</v>
      </c>
      <c r="E156" s="331" t="s">
        <v>882</v>
      </c>
      <c r="F156" s="331" t="s">
        <v>4323</v>
      </c>
      <c r="G156" s="331" t="s">
        <v>4324</v>
      </c>
      <c r="H156" s="331" t="s">
        <v>4325</v>
      </c>
      <c r="I156" s="331" t="s">
        <v>799</v>
      </c>
      <c r="J156" s="331" t="s">
        <v>21</v>
      </c>
      <c r="K156" s="331" t="s">
        <v>4326</v>
      </c>
      <c r="L156" s="329"/>
      <c r="M156" s="329">
        <v>6</v>
      </c>
      <c r="N156" s="329">
        <v>0</v>
      </c>
      <c r="O156" s="329">
        <v>3.8218999999999999</v>
      </c>
      <c r="P156" s="329"/>
      <c r="Q156" s="333">
        <v>43741.336111111108</v>
      </c>
      <c r="R156" s="329"/>
      <c r="S156" s="333">
        <v>43767</v>
      </c>
      <c r="T156" s="329">
        <v>55</v>
      </c>
      <c r="U156" s="333">
        <v>43767</v>
      </c>
      <c r="V156" s="333">
        <v>44109</v>
      </c>
      <c r="W156" s="329" t="b">
        <v>1</v>
      </c>
      <c r="X156" s="331" t="s">
        <v>906</v>
      </c>
      <c r="Y156" s="329">
        <v>748</v>
      </c>
      <c r="Z156" s="331" t="s">
        <v>23</v>
      </c>
      <c r="AA156" s="331" t="s">
        <v>919</v>
      </c>
      <c r="AB156" s="331" t="s">
        <v>920</v>
      </c>
      <c r="AC156" s="331" t="s">
        <v>720</v>
      </c>
      <c r="AD156" s="331" t="s">
        <v>24</v>
      </c>
      <c r="AE156" s="329">
        <v>221</v>
      </c>
      <c r="AF156" s="331" t="s">
        <v>254</v>
      </c>
      <c r="AG156" s="329"/>
      <c r="AH156" s="329">
        <v>17</v>
      </c>
      <c r="AI156" s="331" t="s">
        <v>280</v>
      </c>
      <c r="AJ156" s="331" t="s">
        <v>281</v>
      </c>
      <c r="AK156" s="331" t="s">
        <v>301</v>
      </c>
      <c r="AL156" s="331" t="s">
        <v>386</v>
      </c>
      <c r="AM156" s="331" t="s">
        <v>289</v>
      </c>
      <c r="AN156" s="331" t="s">
        <v>301</v>
      </c>
      <c r="AO156" s="331" t="s">
        <v>290</v>
      </c>
      <c r="AP156" s="329"/>
      <c r="AQ156" s="329"/>
      <c r="AR156" s="329"/>
      <c r="AS156" s="329"/>
      <c r="AT156" s="329" t="s">
        <v>294</v>
      </c>
      <c r="AU156" s="329" t="s">
        <v>283</v>
      </c>
      <c r="AV156" s="331" t="s">
        <v>21</v>
      </c>
      <c r="AW156" s="329"/>
      <c r="AX156" s="329"/>
      <c r="AY156" s="329"/>
      <c r="AZ156" s="329"/>
      <c r="BA156" s="329"/>
      <c r="BB156" s="329"/>
      <c r="BC156" s="329"/>
      <c r="BD156" s="329"/>
      <c r="BE156" s="329" t="s">
        <v>257</v>
      </c>
      <c r="BF156" s="329" t="s">
        <v>836</v>
      </c>
      <c r="BG156" s="329"/>
      <c r="BH156" s="329"/>
      <c r="BI156" s="329" t="s">
        <v>334</v>
      </c>
      <c r="BJ156" s="329" t="s">
        <v>831</v>
      </c>
      <c r="BK156" s="329">
        <v>54000</v>
      </c>
      <c r="BL156" s="329"/>
      <c r="BM156" s="331" t="s">
        <v>310</v>
      </c>
      <c r="BN156" s="329" t="s">
        <v>713</v>
      </c>
      <c r="BO156" s="333">
        <v>43769</v>
      </c>
      <c r="BP156" s="329"/>
      <c r="BQ156" s="329"/>
      <c r="BR156" s="329"/>
      <c r="BS156" s="329"/>
      <c r="BT156" s="329"/>
      <c r="BU156" s="331" t="s">
        <v>261</v>
      </c>
      <c r="BV156" s="329"/>
      <c r="BW156" s="329"/>
      <c r="BX156" s="329"/>
      <c r="BY156" s="331" t="s">
        <v>4327</v>
      </c>
      <c r="BZ156" s="331" t="s">
        <v>4328</v>
      </c>
      <c r="CA156" s="331" t="s">
        <v>4329</v>
      </c>
      <c r="CB156" s="331" t="s">
        <v>21</v>
      </c>
      <c r="CC156" s="331" t="s">
        <v>4326</v>
      </c>
    </row>
    <row r="157" spans="1:81" x14ac:dyDescent="0.25">
      <c r="A157" s="329">
        <v>196370</v>
      </c>
      <c r="B157" s="331" t="s">
        <v>4357</v>
      </c>
      <c r="C157" s="329">
        <v>34624</v>
      </c>
      <c r="D157" s="331" t="s">
        <v>4358</v>
      </c>
      <c r="E157" s="331" t="s">
        <v>518</v>
      </c>
      <c r="F157" s="331" t="s">
        <v>4359</v>
      </c>
      <c r="G157" s="331" t="s">
        <v>4360</v>
      </c>
      <c r="H157" s="331" t="s">
        <v>4361</v>
      </c>
      <c r="I157" s="331" t="s">
        <v>878</v>
      </c>
      <c r="J157" s="331" t="s">
        <v>325</v>
      </c>
      <c r="K157" s="331" t="s">
        <v>4362</v>
      </c>
      <c r="L157" s="329"/>
      <c r="M157" s="329">
        <v>6</v>
      </c>
      <c r="N157" s="329">
        <v>0</v>
      </c>
      <c r="O157" s="329">
        <v>3.5</v>
      </c>
      <c r="P157" s="329"/>
      <c r="Q157" s="333">
        <v>43631.736111111109</v>
      </c>
      <c r="R157" s="329"/>
      <c r="S157" s="333">
        <v>43769</v>
      </c>
      <c r="T157" s="329">
        <v>55</v>
      </c>
      <c r="U157" s="333">
        <v>43769</v>
      </c>
      <c r="V157" s="333">
        <v>44109</v>
      </c>
      <c r="W157" s="329" t="b">
        <v>1</v>
      </c>
      <c r="X157" s="331" t="s">
        <v>905</v>
      </c>
      <c r="Y157" s="329">
        <v>747</v>
      </c>
      <c r="Z157" s="331" t="s">
        <v>23</v>
      </c>
      <c r="AA157" s="331" t="s">
        <v>919</v>
      </c>
      <c r="AB157" s="331" t="s">
        <v>920</v>
      </c>
      <c r="AC157" s="331" t="s">
        <v>1011</v>
      </c>
      <c r="AD157" s="331" t="s">
        <v>24</v>
      </c>
      <c r="AE157" s="329">
        <v>221</v>
      </c>
      <c r="AF157" s="331" t="s">
        <v>254</v>
      </c>
      <c r="AG157" s="329"/>
      <c r="AH157" s="329">
        <v>17</v>
      </c>
      <c r="AI157" s="331" t="s">
        <v>280</v>
      </c>
      <c r="AJ157" s="331" t="s">
        <v>281</v>
      </c>
      <c r="AK157" s="331" t="s">
        <v>290</v>
      </c>
      <c r="AL157" s="331" t="s">
        <v>299</v>
      </c>
      <c r="AM157" s="331" t="s">
        <v>299</v>
      </c>
      <c r="AN157" s="331" t="s">
        <v>275</v>
      </c>
      <c r="AO157" s="331" t="s">
        <v>290</v>
      </c>
      <c r="AP157" s="329"/>
      <c r="AQ157" s="329"/>
      <c r="AR157" s="329"/>
      <c r="AS157" s="329"/>
      <c r="AT157" s="329" t="s">
        <v>353</v>
      </c>
      <c r="AU157" s="329" t="s">
        <v>283</v>
      </c>
      <c r="AV157" s="331" t="s">
        <v>325</v>
      </c>
      <c r="AW157" s="329"/>
      <c r="AX157" s="329"/>
      <c r="AY157" s="329"/>
      <c r="AZ157" s="329"/>
      <c r="BA157" s="329"/>
      <c r="BB157" s="329"/>
      <c r="BC157" s="329"/>
      <c r="BD157" s="329"/>
      <c r="BE157" s="329" t="s">
        <v>257</v>
      </c>
      <c r="BF157" s="329" t="s">
        <v>837</v>
      </c>
      <c r="BG157" s="329"/>
      <c r="BH157" s="329"/>
      <c r="BI157" s="329"/>
      <c r="BJ157" s="329"/>
      <c r="BK157" s="329">
        <v>15000</v>
      </c>
      <c r="BL157" s="329"/>
      <c r="BM157" s="331" t="s">
        <v>295</v>
      </c>
      <c r="BN157" s="329" t="s">
        <v>713</v>
      </c>
      <c r="BO157" s="333">
        <v>43769</v>
      </c>
      <c r="BP157" s="329"/>
      <c r="BQ157" s="329"/>
      <c r="BR157" s="329"/>
      <c r="BS157" s="329"/>
      <c r="BT157" s="329"/>
      <c r="BU157" s="331" t="s">
        <v>261</v>
      </c>
      <c r="BV157" s="329"/>
      <c r="BW157" s="329"/>
      <c r="BX157" s="329"/>
      <c r="BY157" s="331" t="s">
        <v>4363</v>
      </c>
      <c r="BZ157" s="331" t="s">
        <v>4364</v>
      </c>
      <c r="CA157" s="331" t="s">
        <v>4365</v>
      </c>
      <c r="CB157" s="331" t="s">
        <v>325</v>
      </c>
      <c r="CC157" s="331" t="s">
        <v>4366</v>
      </c>
    </row>
    <row r="158" spans="1:81" x14ac:dyDescent="0.25">
      <c r="A158" s="329">
        <v>197827</v>
      </c>
      <c r="B158" s="331" t="s">
        <v>4382</v>
      </c>
      <c r="C158" s="329">
        <v>35006</v>
      </c>
      <c r="D158" s="331" t="s">
        <v>4383</v>
      </c>
      <c r="E158" s="331" t="s">
        <v>4384</v>
      </c>
      <c r="F158" s="331" t="s">
        <v>4385</v>
      </c>
      <c r="G158" s="331" t="s">
        <v>4386</v>
      </c>
      <c r="H158" s="331" t="s">
        <v>4387</v>
      </c>
      <c r="I158" s="331" t="s">
        <v>4388</v>
      </c>
      <c r="J158" s="331" t="s">
        <v>378</v>
      </c>
      <c r="K158" s="331" t="s">
        <v>4389</v>
      </c>
      <c r="L158" s="329"/>
      <c r="M158" s="329">
        <v>6</v>
      </c>
      <c r="N158" s="329">
        <v>0</v>
      </c>
      <c r="O158" s="329">
        <v>3.5</v>
      </c>
      <c r="P158" s="329"/>
      <c r="Q158" s="333">
        <v>43726.60765046296</v>
      </c>
      <c r="R158" s="329"/>
      <c r="S158" s="333">
        <v>43769</v>
      </c>
      <c r="T158" s="329">
        <v>55</v>
      </c>
      <c r="U158" s="333">
        <v>43769</v>
      </c>
      <c r="V158" s="333">
        <v>44109</v>
      </c>
      <c r="W158" s="329" t="b">
        <v>1</v>
      </c>
      <c r="X158" s="331" t="s">
        <v>905</v>
      </c>
      <c r="Y158" s="329">
        <v>747</v>
      </c>
      <c r="Z158" s="331" t="s">
        <v>23</v>
      </c>
      <c r="AA158" s="331" t="s">
        <v>919</v>
      </c>
      <c r="AB158" s="331" t="s">
        <v>920</v>
      </c>
      <c r="AC158" s="331" t="s">
        <v>1405</v>
      </c>
      <c r="AD158" s="331" t="s">
        <v>24</v>
      </c>
      <c r="AE158" s="329">
        <v>221</v>
      </c>
      <c r="AF158" s="331" t="s">
        <v>254</v>
      </c>
      <c r="AG158" s="329"/>
      <c r="AH158" s="329">
        <v>17</v>
      </c>
      <c r="AI158" s="331" t="s">
        <v>280</v>
      </c>
      <c r="AJ158" s="331" t="s">
        <v>281</v>
      </c>
      <c r="AK158" s="331" t="s">
        <v>299</v>
      </c>
      <c r="AL158" s="331" t="s">
        <v>328</v>
      </c>
      <c r="AM158" s="331" t="s">
        <v>290</v>
      </c>
      <c r="AN158" s="331" t="s">
        <v>328</v>
      </c>
      <c r="AO158" s="331" t="s">
        <v>301</v>
      </c>
      <c r="AP158" s="329"/>
      <c r="AQ158" s="329"/>
      <c r="AR158" s="329"/>
      <c r="AS158" s="329"/>
      <c r="AT158" s="329" t="s">
        <v>255</v>
      </c>
      <c r="AU158" s="329" t="s">
        <v>283</v>
      </c>
      <c r="AV158" s="331" t="s">
        <v>378</v>
      </c>
      <c r="AW158" s="329"/>
      <c r="AX158" s="329"/>
      <c r="AY158" s="329"/>
      <c r="AZ158" s="329"/>
      <c r="BA158" s="329"/>
      <c r="BB158" s="329"/>
      <c r="BC158" s="329"/>
      <c r="BD158" s="329"/>
      <c r="BE158" s="329" t="s">
        <v>257</v>
      </c>
      <c r="BF158" s="329" t="s">
        <v>837</v>
      </c>
      <c r="BG158" s="329"/>
      <c r="BH158" s="329"/>
      <c r="BI158" s="329"/>
      <c r="BJ158" s="329"/>
      <c r="BK158" s="329">
        <v>15000</v>
      </c>
      <c r="BL158" s="329"/>
      <c r="BM158" s="331" t="s">
        <v>295</v>
      </c>
      <c r="BN158" s="329" t="s">
        <v>713</v>
      </c>
      <c r="BO158" s="333">
        <v>43769</v>
      </c>
      <c r="BP158" s="329"/>
      <c r="BQ158" s="329"/>
      <c r="BR158" s="329"/>
      <c r="BS158" s="329"/>
      <c r="BT158" s="329"/>
      <c r="BU158" s="331" t="s">
        <v>261</v>
      </c>
      <c r="BV158" s="329"/>
      <c r="BW158" s="329"/>
      <c r="BX158" s="329"/>
      <c r="BY158" s="331" t="s">
        <v>4390</v>
      </c>
      <c r="BZ158" s="331" t="s">
        <v>4391</v>
      </c>
      <c r="CA158" s="331" t="s">
        <v>4388</v>
      </c>
      <c r="CB158" s="331" t="s">
        <v>378</v>
      </c>
      <c r="CC158" s="331" t="s">
        <v>4392</v>
      </c>
    </row>
    <row r="159" spans="1:81" x14ac:dyDescent="0.25">
      <c r="A159" s="329">
        <v>198550</v>
      </c>
      <c r="B159" s="331" t="s">
        <v>4410</v>
      </c>
      <c r="C159" s="329">
        <v>35310</v>
      </c>
      <c r="D159" s="331" t="s">
        <v>886</v>
      </c>
      <c r="E159" s="331" t="s">
        <v>343</v>
      </c>
      <c r="F159" s="331" t="s">
        <v>4411</v>
      </c>
      <c r="G159" s="331" t="s">
        <v>4412</v>
      </c>
      <c r="H159" s="331" t="s">
        <v>4413</v>
      </c>
      <c r="I159" s="331" t="s">
        <v>4414</v>
      </c>
      <c r="J159" s="331" t="s">
        <v>21</v>
      </c>
      <c r="K159" s="331" t="s">
        <v>4415</v>
      </c>
      <c r="L159" s="329"/>
      <c r="M159" s="329">
        <v>6</v>
      </c>
      <c r="N159" s="329">
        <v>0</v>
      </c>
      <c r="O159" s="329">
        <v>0</v>
      </c>
      <c r="P159" s="329"/>
      <c r="Q159" s="333">
        <v>43707.730555555558</v>
      </c>
      <c r="R159" s="329"/>
      <c r="S159" s="333">
        <v>43769</v>
      </c>
      <c r="T159" s="329">
        <v>55</v>
      </c>
      <c r="U159" s="333">
        <v>43769</v>
      </c>
      <c r="V159" s="333">
        <v>44109</v>
      </c>
      <c r="W159" s="329" t="b">
        <v>1</v>
      </c>
      <c r="X159" s="331" t="s">
        <v>906</v>
      </c>
      <c r="Y159" s="329">
        <v>748</v>
      </c>
      <c r="Z159" s="331" t="s">
        <v>23</v>
      </c>
      <c r="AA159" s="331" t="s">
        <v>919</v>
      </c>
      <c r="AB159" s="331" t="s">
        <v>920</v>
      </c>
      <c r="AC159" s="331" t="s">
        <v>4416</v>
      </c>
      <c r="AD159" s="331" t="s">
        <v>24</v>
      </c>
      <c r="AE159" s="329">
        <v>221</v>
      </c>
      <c r="AF159" s="331" t="s">
        <v>254</v>
      </c>
      <c r="AG159" s="329"/>
      <c r="AH159" s="329">
        <v>17</v>
      </c>
      <c r="AI159" s="331" t="s">
        <v>280</v>
      </c>
      <c r="AJ159" s="331" t="s">
        <v>281</v>
      </c>
      <c r="AK159" s="331" t="s">
        <v>300</v>
      </c>
      <c r="AL159" s="331" t="s">
        <v>299</v>
      </c>
      <c r="AM159" s="331" t="s">
        <v>300</v>
      </c>
      <c r="AN159" s="331" t="s">
        <v>275</v>
      </c>
      <c r="AO159" s="331" t="s">
        <v>274</v>
      </c>
      <c r="AP159" s="329"/>
      <c r="AQ159" s="329"/>
      <c r="AR159" s="329"/>
      <c r="AS159" s="329"/>
      <c r="AT159" s="329" t="s">
        <v>258</v>
      </c>
      <c r="AU159" s="329" t="s">
        <v>256</v>
      </c>
      <c r="AV159" s="331" t="s">
        <v>21</v>
      </c>
      <c r="AW159" s="329"/>
      <c r="AX159" s="329"/>
      <c r="AY159" s="329"/>
      <c r="AZ159" s="329"/>
      <c r="BA159" s="329"/>
      <c r="BB159" s="329"/>
      <c r="BC159" s="329"/>
      <c r="BD159" s="329"/>
      <c r="BE159" s="329"/>
      <c r="BF159" s="329"/>
      <c r="BG159" s="329"/>
      <c r="BH159" s="329"/>
      <c r="BI159" s="329" t="s">
        <v>334</v>
      </c>
      <c r="BJ159" s="329" t="s">
        <v>831</v>
      </c>
      <c r="BK159" s="329">
        <v>36000</v>
      </c>
      <c r="BL159" s="329"/>
      <c r="BM159" s="331" t="s">
        <v>28</v>
      </c>
      <c r="BN159" s="329" t="s">
        <v>713</v>
      </c>
      <c r="BO159" s="333">
        <v>43769</v>
      </c>
      <c r="BP159" s="329"/>
      <c r="BQ159" s="329"/>
      <c r="BR159" s="329"/>
      <c r="BS159" s="329"/>
      <c r="BT159" s="329"/>
      <c r="BU159" s="331" t="s">
        <v>261</v>
      </c>
      <c r="BV159" s="329"/>
      <c r="BW159" s="329"/>
      <c r="BX159" s="329"/>
      <c r="BY159" s="331" t="s">
        <v>4417</v>
      </c>
      <c r="BZ159" s="331" t="s">
        <v>4418</v>
      </c>
      <c r="CA159" s="331" t="s">
        <v>4419</v>
      </c>
      <c r="CB159" s="331" t="s">
        <v>21</v>
      </c>
      <c r="CC159" s="331" t="s">
        <v>4415</v>
      </c>
    </row>
    <row r="160" spans="1:81" x14ac:dyDescent="0.25">
      <c r="A160" s="329">
        <v>197889</v>
      </c>
      <c r="B160" s="331" t="s">
        <v>4486</v>
      </c>
      <c r="C160" s="329">
        <v>35028</v>
      </c>
      <c r="D160" s="331" t="s">
        <v>4487</v>
      </c>
      <c r="E160" s="331" t="s">
        <v>4488</v>
      </c>
      <c r="F160" s="331" t="s">
        <v>4489</v>
      </c>
      <c r="G160" s="331" t="s">
        <v>4490</v>
      </c>
      <c r="H160" s="331" t="s">
        <v>4491</v>
      </c>
      <c r="I160" s="331" t="s">
        <v>4492</v>
      </c>
      <c r="J160" s="331" t="s">
        <v>20</v>
      </c>
      <c r="K160" s="331" t="s">
        <v>4493</v>
      </c>
      <c r="L160" s="329"/>
      <c r="M160" s="329">
        <v>6</v>
      </c>
      <c r="N160" s="329">
        <v>0</v>
      </c>
      <c r="O160" s="329">
        <v>3.39</v>
      </c>
      <c r="P160" s="329"/>
      <c r="Q160" s="333">
        <v>43728.010416666664</v>
      </c>
      <c r="R160" s="329"/>
      <c r="S160" s="333">
        <v>43769</v>
      </c>
      <c r="T160" s="329">
        <v>55</v>
      </c>
      <c r="U160" s="333">
        <v>43769</v>
      </c>
      <c r="V160" s="333">
        <v>44109</v>
      </c>
      <c r="W160" s="329" t="b">
        <v>1</v>
      </c>
      <c r="X160" s="331" t="s">
        <v>187</v>
      </c>
      <c r="Y160" s="329">
        <v>718</v>
      </c>
      <c r="Z160" s="331" t="s">
        <v>23</v>
      </c>
      <c r="AA160" s="331" t="s">
        <v>919</v>
      </c>
      <c r="AB160" s="331" t="s">
        <v>920</v>
      </c>
      <c r="AC160" s="331" t="s">
        <v>3077</v>
      </c>
      <c r="AD160" s="331" t="s">
        <v>24</v>
      </c>
      <c r="AE160" s="329">
        <v>221</v>
      </c>
      <c r="AF160" s="331" t="s">
        <v>254</v>
      </c>
      <c r="AG160" s="329"/>
      <c r="AH160" s="329">
        <v>17</v>
      </c>
      <c r="AI160" s="331" t="s">
        <v>280</v>
      </c>
      <c r="AJ160" s="331" t="s">
        <v>281</v>
      </c>
      <c r="AK160" s="329"/>
      <c r="AL160" s="329"/>
      <c r="AM160" s="329"/>
      <c r="AN160" s="329"/>
      <c r="AO160" s="329"/>
      <c r="AP160" s="331" t="s">
        <v>508</v>
      </c>
      <c r="AQ160" s="329">
        <v>560</v>
      </c>
      <c r="AR160" s="329">
        <v>630</v>
      </c>
      <c r="AS160" s="329"/>
      <c r="AT160" s="329" t="s">
        <v>294</v>
      </c>
      <c r="AU160" s="329" t="s">
        <v>567</v>
      </c>
      <c r="AV160" s="331" t="s">
        <v>20</v>
      </c>
      <c r="AW160" s="329"/>
      <c r="AX160" s="329"/>
      <c r="AY160" s="329"/>
      <c r="AZ160" s="329"/>
      <c r="BA160" s="329"/>
      <c r="BB160" s="329"/>
      <c r="BC160" s="329"/>
      <c r="BD160" s="329"/>
      <c r="BE160" s="329" t="s">
        <v>257</v>
      </c>
      <c r="BF160" s="329" t="s">
        <v>836</v>
      </c>
      <c r="BG160" s="329"/>
      <c r="BH160" s="329"/>
      <c r="BI160" s="329"/>
      <c r="BJ160" s="329"/>
      <c r="BK160" s="329">
        <v>18000</v>
      </c>
      <c r="BL160" s="329"/>
      <c r="BM160" s="331" t="s">
        <v>310</v>
      </c>
      <c r="BN160" s="329" t="s">
        <v>713</v>
      </c>
      <c r="BO160" s="333">
        <v>43769</v>
      </c>
      <c r="BP160" s="329"/>
      <c r="BQ160" s="329"/>
      <c r="BR160" s="329"/>
      <c r="BS160" s="329"/>
      <c r="BT160" s="329"/>
      <c r="BU160" s="331" t="s">
        <v>261</v>
      </c>
      <c r="BV160" s="329"/>
      <c r="BW160" s="329"/>
      <c r="BX160" s="329"/>
      <c r="BY160" s="331" t="s">
        <v>4494</v>
      </c>
      <c r="BZ160" s="331" t="s">
        <v>4495</v>
      </c>
      <c r="CA160" s="331" t="s">
        <v>4492</v>
      </c>
      <c r="CB160" s="331" t="s">
        <v>20</v>
      </c>
      <c r="CC160" s="331" t="s">
        <v>4496</v>
      </c>
    </row>
    <row r="161" spans="1:81" x14ac:dyDescent="0.25">
      <c r="A161" s="329">
        <v>194968</v>
      </c>
      <c r="B161" s="331" t="s">
        <v>4507</v>
      </c>
      <c r="C161" s="329">
        <v>34206</v>
      </c>
      <c r="D161" s="331" t="s">
        <v>4508</v>
      </c>
      <c r="E161" s="331" t="s">
        <v>448</v>
      </c>
      <c r="F161" s="331" t="s">
        <v>4509</v>
      </c>
      <c r="G161" s="331" t="s">
        <v>4510</v>
      </c>
      <c r="H161" s="331" t="s">
        <v>4511</v>
      </c>
      <c r="I161" s="331" t="s">
        <v>4512</v>
      </c>
      <c r="J161" s="331" t="s">
        <v>350</v>
      </c>
      <c r="K161" s="331" t="s">
        <v>4513</v>
      </c>
      <c r="L161" s="329"/>
      <c r="M161" s="329">
        <v>6</v>
      </c>
      <c r="N161" s="329">
        <v>0</v>
      </c>
      <c r="O161" s="329">
        <v>2.8035999999999999</v>
      </c>
      <c r="P161" s="329"/>
      <c r="Q161" s="333">
        <v>43581.581250000003</v>
      </c>
      <c r="R161" s="329"/>
      <c r="S161" s="333">
        <v>43769</v>
      </c>
      <c r="T161" s="329">
        <v>55</v>
      </c>
      <c r="U161" s="333">
        <v>43769</v>
      </c>
      <c r="V161" s="333">
        <v>44109</v>
      </c>
      <c r="W161" s="329" t="b">
        <v>1</v>
      </c>
      <c r="X161" s="331" t="s">
        <v>187</v>
      </c>
      <c r="Y161" s="329">
        <v>718</v>
      </c>
      <c r="Z161" s="331" t="s">
        <v>23</v>
      </c>
      <c r="AA161" s="331" t="s">
        <v>919</v>
      </c>
      <c r="AB161" s="331" t="s">
        <v>920</v>
      </c>
      <c r="AC161" s="331" t="s">
        <v>337</v>
      </c>
      <c r="AD161" s="331" t="s">
        <v>24</v>
      </c>
      <c r="AE161" s="329">
        <v>221</v>
      </c>
      <c r="AF161" s="331" t="s">
        <v>254</v>
      </c>
      <c r="AG161" s="329"/>
      <c r="AH161" s="329">
        <v>17</v>
      </c>
      <c r="AI161" s="331" t="s">
        <v>280</v>
      </c>
      <c r="AJ161" s="331" t="s">
        <v>281</v>
      </c>
      <c r="AK161" s="331" t="s">
        <v>287</v>
      </c>
      <c r="AL161" s="331" t="s">
        <v>272</v>
      </c>
      <c r="AM161" s="331" t="s">
        <v>274</v>
      </c>
      <c r="AN161" s="331" t="s">
        <v>348</v>
      </c>
      <c r="AO161" s="331" t="s">
        <v>274</v>
      </c>
      <c r="AP161" s="329"/>
      <c r="AQ161" s="329"/>
      <c r="AR161" s="329"/>
      <c r="AS161" s="329"/>
      <c r="AT161" s="329" t="s">
        <v>309</v>
      </c>
      <c r="AU161" s="329" t="s">
        <v>283</v>
      </c>
      <c r="AV161" s="331" t="s">
        <v>350</v>
      </c>
      <c r="AW161" s="329"/>
      <c r="AX161" s="329"/>
      <c r="AY161" s="329"/>
      <c r="AZ161" s="329"/>
      <c r="BA161" s="329"/>
      <c r="BB161" s="329"/>
      <c r="BC161" s="329"/>
      <c r="BD161" s="329"/>
      <c r="BE161" s="329" t="s">
        <v>257</v>
      </c>
      <c r="BF161" s="329" t="s">
        <v>837</v>
      </c>
      <c r="BG161" s="329"/>
      <c r="BH161" s="329"/>
      <c r="BI161" s="329"/>
      <c r="BJ161" s="329"/>
      <c r="BK161" s="329">
        <v>15000</v>
      </c>
      <c r="BL161" s="329"/>
      <c r="BM161" s="331" t="s">
        <v>295</v>
      </c>
      <c r="BN161" s="329" t="s">
        <v>713</v>
      </c>
      <c r="BO161" s="333">
        <v>43769</v>
      </c>
      <c r="BP161" s="329"/>
      <c r="BQ161" s="329"/>
      <c r="BR161" s="329"/>
      <c r="BS161" s="329"/>
      <c r="BT161" s="329"/>
      <c r="BU161" s="331" t="s">
        <v>261</v>
      </c>
      <c r="BV161" s="329"/>
      <c r="BW161" s="329"/>
      <c r="BX161" s="329"/>
      <c r="BY161" s="331" t="s">
        <v>4514</v>
      </c>
      <c r="BZ161" s="331" t="s">
        <v>4515</v>
      </c>
      <c r="CA161" s="331" t="s">
        <v>4512</v>
      </c>
      <c r="CB161" s="331" t="s">
        <v>350</v>
      </c>
      <c r="CC161" s="331" t="s">
        <v>4513</v>
      </c>
    </row>
    <row r="162" spans="1:81" x14ac:dyDescent="0.25">
      <c r="A162" s="329">
        <v>198942</v>
      </c>
      <c r="B162" s="331" t="s">
        <v>4561</v>
      </c>
      <c r="C162" s="329">
        <v>35417</v>
      </c>
      <c r="D162" s="331" t="s">
        <v>4562</v>
      </c>
      <c r="E162" s="331" t="s">
        <v>4563</v>
      </c>
      <c r="F162" s="331" t="s">
        <v>4564</v>
      </c>
      <c r="G162" s="331" t="s">
        <v>4565</v>
      </c>
      <c r="H162" s="331" t="s">
        <v>4566</v>
      </c>
      <c r="I162" s="331" t="s">
        <v>2664</v>
      </c>
      <c r="J162" s="331" t="s">
        <v>307</v>
      </c>
      <c r="K162" s="331" t="s">
        <v>4567</v>
      </c>
      <c r="L162" s="329"/>
      <c r="M162" s="329">
        <v>6</v>
      </c>
      <c r="N162" s="329">
        <v>0</v>
      </c>
      <c r="O162" s="329">
        <v>3.3330000000000002</v>
      </c>
      <c r="P162" s="329"/>
      <c r="Q162" s="333">
        <v>43759.676388888889</v>
      </c>
      <c r="R162" s="329"/>
      <c r="S162" s="333">
        <v>43769</v>
      </c>
      <c r="T162" s="329">
        <v>55</v>
      </c>
      <c r="U162" s="333">
        <v>43769</v>
      </c>
      <c r="V162" s="333">
        <v>44109</v>
      </c>
      <c r="W162" s="329" t="b">
        <v>1</v>
      </c>
      <c r="X162" s="331" t="s">
        <v>187</v>
      </c>
      <c r="Y162" s="329">
        <v>718</v>
      </c>
      <c r="Z162" s="331" t="s">
        <v>25</v>
      </c>
      <c r="AA162" s="331" t="s">
        <v>919</v>
      </c>
      <c r="AB162" s="331" t="s">
        <v>920</v>
      </c>
      <c r="AC162" s="331" t="s">
        <v>375</v>
      </c>
      <c r="AD162" s="331" t="s">
        <v>24</v>
      </c>
      <c r="AE162" s="329">
        <v>221</v>
      </c>
      <c r="AF162" s="331" t="s">
        <v>254</v>
      </c>
      <c r="AG162" s="329"/>
      <c r="AH162" s="329">
        <v>17</v>
      </c>
      <c r="AI162" s="331" t="s">
        <v>280</v>
      </c>
      <c r="AJ162" s="331" t="s">
        <v>281</v>
      </c>
      <c r="AK162" s="329"/>
      <c r="AL162" s="329"/>
      <c r="AM162" s="329"/>
      <c r="AN162" s="329"/>
      <c r="AO162" s="329"/>
      <c r="AP162" s="331" t="s">
        <v>302</v>
      </c>
      <c r="AQ162" s="329">
        <v>550</v>
      </c>
      <c r="AR162" s="329">
        <v>560</v>
      </c>
      <c r="AS162" s="329"/>
      <c r="AT162" s="329" t="s">
        <v>309</v>
      </c>
      <c r="AU162" s="329" t="s">
        <v>963</v>
      </c>
      <c r="AV162" s="331" t="s">
        <v>307</v>
      </c>
      <c r="AW162" s="329"/>
      <c r="AX162" s="329"/>
      <c r="AY162" s="329"/>
      <c r="AZ162" s="329"/>
      <c r="BA162" s="329"/>
      <c r="BB162" s="329"/>
      <c r="BC162" s="329"/>
      <c r="BD162" s="329"/>
      <c r="BE162" s="329" t="s">
        <v>257</v>
      </c>
      <c r="BF162" s="329" t="s">
        <v>838</v>
      </c>
      <c r="BG162" s="329"/>
      <c r="BH162" s="329"/>
      <c r="BI162" s="329"/>
      <c r="BJ162" s="329"/>
      <c r="BK162" s="329">
        <v>15600</v>
      </c>
      <c r="BL162" s="329"/>
      <c r="BM162" s="331" t="s">
        <v>259</v>
      </c>
      <c r="BN162" s="329" t="s">
        <v>713</v>
      </c>
      <c r="BO162" s="333">
        <v>43769</v>
      </c>
      <c r="BP162" s="329"/>
      <c r="BQ162" s="329"/>
      <c r="BR162" s="329"/>
      <c r="BS162" s="329"/>
      <c r="BT162" s="329"/>
      <c r="BU162" s="331" t="s">
        <v>261</v>
      </c>
      <c r="BV162" s="329"/>
      <c r="BW162" s="329"/>
      <c r="BX162" s="329"/>
      <c r="BY162" s="331" t="s">
        <v>4568</v>
      </c>
      <c r="BZ162" s="331" t="s">
        <v>4569</v>
      </c>
      <c r="CA162" s="331" t="s">
        <v>2664</v>
      </c>
      <c r="CB162" s="331" t="s">
        <v>307</v>
      </c>
      <c r="CC162" s="331" t="s">
        <v>4567</v>
      </c>
    </row>
    <row r="163" spans="1:81" x14ac:dyDescent="0.25">
      <c r="A163" s="329">
        <v>197896</v>
      </c>
      <c r="B163" s="331" t="s">
        <v>4615</v>
      </c>
      <c r="C163" s="329">
        <v>35032</v>
      </c>
      <c r="D163" s="331" t="s">
        <v>373</v>
      </c>
      <c r="E163" s="331" t="s">
        <v>454</v>
      </c>
      <c r="F163" s="331" t="s">
        <v>4616</v>
      </c>
      <c r="G163" s="331" t="s">
        <v>4617</v>
      </c>
      <c r="H163" s="331" t="s">
        <v>4618</v>
      </c>
      <c r="I163" s="331" t="s">
        <v>4619</v>
      </c>
      <c r="J163" s="331" t="s">
        <v>325</v>
      </c>
      <c r="K163" s="331" t="s">
        <v>4620</v>
      </c>
      <c r="L163" s="329"/>
      <c r="M163" s="329">
        <v>6</v>
      </c>
      <c r="N163" s="329">
        <v>0</v>
      </c>
      <c r="O163" s="329">
        <v>3.02</v>
      </c>
      <c r="P163" s="329"/>
      <c r="Q163" s="333">
        <v>43728.386805555558</v>
      </c>
      <c r="R163" s="329"/>
      <c r="S163" s="333">
        <v>43769</v>
      </c>
      <c r="T163" s="329">
        <v>55</v>
      </c>
      <c r="U163" s="333">
        <v>43769</v>
      </c>
      <c r="V163" s="333">
        <v>44109</v>
      </c>
      <c r="W163" s="329" t="b">
        <v>1</v>
      </c>
      <c r="X163" s="331" t="s">
        <v>22</v>
      </c>
      <c r="Y163" s="329">
        <v>429</v>
      </c>
      <c r="Z163" s="331" t="s">
        <v>23</v>
      </c>
      <c r="AA163" s="331" t="s">
        <v>919</v>
      </c>
      <c r="AB163" s="331" t="s">
        <v>920</v>
      </c>
      <c r="AC163" s="331" t="s">
        <v>720</v>
      </c>
      <c r="AD163" s="331" t="s">
        <v>24</v>
      </c>
      <c r="AE163" s="329">
        <v>221</v>
      </c>
      <c r="AF163" s="331" t="s">
        <v>254</v>
      </c>
      <c r="AG163" s="329"/>
      <c r="AH163" s="329">
        <v>17</v>
      </c>
      <c r="AI163" s="331" t="s">
        <v>280</v>
      </c>
      <c r="AJ163" s="331" t="s">
        <v>281</v>
      </c>
      <c r="AK163" s="329"/>
      <c r="AL163" s="329"/>
      <c r="AM163" s="329"/>
      <c r="AN163" s="329"/>
      <c r="AO163" s="329"/>
      <c r="AP163" s="329"/>
      <c r="AQ163" s="329"/>
      <c r="AR163" s="329"/>
      <c r="AS163" s="329"/>
      <c r="AT163" s="329" t="s">
        <v>258</v>
      </c>
      <c r="AU163" s="329" t="s">
        <v>567</v>
      </c>
      <c r="AV163" s="331" t="s">
        <v>325</v>
      </c>
      <c r="AW163" s="329"/>
      <c r="AX163" s="329"/>
      <c r="AY163" s="329"/>
      <c r="AZ163" s="329"/>
      <c r="BA163" s="329"/>
      <c r="BB163" s="329"/>
      <c r="BC163" s="329"/>
      <c r="BD163" s="329"/>
      <c r="BE163" s="329" t="s">
        <v>257</v>
      </c>
      <c r="BF163" s="329" t="s">
        <v>841</v>
      </c>
      <c r="BG163" s="329"/>
      <c r="BH163" s="329"/>
      <c r="BI163" s="329"/>
      <c r="BJ163" s="329"/>
      <c r="BK163" s="329">
        <v>9000</v>
      </c>
      <c r="BL163" s="329"/>
      <c r="BM163" s="331" t="s">
        <v>189</v>
      </c>
      <c r="BN163" s="329" t="s">
        <v>713</v>
      </c>
      <c r="BO163" s="333">
        <v>43769</v>
      </c>
      <c r="BP163" s="329"/>
      <c r="BQ163" s="329"/>
      <c r="BR163" s="329"/>
      <c r="BS163" s="329"/>
      <c r="BT163" s="329"/>
      <c r="BU163" s="331" t="s">
        <v>261</v>
      </c>
      <c r="BV163" s="329"/>
      <c r="BW163" s="329"/>
      <c r="BX163" s="329"/>
      <c r="BY163" s="331" t="s">
        <v>4621</v>
      </c>
      <c r="BZ163" s="331" t="s">
        <v>4622</v>
      </c>
      <c r="CA163" s="331" t="s">
        <v>4623</v>
      </c>
      <c r="CB163" s="331" t="s">
        <v>325</v>
      </c>
      <c r="CC163" s="331" t="s">
        <v>4620</v>
      </c>
    </row>
    <row r="164" spans="1:81" x14ac:dyDescent="0.25">
      <c r="A164" s="329">
        <v>198269</v>
      </c>
      <c r="B164" s="331" t="s">
        <v>4645</v>
      </c>
      <c r="C164" s="329">
        <v>35182</v>
      </c>
      <c r="D164" s="331" t="s">
        <v>578</v>
      </c>
      <c r="E164" s="331" t="s">
        <v>4646</v>
      </c>
      <c r="F164" s="331" t="s">
        <v>4647</v>
      </c>
      <c r="G164" s="331" t="s">
        <v>4648</v>
      </c>
      <c r="H164" s="331" t="s">
        <v>4649</v>
      </c>
      <c r="I164" s="331" t="s">
        <v>1029</v>
      </c>
      <c r="J164" s="331" t="s">
        <v>21</v>
      </c>
      <c r="K164" s="331" t="s">
        <v>4650</v>
      </c>
      <c r="L164" s="329"/>
      <c r="M164" s="329">
        <v>6</v>
      </c>
      <c r="N164" s="329">
        <v>0</v>
      </c>
      <c r="O164" s="329">
        <v>2.5299999999999998</v>
      </c>
      <c r="P164" s="329"/>
      <c r="Q164" s="333">
        <v>43580.506944444445</v>
      </c>
      <c r="R164" s="329"/>
      <c r="S164" s="333">
        <v>43769</v>
      </c>
      <c r="T164" s="329">
        <v>55</v>
      </c>
      <c r="U164" s="333">
        <v>43769</v>
      </c>
      <c r="V164" s="333">
        <v>44109</v>
      </c>
      <c r="W164" s="329" t="b">
        <v>1</v>
      </c>
      <c r="X164" s="331" t="s">
        <v>906</v>
      </c>
      <c r="Y164" s="329">
        <v>748</v>
      </c>
      <c r="Z164" s="331" t="s">
        <v>25</v>
      </c>
      <c r="AA164" s="331" t="s">
        <v>919</v>
      </c>
      <c r="AB164" s="331" t="s">
        <v>920</v>
      </c>
      <c r="AC164" s="331" t="s">
        <v>339</v>
      </c>
      <c r="AD164" s="331" t="s">
        <v>24</v>
      </c>
      <c r="AE164" s="329">
        <v>221</v>
      </c>
      <c r="AF164" s="331" t="s">
        <v>254</v>
      </c>
      <c r="AG164" s="329"/>
      <c r="AH164" s="329">
        <v>17</v>
      </c>
      <c r="AI164" s="331" t="s">
        <v>280</v>
      </c>
      <c r="AJ164" s="331" t="s">
        <v>281</v>
      </c>
      <c r="AK164" s="331" t="s">
        <v>386</v>
      </c>
      <c r="AL164" s="331" t="s">
        <v>359</v>
      </c>
      <c r="AM164" s="331" t="s">
        <v>363</v>
      </c>
      <c r="AN164" s="331" t="s">
        <v>329</v>
      </c>
      <c r="AO164" s="331" t="s">
        <v>328</v>
      </c>
      <c r="AP164" s="329"/>
      <c r="AQ164" s="329"/>
      <c r="AR164" s="329"/>
      <c r="AS164" s="329"/>
      <c r="AT164" s="329" t="s">
        <v>860</v>
      </c>
      <c r="AU164" s="329" t="s">
        <v>256</v>
      </c>
      <c r="AV164" s="331" t="s">
        <v>21</v>
      </c>
      <c r="AW164" s="329"/>
      <c r="AX164" s="329"/>
      <c r="AY164" s="329"/>
      <c r="AZ164" s="329"/>
      <c r="BA164" s="329"/>
      <c r="BB164" s="329"/>
      <c r="BC164" s="329"/>
      <c r="BD164" s="329"/>
      <c r="BE164" s="329"/>
      <c r="BF164" s="329"/>
      <c r="BG164" s="329"/>
      <c r="BH164" s="329"/>
      <c r="BI164" s="329" t="s">
        <v>334</v>
      </c>
      <c r="BJ164" s="329" t="s">
        <v>831</v>
      </c>
      <c r="BK164" s="329">
        <v>36000</v>
      </c>
      <c r="BL164" s="329"/>
      <c r="BM164" s="331" t="s">
        <v>28</v>
      </c>
      <c r="BN164" s="329" t="s">
        <v>713</v>
      </c>
      <c r="BO164" s="333">
        <v>43769</v>
      </c>
      <c r="BP164" s="329"/>
      <c r="BQ164" s="329"/>
      <c r="BR164" s="329"/>
      <c r="BS164" s="329"/>
      <c r="BT164" s="329"/>
      <c r="BU164" s="331" t="s">
        <v>261</v>
      </c>
      <c r="BV164" s="329"/>
      <c r="BW164" s="329"/>
      <c r="BX164" s="329"/>
      <c r="BY164" s="331" t="s">
        <v>1032</v>
      </c>
      <c r="BZ164" s="331" t="s">
        <v>1033</v>
      </c>
      <c r="CA164" s="331" t="s">
        <v>1034</v>
      </c>
      <c r="CB164" s="331" t="s">
        <v>21</v>
      </c>
      <c r="CC164" s="331" t="s">
        <v>1030</v>
      </c>
    </row>
    <row r="165" spans="1:81" x14ac:dyDescent="0.25">
      <c r="A165" s="329">
        <v>198902</v>
      </c>
      <c r="B165" s="331" t="s">
        <v>4164</v>
      </c>
      <c r="C165" s="329">
        <v>35408</v>
      </c>
      <c r="D165" s="331" t="s">
        <v>4165</v>
      </c>
      <c r="E165" s="331" t="s">
        <v>4166</v>
      </c>
      <c r="F165" s="331" t="s">
        <v>4167</v>
      </c>
      <c r="G165" s="331" t="s">
        <v>4168</v>
      </c>
      <c r="H165" s="331" t="s">
        <v>4169</v>
      </c>
      <c r="I165" s="331" t="s">
        <v>4170</v>
      </c>
      <c r="J165" s="331" t="s">
        <v>298</v>
      </c>
      <c r="K165" s="331" t="s">
        <v>4171</v>
      </c>
      <c r="L165" s="329"/>
      <c r="M165" s="329">
        <v>6</v>
      </c>
      <c r="N165" s="329">
        <v>0</v>
      </c>
      <c r="O165" s="329">
        <v>2.94</v>
      </c>
      <c r="P165" s="329"/>
      <c r="Q165" s="333">
        <v>43757.5625</v>
      </c>
      <c r="R165" s="329"/>
      <c r="S165" s="333">
        <v>43769</v>
      </c>
      <c r="T165" s="329">
        <v>55</v>
      </c>
      <c r="U165" s="333">
        <v>43769</v>
      </c>
      <c r="V165" s="333">
        <v>44109</v>
      </c>
      <c r="W165" s="329" t="b">
        <v>1</v>
      </c>
      <c r="X165" s="331" t="s">
        <v>187</v>
      </c>
      <c r="Y165" s="329">
        <v>718</v>
      </c>
      <c r="Z165" s="331" t="s">
        <v>23</v>
      </c>
      <c r="AA165" s="331" t="s">
        <v>919</v>
      </c>
      <c r="AB165" s="331" t="s">
        <v>920</v>
      </c>
      <c r="AC165" s="331" t="s">
        <v>1977</v>
      </c>
      <c r="AD165" s="331" t="s">
        <v>592</v>
      </c>
      <c r="AE165" s="329">
        <v>222</v>
      </c>
      <c r="AF165" s="331" t="s">
        <v>254</v>
      </c>
      <c r="AG165" s="329"/>
      <c r="AH165" s="329">
        <v>17</v>
      </c>
      <c r="AI165" s="331" t="s">
        <v>280</v>
      </c>
      <c r="AJ165" s="331" t="s">
        <v>281</v>
      </c>
      <c r="AK165" s="329"/>
      <c r="AL165" s="329"/>
      <c r="AM165" s="329"/>
      <c r="AN165" s="329"/>
      <c r="AO165" s="329"/>
      <c r="AP165" s="331" t="s">
        <v>832</v>
      </c>
      <c r="AQ165" s="329">
        <v>510</v>
      </c>
      <c r="AR165" s="329">
        <v>580</v>
      </c>
      <c r="AS165" s="329"/>
      <c r="AT165" s="329" t="s">
        <v>466</v>
      </c>
      <c r="AU165" s="329" t="s">
        <v>256</v>
      </c>
      <c r="AV165" s="331" t="s">
        <v>298</v>
      </c>
      <c r="AW165" s="329"/>
      <c r="AX165" s="329"/>
      <c r="AY165" s="329"/>
      <c r="AZ165" s="329"/>
      <c r="BA165" s="329"/>
      <c r="BB165" s="329"/>
      <c r="BC165" s="329"/>
      <c r="BD165" s="329"/>
      <c r="BE165" s="329"/>
      <c r="BF165" s="329"/>
      <c r="BG165" s="329"/>
      <c r="BH165" s="329"/>
      <c r="BI165" s="329"/>
      <c r="BJ165" s="329"/>
      <c r="BK165" s="329">
        <v>0</v>
      </c>
      <c r="BL165" s="329"/>
      <c r="BM165" s="331" t="s">
        <v>267</v>
      </c>
      <c r="BN165" s="329" t="s">
        <v>713</v>
      </c>
      <c r="BO165" s="333">
        <v>43769</v>
      </c>
      <c r="BP165" s="329"/>
      <c r="BQ165" s="329"/>
      <c r="BR165" s="329"/>
      <c r="BS165" s="329"/>
      <c r="BT165" s="329"/>
      <c r="BU165" s="331" t="s">
        <v>261</v>
      </c>
      <c r="BV165" s="329"/>
      <c r="BW165" s="329"/>
      <c r="BX165" s="329"/>
      <c r="BY165" s="331" t="s">
        <v>4172</v>
      </c>
      <c r="BZ165" s="331" t="s">
        <v>4173</v>
      </c>
      <c r="CA165" s="331" t="s">
        <v>4174</v>
      </c>
      <c r="CB165" s="331" t="s">
        <v>298</v>
      </c>
      <c r="CC165" s="331" t="s">
        <v>4171</v>
      </c>
    </row>
    <row r="166" spans="1:81" x14ac:dyDescent="0.25">
      <c r="A166" s="329">
        <v>198543</v>
      </c>
      <c r="B166" s="331" t="s">
        <v>4531</v>
      </c>
      <c r="C166" s="329">
        <v>35307</v>
      </c>
      <c r="D166" s="331" t="s">
        <v>4532</v>
      </c>
      <c r="E166" s="331" t="s">
        <v>469</v>
      </c>
      <c r="F166" s="331" t="s">
        <v>4533</v>
      </c>
      <c r="G166" s="331" t="s">
        <v>4534</v>
      </c>
      <c r="H166" s="331" t="s">
        <v>4535</v>
      </c>
      <c r="I166" s="331" t="s">
        <v>4536</v>
      </c>
      <c r="J166" s="331" t="s">
        <v>263</v>
      </c>
      <c r="K166" s="331" t="s">
        <v>4537</v>
      </c>
      <c r="L166" s="329"/>
      <c r="M166" s="329">
        <v>6</v>
      </c>
      <c r="N166" s="329">
        <v>0</v>
      </c>
      <c r="O166" s="329">
        <v>2.14</v>
      </c>
      <c r="P166" s="329"/>
      <c r="Q166" s="333">
        <v>43740.413888888892</v>
      </c>
      <c r="R166" s="329"/>
      <c r="S166" s="333">
        <v>43769</v>
      </c>
      <c r="T166" s="329">
        <v>55</v>
      </c>
      <c r="U166" s="333">
        <v>43769</v>
      </c>
      <c r="V166" s="333">
        <v>44109</v>
      </c>
      <c r="W166" s="329" t="b">
        <v>1</v>
      </c>
      <c r="X166" s="331" t="s">
        <v>22</v>
      </c>
      <c r="Y166" s="329">
        <v>429</v>
      </c>
      <c r="Z166" s="331" t="s">
        <v>23</v>
      </c>
      <c r="AA166" s="331" t="s">
        <v>919</v>
      </c>
      <c r="AB166" s="331" t="s">
        <v>920</v>
      </c>
      <c r="AC166" s="331" t="s">
        <v>311</v>
      </c>
      <c r="AD166" s="331" t="s">
        <v>592</v>
      </c>
      <c r="AE166" s="329">
        <v>222</v>
      </c>
      <c r="AF166" s="331" t="s">
        <v>254</v>
      </c>
      <c r="AG166" s="329"/>
      <c r="AH166" s="329">
        <v>17</v>
      </c>
      <c r="AI166" s="331" t="s">
        <v>280</v>
      </c>
      <c r="AJ166" s="331" t="s">
        <v>281</v>
      </c>
      <c r="AK166" s="329"/>
      <c r="AL166" s="329"/>
      <c r="AM166" s="329"/>
      <c r="AN166" s="329"/>
      <c r="AO166" s="329"/>
      <c r="AP166" s="331" t="s">
        <v>265</v>
      </c>
      <c r="AQ166" s="329">
        <v>530</v>
      </c>
      <c r="AR166" s="329">
        <v>550</v>
      </c>
      <c r="AS166" s="329"/>
      <c r="AT166" s="329" t="s">
        <v>849</v>
      </c>
      <c r="AU166" s="329" t="s">
        <v>283</v>
      </c>
      <c r="AV166" s="331" t="s">
        <v>263</v>
      </c>
      <c r="AW166" s="329"/>
      <c r="AX166" s="329"/>
      <c r="AY166" s="329"/>
      <c r="AZ166" s="329"/>
      <c r="BA166" s="329"/>
      <c r="BB166" s="329"/>
      <c r="BC166" s="329"/>
      <c r="BD166" s="329"/>
      <c r="BE166" s="329"/>
      <c r="BF166" s="329"/>
      <c r="BG166" s="329"/>
      <c r="BH166" s="329"/>
      <c r="BI166" s="329"/>
      <c r="BJ166" s="329"/>
      <c r="BK166" s="329">
        <v>0</v>
      </c>
      <c r="BL166" s="329"/>
      <c r="BM166" s="331" t="s">
        <v>323</v>
      </c>
      <c r="BN166" s="329" t="s">
        <v>713</v>
      </c>
      <c r="BO166" s="333">
        <v>43769</v>
      </c>
      <c r="BP166" s="329"/>
      <c r="BQ166" s="329"/>
      <c r="BR166" s="329"/>
      <c r="BS166" s="329"/>
      <c r="BT166" s="329"/>
      <c r="BU166" s="331" t="s">
        <v>261</v>
      </c>
      <c r="BV166" s="329"/>
      <c r="BW166" s="329"/>
      <c r="BX166" s="329"/>
      <c r="BY166" s="331" t="s">
        <v>4538</v>
      </c>
      <c r="BZ166" s="331" t="s">
        <v>4539</v>
      </c>
      <c r="CA166" s="331" t="s">
        <v>561</v>
      </c>
      <c r="CB166" s="331" t="s">
        <v>263</v>
      </c>
      <c r="CC166" s="331" t="s">
        <v>4540</v>
      </c>
    </row>
    <row r="167" spans="1:81" x14ac:dyDescent="0.25">
      <c r="A167" s="329">
        <v>195819</v>
      </c>
      <c r="B167" s="331" t="s">
        <v>4145</v>
      </c>
      <c r="C167" s="329">
        <v>34408</v>
      </c>
      <c r="D167" s="331" t="s">
        <v>358</v>
      </c>
      <c r="E167" s="331" t="s">
        <v>4146</v>
      </c>
      <c r="F167" s="331" t="s">
        <v>4147</v>
      </c>
      <c r="G167" s="331" t="s">
        <v>4148</v>
      </c>
      <c r="H167" s="331" t="s">
        <v>4149</v>
      </c>
      <c r="I167" s="331" t="s">
        <v>4150</v>
      </c>
      <c r="J167" s="331" t="s">
        <v>557</v>
      </c>
      <c r="K167" s="331" t="s">
        <v>4151</v>
      </c>
      <c r="L167" s="329"/>
      <c r="M167" s="329">
        <v>6</v>
      </c>
      <c r="N167" s="329">
        <v>0</v>
      </c>
      <c r="O167" s="329">
        <v>3.3</v>
      </c>
      <c r="P167" s="329"/>
      <c r="Q167" s="333">
        <v>43638.581250000003</v>
      </c>
      <c r="R167" s="329"/>
      <c r="S167" s="333">
        <v>43766</v>
      </c>
      <c r="T167" s="329">
        <v>55</v>
      </c>
      <c r="U167" s="333">
        <v>43766</v>
      </c>
      <c r="V167" s="333">
        <v>44109</v>
      </c>
      <c r="W167" s="329" t="b">
        <v>1</v>
      </c>
      <c r="X167" s="331" t="s">
        <v>905</v>
      </c>
      <c r="Y167" s="329">
        <v>747</v>
      </c>
      <c r="Z167" s="331" t="s">
        <v>25</v>
      </c>
      <c r="AA167" s="331" t="s">
        <v>919</v>
      </c>
      <c r="AB167" s="331" t="s">
        <v>920</v>
      </c>
      <c r="AC167" s="331" t="s">
        <v>337</v>
      </c>
      <c r="AD167" s="331" t="s">
        <v>24</v>
      </c>
      <c r="AE167" s="329">
        <v>221</v>
      </c>
      <c r="AF167" s="331" t="s">
        <v>254</v>
      </c>
      <c r="AG167" s="329"/>
      <c r="AH167" s="329">
        <v>17</v>
      </c>
      <c r="AI167" s="331" t="s">
        <v>280</v>
      </c>
      <c r="AJ167" s="331" t="s">
        <v>281</v>
      </c>
      <c r="AK167" s="329"/>
      <c r="AL167" s="329"/>
      <c r="AM167" s="329"/>
      <c r="AN167" s="329"/>
      <c r="AO167" s="329"/>
      <c r="AP167" s="331" t="s">
        <v>491</v>
      </c>
      <c r="AQ167" s="329">
        <v>530</v>
      </c>
      <c r="AR167" s="329">
        <v>470</v>
      </c>
      <c r="AS167" s="329"/>
      <c r="AT167" s="329" t="s">
        <v>842</v>
      </c>
      <c r="AU167" s="329" t="s">
        <v>283</v>
      </c>
      <c r="AV167" s="331" t="s">
        <v>557</v>
      </c>
      <c r="AW167" s="329"/>
      <c r="AX167" s="329"/>
      <c r="AY167" s="329"/>
      <c r="AZ167" s="329"/>
      <c r="BA167" s="329"/>
      <c r="BB167" s="329"/>
      <c r="BC167" s="329"/>
      <c r="BD167" s="329"/>
      <c r="BE167" s="329" t="s">
        <v>257</v>
      </c>
      <c r="BF167" s="329" t="s">
        <v>830</v>
      </c>
      <c r="BG167" s="329"/>
      <c r="BH167" s="329"/>
      <c r="BI167" s="329"/>
      <c r="BJ167" s="329"/>
      <c r="BK167" s="329">
        <v>12000</v>
      </c>
      <c r="BL167" s="329"/>
      <c r="BM167" s="331" t="s">
        <v>26</v>
      </c>
      <c r="BN167" s="329" t="s">
        <v>713</v>
      </c>
      <c r="BO167" s="333">
        <v>43766</v>
      </c>
      <c r="BP167" s="329"/>
      <c r="BQ167" s="329"/>
      <c r="BR167" s="329"/>
      <c r="BS167" s="329"/>
      <c r="BT167" s="329"/>
      <c r="BU167" s="331" t="s">
        <v>261</v>
      </c>
      <c r="BV167" s="329"/>
      <c r="BW167" s="329"/>
      <c r="BX167" s="329"/>
      <c r="BY167" s="331" t="s">
        <v>4152</v>
      </c>
      <c r="BZ167" s="331" t="s">
        <v>4153</v>
      </c>
      <c r="CA167" s="331" t="s">
        <v>4154</v>
      </c>
      <c r="CB167" s="331" t="s">
        <v>557</v>
      </c>
      <c r="CC167" s="331" t="s">
        <v>4155</v>
      </c>
    </row>
    <row r="168" spans="1:81" x14ac:dyDescent="0.25">
      <c r="A168" s="329">
        <v>198813</v>
      </c>
      <c r="B168" s="331" t="s">
        <v>4156</v>
      </c>
      <c r="C168" s="329">
        <v>35385</v>
      </c>
      <c r="D168" s="331" t="s">
        <v>4157</v>
      </c>
      <c r="E168" s="331" t="s">
        <v>787</v>
      </c>
      <c r="F168" s="331" t="s">
        <v>4158</v>
      </c>
      <c r="G168" s="331" t="s">
        <v>4159</v>
      </c>
      <c r="H168" s="331" t="s">
        <v>5372</v>
      </c>
      <c r="I168" s="331" t="s">
        <v>1229</v>
      </c>
      <c r="J168" s="331" t="s">
        <v>279</v>
      </c>
      <c r="K168" s="331" t="s">
        <v>4162</v>
      </c>
      <c r="L168" s="329"/>
      <c r="M168" s="329">
        <v>6</v>
      </c>
      <c r="N168" s="329">
        <v>0</v>
      </c>
      <c r="O168" s="329">
        <v>3.4</v>
      </c>
      <c r="P168" s="329"/>
      <c r="Q168" s="333">
        <v>43754.756944444445</v>
      </c>
      <c r="R168" s="329"/>
      <c r="S168" s="333">
        <v>43766</v>
      </c>
      <c r="T168" s="329">
        <v>55</v>
      </c>
      <c r="U168" s="333">
        <v>43766</v>
      </c>
      <c r="V168" s="333">
        <v>44109</v>
      </c>
      <c r="W168" s="329" t="b">
        <v>1</v>
      </c>
      <c r="X168" s="331" t="s">
        <v>905</v>
      </c>
      <c r="Y168" s="329">
        <v>747</v>
      </c>
      <c r="Z168" s="331" t="s">
        <v>23</v>
      </c>
      <c r="AA168" s="331" t="s">
        <v>919</v>
      </c>
      <c r="AB168" s="331" t="s">
        <v>920</v>
      </c>
      <c r="AC168" s="331" t="s">
        <v>1405</v>
      </c>
      <c r="AD168" s="331" t="s">
        <v>24</v>
      </c>
      <c r="AE168" s="329">
        <v>221</v>
      </c>
      <c r="AF168" s="331" t="s">
        <v>254</v>
      </c>
      <c r="AG168" s="329"/>
      <c r="AH168" s="329">
        <v>17</v>
      </c>
      <c r="AI168" s="331" t="s">
        <v>280</v>
      </c>
      <c r="AJ168" s="331" t="s">
        <v>281</v>
      </c>
      <c r="AK168" s="329"/>
      <c r="AL168" s="329"/>
      <c r="AM168" s="329"/>
      <c r="AN168" s="329"/>
      <c r="AO168" s="329"/>
      <c r="AP168" s="329"/>
      <c r="AQ168" s="329"/>
      <c r="AR168" s="329"/>
      <c r="AS168" s="329"/>
      <c r="AT168" s="329" t="s">
        <v>258</v>
      </c>
      <c r="AU168" s="329" t="s">
        <v>283</v>
      </c>
      <c r="AV168" s="331" t="s">
        <v>279</v>
      </c>
      <c r="AW168" s="329"/>
      <c r="AX168" s="329"/>
      <c r="AY168" s="329"/>
      <c r="AZ168" s="329"/>
      <c r="BA168" s="329"/>
      <c r="BB168" s="329"/>
      <c r="BC168" s="329"/>
      <c r="BD168" s="329"/>
      <c r="BE168" s="329"/>
      <c r="BF168" s="329"/>
      <c r="BG168" s="329"/>
      <c r="BH168" s="329"/>
      <c r="BI168" s="329"/>
      <c r="BJ168" s="329"/>
      <c r="BK168" s="329">
        <v>0</v>
      </c>
      <c r="BL168" s="329"/>
      <c r="BM168" s="331" t="s">
        <v>27</v>
      </c>
      <c r="BN168" s="329" t="s">
        <v>713</v>
      </c>
      <c r="BO168" s="333">
        <v>43766</v>
      </c>
      <c r="BP168" s="329"/>
      <c r="BQ168" s="329"/>
      <c r="BR168" s="329"/>
      <c r="BS168" s="329"/>
      <c r="BT168" s="329"/>
      <c r="BU168" s="331" t="s">
        <v>261</v>
      </c>
      <c r="BV168" s="329"/>
      <c r="BW168" s="329"/>
      <c r="BX168" s="329"/>
      <c r="BY168" s="331" t="s">
        <v>4160</v>
      </c>
      <c r="BZ168" s="331" t="s">
        <v>4161</v>
      </c>
      <c r="CA168" s="331" t="s">
        <v>1233</v>
      </c>
      <c r="CB168" s="331" t="s">
        <v>279</v>
      </c>
      <c r="CC168" s="331" t="s">
        <v>4162</v>
      </c>
    </row>
    <row r="169" spans="1:81" x14ac:dyDescent="0.25">
      <c r="A169" s="329">
        <v>198667</v>
      </c>
      <c r="B169" s="331" t="s">
        <v>4218</v>
      </c>
      <c r="C169" s="329">
        <v>35350</v>
      </c>
      <c r="D169" s="331" t="s">
        <v>4219</v>
      </c>
      <c r="E169" s="331" t="s">
        <v>4220</v>
      </c>
      <c r="F169" s="331" t="s">
        <v>4221</v>
      </c>
      <c r="G169" s="331" t="s">
        <v>4222</v>
      </c>
      <c r="H169" s="331" t="s">
        <v>4223</v>
      </c>
      <c r="I169" s="331" t="s">
        <v>4224</v>
      </c>
      <c r="J169" s="331" t="s">
        <v>321</v>
      </c>
      <c r="K169" s="331" t="s">
        <v>4225</v>
      </c>
      <c r="L169" s="329"/>
      <c r="M169" s="329">
        <v>6</v>
      </c>
      <c r="N169" s="329">
        <v>0</v>
      </c>
      <c r="O169" s="329">
        <v>3.1349999999999998</v>
      </c>
      <c r="P169" s="329"/>
      <c r="Q169" s="333">
        <v>43626.819444444445</v>
      </c>
      <c r="R169" s="329"/>
      <c r="S169" s="333">
        <v>43767</v>
      </c>
      <c r="T169" s="329">
        <v>55</v>
      </c>
      <c r="U169" s="333">
        <v>43767</v>
      </c>
      <c r="V169" s="333">
        <v>44109</v>
      </c>
      <c r="W169" s="329" t="b">
        <v>1</v>
      </c>
      <c r="X169" s="331" t="s">
        <v>187</v>
      </c>
      <c r="Y169" s="329">
        <v>718</v>
      </c>
      <c r="Z169" s="331" t="s">
        <v>23</v>
      </c>
      <c r="AA169" s="331" t="s">
        <v>919</v>
      </c>
      <c r="AB169" s="331" t="s">
        <v>920</v>
      </c>
      <c r="AC169" s="331" t="s">
        <v>1688</v>
      </c>
      <c r="AD169" s="331" t="s">
        <v>24</v>
      </c>
      <c r="AE169" s="329">
        <v>221</v>
      </c>
      <c r="AF169" s="331" t="s">
        <v>254</v>
      </c>
      <c r="AG169" s="329"/>
      <c r="AH169" s="329">
        <v>17</v>
      </c>
      <c r="AI169" s="331" t="s">
        <v>280</v>
      </c>
      <c r="AJ169" s="331" t="s">
        <v>281</v>
      </c>
      <c r="AK169" s="331" t="s">
        <v>330</v>
      </c>
      <c r="AL169" s="331" t="s">
        <v>359</v>
      </c>
      <c r="AM169" s="331" t="s">
        <v>330</v>
      </c>
      <c r="AN169" s="331" t="s">
        <v>331</v>
      </c>
      <c r="AO169" s="331" t="s">
        <v>328</v>
      </c>
      <c r="AP169" s="329"/>
      <c r="AQ169" s="329"/>
      <c r="AR169" s="329"/>
      <c r="AS169" s="329"/>
      <c r="AT169" s="329" t="s">
        <v>332</v>
      </c>
      <c r="AU169" s="329" t="s">
        <v>283</v>
      </c>
      <c r="AV169" s="331" t="s">
        <v>321</v>
      </c>
      <c r="AW169" s="329"/>
      <c r="AX169" s="329"/>
      <c r="AY169" s="329"/>
      <c r="AZ169" s="329"/>
      <c r="BA169" s="329"/>
      <c r="BB169" s="329"/>
      <c r="BC169" s="329"/>
      <c r="BD169" s="329"/>
      <c r="BE169" s="329" t="s">
        <v>257</v>
      </c>
      <c r="BF169" s="329" t="s">
        <v>841</v>
      </c>
      <c r="BG169" s="329"/>
      <c r="BH169" s="329"/>
      <c r="BI169" s="329"/>
      <c r="BJ169" s="329"/>
      <c r="BK169" s="329">
        <v>9000</v>
      </c>
      <c r="BL169" s="329"/>
      <c r="BM169" s="331" t="s">
        <v>189</v>
      </c>
      <c r="BN169" s="329" t="s">
        <v>713</v>
      </c>
      <c r="BO169" s="333">
        <v>43766</v>
      </c>
      <c r="BP169" s="329"/>
      <c r="BQ169" s="329"/>
      <c r="BR169" s="329"/>
      <c r="BS169" s="329"/>
      <c r="BT169" s="329"/>
      <c r="BU169" s="331" t="s">
        <v>261</v>
      </c>
      <c r="BV169" s="329"/>
      <c r="BW169" s="329"/>
      <c r="BX169" s="329"/>
      <c r="BY169" s="331" t="s">
        <v>4226</v>
      </c>
      <c r="BZ169" s="331" t="s">
        <v>4227</v>
      </c>
      <c r="CA169" s="331" t="s">
        <v>4228</v>
      </c>
      <c r="CB169" s="331" t="s">
        <v>321</v>
      </c>
      <c r="CC169" s="331" t="s">
        <v>4225</v>
      </c>
    </row>
    <row r="170" spans="1:81" x14ac:dyDescent="0.25">
      <c r="A170" s="329">
        <v>198730</v>
      </c>
      <c r="B170" s="331" t="s">
        <v>4229</v>
      </c>
      <c r="C170" s="329">
        <v>35367</v>
      </c>
      <c r="D170" s="331" t="s">
        <v>1487</v>
      </c>
      <c r="E170" s="331" t="s">
        <v>4230</v>
      </c>
      <c r="F170" s="331" t="s">
        <v>4231</v>
      </c>
      <c r="G170" s="331" t="s">
        <v>4232</v>
      </c>
      <c r="H170" s="331" t="s">
        <v>4233</v>
      </c>
      <c r="I170" s="331" t="s">
        <v>3589</v>
      </c>
      <c r="J170" s="331" t="s">
        <v>284</v>
      </c>
      <c r="K170" s="331" t="s">
        <v>4234</v>
      </c>
      <c r="L170" s="329"/>
      <c r="M170" s="329">
        <v>6</v>
      </c>
      <c r="N170" s="329">
        <v>0</v>
      </c>
      <c r="O170" s="329">
        <v>3.2</v>
      </c>
      <c r="P170" s="329"/>
      <c r="Q170" s="333">
        <v>43628.688194444447</v>
      </c>
      <c r="R170" s="329"/>
      <c r="S170" s="333">
        <v>43766</v>
      </c>
      <c r="T170" s="329">
        <v>55</v>
      </c>
      <c r="U170" s="333">
        <v>43766</v>
      </c>
      <c r="V170" s="333">
        <v>44109</v>
      </c>
      <c r="W170" s="329" t="b">
        <v>1</v>
      </c>
      <c r="X170" s="331" t="s">
        <v>905</v>
      </c>
      <c r="Y170" s="329">
        <v>747</v>
      </c>
      <c r="Z170" s="331" t="s">
        <v>23</v>
      </c>
      <c r="AA170" s="331" t="s">
        <v>919</v>
      </c>
      <c r="AB170" s="331" t="s">
        <v>920</v>
      </c>
      <c r="AC170" s="331" t="s">
        <v>972</v>
      </c>
      <c r="AD170" s="331" t="s">
        <v>24</v>
      </c>
      <c r="AE170" s="329">
        <v>221</v>
      </c>
      <c r="AF170" s="331" t="s">
        <v>254</v>
      </c>
      <c r="AG170" s="329"/>
      <c r="AH170" s="329">
        <v>17</v>
      </c>
      <c r="AI170" s="331" t="s">
        <v>280</v>
      </c>
      <c r="AJ170" s="331" t="s">
        <v>281</v>
      </c>
      <c r="AK170" s="329"/>
      <c r="AL170" s="329"/>
      <c r="AM170" s="329"/>
      <c r="AN170" s="329"/>
      <c r="AO170" s="329"/>
      <c r="AP170" s="329"/>
      <c r="AQ170" s="329"/>
      <c r="AR170" s="329"/>
      <c r="AS170" s="329"/>
      <c r="AT170" s="329" t="s">
        <v>258</v>
      </c>
      <c r="AU170" s="329" t="s">
        <v>283</v>
      </c>
      <c r="AV170" s="331" t="s">
        <v>284</v>
      </c>
      <c r="AW170" s="329"/>
      <c r="AX170" s="329"/>
      <c r="AY170" s="329"/>
      <c r="AZ170" s="329"/>
      <c r="BA170" s="329"/>
      <c r="BB170" s="329"/>
      <c r="BC170" s="329"/>
      <c r="BD170" s="329"/>
      <c r="BE170" s="329" t="s">
        <v>257</v>
      </c>
      <c r="BF170" s="329" t="s">
        <v>838</v>
      </c>
      <c r="BG170" s="329"/>
      <c r="BH170" s="329"/>
      <c r="BI170" s="329"/>
      <c r="BJ170" s="329"/>
      <c r="BK170" s="329">
        <v>15600</v>
      </c>
      <c r="BL170" s="329"/>
      <c r="BM170" s="331" t="s">
        <v>259</v>
      </c>
      <c r="BN170" s="329" t="s">
        <v>713</v>
      </c>
      <c r="BO170" s="333">
        <v>43766</v>
      </c>
      <c r="BP170" s="329"/>
      <c r="BQ170" s="329"/>
      <c r="BR170" s="329"/>
      <c r="BS170" s="329"/>
      <c r="BT170" s="329"/>
      <c r="BU170" s="331" t="s">
        <v>261</v>
      </c>
      <c r="BV170" s="329"/>
      <c r="BW170" s="329"/>
      <c r="BX170" s="329"/>
      <c r="BY170" s="331" t="s">
        <v>4235</v>
      </c>
      <c r="BZ170" s="331" t="s">
        <v>4236</v>
      </c>
      <c r="CA170" s="329"/>
      <c r="CB170" s="331" t="s">
        <v>558</v>
      </c>
      <c r="CC170" s="331" t="s">
        <v>304</v>
      </c>
    </row>
    <row r="171" spans="1:81" x14ac:dyDescent="0.25">
      <c r="A171" s="329">
        <v>198483</v>
      </c>
      <c r="B171" s="331" t="s">
        <v>4237</v>
      </c>
      <c r="C171" s="329">
        <v>35288</v>
      </c>
      <c r="D171" s="331" t="s">
        <v>4238</v>
      </c>
      <c r="E171" s="331" t="s">
        <v>4239</v>
      </c>
      <c r="F171" s="331" t="s">
        <v>4240</v>
      </c>
      <c r="G171" s="331" t="s">
        <v>4958</v>
      </c>
      <c r="H171" s="331" t="s">
        <v>4241</v>
      </c>
      <c r="I171" s="331" t="s">
        <v>4242</v>
      </c>
      <c r="J171" s="331" t="s">
        <v>292</v>
      </c>
      <c r="K171" s="331" t="s">
        <v>4243</v>
      </c>
      <c r="L171" s="329"/>
      <c r="M171" s="329">
        <v>6</v>
      </c>
      <c r="N171" s="329">
        <v>0</v>
      </c>
      <c r="O171" s="329">
        <v>2.8</v>
      </c>
      <c r="P171" s="329"/>
      <c r="Q171" s="333">
        <v>43690.888888888891</v>
      </c>
      <c r="R171" s="329"/>
      <c r="S171" s="333">
        <v>43766</v>
      </c>
      <c r="T171" s="329">
        <v>55</v>
      </c>
      <c r="U171" s="333">
        <v>43766</v>
      </c>
      <c r="V171" s="333">
        <v>44109</v>
      </c>
      <c r="W171" s="329" t="b">
        <v>1</v>
      </c>
      <c r="X171" s="331" t="s">
        <v>905</v>
      </c>
      <c r="Y171" s="329">
        <v>747</v>
      </c>
      <c r="Z171" s="331" t="s">
        <v>25</v>
      </c>
      <c r="AA171" s="331" t="s">
        <v>919</v>
      </c>
      <c r="AB171" s="331" t="s">
        <v>920</v>
      </c>
      <c r="AC171" s="331" t="s">
        <v>1889</v>
      </c>
      <c r="AD171" s="331" t="s">
        <v>24</v>
      </c>
      <c r="AE171" s="329">
        <v>221</v>
      </c>
      <c r="AF171" s="331" t="s">
        <v>254</v>
      </c>
      <c r="AG171" s="329"/>
      <c r="AH171" s="329">
        <v>17</v>
      </c>
      <c r="AI171" s="331" t="s">
        <v>280</v>
      </c>
      <c r="AJ171" s="331" t="s">
        <v>281</v>
      </c>
      <c r="AK171" s="329"/>
      <c r="AL171" s="329"/>
      <c r="AM171" s="329"/>
      <c r="AN171" s="329"/>
      <c r="AO171" s="329"/>
      <c r="AP171" s="331" t="s">
        <v>405</v>
      </c>
      <c r="AQ171" s="329">
        <v>570</v>
      </c>
      <c r="AR171" s="329">
        <v>670</v>
      </c>
      <c r="AS171" s="329"/>
      <c r="AT171" s="329" t="s">
        <v>426</v>
      </c>
      <c r="AU171" s="329" t="s">
        <v>283</v>
      </c>
      <c r="AV171" s="331" t="s">
        <v>292</v>
      </c>
      <c r="AW171" s="329"/>
      <c r="AX171" s="329"/>
      <c r="AY171" s="329"/>
      <c r="AZ171" s="329"/>
      <c r="BA171" s="329"/>
      <c r="BB171" s="329"/>
      <c r="BC171" s="329"/>
      <c r="BD171" s="329"/>
      <c r="BE171" s="329" t="s">
        <v>257</v>
      </c>
      <c r="BF171" s="329" t="s">
        <v>836</v>
      </c>
      <c r="BG171" s="329"/>
      <c r="BH171" s="329"/>
      <c r="BI171" s="329"/>
      <c r="BJ171" s="329"/>
      <c r="BK171" s="329">
        <v>18000</v>
      </c>
      <c r="BL171" s="329"/>
      <c r="BM171" s="331" t="s">
        <v>310</v>
      </c>
      <c r="BN171" s="329" t="s">
        <v>713</v>
      </c>
      <c r="BO171" s="333">
        <v>43766</v>
      </c>
      <c r="BP171" s="329"/>
      <c r="BQ171" s="329"/>
      <c r="BR171" s="329"/>
      <c r="BS171" s="329"/>
      <c r="BT171" s="329"/>
      <c r="BU171" s="331" t="s">
        <v>261</v>
      </c>
      <c r="BV171" s="329"/>
      <c r="BW171" s="329"/>
      <c r="BX171" s="329"/>
      <c r="BY171" s="331" t="s">
        <v>4244</v>
      </c>
      <c r="BZ171" s="331" t="s">
        <v>4245</v>
      </c>
      <c r="CA171" s="331" t="s">
        <v>4246</v>
      </c>
      <c r="CB171" s="331" t="s">
        <v>292</v>
      </c>
      <c r="CC171" s="331" t="s">
        <v>4247</v>
      </c>
    </row>
    <row r="172" spans="1:81" x14ac:dyDescent="0.25">
      <c r="A172" s="329">
        <v>195150</v>
      </c>
      <c r="B172" s="331" t="s">
        <v>4275</v>
      </c>
      <c r="C172" s="329">
        <v>34253</v>
      </c>
      <c r="D172" s="331" t="s">
        <v>570</v>
      </c>
      <c r="E172" s="331" t="s">
        <v>872</v>
      </c>
      <c r="F172" s="331" t="s">
        <v>4276</v>
      </c>
      <c r="G172" s="331" t="s">
        <v>4277</v>
      </c>
      <c r="H172" s="331" t="s">
        <v>4278</v>
      </c>
      <c r="I172" s="331" t="s">
        <v>4279</v>
      </c>
      <c r="J172" s="331" t="s">
        <v>755</v>
      </c>
      <c r="K172" s="331" t="s">
        <v>4280</v>
      </c>
      <c r="L172" s="329"/>
      <c r="M172" s="329">
        <v>6</v>
      </c>
      <c r="N172" s="329">
        <v>0</v>
      </c>
      <c r="O172" s="329">
        <v>3.0697000000000001</v>
      </c>
      <c r="P172" s="329"/>
      <c r="Q172" s="333">
        <v>43635.839583333334</v>
      </c>
      <c r="R172" s="329"/>
      <c r="S172" s="333">
        <v>43766</v>
      </c>
      <c r="T172" s="329">
        <v>55</v>
      </c>
      <c r="U172" s="333">
        <v>43766</v>
      </c>
      <c r="V172" s="333">
        <v>44109</v>
      </c>
      <c r="W172" s="329" t="b">
        <v>1</v>
      </c>
      <c r="X172" s="331" t="s">
        <v>187</v>
      </c>
      <c r="Y172" s="329">
        <v>718</v>
      </c>
      <c r="Z172" s="331" t="s">
        <v>23</v>
      </c>
      <c r="AA172" s="331" t="s">
        <v>919</v>
      </c>
      <c r="AB172" s="331" t="s">
        <v>920</v>
      </c>
      <c r="AC172" s="331" t="s">
        <v>346</v>
      </c>
      <c r="AD172" s="331" t="s">
        <v>24</v>
      </c>
      <c r="AE172" s="329">
        <v>221</v>
      </c>
      <c r="AF172" s="331" t="s">
        <v>254</v>
      </c>
      <c r="AG172" s="329"/>
      <c r="AH172" s="329">
        <v>17</v>
      </c>
      <c r="AI172" s="331" t="s">
        <v>280</v>
      </c>
      <c r="AJ172" s="331" t="s">
        <v>281</v>
      </c>
      <c r="AK172" s="329"/>
      <c r="AL172" s="329"/>
      <c r="AM172" s="329"/>
      <c r="AN172" s="329"/>
      <c r="AO172" s="329"/>
      <c r="AP172" s="329"/>
      <c r="AQ172" s="329"/>
      <c r="AR172" s="329"/>
      <c r="AS172" s="329"/>
      <c r="AT172" s="329" t="s">
        <v>258</v>
      </c>
      <c r="AU172" s="329" t="s">
        <v>283</v>
      </c>
      <c r="AV172" s="331" t="s">
        <v>755</v>
      </c>
      <c r="AW172" s="329"/>
      <c r="AX172" s="329"/>
      <c r="AY172" s="329"/>
      <c r="AZ172" s="329"/>
      <c r="BA172" s="329"/>
      <c r="BB172" s="329"/>
      <c r="BC172" s="329"/>
      <c r="BD172" s="329"/>
      <c r="BE172" s="329" t="s">
        <v>257</v>
      </c>
      <c r="BF172" s="329" t="s">
        <v>837</v>
      </c>
      <c r="BG172" s="329"/>
      <c r="BH172" s="329"/>
      <c r="BI172" s="329"/>
      <c r="BJ172" s="329"/>
      <c r="BK172" s="329">
        <v>15000</v>
      </c>
      <c r="BL172" s="329"/>
      <c r="BM172" s="331" t="s">
        <v>295</v>
      </c>
      <c r="BN172" s="329" t="s">
        <v>713</v>
      </c>
      <c r="BO172" s="333">
        <v>43766</v>
      </c>
      <c r="BP172" s="329"/>
      <c r="BQ172" s="329"/>
      <c r="BR172" s="329"/>
      <c r="BS172" s="329"/>
      <c r="BT172" s="329"/>
      <c r="BU172" s="331" t="s">
        <v>261</v>
      </c>
      <c r="BV172" s="329"/>
      <c r="BW172" s="329"/>
      <c r="BX172" s="329"/>
      <c r="BY172" s="331" t="s">
        <v>4281</v>
      </c>
      <c r="BZ172" s="331" t="s">
        <v>4282</v>
      </c>
      <c r="CA172" s="331" t="s">
        <v>4283</v>
      </c>
      <c r="CB172" s="331" t="s">
        <v>755</v>
      </c>
      <c r="CC172" s="331" t="s">
        <v>4284</v>
      </c>
    </row>
    <row r="173" spans="1:81" x14ac:dyDescent="0.25">
      <c r="A173" s="329">
        <v>198230</v>
      </c>
      <c r="B173" s="331" t="s">
        <v>4292</v>
      </c>
      <c r="C173" s="329">
        <v>35167</v>
      </c>
      <c r="D173" s="331" t="s">
        <v>501</v>
      </c>
      <c r="E173" s="331" t="s">
        <v>4293</v>
      </c>
      <c r="F173" s="331" t="s">
        <v>4294</v>
      </c>
      <c r="G173" s="331" t="s">
        <v>4295</v>
      </c>
      <c r="H173" s="331" t="s">
        <v>4296</v>
      </c>
      <c r="I173" s="331" t="s">
        <v>4297</v>
      </c>
      <c r="J173" s="331" t="s">
        <v>21</v>
      </c>
      <c r="K173" s="331" t="s">
        <v>4298</v>
      </c>
      <c r="L173" s="329"/>
      <c r="M173" s="329">
        <v>6</v>
      </c>
      <c r="N173" s="329">
        <v>0</v>
      </c>
      <c r="O173" s="329">
        <v>3.6779999999999999</v>
      </c>
      <c r="P173" s="329"/>
      <c r="Q173" s="333">
        <v>43580.811111111114</v>
      </c>
      <c r="R173" s="329"/>
      <c r="S173" s="333">
        <v>43767</v>
      </c>
      <c r="T173" s="329">
        <v>55</v>
      </c>
      <c r="U173" s="333">
        <v>43767</v>
      </c>
      <c r="V173" s="333">
        <v>44109</v>
      </c>
      <c r="W173" s="329" t="b">
        <v>1</v>
      </c>
      <c r="X173" s="331" t="s">
        <v>906</v>
      </c>
      <c r="Y173" s="329">
        <v>748</v>
      </c>
      <c r="Z173" s="331" t="s">
        <v>23</v>
      </c>
      <c r="AA173" s="331" t="s">
        <v>919</v>
      </c>
      <c r="AB173" s="331" t="s">
        <v>920</v>
      </c>
      <c r="AC173" s="331" t="s">
        <v>311</v>
      </c>
      <c r="AD173" s="331" t="s">
        <v>24</v>
      </c>
      <c r="AE173" s="329">
        <v>221</v>
      </c>
      <c r="AF173" s="331" t="s">
        <v>254</v>
      </c>
      <c r="AG173" s="329"/>
      <c r="AH173" s="329">
        <v>17</v>
      </c>
      <c r="AI173" s="331" t="s">
        <v>280</v>
      </c>
      <c r="AJ173" s="331" t="s">
        <v>281</v>
      </c>
      <c r="AK173" s="331" t="s">
        <v>363</v>
      </c>
      <c r="AL173" s="331" t="s">
        <v>330</v>
      </c>
      <c r="AM173" s="331" t="s">
        <v>299</v>
      </c>
      <c r="AN173" s="331" t="s">
        <v>359</v>
      </c>
      <c r="AO173" s="331" t="s">
        <v>386</v>
      </c>
      <c r="AP173" s="329"/>
      <c r="AQ173" s="329"/>
      <c r="AR173" s="329"/>
      <c r="AS173" s="329"/>
      <c r="AT173" s="329" t="s">
        <v>842</v>
      </c>
      <c r="AU173" s="329" t="s">
        <v>283</v>
      </c>
      <c r="AV173" s="331" t="s">
        <v>21</v>
      </c>
      <c r="AW173" s="329"/>
      <c r="AX173" s="329"/>
      <c r="AY173" s="329"/>
      <c r="AZ173" s="329"/>
      <c r="BA173" s="329"/>
      <c r="BB173" s="329"/>
      <c r="BC173" s="329"/>
      <c r="BD173" s="329"/>
      <c r="BE173" s="329" t="s">
        <v>257</v>
      </c>
      <c r="BF173" s="329" t="s">
        <v>838</v>
      </c>
      <c r="BG173" s="329"/>
      <c r="BH173" s="329"/>
      <c r="BI173" s="329" t="s">
        <v>334</v>
      </c>
      <c r="BJ173" s="329" t="s">
        <v>831</v>
      </c>
      <c r="BK173" s="329">
        <v>51600</v>
      </c>
      <c r="BL173" s="329"/>
      <c r="BM173" s="331" t="s">
        <v>259</v>
      </c>
      <c r="BN173" s="329" t="s">
        <v>713</v>
      </c>
      <c r="BO173" s="333">
        <v>43766</v>
      </c>
      <c r="BP173" s="329"/>
      <c r="BQ173" s="329"/>
      <c r="BR173" s="329"/>
      <c r="BS173" s="329"/>
      <c r="BT173" s="329"/>
      <c r="BU173" s="331" t="s">
        <v>261</v>
      </c>
      <c r="BV173" s="329"/>
      <c r="BW173" s="329"/>
      <c r="BX173" s="329"/>
      <c r="BY173" s="331" t="s">
        <v>4299</v>
      </c>
      <c r="BZ173" s="331" t="s">
        <v>4300</v>
      </c>
      <c r="CA173" s="331" t="s">
        <v>4297</v>
      </c>
      <c r="CB173" s="331" t="s">
        <v>21</v>
      </c>
      <c r="CC173" s="331" t="s">
        <v>4298</v>
      </c>
    </row>
    <row r="174" spans="1:81" x14ac:dyDescent="0.25">
      <c r="A174" s="329">
        <v>196076</v>
      </c>
      <c r="B174" s="331" t="s">
        <v>4311</v>
      </c>
      <c r="C174" s="329">
        <v>34490</v>
      </c>
      <c r="D174" s="331" t="s">
        <v>4312</v>
      </c>
      <c r="E174" s="331" t="s">
        <v>4313</v>
      </c>
      <c r="F174" s="331" t="s">
        <v>4314</v>
      </c>
      <c r="G174" s="331" t="s">
        <v>4315</v>
      </c>
      <c r="H174" s="331" t="s">
        <v>4316</v>
      </c>
      <c r="I174" s="331" t="s">
        <v>545</v>
      </c>
      <c r="J174" s="331" t="s">
        <v>325</v>
      </c>
      <c r="K174" s="331" t="s">
        <v>4317</v>
      </c>
      <c r="L174" s="329"/>
      <c r="M174" s="329">
        <v>6</v>
      </c>
      <c r="N174" s="329">
        <v>0</v>
      </c>
      <c r="O174" s="329">
        <v>3.5680000000000001</v>
      </c>
      <c r="P174" s="329"/>
      <c r="Q174" s="333">
        <v>43655.72997685185</v>
      </c>
      <c r="R174" s="329"/>
      <c r="S174" s="333">
        <v>43766</v>
      </c>
      <c r="T174" s="329">
        <v>55</v>
      </c>
      <c r="U174" s="333">
        <v>43766</v>
      </c>
      <c r="V174" s="333">
        <v>44109</v>
      </c>
      <c r="W174" s="329" t="b">
        <v>1</v>
      </c>
      <c r="X174" s="331" t="s">
        <v>22</v>
      </c>
      <c r="Y174" s="329">
        <v>726</v>
      </c>
      <c r="Z174" s="331" t="s">
        <v>23</v>
      </c>
      <c r="AA174" s="331" t="s">
        <v>919</v>
      </c>
      <c r="AB174" s="331" t="s">
        <v>920</v>
      </c>
      <c r="AC174" s="331" t="s">
        <v>1011</v>
      </c>
      <c r="AD174" s="331" t="s">
        <v>24</v>
      </c>
      <c r="AE174" s="329">
        <v>221</v>
      </c>
      <c r="AF174" s="331" t="s">
        <v>254</v>
      </c>
      <c r="AG174" s="329"/>
      <c r="AH174" s="329">
        <v>17</v>
      </c>
      <c r="AI174" s="331" t="s">
        <v>280</v>
      </c>
      <c r="AJ174" s="331" t="s">
        <v>281</v>
      </c>
      <c r="AK174" s="331" t="s">
        <v>274</v>
      </c>
      <c r="AL174" s="331" t="s">
        <v>331</v>
      </c>
      <c r="AM174" s="331" t="s">
        <v>289</v>
      </c>
      <c r="AN174" s="331" t="s">
        <v>287</v>
      </c>
      <c r="AO174" s="331" t="s">
        <v>289</v>
      </c>
      <c r="AP174" s="329"/>
      <c r="AQ174" s="329"/>
      <c r="AR174" s="329"/>
      <c r="AS174" s="329"/>
      <c r="AT174" s="329" t="s">
        <v>303</v>
      </c>
      <c r="AU174" s="329" t="s">
        <v>283</v>
      </c>
      <c r="AV174" s="331" t="s">
        <v>325</v>
      </c>
      <c r="AW174" s="329"/>
      <c r="AX174" s="329"/>
      <c r="AY174" s="329"/>
      <c r="AZ174" s="329"/>
      <c r="BA174" s="329"/>
      <c r="BB174" s="329"/>
      <c r="BC174" s="329"/>
      <c r="BD174" s="329"/>
      <c r="BE174" s="329" t="s">
        <v>257</v>
      </c>
      <c r="BF174" s="329" t="s">
        <v>838</v>
      </c>
      <c r="BG174" s="329"/>
      <c r="BH174" s="329"/>
      <c r="BI174" s="329"/>
      <c r="BJ174" s="329"/>
      <c r="BK174" s="329">
        <v>15600</v>
      </c>
      <c r="BL174" s="329"/>
      <c r="BM174" s="331" t="s">
        <v>259</v>
      </c>
      <c r="BN174" s="329" t="s">
        <v>713</v>
      </c>
      <c r="BO174" s="333">
        <v>43766</v>
      </c>
      <c r="BP174" s="329"/>
      <c r="BQ174" s="329"/>
      <c r="BR174" s="329"/>
      <c r="BS174" s="329"/>
      <c r="BT174" s="329"/>
      <c r="BU174" s="331" t="s">
        <v>261</v>
      </c>
      <c r="BV174" s="329"/>
      <c r="BW174" s="329"/>
      <c r="BX174" s="329"/>
      <c r="BY174" s="331" t="s">
        <v>4318</v>
      </c>
      <c r="BZ174" s="331" t="s">
        <v>4319</v>
      </c>
      <c r="CA174" s="331" t="s">
        <v>4320</v>
      </c>
      <c r="CB174" s="331" t="s">
        <v>325</v>
      </c>
      <c r="CC174" s="331" t="s">
        <v>4317</v>
      </c>
    </row>
    <row r="175" spans="1:81" x14ac:dyDescent="0.25">
      <c r="A175" s="329">
        <v>198091</v>
      </c>
      <c r="B175" s="331" t="s">
        <v>4338</v>
      </c>
      <c r="C175" s="329">
        <v>35088</v>
      </c>
      <c r="D175" s="331" t="s">
        <v>782</v>
      </c>
      <c r="E175" s="331" t="s">
        <v>451</v>
      </c>
      <c r="F175" s="331" t="s">
        <v>4339</v>
      </c>
      <c r="G175" s="331" t="s">
        <v>4340</v>
      </c>
      <c r="H175" s="331" t="s">
        <v>4341</v>
      </c>
      <c r="I175" s="331" t="s">
        <v>450</v>
      </c>
      <c r="J175" s="331" t="s">
        <v>307</v>
      </c>
      <c r="K175" s="331" t="s">
        <v>4342</v>
      </c>
      <c r="L175" s="329"/>
      <c r="M175" s="329">
        <v>6</v>
      </c>
      <c r="N175" s="329">
        <v>0</v>
      </c>
      <c r="O175" s="329">
        <v>3.81</v>
      </c>
      <c r="P175" s="329"/>
      <c r="Q175" s="333">
        <v>43723.382638888892</v>
      </c>
      <c r="R175" s="329"/>
      <c r="S175" s="333">
        <v>43766</v>
      </c>
      <c r="T175" s="329">
        <v>55</v>
      </c>
      <c r="U175" s="333">
        <v>43766</v>
      </c>
      <c r="V175" s="333">
        <v>44109</v>
      </c>
      <c r="W175" s="329" t="b">
        <v>1</v>
      </c>
      <c r="X175" s="331" t="s">
        <v>22</v>
      </c>
      <c r="Y175" s="329">
        <v>429</v>
      </c>
      <c r="Z175" s="331" t="s">
        <v>23</v>
      </c>
      <c r="AA175" s="331" t="s">
        <v>919</v>
      </c>
      <c r="AB175" s="331" t="s">
        <v>920</v>
      </c>
      <c r="AC175" s="331" t="s">
        <v>346</v>
      </c>
      <c r="AD175" s="331" t="s">
        <v>24</v>
      </c>
      <c r="AE175" s="329">
        <v>221</v>
      </c>
      <c r="AF175" s="331" t="s">
        <v>254</v>
      </c>
      <c r="AG175" s="329"/>
      <c r="AH175" s="329">
        <v>17</v>
      </c>
      <c r="AI175" s="331" t="s">
        <v>280</v>
      </c>
      <c r="AJ175" s="331" t="s">
        <v>281</v>
      </c>
      <c r="AK175" s="329"/>
      <c r="AL175" s="329"/>
      <c r="AM175" s="329"/>
      <c r="AN175" s="329"/>
      <c r="AO175" s="329"/>
      <c r="AP175" s="331" t="s">
        <v>5057</v>
      </c>
      <c r="AQ175" s="329">
        <v>690</v>
      </c>
      <c r="AR175" s="329">
        <v>640</v>
      </c>
      <c r="AS175" s="329"/>
      <c r="AT175" s="329" t="s">
        <v>718</v>
      </c>
      <c r="AU175" s="329" t="s">
        <v>283</v>
      </c>
      <c r="AV175" s="331" t="s">
        <v>307</v>
      </c>
      <c r="AW175" s="329"/>
      <c r="AX175" s="329"/>
      <c r="AY175" s="329"/>
      <c r="AZ175" s="329"/>
      <c r="BA175" s="329"/>
      <c r="BB175" s="329"/>
      <c r="BC175" s="329"/>
      <c r="BD175" s="329"/>
      <c r="BE175" s="329" t="s">
        <v>257</v>
      </c>
      <c r="BF175" s="329" t="s">
        <v>834</v>
      </c>
      <c r="BG175" s="329"/>
      <c r="BH175" s="329"/>
      <c r="BI175" s="329"/>
      <c r="BJ175" s="329"/>
      <c r="BK175" s="329">
        <v>20400</v>
      </c>
      <c r="BL175" s="329"/>
      <c r="BM175" s="331" t="s">
        <v>278</v>
      </c>
      <c r="BN175" s="329" t="s">
        <v>713</v>
      </c>
      <c r="BO175" s="333">
        <v>43766</v>
      </c>
      <c r="BP175" s="329"/>
      <c r="BQ175" s="329"/>
      <c r="BR175" s="329"/>
      <c r="BS175" s="329"/>
      <c r="BT175" s="329"/>
      <c r="BU175" s="331" t="s">
        <v>261</v>
      </c>
      <c r="BV175" s="329"/>
      <c r="BW175" s="329"/>
      <c r="BX175" s="329"/>
      <c r="BY175" s="331" t="s">
        <v>4343</v>
      </c>
      <c r="BZ175" s="331" t="s">
        <v>4344</v>
      </c>
      <c r="CA175" s="331" t="s">
        <v>4345</v>
      </c>
      <c r="CB175" s="331" t="s">
        <v>307</v>
      </c>
      <c r="CC175" s="331" t="s">
        <v>4342</v>
      </c>
    </row>
    <row r="176" spans="1:81" x14ac:dyDescent="0.25">
      <c r="A176" s="329">
        <v>198508</v>
      </c>
      <c r="B176" s="331" t="s">
        <v>4349</v>
      </c>
      <c r="C176" s="329">
        <v>35298</v>
      </c>
      <c r="D176" s="331" t="s">
        <v>2524</v>
      </c>
      <c r="E176" s="331" t="s">
        <v>399</v>
      </c>
      <c r="F176" s="331" t="s">
        <v>4350</v>
      </c>
      <c r="G176" s="331" t="s">
        <v>4351</v>
      </c>
      <c r="H176" s="331" t="s">
        <v>4352</v>
      </c>
      <c r="I176" s="331" t="s">
        <v>4353</v>
      </c>
      <c r="J176" s="331" t="s">
        <v>263</v>
      </c>
      <c r="K176" s="331" t="s">
        <v>4354</v>
      </c>
      <c r="L176" s="329"/>
      <c r="M176" s="329">
        <v>6</v>
      </c>
      <c r="N176" s="329">
        <v>0</v>
      </c>
      <c r="O176" s="329">
        <v>2.2349999999999999</v>
      </c>
      <c r="P176" s="329"/>
      <c r="Q176" s="333">
        <v>43740.897222222222</v>
      </c>
      <c r="R176" s="329"/>
      <c r="S176" s="333">
        <v>43766</v>
      </c>
      <c r="T176" s="329">
        <v>55</v>
      </c>
      <c r="U176" s="333">
        <v>43766</v>
      </c>
      <c r="V176" s="333">
        <v>44109</v>
      </c>
      <c r="W176" s="329" t="b">
        <v>1</v>
      </c>
      <c r="X176" s="331" t="s">
        <v>187</v>
      </c>
      <c r="Y176" s="329">
        <v>718</v>
      </c>
      <c r="Z176" s="331" t="s">
        <v>23</v>
      </c>
      <c r="AA176" s="331" t="s">
        <v>919</v>
      </c>
      <c r="AB176" s="331" t="s">
        <v>920</v>
      </c>
      <c r="AC176" s="331" t="s">
        <v>311</v>
      </c>
      <c r="AD176" s="331" t="s">
        <v>24</v>
      </c>
      <c r="AE176" s="329">
        <v>221</v>
      </c>
      <c r="AF176" s="331" t="s">
        <v>254</v>
      </c>
      <c r="AG176" s="329"/>
      <c r="AH176" s="329">
        <v>17</v>
      </c>
      <c r="AI176" s="331" t="s">
        <v>280</v>
      </c>
      <c r="AJ176" s="331" t="s">
        <v>281</v>
      </c>
      <c r="AK176" s="329"/>
      <c r="AL176" s="329"/>
      <c r="AM176" s="329"/>
      <c r="AN176" s="329"/>
      <c r="AO176" s="329"/>
      <c r="AP176" s="331" t="s">
        <v>265</v>
      </c>
      <c r="AQ176" s="329">
        <v>550</v>
      </c>
      <c r="AR176" s="329">
        <v>530</v>
      </c>
      <c r="AS176" s="329"/>
      <c r="AT176" s="329" t="s">
        <v>839</v>
      </c>
      <c r="AU176" s="329" t="s">
        <v>283</v>
      </c>
      <c r="AV176" s="331" t="s">
        <v>263</v>
      </c>
      <c r="AW176" s="329"/>
      <c r="AX176" s="329"/>
      <c r="AY176" s="329"/>
      <c r="AZ176" s="329"/>
      <c r="BA176" s="329"/>
      <c r="BB176" s="329"/>
      <c r="BC176" s="329"/>
      <c r="BD176" s="329"/>
      <c r="BE176" s="329"/>
      <c r="BF176" s="329"/>
      <c r="BG176" s="329"/>
      <c r="BH176" s="329"/>
      <c r="BI176" s="329"/>
      <c r="BJ176" s="329"/>
      <c r="BK176" s="329">
        <v>0</v>
      </c>
      <c r="BL176" s="329"/>
      <c r="BM176" s="331" t="s">
        <v>28</v>
      </c>
      <c r="BN176" s="329" t="s">
        <v>713</v>
      </c>
      <c r="BO176" s="333">
        <v>43766</v>
      </c>
      <c r="BP176" s="329"/>
      <c r="BQ176" s="329"/>
      <c r="BR176" s="329"/>
      <c r="BS176" s="329"/>
      <c r="BT176" s="329"/>
      <c r="BU176" s="331" t="s">
        <v>261</v>
      </c>
      <c r="BV176" s="329"/>
      <c r="BW176" s="329"/>
      <c r="BX176" s="329"/>
      <c r="BY176" s="331" t="s">
        <v>4355</v>
      </c>
      <c r="BZ176" s="331" t="s">
        <v>4356</v>
      </c>
      <c r="CA176" s="331" t="s">
        <v>4353</v>
      </c>
      <c r="CB176" s="331" t="s">
        <v>263</v>
      </c>
      <c r="CC176" s="331" t="s">
        <v>304</v>
      </c>
    </row>
    <row r="177" spans="1:81" x14ac:dyDescent="0.25">
      <c r="A177" s="329">
        <v>196404</v>
      </c>
      <c r="B177" s="331" t="s">
        <v>4371</v>
      </c>
      <c r="C177" s="329">
        <v>34636</v>
      </c>
      <c r="D177" s="331" t="s">
        <v>4372</v>
      </c>
      <c r="E177" s="331" t="s">
        <v>4373</v>
      </c>
      <c r="F177" s="331" t="s">
        <v>4374</v>
      </c>
      <c r="G177" s="331" t="s">
        <v>4375</v>
      </c>
      <c r="H177" s="331" t="s">
        <v>4376</v>
      </c>
      <c r="I177" s="331" t="s">
        <v>4377</v>
      </c>
      <c r="J177" s="331" t="s">
        <v>298</v>
      </c>
      <c r="K177" s="331" t="s">
        <v>4378</v>
      </c>
      <c r="L177" s="329"/>
      <c r="M177" s="329">
        <v>6</v>
      </c>
      <c r="N177" s="329">
        <v>0</v>
      </c>
      <c r="O177" s="329">
        <v>3.07</v>
      </c>
      <c r="P177" s="329"/>
      <c r="Q177" s="333">
        <v>43649.049305555556</v>
      </c>
      <c r="R177" s="329"/>
      <c r="S177" s="333">
        <v>43766</v>
      </c>
      <c r="T177" s="329">
        <v>55</v>
      </c>
      <c r="U177" s="333">
        <v>43766</v>
      </c>
      <c r="V177" s="333">
        <v>44109</v>
      </c>
      <c r="W177" s="329" t="b">
        <v>1</v>
      </c>
      <c r="X177" s="331" t="s">
        <v>22</v>
      </c>
      <c r="Y177" s="329">
        <v>429</v>
      </c>
      <c r="Z177" s="331" t="s">
        <v>23</v>
      </c>
      <c r="AA177" s="331" t="s">
        <v>919</v>
      </c>
      <c r="AB177" s="331" t="s">
        <v>920</v>
      </c>
      <c r="AC177" s="331" t="s">
        <v>3706</v>
      </c>
      <c r="AD177" s="331" t="s">
        <v>24</v>
      </c>
      <c r="AE177" s="329">
        <v>221</v>
      </c>
      <c r="AF177" s="331" t="s">
        <v>254</v>
      </c>
      <c r="AG177" s="329"/>
      <c r="AH177" s="329">
        <v>17</v>
      </c>
      <c r="AI177" s="331" t="s">
        <v>280</v>
      </c>
      <c r="AJ177" s="331" t="s">
        <v>281</v>
      </c>
      <c r="AK177" s="329"/>
      <c r="AL177" s="329"/>
      <c r="AM177" s="329"/>
      <c r="AN177" s="329"/>
      <c r="AO177" s="329"/>
      <c r="AP177" s="329"/>
      <c r="AQ177" s="329"/>
      <c r="AR177" s="329"/>
      <c r="AS177" s="329"/>
      <c r="AT177" s="329" t="s">
        <v>258</v>
      </c>
      <c r="AU177" s="329" t="s">
        <v>256</v>
      </c>
      <c r="AV177" s="331" t="s">
        <v>298</v>
      </c>
      <c r="AW177" s="329"/>
      <c r="AX177" s="329"/>
      <c r="AY177" s="329"/>
      <c r="AZ177" s="329"/>
      <c r="BA177" s="329"/>
      <c r="BB177" s="329"/>
      <c r="BC177" s="329"/>
      <c r="BD177" s="329"/>
      <c r="BE177" s="329"/>
      <c r="BF177" s="329"/>
      <c r="BG177" s="329"/>
      <c r="BH177" s="329"/>
      <c r="BI177" s="329"/>
      <c r="BJ177" s="329"/>
      <c r="BK177" s="329">
        <v>0</v>
      </c>
      <c r="BL177" s="329"/>
      <c r="BM177" s="331" t="s">
        <v>27</v>
      </c>
      <c r="BN177" s="329" t="s">
        <v>713</v>
      </c>
      <c r="BO177" s="333">
        <v>43766</v>
      </c>
      <c r="BP177" s="329"/>
      <c r="BQ177" s="329"/>
      <c r="BR177" s="329"/>
      <c r="BS177" s="329"/>
      <c r="BT177" s="329"/>
      <c r="BU177" s="331" t="s">
        <v>261</v>
      </c>
      <c r="BV177" s="329"/>
      <c r="BW177" s="329"/>
      <c r="BX177" s="329"/>
      <c r="BY177" s="331" t="s">
        <v>4379</v>
      </c>
      <c r="BZ177" s="331" t="s">
        <v>4380</v>
      </c>
      <c r="CA177" s="331" t="s">
        <v>4381</v>
      </c>
      <c r="CB177" s="331" t="s">
        <v>298</v>
      </c>
      <c r="CC177" s="331" t="s">
        <v>4378</v>
      </c>
    </row>
    <row r="178" spans="1:81" x14ac:dyDescent="0.25">
      <c r="A178" s="329">
        <v>196234</v>
      </c>
      <c r="B178" s="331" t="s">
        <v>4393</v>
      </c>
      <c r="C178" s="329">
        <v>34562</v>
      </c>
      <c r="D178" s="331" t="s">
        <v>4394</v>
      </c>
      <c r="E178" s="331" t="s">
        <v>4395</v>
      </c>
      <c r="F178" s="331" t="s">
        <v>4396</v>
      </c>
      <c r="G178" s="331" t="s">
        <v>4397</v>
      </c>
      <c r="H178" s="331" t="s">
        <v>4398</v>
      </c>
      <c r="I178" s="331" t="s">
        <v>4399</v>
      </c>
      <c r="J178" s="331" t="s">
        <v>279</v>
      </c>
      <c r="K178" s="331" t="s">
        <v>4400</v>
      </c>
      <c r="L178" s="329"/>
      <c r="M178" s="329">
        <v>6</v>
      </c>
      <c r="N178" s="329">
        <v>0</v>
      </c>
      <c r="O178" s="329">
        <v>3.4</v>
      </c>
      <c r="P178" s="329"/>
      <c r="Q178" s="333">
        <v>43587.673611111109</v>
      </c>
      <c r="R178" s="329"/>
      <c r="S178" s="333">
        <v>43766</v>
      </c>
      <c r="T178" s="329">
        <v>55</v>
      </c>
      <c r="U178" s="333">
        <v>43766</v>
      </c>
      <c r="V178" s="333">
        <v>44109</v>
      </c>
      <c r="W178" s="329" t="b">
        <v>1</v>
      </c>
      <c r="X178" s="331" t="s">
        <v>905</v>
      </c>
      <c r="Y178" s="329">
        <v>747</v>
      </c>
      <c r="Z178" s="331" t="s">
        <v>23</v>
      </c>
      <c r="AA178" s="331" t="s">
        <v>919</v>
      </c>
      <c r="AB178" s="331" t="s">
        <v>920</v>
      </c>
      <c r="AC178" s="331" t="s">
        <v>1329</v>
      </c>
      <c r="AD178" s="331" t="s">
        <v>24</v>
      </c>
      <c r="AE178" s="329">
        <v>221</v>
      </c>
      <c r="AF178" s="331" t="s">
        <v>254</v>
      </c>
      <c r="AG178" s="329"/>
      <c r="AH178" s="329">
        <v>17</v>
      </c>
      <c r="AI178" s="331" t="s">
        <v>280</v>
      </c>
      <c r="AJ178" s="331" t="s">
        <v>281</v>
      </c>
      <c r="AK178" s="329"/>
      <c r="AL178" s="329"/>
      <c r="AM178" s="329"/>
      <c r="AN178" s="329"/>
      <c r="AO178" s="329"/>
      <c r="AP178" s="329"/>
      <c r="AQ178" s="329"/>
      <c r="AR178" s="329"/>
      <c r="AS178" s="329"/>
      <c r="AT178" s="329" t="s">
        <v>258</v>
      </c>
      <c r="AU178" s="329" t="s">
        <v>283</v>
      </c>
      <c r="AV178" s="331" t="s">
        <v>279</v>
      </c>
      <c r="AW178" s="329"/>
      <c r="AX178" s="329"/>
      <c r="AY178" s="329"/>
      <c r="AZ178" s="329"/>
      <c r="BA178" s="329"/>
      <c r="BB178" s="329"/>
      <c r="BC178" s="329"/>
      <c r="BD178" s="329"/>
      <c r="BE178" s="329" t="s">
        <v>257</v>
      </c>
      <c r="BF178" s="329" t="s">
        <v>841</v>
      </c>
      <c r="BG178" s="329"/>
      <c r="BH178" s="329"/>
      <c r="BI178" s="329"/>
      <c r="BJ178" s="329"/>
      <c r="BK178" s="329">
        <v>9000</v>
      </c>
      <c r="BL178" s="329"/>
      <c r="BM178" s="331" t="s">
        <v>189</v>
      </c>
      <c r="BN178" s="329" t="s">
        <v>713</v>
      </c>
      <c r="BO178" s="333">
        <v>43766</v>
      </c>
      <c r="BP178" s="329"/>
      <c r="BQ178" s="329"/>
      <c r="BR178" s="329"/>
      <c r="BS178" s="329"/>
      <c r="BT178" s="329"/>
      <c r="BU178" s="331" t="s">
        <v>261</v>
      </c>
      <c r="BV178" s="329"/>
      <c r="BW178" s="329"/>
      <c r="BX178" s="329"/>
      <c r="BY178" s="331" t="s">
        <v>4401</v>
      </c>
      <c r="BZ178" s="331" t="s">
        <v>4402</v>
      </c>
      <c r="CA178" s="331" t="s">
        <v>4403</v>
      </c>
      <c r="CB178" s="331" t="s">
        <v>279</v>
      </c>
      <c r="CC178" s="331" t="s">
        <v>4404</v>
      </c>
    </row>
    <row r="179" spans="1:81" x14ac:dyDescent="0.25">
      <c r="A179" s="329">
        <v>198388</v>
      </c>
      <c r="B179" s="331" t="s">
        <v>4405</v>
      </c>
      <c r="C179" s="329">
        <v>35260</v>
      </c>
      <c r="D179" s="331" t="s">
        <v>4406</v>
      </c>
      <c r="E179" s="331" t="s">
        <v>2569</v>
      </c>
      <c r="F179" s="331" t="s">
        <v>4407</v>
      </c>
      <c r="G179" s="331" t="s">
        <v>4408</v>
      </c>
      <c r="H179" s="331" t="s">
        <v>4409</v>
      </c>
      <c r="I179" s="331" t="s">
        <v>932</v>
      </c>
      <c r="J179" s="331" t="s">
        <v>298</v>
      </c>
      <c r="K179" s="331" t="s">
        <v>933</v>
      </c>
      <c r="L179" s="329"/>
      <c r="M179" s="329">
        <v>6</v>
      </c>
      <c r="N179" s="329">
        <v>0</v>
      </c>
      <c r="O179" s="329">
        <v>3.65</v>
      </c>
      <c r="P179" s="329"/>
      <c r="Q179" s="333">
        <v>43740.710416666669</v>
      </c>
      <c r="R179" s="329"/>
      <c r="S179" s="333">
        <v>43766</v>
      </c>
      <c r="T179" s="329">
        <v>55</v>
      </c>
      <c r="U179" s="333">
        <v>43766</v>
      </c>
      <c r="V179" s="333">
        <v>44109</v>
      </c>
      <c r="W179" s="329" t="b">
        <v>1</v>
      </c>
      <c r="X179" s="331" t="s">
        <v>187</v>
      </c>
      <c r="Y179" s="329">
        <v>718</v>
      </c>
      <c r="Z179" s="331" t="s">
        <v>23</v>
      </c>
      <c r="AA179" s="331" t="s">
        <v>919</v>
      </c>
      <c r="AB179" s="331" t="s">
        <v>920</v>
      </c>
      <c r="AC179" s="331" t="s">
        <v>372</v>
      </c>
      <c r="AD179" s="331" t="s">
        <v>24</v>
      </c>
      <c r="AE179" s="329">
        <v>221</v>
      </c>
      <c r="AF179" s="331" t="s">
        <v>254</v>
      </c>
      <c r="AG179" s="329"/>
      <c r="AH179" s="329">
        <v>17</v>
      </c>
      <c r="AI179" s="331" t="s">
        <v>280</v>
      </c>
      <c r="AJ179" s="331" t="s">
        <v>281</v>
      </c>
      <c r="AK179" s="329"/>
      <c r="AL179" s="329"/>
      <c r="AM179" s="329"/>
      <c r="AN179" s="329"/>
      <c r="AO179" s="329"/>
      <c r="AP179" s="331" t="s">
        <v>832</v>
      </c>
      <c r="AQ179" s="329">
        <v>580</v>
      </c>
      <c r="AR179" s="329">
        <v>510</v>
      </c>
      <c r="AS179" s="329"/>
      <c r="AT179" s="329" t="s">
        <v>338</v>
      </c>
      <c r="AU179" s="329" t="s">
        <v>256</v>
      </c>
      <c r="AV179" s="331" t="s">
        <v>298</v>
      </c>
      <c r="AW179" s="329"/>
      <c r="AX179" s="329"/>
      <c r="AY179" s="329"/>
      <c r="AZ179" s="329"/>
      <c r="BA179" s="329"/>
      <c r="BB179" s="329"/>
      <c r="BC179" s="329"/>
      <c r="BD179" s="329"/>
      <c r="BE179" s="329" t="s">
        <v>257</v>
      </c>
      <c r="BF179" s="329" t="s">
        <v>834</v>
      </c>
      <c r="BG179" s="329"/>
      <c r="BH179" s="329"/>
      <c r="BI179" s="329"/>
      <c r="BJ179" s="329"/>
      <c r="BK179" s="329">
        <v>20400</v>
      </c>
      <c r="BL179" s="329"/>
      <c r="BM179" s="331" t="s">
        <v>278</v>
      </c>
      <c r="BN179" s="329" t="s">
        <v>713</v>
      </c>
      <c r="BO179" s="333">
        <v>43766</v>
      </c>
      <c r="BP179" s="329"/>
      <c r="BQ179" s="329"/>
      <c r="BR179" s="329"/>
      <c r="BS179" s="329"/>
      <c r="BT179" s="329"/>
      <c r="BU179" s="331" t="s">
        <v>261</v>
      </c>
      <c r="BV179" s="329"/>
      <c r="BW179" s="329"/>
      <c r="BX179" s="329"/>
      <c r="BY179" s="331" t="s">
        <v>934</v>
      </c>
      <c r="BZ179" s="331" t="s">
        <v>935</v>
      </c>
      <c r="CA179" s="331" t="s">
        <v>936</v>
      </c>
      <c r="CB179" s="331" t="s">
        <v>298</v>
      </c>
      <c r="CC179" s="331" t="s">
        <v>937</v>
      </c>
    </row>
    <row r="180" spans="1:81" x14ac:dyDescent="0.25">
      <c r="A180" s="329">
        <v>197736</v>
      </c>
      <c r="B180" s="331" t="s">
        <v>4420</v>
      </c>
      <c r="C180" s="329">
        <v>34973</v>
      </c>
      <c r="D180" s="331" t="s">
        <v>525</v>
      </c>
      <c r="E180" s="331" t="s">
        <v>4421</v>
      </c>
      <c r="F180" s="331" t="s">
        <v>4422</v>
      </c>
      <c r="G180" s="331" t="s">
        <v>4423</v>
      </c>
      <c r="H180" s="331" t="s">
        <v>4424</v>
      </c>
      <c r="I180" s="331" t="s">
        <v>4425</v>
      </c>
      <c r="J180" s="331" t="s">
        <v>321</v>
      </c>
      <c r="K180" s="331" t="s">
        <v>4426</v>
      </c>
      <c r="L180" s="329"/>
      <c r="M180" s="329">
        <v>6</v>
      </c>
      <c r="N180" s="329">
        <v>0</v>
      </c>
      <c r="O180" s="329">
        <v>3.8</v>
      </c>
      <c r="P180" s="329"/>
      <c r="Q180" s="333">
        <v>43717.645833333336</v>
      </c>
      <c r="R180" s="329"/>
      <c r="S180" s="333">
        <v>43766</v>
      </c>
      <c r="T180" s="329">
        <v>55</v>
      </c>
      <c r="U180" s="333">
        <v>43766</v>
      </c>
      <c r="V180" s="333">
        <v>44109</v>
      </c>
      <c r="W180" s="329" t="b">
        <v>1</v>
      </c>
      <c r="X180" s="331" t="s">
        <v>905</v>
      </c>
      <c r="Y180" s="329">
        <v>747</v>
      </c>
      <c r="Z180" s="331" t="s">
        <v>23</v>
      </c>
      <c r="AA180" s="331" t="s">
        <v>919</v>
      </c>
      <c r="AB180" s="331" t="s">
        <v>920</v>
      </c>
      <c r="AC180" s="331" t="s">
        <v>2015</v>
      </c>
      <c r="AD180" s="331" t="s">
        <v>24</v>
      </c>
      <c r="AE180" s="329">
        <v>221</v>
      </c>
      <c r="AF180" s="331" t="s">
        <v>254</v>
      </c>
      <c r="AG180" s="329"/>
      <c r="AH180" s="329">
        <v>17</v>
      </c>
      <c r="AI180" s="331" t="s">
        <v>280</v>
      </c>
      <c r="AJ180" s="331" t="s">
        <v>281</v>
      </c>
      <c r="AK180" s="331" t="s">
        <v>331</v>
      </c>
      <c r="AL180" s="331" t="s">
        <v>328</v>
      </c>
      <c r="AM180" s="331" t="s">
        <v>331</v>
      </c>
      <c r="AN180" s="331" t="s">
        <v>363</v>
      </c>
      <c r="AO180" s="331" t="s">
        <v>300</v>
      </c>
      <c r="AP180" s="329"/>
      <c r="AQ180" s="329"/>
      <c r="AR180" s="329"/>
      <c r="AS180" s="329"/>
      <c r="AT180" s="329" t="s">
        <v>833</v>
      </c>
      <c r="AU180" s="329" t="s">
        <v>283</v>
      </c>
      <c r="AV180" s="331" t="s">
        <v>321</v>
      </c>
      <c r="AW180" s="329"/>
      <c r="AX180" s="329"/>
      <c r="AY180" s="329"/>
      <c r="AZ180" s="329"/>
      <c r="BA180" s="329"/>
      <c r="BB180" s="329"/>
      <c r="BC180" s="329"/>
      <c r="BD180" s="329"/>
      <c r="BE180" s="329" t="s">
        <v>257</v>
      </c>
      <c r="BF180" s="329" t="s">
        <v>836</v>
      </c>
      <c r="BG180" s="329"/>
      <c r="BH180" s="329"/>
      <c r="BI180" s="329"/>
      <c r="BJ180" s="329"/>
      <c r="BK180" s="329">
        <v>18000</v>
      </c>
      <c r="BL180" s="329"/>
      <c r="BM180" s="331" t="s">
        <v>310</v>
      </c>
      <c r="BN180" s="329" t="s">
        <v>713</v>
      </c>
      <c r="BO180" s="333">
        <v>43766</v>
      </c>
      <c r="BP180" s="329"/>
      <c r="BQ180" s="329"/>
      <c r="BR180" s="329"/>
      <c r="BS180" s="329"/>
      <c r="BT180" s="329"/>
      <c r="BU180" s="331" t="s">
        <v>261</v>
      </c>
      <c r="BV180" s="329"/>
      <c r="BW180" s="329"/>
      <c r="BX180" s="329"/>
      <c r="BY180" s="331" t="s">
        <v>4427</v>
      </c>
      <c r="BZ180" s="331" t="s">
        <v>4428</v>
      </c>
      <c r="CA180" s="331" t="s">
        <v>4429</v>
      </c>
      <c r="CB180" s="331" t="s">
        <v>321</v>
      </c>
      <c r="CC180" s="331" t="s">
        <v>4430</v>
      </c>
    </row>
    <row r="181" spans="1:81" x14ac:dyDescent="0.25">
      <c r="A181" s="329">
        <v>198890</v>
      </c>
      <c r="B181" s="331" t="s">
        <v>4431</v>
      </c>
      <c r="C181" s="329">
        <v>35403</v>
      </c>
      <c r="D181" s="331" t="s">
        <v>4432</v>
      </c>
      <c r="E181" s="331" t="s">
        <v>4433</v>
      </c>
      <c r="F181" s="331" t="s">
        <v>4434</v>
      </c>
      <c r="G181" s="331" t="s">
        <v>4435</v>
      </c>
      <c r="H181" s="331" t="s">
        <v>4436</v>
      </c>
      <c r="I181" s="331" t="s">
        <v>415</v>
      </c>
      <c r="J181" s="331" t="s">
        <v>441</v>
      </c>
      <c r="K181" s="331" t="s">
        <v>4437</v>
      </c>
      <c r="L181" s="329"/>
      <c r="M181" s="329">
        <v>6</v>
      </c>
      <c r="N181" s="329">
        <v>0</v>
      </c>
      <c r="O181" s="329">
        <v>2.5419999999999998</v>
      </c>
      <c r="P181" s="329"/>
      <c r="Q181" s="333">
        <v>43754.572222222225</v>
      </c>
      <c r="R181" s="329"/>
      <c r="S181" s="333">
        <v>43766</v>
      </c>
      <c r="T181" s="329">
        <v>55</v>
      </c>
      <c r="U181" s="333">
        <v>43766</v>
      </c>
      <c r="V181" s="333">
        <v>44109</v>
      </c>
      <c r="W181" s="329" t="b">
        <v>1</v>
      </c>
      <c r="X181" s="331" t="s">
        <v>22</v>
      </c>
      <c r="Y181" s="329">
        <v>726</v>
      </c>
      <c r="Z181" s="331" t="s">
        <v>23</v>
      </c>
      <c r="AA181" s="331" t="s">
        <v>919</v>
      </c>
      <c r="AB181" s="331" t="s">
        <v>920</v>
      </c>
      <c r="AC181" s="331" t="s">
        <v>346</v>
      </c>
      <c r="AD181" s="331" t="s">
        <v>24</v>
      </c>
      <c r="AE181" s="329">
        <v>221</v>
      </c>
      <c r="AF181" s="331" t="s">
        <v>254</v>
      </c>
      <c r="AG181" s="329"/>
      <c r="AH181" s="329">
        <v>17</v>
      </c>
      <c r="AI181" s="331" t="s">
        <v>280</v>
      </c>
      <c r="AJ181" s="331" t="s">
        <v>281</v>
      </c>
      <c r="AK181" s="331" t="s">
        <v>290</v>
      </c>
      <c r="AL181" s="331" t="s">
        <v>299</v>
      </c>
      <c r="AM181" s="331" t="s">
        <v>290</v>
      </c>
      <c r="AN181" s="331" t="s">
        <v>275</v>
      </c>
      <c r="AO181" s="331" t="s">
        <v>299</v>
      </c>
      <c r="AP181" s="329"/>
      <c r="AQ181" s="329"/>
      <c r="AR181" s="329"/>
      <c r="AS181" s="329"/>
      <c r="AT181" s="329" t="s">
        <v>382</v>
      </c>
      <c r="AU181" s="329" t="s">
        <v>283</v>
      </c>
      <c r="AV181" s="331" t="s">
        <v>441</v>
      </c>
      <c r="AW181" s="329"/>
      <c r="AX181" s="329"/>
      <c r="AY181" s="329"/>
      <c r="AZ181" s="329"/>
      <c r="BA181" s="329"/>
      <c r="BB181" s="329"/>
      <c r="BC181" s="329"/>
      <c r="BD181" s="329"/>
      <c r="BE181" s="329"/>
      <c r="BF181" s="329"/>
      <c r="BG181" s="329"/>
      <c r="BH181" s="329"/>
      <c r="BI181" s="329"/>
      <c r="BJ181" s="329"/>
      <c r="BK181" s="329">
        <v>0</v>
      </c>
      <c r="BL181" s="329"/>
      <c r="BM181" s="331" t="s">
        <v>28</v>
      </c>
      <c r="BN181" s="329" t="s">
        <v>713</v>
      </c>
      <c r="BO181" s="333">
        <v>43766</v>
      </c>
      <c r="BP181" s="329"/>
      <c r="BQ181" s="329"/>
      <c r="BR181" s="329"/>
      <c r="BS181" s="329"/>
      <c r="BT181" s="329"/>
      <c r="BU181" s="331" t="s">
        <v>261</v>
      </c>
      <c r="BV181" s="329"/>
      <c r="BW181" s="329"/>
      <c r="BX181" s="329"/>
      <c r="BY181" s="331" t="s">
        <v>4438</v>
      </c>
      <c r="BZ181" s="331" t="s">
        <v>4439</v>
      </c>
      <c r="CA181" s="331" t="s">
        <v>4440</v>
      </c>
      <c r="CB181" s="331" t="s">
        <v>441</v>
      </c>
      <c r="CC181" s="331" t="s">
        <v>4441</v>
      </c>
    </row>
    <row r="182" spans="1:81" x14ac:dyDescent="0.25">
      <c r="A182" s="329">
        <v>196408</v>
      </c>
      <c r="B182" s="331" t="s">
        <v>4442</v>
      </c>
      <c r="C182" s="329">
        <v>34638</v>
      </c>
      <c r="D182" s="331" t="s">
        <v>4443</v>
      </c>
      <c r="E182" s="331" t="s">
        <v>514</v>
      </c>
      <c r="F182" s="331" t="s">
        <v>4444</v>
      </c>
      <c r="G182" s="331" t="s">
        <v>4445</v>
      </c>
      <c r="H182" s="331" t="s">
        <v>4446</v>
      </c>
      <c r="I182" s="331" t="s">
        <v>4447</v>
      </c>
      <c r="J182" s="331" t="s">
        <v>354</v>
      </c>
      <c r="K182" s="331" t="s">
        <v>4448</v>
      </c>
      <c r="L182" s="329"/>
      <c r="M182" s="329">
        <v>6</v>
      </c>
      <c r="N182" s="329">
        <v>0</v>
      </c>
      <c r="O182" s="329">
        <v>3.8</v>
      </c>
      <c r="P182" s="329"/>
      <c r="Q182" s="333">
        <v>43701.78125</v>
      </c>
      <c r="R182" s="329"/>
      <c r="S182" s="333">
        <v>43766</v>
      </c>
      <c r="T182" s="329">
        <v>55</v>
      </c>
      <c r="U182" s="333">
        <v>43766</v>
      </c>
      <c r="V182" s="333">
        <v>44109</v>
      </c>
      <c r="W182" s="329" t="b">
        <v>1</v>
      </c>
      <c r="X182" s="331" t="s">
        <v>905</v>
      </c>
      <c r="Y182" s="329">
        <v>747</v>
      </c>
      <c r="Z182" s="331" t="s">
        <v>25</v>
      </c>
      <c r="AA182" s="331" t="s">
        <v>919</v>
      </c>
      <c r="AB182" s="331" t="s">
        <v>920</v>
      </c>
      <c r="AC182" s="331" t="s">
        <v>1207</v>
      </c>
      <c r="AD182" s="331" t="s">
        <v>24</v>
      </c>
      <c r="AE182" s="329">
        <v>221</v>
      </c>
      <c r="AF182" s="331" t="s">
        <v>254</v>
      </c>
      <c r="AG182" s="329"/>
      <c r="AH182" s="329">
        <v>17</v>
      </c>
      <c r="AI182" s="331" t="s">
        <v>280</v>
      </c>
      <c r="AJ182" s="331" t="s">
        <v>281</v>
      </c>
      <c r="AK182" s="331" t="s">
        <v>287</v>
      </c>
      <c r="AL182" s="331" t="s">
        <v>348</v>
      </c>
      <c r="AM182" s="331" t="s">
        <v>300</v>
      </c>
      <c r="AN182" s="331" t="s">
        <v>351</v>
      </c>
      <c r="AO182" s="331" t="s">
        <v>300</v>
      </c>
      <c r="AP182" s="331" t="s">
        <v>465</v>
      </c>
      <c r="AQ182" s="329">
        <v>620</v>
      </c>
      <c r="AR182" s="329">
        <v>690</v>
      </c>
      <c r="AS182" s="329"/>
      <c r="AT182" s="329" t="s">
        <v>313</v>
      </c>
      <c r="AU182" s="329" t="s">
        <v>283</v>
      </c>
      <c r="AV182" s="331" t="s">
        <v>354</v>
      </c>
      <c r="AW182" s="329"/>
      <c r="AX182" s="329"/>
      <c r="AY182" s="329"/>
      <c r="AZ182" s="329"/>
      <c r="BA182" s="329"/>
      <c r="BB182" s="329"/>
      <c r="BC182" s="329"/>
      <c r="BD182" s="329"/>
      <c r="BE182" s="329" t="s">
        <v>257</v>
      </c>
      <c r="BF182" s="329" t="s">
        <v>834</v>
      </c>
      <c r="BG182" s="329"/>
      <c r="BH182" s="329"/>
      <c r="BI182" s="329"/>
      <c r="BJ182" s="329"/>
      <c r="BK182" s="329">
        <v>20400</v>
      </c>
      <c r="BL182" s="329"/>
      <c r="BM182" s="331" t="s">
        <v>278</v>
      </c>
      <c r="BN182" s="329" t="s">
        <v>713</v>
      </c>
      <c r="BO182" s="333">
        <v>43766</v>
      </c>
      <c r="BP182" s="329"/>
      <c r="BQ182" s="329"/>
      <c r="BR182" s="329"/>
      <c r="BS182" s="329"/>
      <c r="BT182" s="329"/>
      <c r="BU182" s="331" t="s">
        <v>261</v>
      </c>
      <c r="BV182" s="329"/>
      <c r="BW182" s="329"/>
      <c r="BX182" s="329"/>
      <c r="BY182" s="331" t="s">
        <v>4449</v>
      </c>
      <c r="BZ182" s="331" t="s">
        <v>4450</v>
      </c>
      <c r="CA182" s="329"/>
      <c r="CB182" s="331" t="s">
        <v>558</v>
      </c>
      <c r="CC182" s="331" t="s">
        <v>304</v>
      </c>
    </row>
    <row r="183" spans="1:81" x14ac:dyDescent="0.25">
      <c r="A183" s="329">
        <v>197731</v>
      </c>
      <c r="B183" s="331" t="s">
        <v>4451</v>
      </c>
      <c r="C183" s="329">
        <v>34970</v>
      </c>
      <c r="D183" s="331" t="s">
        <v>4452</v>
      </c>
      <c r="E183" s="331" t="s">
        <v>1444</v>
      </c>
      <c r="F183" s="331" t="s">
        <v>4453</v>
      </c>
      <c r="G183" s="331" t="s">
        <v>4454</v>
      </c>
      <c r="H183" s="331" t="s">
        <v>4455</v>
      </c>
      <c r="I183" s="331" t="s">
        <v>565</v>
      </c>
      <c r="J183" s="331" t="s">
        <v>354</v>
      </c>
      <c r="K183" s="331" t="s">
        <v>4456</v>
      </c>
      <c r="L183" s="329"/>
      <c r="M183" s="329">
        <v>6</v>
      </c>
      <c r="N183" s="329">
        <v>0</v>
      </c>
      <c r="O183" s="329">
        <v>3.5190000000000001</v>
      </c>
      <c r="P183" s="329"/>
      <c r="Q183" s="333">
        <v>43673.978472222225</v>
      </c>
      <c r="R183" s="329"/>
      <c r="S183" s="333">
        <v>43766</v>
      </c>
      <c r="T183" s="329">
        <v>55</v>
      </c>
      <c r="U183" s="333">
        <v>43766</v>
      </c>
      <c r="V183" s="333">
        <v>44109</v>
      </c>
      <c r="W183" s="329" t="b">
        <v>1</v>
      </c>
      <c r="X183" s="331" t="s">
        <v>187</v>
      </c>
      <c r="Y183" s="329">
        <v>718</v>
      </c>
      <c r="Z183" s="331" t="s">
        <v>25</v>
      </c>
      <c r="AA183" s="331" t="s">
        <v>919</v>
      </c>
      <c r="AB183" s="331" t="s">
        <v>920</v>
      </c>
      <c r="AC183" s="331" t="s">
        <v>1750</v>
      </c>
      <c r="AD183" s="331" t="s">
        <v>24</v>
      </c>
      <c r="AE183" s="329">
        <v>221</v>
      </c>
      <c r="AF183" s="331" t="s">
        <v>254</v>
      </c>
      <c r="AG183" s="329"/>
      <c r="AH183" s="329">
        <v>17</v>
      </c>
      <c r="AI183" s="331" t="s">
        <v>280</v>
      </c>
      <c r="AJ183" s="331" t="s">
        <v>281</v>
      </c>
      <c r="AK183" s="329"/>
      <c r="AL183" s="329"/>
      <c r="AM183" s="329"/>
      <c r="AN183" s="329"/>
      <c r="AO183" s="329"/>
      <c r="AP183" s="329"/>
      <c r="AQ183" s="329"/>
      <c r="AR183" s="329"/>
      <c r="AS183" s="329"/>
      <c r="AT183" s="329" t="s">
        <v>258</v>
      </c>
      <c r="AU183" s="329" t="s">
        <v>283</v>
      </c>
      <c r="AV183" s="331" t="s">
        <v>354</v>
      </c>
      <c r="AW183" s="329"/>
      <c r="AX183" s="329"/>
      <c r="AY183" s="329"/>
      <c r="AZ183" s="329"/>
      <c r="BA183" s="329"/>
      <c r="BB183" s="329"/>
      <c r="BC183" s="329"/>
      <c r="BD183" s="329"/>
      <c r="BE183" s="329" t="s">
        <v>257</v>
      </c>
      <c r="BF183" s="329" t="s">
        <v>837</v>
      </c>
      <c r="BG183" s="329"/>
      <c r="BH183" s="329"/>
      <c r="BI183" s="329"/>
      <c r="BJ183" s="329"/>
      <c r="BK183" s="329">
        <v>15000</v>
      </c>
      <c r="BL183" s="329"/>
      <c r="BM183" s="331" t="s">
        <v>295</v>
      </c>
      <c r="BN183" s="329" t="s">
        <v>713</v>
      </c>
      <c r="BO183" s="333">
        <v>43766</v>
      </c>
      <c r="BP183" s="329"/>
      <c r="BQ183" s="329"/>
      <c r="BR183" s="329"/>
      <c r="BS183" s="329"/>
      <c r="BT183" s="329"/>
      <c r="BU183" s="331" t="s">
        <v>261</v>
      </c>
      <c r="BV183" s="329"/>
      <c r="BW183" s="329"/>
      <c r="BX183" s="329"/>
      <c r="BY183" s="331" t="s">
        <v>4457</v>
      </c>
      <c r="BZ183" s="331" t="s">
        <v>4458</v>
      </c>
      <c r="CA183" s="331" t="s">
        <v>4459</v>
      </c>
      <c r="CB183" s="331" t="s">
        <v>354</v>
      </c>
      <c r="CC183" s="331" t="s">
        <v>4460</v>
      </c>
    </row>
    <row r="184" spans="1:81" x14ac:dyDescent="0.25">
      <c r="A184" s="329">
        <v>198887</v>
      </c>
      <c r="B184" s="331" t="s">
        <v>4461</v>
      </c>
      <c r="C184" s="329">
        <v>35401</v>
      </c>
      <c r="D184" s="331" t="s">
        <v>803</v>
      </c>
      <c r="E184" s="331" t="s">
        <v>4462</v>
      </c>
      <c r="F184" s="331" t="s">
        <v>4463</v>
      </c>
      <c r="G184" s="331" t="s">
        <v>4464</v>
      </c>
      <c r="H184" s="331" t="s">
        <v>4465</v>
      </c>
      <c r="I184" s="331" t="s">
        <v>4466</v>
      </c>
      <c r="J184" s="331" t="s">
        <v>251</v>
      </c>
      <c r="K184" s="331" t="s">
        <v>4467</v>
      </c>
      <c r="L184" s="329"/>
      <c r="M184" s="329">
        <v>6</v>
      </c>
      <c r="N184" s="329">
        <v>0</v>
      </c>
      <c r="O184" s="329">
        <v>2.52</v>
      </c>
      <c r="P184" s="329"/>
      <c r="Q184" s="333">
        <v>43756.729861111111</v>
      </c>
      <c r="R184" s="329"/>
      <c r="S184" s="333">
        <v>43766</v>
      </c>
      <c r="T184" s="329">
        <v>55</v>
      </c>
      <c r="U184" s="333">
        <v>43766</v>
      </c>
      <c r="V184" s="333">
        <v>44109</v>
      </c>
      <c r="W184" s="329" t="b">
        <v>1</v>
      </c>
      <c r="X184" s="331" t="s">
        <v>22</v>
      </c>
      <c r="Y184" s="329">
        <v>726</v>
      </c>
      <c r="Z184" s="331" t="s">
        <v>23</v>
      </c>
      <c r="AA184" s="331" t="s">
        <v>919</v>
      </c>
      <c r="AB184" s="331" t="s">
        <v>920</v>
      </c>
      <c r="AC184" s="331" t="s">
        <v>357</v>
      </c>
      <c r="AD184" s="331" t="s">
        <v>24</v>
      </c>
      <c r="AE184" s="329">
        <v>221</v>
      </c>
      <c r="AF184" s="331" t="s">
        <v>254</v>
      </c>
      <c r="AG184" s="329"/>
      <c r="AH184" s="329">
        <v>17</v>
      </c>
      <c r="AI184" s="331" t="s">
        <v>280</v>
      </c>
      <c r="AJ184" s="331" t="s">
        <v>281</v>
      </c>
      <c r="AK184" s="329"/>
      <c r="AL184" s="329"/>
      <c r="AM184" s="329"/>
      <c r="AN184" s="329"/>
      <c r="AO184" s="329"/>
      <c r="AP184" s="331" t="s">
        <v>461</v>
      </c>
      <c r="AQ184" s="329">
        <v>540</v>
      </c>
      <c r="AR184" s="329">
        <v>470</v>
      </c>
      <c r="AS184" s="329"/>
      <c r="AT184" s="329" t="s">
        <v>845</v>
      </c>
      <c r="AU184" s="329" t="s">
        <v>283</v>
      </c>
      <c r="AV184" s="331" t="s">
        <v>251</v>
      </c>
      <c r="AW184" s="329"/>
      <c r="AX184" s="329"/>
      <c r="AY184" s="329"/>
      <c r="AZ184" s="329"/>
      <c r="BA184" s="329"/>
      <c r="BB184" s="329"/>
      <c r="BC184" s="329"/>
      <c r="BD184" s="329"/>
      <c r="BE184" s="329" t="s">
        <v>257</v>
      </c>
      <c r="BF184" s="329" t="s">
        <v>841</v>
      </c>
      <c r="BG184" s="329"/>
      <c r="BH184" s="329"/>
      <c r="BI184" s="329"/>
      <c r="BJ184" s="329"/>
      <c r="BK184" s="329">
        <v>9000</v>
      </c>
      <c r="BL184" s="329"/>
      <c r="BM184" s="331" t="s">
        <v>189</v>
      </c>
      <c r="BN184" s="329" t="s">
        <v>713</v>
      </c>
      <c r="BO184" s="333">
        <v>43766</v>
      </c>
      <c r="BP184" s="329"/>
      <c r="BQ184" s="329"/>
      <c r="BR184" s="329"/>
      <c r="BS184" s="329"/>
      <c r="BT184" s="329"/>
      <c r="BU184" s="331" t="s">
        <v>261</v>
      </c>
      <c r="BV184" s="329"/>
      <c r="BW184" s="329"/>
      <c r="BX184" s="329"/>
      <c r="BY184" s="331" t="s">
        <v>4468</v>
      </c>
      <c r="BZ184" s="331" t="s">
        <v>4469</v>
      </c>
      <c r="CA184" s="331" t="s">
        <v>4470</v>
      </c>
      <c r="CB184" s="331" t="s">
        <v>251</v>
      </c>
      <c r="CC184" s="331" t="s">
        <v>4471</v>
      </c>
    </row>
    <row r="185" spans="1:81" x14ac:dyDescent="0.25">
      <c r="A185" s="329">
        <v>198964</v>
      </c>
      <c r="B185" s="331" t="s">
        <v>4477</v>
      </c>
      <c r="C185" s="329">
        <v>35424</v>
      </c>
      <c r="D185" s="331" t="s">
        <v>4478</v>
      </c>
      <c r="E185" s="331" t="s">
        <v>475</v>
      </c>
      <c r="F185" s="331" t="s">
        <v>4479</v>
      </c>
      <c r="G185" s="331" t="s">
        <v>6461</v>
      </c>
      <c r="H185" s="331" t="s">
        <v>4480</v>
      </c>
      <c r="I185" s="331" t="s">
        <v>4481</v>
      </c>
      <c r="J185" s="331" t="s">
        <v>251</v>
      </c>
      <c r="K185" s="331" t="s">
        <v>4482</v>
      </c>
      <c r="L185" s="329"/>
      <c r="M185" s="329">
        <v>6</v>
      </c>
      <c r="N185" s="329">
        <v>0</v>
      </c>
      <c r="O185" s="329">
        <v>1.353</v>
      </c>
      <c r="P185" s="329"/>
      <c r="Q185" s="333">
        <v>43706.277777777781</v>
      </c>
      <c r="R185" s="329"/>
      <c r="S185" s="333">
        <v>43766</v>
      </c>
      <c r="T185" s="329">
        <v>55</v>
      </c>
      <c r="U185" s="333">
        <v>43766</v>
      </c>
      <c r="V185" s="333">
        <v>44109</v>
      </c>
      <c r="W185" s="329" t="b">
        <v>1</v>
      </c>
      <c r="X185" s="331" t="s">
        <v>22</v>
      </c>
      <c r="Y185" s="329">
        <v>726</v>
      </c>
      <c r="Z185" s="331" t="s">
        <v>23</v>
      </c>
      <c r="AA185" s="331" t="s">
        <v>919</v>
      </c>
      <c r="AB185" s="331" t="s">
        <v>920</v>
      </c>
      <c r="AC185" s="331" t="s">
        <v>3077</v>
      </c>
      <c r="AD185" s="331" t="s">
        <v>24</v>
      </c>
      <c r="AE185" s="329">
        <v>221</v>
      </c>
      <c r="AF185" s="331" t="s">
        <v>254</v>
      </c>
      <c r="AG185" s="329"/>
      <c r="AH185" s="329">
        <v>17</v>
      </c>
      <c r="AI185" s="331" t="s">
        <v>280</v>
      </c>
      <c r="AJ185" s="331" t="s">
        <v>281</v>
      </c>
      <c r="AK185" s="329"/>
      <c r="AL185" s="329"/>
      <c r="AM185" s="329"/>
      <c r="AN185" s="329"/>
      <c r="AO185" s="329"/>
      <c r="AP185" s="331" t="s">
        <v>293</v>
      </c>
      <c r="AQ185" s="329">
        <v>500</v>
      </c>
      <c r="AR185" s="329">
        <v>530</v>
      </c>
      <c r="AS185" s="329"/>
      <c r="AT185" s="329" t="s">
        <v>258</v>
      </c>
      <c r="AU185" s="329" t="s">
        <v>283</v>
      </c>
      <c r="AV185" s="331" t="s">
        <v>251</v>
      </c>
      <c r="AW185" s="329"/>
      <c r="AX185" s="329"/>
      <c r="AY185" s="329"/>
      <c r="AZ185" s="329"/>
      <c r="BA185" s="329"/>
      <c r="BB185" s="329"/>
      <c r="BC185" s="329"/>
      <c r="BD185" s="329"/>
      <c r="BE185" s="329"/>
      <c r="BF185" s="329"/>
      <c r="BG185" s="329"/>
      <c r="BH185" s="329"/>
      <c r="BI185" s="329"/>
      <c r="BJ185" s="329"/>
      <c r="BK185" s="329">
        <v>0</v>
      </c>
      <c r="BL185" s="329"/>
      <c r="BM185" s="331" t="s">
        <v>27</v>
      </c>
      <c r="BN185" s="329" t="s">
        <v>713</v>
      </c>
      <c r="BO185" s="333">
        <v>43766</v>
      </c>
      <c r="BP185" s="329"/>
      <c r="BQ185" s="329"/>
      <c r="BR185" s="329"/>
      <c r="BS185" s="329"/>
      <c r="BT185" s="329"/>
      <c r="BU185" s="331" t="s">
        <v>261</v>
      </c>
      <c r="BV185" s="329"/>
      <c r="BW185" s="329"/>
      <c r="BX185" s="329"/>
      <c r="BY185" s="331" t="s">
        <v>4483</v>
      </c>
      <c r="BZ185" s="331" t="s">
        <v>4484</v>
      </c>
      <c r="CA185" s="331" t="s">
        <v>4485</v>
      </c>
      <c r="CB185" s="331" t="s">
        <v>251</v>
      </c>
      <c r="CC185" s="331" t="s">
        <v>4482</v>
      </c>
    </row>
    <row r="186" spans="1:81" x14ac:dyDescent="0.25">
      <c r="A186" s="329">
        <v>197876</v>
      </c>
      <c r="B186" s="331" t="s">
        <v>4497</v>
      </c>
      <c r="C186" s="329">
        <v>35026</v>
      </c>
      <c r="D186" s="331" t="s">
        <v>735</v>
      </c>
      <c r="E186" s="331" t="s">
        <v>573</v>
      </c>
      <c r="F186" s="331" t="s">
        <v>4498</v>
      </c>
      <c r="G186" s="331" t="s">
        <v>4499</v>
      </c>
      <c r="H186" s="331" t="s">
        <v>4500</v>
      </c>
      <c r="I186" s="331" t="s">
        <v>4501</v>
      </c>
      <c r="J186" s="331" t="s">
        <v>307</v>
      </c>
      <c r="K186" s="331" t="s">
        <v>4502</v>
      </c>
      <c r="L186" s="329"/>
      <c r="M186" s="329">
        <v>6</v>
      </c>
      <c r="N186" s="329">
        <v>0</v>
      </c>
      <c r="O186" s="329">
        <v>3.1</v>
      </c>
      <c r="P186" s="329"/>
      <c r="Q186" s="333">
        <v>43713.729166666664</v>
      </c>
      <c r="R186" s="329"/>
      <c r="S186" s="333">
        <v>43766</v>
      </c>
      <c r="T186" s="329">
        <v>55</v>
      </c>
      <c r="U186" s="333">
        <v>43766</v>
      </c>
      <c r="V186" s="333">
        <v>44109</v>
      </c>
      <c r="W186" s="329" t="b">
        <v>1</v>
      </c>
      <c r="X186" s="331" t="s">
        <v>905</v>
      </c>
      <c r="Y186" s="329">
        <v>747</v>
      </c>
      <c r="Z186" s="331" t="s">
        <v>23</v>
      </c>
      <c r="AA186" s="331" t="s">
        <v>188</v>
      </c>
      <c r="AB186" s="331" t="s">
        <v>4503</v>
      </c>
      <c r="AC186" s="331" t="s">
        <v>1011</v>
      </c>
      <c r="AD186" s="331" t="s">
        <v>24</v>
      </c>
      <c r="AE186" s="329">
        <v>221</v>
      </c>
      <c r="AF186" s="331" t="s">
        <v>254</v>
      </c>
      <c r="AG186" s="329"/>
      <c r="AH186" s="329">
        <v>17</v>
      </c>
      <c r="AI186" s="331" t="s">
        <v>280</v>
      </c>
      <c r="AJ186" s="331" t="s">
        <v>281</v>
      </c>
      <c r="AK186" s="329"/>
      <c r="AL186" s="329"/>
      <c r="AM186" s="329"/>
      <c r="AN186" s="329"/>
      <c r="AO186" s="329"/>
      <c r="AP186" s="331" t="s">
        <v>809</v>
      </c>
      <c r="AQ186" s="329">
        <v>450</v>
      </c>
      <c r="AR186" s="329">
        <v>430</v>
      </c>
      <c r="AS186" s="329"/>
      <c r="AT186" s="329" t="s">
        <v>332</v>
      </c>
      <c r="AU186" s="329"/>
      <c r="AV186" s="331" t="s">
        <v>307</v>
      </c>
      <c r="AW186" s="329"/>
      <c r="AX186" s="329"/>
      <c r="AY186" s="329"/>
      <c r="AZ186" s="329"/>
      <c r="BA186" s="329"/>
      <c r="BB186" s="329"/>
      <c r="BC186" s="329"/>
      <c r="BD186" s="329"/>
      <c r="BE186" s="329"/>
      <c r="BF186" s="329"/>
      <c r="BG186" s="329"/>
      <c r="BH186" s="329"/>
      <c r="BI186" s="329"/>
      <c r="BJ186" s="329"/>
      <c r="BK186" s="329">
        <v>0</v>
      </c>
      <c r="BL186" s="329"/>
      <c r="BM186" s="331" t="s">
        <v>27</v>
      </c>
      <c r="BN186" s="329" t="s">
        <v>713</v>
      </c>
      <c r="BO186" s="333">
        <v>43766</v>
      </c>
      <c r="BP186" s="329"/>
      <c r="BQ186" s="329"/>
      <c r="BR186" s="329"/>
      <c r="BS186" s="329"/>
      <c r="BT186" s="329"/>
      <c r="BU186" s="331" t="s">
        <v>261</v>
      </c>
      <c r="BV186" s="329"/>
      <c r="BW186" s="329"/>
      <c r="BX186" s="329"/>
      <c r="BY186" s="331" t="s">
        <v>4504</v>
      </c>
      <c r="BZ186" s="331" t="s">
        <v>4505</v>
      </c>
      <c r="CA186" s="331" t="s">
        <v>4506</v>
      </c>
      <c r="CB186" s="331" t="s">
        <v>307</v>
      </c>
      <c r="CC186" s="331" t="s">
        <v>4502</v>
      </c>
    </row>
    <row r="187" spans="1:81" x14ac:dyDescent="0.25">
      <c r="A187" s="329">
        <v>198453</v>
      </c>
      <c r="B187" s="331" t="s">
        <v>4516</v>
      </c>
      <c r="C187" s="329">
        <v>35277</v>
      </c>
      <c r="D187" s="331" t="s">
        <v>3456</v>
      </c>
      <c r="E187" s="331" t="s">
        <v>4517</v>
      </c>
      <c r="F187" s="331" t="s">
        <v>4518</v>
      </c>
      <c r="G187" s="331" t="s">
        <v>4519</v>
      </c>
      <c r="H187" s="331" t="s">
        <v>4520</v>
      </c>
      <c r="I187" s="331" t="s">
        <v>4521</v>
      </c>
      <c r="J187" s="331" t="s">
        <v>292</v>
      </c>
      <c r="K187" s="331" t="s">
        <v>4522</v>
      </c>
      <c r="L187" s="329"/>
      <c r="M187" s="329">
        <v>6</v>
      </c>
      <c r="N187" s="329">
        <v>0</v>
      </c>
      <c r="O187" s="329">
        <v>3.306</v>
      </c>
      <c r="P187" s="329"/>
      <c r="Q187" s="333">
        <v>43725.599305555559</v>
      </c>
      <c r="R187" s="329"/>
      <c r="S187" s="333">
        <v>43766</v>
      </c>
      <c r="T187" s="329">
        <v>55</v>
      </c>
      <c r="U187" s="333">
        <v>43766</v>
      </c>
      <c r="V187" s="333">
        <v>44109</v>
      </c>
      <c r="W187" s="329" t="b">
        <v>1</v>
      </c>
      <c r="X187" s="331" t="s">
        <v>22</v>
      </c>
      <c r="Y187" s="329">
        <v>726</v>
      </c>
      <c r="Z187" s="331" t="s">
        <v>25</v>
      </c>
      <c r="AA187" s="331" t="s">
        <v>919</v>
      </c>
      <c r="AB187" s="331" t="s">
        <v>920</v>
      </c>
      <c r="AC187" s="331" t="s">
        <v>311</v>
      </c>
      <c r="AD187" s="331" t="s">
        <v>24</v>
      </c>
      <c r="AE187" s="329">
        <v>221</v>
      </c>
      <c r="AF187" s="331" t="s">
        <v>254</v>
      </c>
      <c r="AG187" s="329"/>
      <c r="AH187" s="329">
        <v>17</v>
      </c>
      <c r="AI187" s="331" t="s">
        <v>280</v>
      </c>
      <c r="AJ187" s="331" t="s">
        <v>281</v>
      </c>
      <c r="AK187" s="329"/>
      <c r="AL187" s="329"/>
      <c r="AM187" s="329"/>
      <c r="AN187" s="329"/>
      <c r="AO187" s="329"/>
      <c r="AP187" s="331" t="s">
        <v>461</v>
      </c>
      <c r="AQ187" s="329">
        <v>530</v>
      </c>
      <c r="AR187" s="329">
        <v>480</v>
      </c>
      <c r="AS187" s="329"/>
      <c r="AT187" s="329" t="s">
        <v>842</v>
      </c>
      <c r="AU187" s="329" t="s">
        <v>283</v>
      </c>
      <c r="AV187" s="331" t="s">
        <v>292</v>
      </c>
      <c r="AW187" s="329"/>
      <c r="AX187" s="329"/>
      <c r="AY187" s="329"/>
      <c r="AZ187" s="329"/>
      <c r="BA187" s="329"/>
      <c r="BB187" s="329"/>
      <c r="BC187" s="329"/>
      <c r="BD187" s="329"/>
      <c r="BE187" s="329" t="s">
        <v>257</v>
      </c>
      <c r="BF187" s="329" t="s">
        <v>838</v>
      </c>
      <c r="BG187" s="329"/>
      <c r="BH187" s="329"/>
      <c r="BI187" s="329"/>
      <c r="BJ187" s="329"/>
      <c r="BK187" s="329">
        <v>15600</v>
      </c>
      <c r="BL187" s="329"/>
      <c r="BM187" s="331" t="s">
        <v>259</v>
      </c>
      <c r="BN187" s="329" t="s">
        <v>713</v>
      </c>
      <c r="BO187" s="333">
        <v>43766</v>
      </c>
      <c r="BP187" s="329"/>
      <c r="BQ187" s="329"/>
      <c r="BR187" s="329"/>
      <c r="BS187" s="329"/>
      <c r="BT187" s="329"/>
      <c r="BU187" s="331" t="s">
        <v>261</v>
      </c>
      <c r="BV187" s="329"/>
      <c r="BW187" s="329"/>
      <c r="BX187" s="329"/>
      <c r="BY187" s="331" t="s">
        <v>4523</v>
      </c>
      <c r="BZ187" s="331" t="s">
        <v>4524</v>
      </c>
      <c r="CA187" s="331" t="s">
        <v>2773</v>
      </c>
      <c r="CB187" s="331" t="s">
        <v>292</v>
      </c>
      <c r="CC187" s="331" t="s">
        <v>4525</v>
      </c>
    </row>
    <row r="188" spans="1:81" x14ac:dyDescent="0.25">
      <c r="A188" s="329">
        <v>198728</v>
      </c>
      <c r="B188" s="331" t="s">
        <v>4526</v>
      </c>
      <c r="C188" s="329">
        <v>35366</v>
      </c>
      <c r="D188" s="331" t="s">
        <v>4527</v>
      </c>
      <c r="E188" s="331" t="s">
        <v>531</v>
      </c>
      <c r="F188" s="331" t="s">
        <v>4528</v>
      </c>
      <c r="G188" s="331" t="s">
        <v>4529</v>
      </c>
      <c r="H188" s="331" t="s">
        <v>4530</v>
      </c>
      <c r="I188" s="331" t="s">
        <v>4000</v>
      </c>
      <c r="J188" s="331" t="s">
        <v>581</v>
      </c>
      <c r="K188" s="331" t="s">
        <v>4001</v>
      </c>
      <c r="L188" s="329"/>
      <c r="M188" s="329">
        <v>6</v>
      </c>
      <c r="N188" s="329">
        <v>0</v>
      </c>
      <c r="O188" s="329">
        <v>4</v>
      </c>
      <c r="P188" s="329"/>
      <c r="Q188" s="333">
        <v>43752.859027777777</v>
      </c>
      <c r="R188" s="329"/>
      <c r="S188" s="333">
        <v>43766</v>
      </c>
      <c r="T188" s="329">
        <v>55</v>
      </c>
      <c r="U188" s="333">
        <v>43766</v>
      </c>
      <c r="V188" s="333">
        <v>44109</v>
      </c>
      <c r="W188" s="329" t="b">
        <v>1</v>
      </c>
      <c r="X188" s="331" t="s">
        <v>187</v>
      </c>
      <c r="Y188" s="329">
        <v>718</v>
      </c>
      <c r="Z188" s="331" t="s">
        <v>23</v>
      </c>
      <c r="AA188" s="331" t="s">
        <v>919</v>
      </c>
      <c r="AB188" s="331" t="s">
        <v>920</v>
      </c>
      <c r="AC188" s="331" t="s">
        <v>264</v>
      </c>
      <c r="AD188" s="331" t="s">
        <v>24</v>
      </c>
      <c r="AE188" s="329">
        <v>221</v>
      </c>
      <c r="AF188" s="331" t="s">
        <v>254</v>
      </c>
      <c r="AG188" s="329"/>
      <c r="AH188" s="329">
        <v>17</v>
      </c>
      <c r="AI188" s="331" t="s">
        <v>280</v>
      </c>
      <c r="AJ188" s="331" t="s">
        <v>281</v>
      </c>
      <c r="AK188" s="331" t="s">
        <v>347</v>
      </c>
      <c r="AL188" s="331" t="s">
        <v>300</v>
      </c>
      <c r="AM188" s="331" t="s">
        <v>285</v>
      </c>
      <c r="AN188" s="331" t="s">
        <v>351</v>
      </c>
      <c r="AO188" s="331" t="s">
        <v>273</v>
      </c>
      <c r="AP188" s="329"/>
      <c r="AQ188" s="329"/>
      <c r="AR188" s="329"/>
      <c r="AS188" s="329"/>
      <c r="AT188" s="329" t="s">
        <v>352</v>
      </c>
      <c r="AU188" s="329" t="s">
        <v>256</v>
      </c>
      <c r="AV188" s="331" t="s">
        <v>581</v>
      </c>
      <c r="AW188" s="329"/>
      <c r="AX188" s="329"/>
      <c r="AY188" s="329"/>
      <c r="AZ188" s="329"/>
      <c r="BA188" s="329"/>
      <c r="BB188" s="329"/>
      <c r="BC188" s="329"/>
      <c r="BD188" s="329"/>
      <c r="BE188" s="329" t="s">
        <v>257</v>
      </c>
      <c r="BF188" s="329" t="s">
        <v>834</v>
      </c>
      <c r="BG188" s="329"/>
      <c r="BH188" s="329"/>
      <c r="BI188" s="329"/>
      <c r="BJ188" s="329"/>
      <c r="BK188" s="329">
        <v>20400</v>
      </c>
      <c r="BL188" s="329"/>
      <c r="BM188" s="331" t="s">
        <v>278</v>
      </c>
      <c r="BN188" s="329" t="s">
        <v>713</v>
      </c>
      <c r="BO188" s="333">
        <v>43766</v>
      </c>
      <c r="BP188" s="329"/>
      <c r="BQ188" s="329"/>
      <c r="BR188" s="329"/>
      <c r="BS188" s="329"/>
      <c r="BT188" s="329"/>
      <c r="BU188" s="331" t="s">
        <v>261</v>
      </c>
      <c r="BV188" s="329"/>
      <c r="BW188" s="329"/>
      <c r="BX188" s="329"/>
      <c r="BY188" s="331" t="s">
        <v>4002</v>
      </c>
      <c r="BZ188" s="331" t="s">
        <v>4003</v>
      </c>
      <c r="CA188" s="331" t="s">
        <v>4004</v>
      </c>
      <c r="CB188" s="331" t="s">
        <v>581</v>
      </c>
      <c r="CC188" s="331" t="s">
        <v>4001</v>
      </c>
    </row>
    <row r="189" spans="1:81" x14ac:dyDescent="0.25">
      <c r="A189" s="329">
        <v>198988</v>
      </c>
      <c r="B189" s="331" t="s">
        <v>4549</v>
      </c>
      <c r="C189" s="329">
        <v>35429</v>
      </c>
      <c r="D189" s="331" t="s">
        <v>3595</v>
      </c>
      <c r="E189" s="331" t="s">
        <v>4550</v>
      </c>
      <c r="F189" s="331" t="s">
        <v>4551</v>
      </c>
      <c r="G189" s="331" t="s">
        <v>4552</v>
      </c>
      <c r="H189" s="331" t="s">
        <v>4553</v>
      </c>
      <c r="I189" s="331" t="s">
        <v>4554</v>
      </c>
      <c r="J189" s="331" t="s">
        <v>496</v>
      </c>
      <c r="K189" s="331" t="s">
        <v>4555</v>
      </c>
      <c r="L189" s="329"/>
      <c r="M189" s="329">
        <v>6</v>
      </c>
      <c r="N189" s="329">
        <v>0</v>
      </c>
      <c r="O189" s="329">
        <v>3.8</v>
      </c>
      <c r="P189" s="329"/>
      <c r="Q189" s="333">
        <v>43760.638888888891</v>
      </c>
      <c r="R189" s="329"/>
      <c r="S189" s="333">
        <v>43766</v>
      </c>
      <c r="T189" s="329">
        <v>55</v>
      </c>
      <c r="U189" s="333">
        <v>43766</v>
      </c>
      <c r="V189" s="333">
        <v>44109</v>
      </c>
      <c r="W189" s="329" t="b">
        <v>1</v>
      </c>
      <c r="X189" s="331" t="s">
        <v>905</v>
      </c>
      <c r="Y189" s="329">
        <v>747</v>
      </c>
      <c r="Z189" s="331" t="s">
        <v>23</v>
      </c>
      <c r="AA189" s="331" t="s">
        <v>919</v>
      </c>
      <c r="AB189" s="331" t="s">
        <v>920</v>
      </c>
      <c r="AC189" s="331" t="s">
        <v>4556</v>
      </c>
      <c r="AD189" s="331" t="s">
        <v>24</v>
      </c>
      <c r="AE189" s="329">
        <v>221</v>
      </c>
      <c r="AF189" s="331" t="s">
        <v>254</v>
      </c>
      <c r="AG189" s="329"/>
      <c r="AH189" s="329">
        <v>17</v>
      </c>
      <c r="AI189" s="331" t="s">
        <v>280</v>
      </c>
      <c r="AJ189" s="331" t="s">
        <v>281</v>
      </c>
      <c r="AK189" s="331" t="s">
        <v>289</v>
      </c>
      <c r="AL189" s="331" t="s">
        <v>290</v>
      </c>
      <c r="AM189" s="331" t="s">
        <v>351</v>
      </c>
      <c r="AN189" s="331" t="s">
        <v>274</v>
      </c>
      <c r="AO189" s="331" t="s">
        <v>274</v>
      </c>
      <c r="AP189" s="331" t="s">
        <v>342</v>
      </c>
      <c r="AQ189" s="329">
        <v>590</v>
      </c>
      <c r="AR189" s="329">
        <v>570</v>
      </c>
      <c r="AS189" s="329"/>
      <c r="AT189" s="329" t="s">
        <v>556</v>
      </c>
      <c r="AU189" s="329" t="s">
        <v>283</v>
      </c>
      <c r="AV189" s="331" t="s">
        <v>496</v>
      </c>
      <c r="AW189" s="329"/>
      <c r="AX189" s="329"/>
      <c r="AY189" s="329"/>
      <c r="AZ189" s="329"/>
      <c r="BA189" s="329"/>
      <c r="BB189" s="329"/>
      <c r="BC189" s="329"/>
      <c r="BD189" s="329"/>
      <c r="BE189" s="329" t="s">
        <v>257</v>
      </c>
      <c r="BF189" s="329" t="s">
        <v>834</v>
      </c>
      <c r="BG189" s="329"/>
      <c r="BH189" s="329"/>
      <c r="BI189" s="329"/>
      <c r="BJ189" s="329"/>
      <c r="BK189" s="329">
        <v>20400</v>
      </c>
      <c r="BL189" s="329"/>
      <c r="BM189" s="331" t="s">
        <v>278</v>
      </c>
      <c r="BN189" s="329" t="s">
        <v>713</v>
      </c>
      <c r="BO189" s="333">
        <v>43766</v>
      </c>
      <c r="BP189" s="329"/>
      <c r="BQ189" s="329"/>
      <c r="BR189" s="329"/>
      <c r="BS189" s="329"/>
      <c r="BT189" s="329"/>
      <c r="BU189" s="331" t="s">
        <v>261</v>
      </c>
      <c r="BV189" s="329"/>
      <c r="BW189" s="329"/>
      <c r="BX189" s="329"/>
      <c r="BY189" s="331" t="s">
        <v>4557</v>
      </c>
      <c r="BZ189" s="331" t="s">
        <v>4558</v>
      </c>
      <c r="CA189" s="331" t="s">
        <v>4559</v>
      </c>
      <c r="CB189" s="331" t="s">
        <v>496</v>
      </c>
      <c r="CC189" s="331" t="s">
        <v>4560</v>
      </c>
    </row>
    <row r="190" spans="1:81" x14ac:dyDescent="0.25">
      <c r="A190" s="329">
        <v>196497</v>
      </c>
      <c r="B190" s="331" t="s">
        <v>4570</v>
      </c>
      <c r="C190" s="329">
        <v>34664</v>
      </c>
      <c r="D190" s="331" t="s">
        <v>4571</v>
      </c>
      <c r="E190" s="331" t="s">
        <v>710</v>
      </c>
      <c r="F190" s="331" t="s">
        <v>4572</v>
      </c>
      <c r="G190" s="331" t="s">
        <v>4573</v>
      </c>
      <c r="H190" s="331" t="s">
        <v>4574</v>
      </c>
      <c r="I190" s="331" t="s">
        <v>4575</v>
      </c>
      <c r="J190" s="331" t="s">
        <v>397</v>
      </c>
      <c r="K190" s="331" t="s">
        <v>4576</v>
      </c>
      <c r="L190" s="329"/>
      <c r="M190" s="329">
        <v>6</v>
      </c>
      <c r="N190" s="329">
        <v>0</v>
      </c>
      <c r="O190" s="329">
        <v>3.5</v>
      </c>
      <c r="P190" s="329"/>
      <c r="Q190" s="333">
        <v>43703.359722222223</v>
      </c>
      <c r="R190" s="329"/>
      <c r="S190" s="333">
        <v>43766</v>
      </c>
      <c r="T190" s="329">
        <v>55</v>
      </c>
      <c r="U190" s="333">
        <v>43766</v>
      </c>
      <c r="V190" s="333">
        <v>44109</v>
      </c>
      <c r="W190" s="329" t="b">
        <v>1</v>
      </c>
      <c r="X190" s="331" t="s">
        <v>905</v>
      </c>
      <c r="Y190" s="329">
        <v>747</v>
      </c>
      <c r="Z190" s="331" t="s">
        <v>23</v>
      </c>
      <c r="AA190" s="331" t="s">
        <v>919</v>
      </c>
      <c r="AB190" s="331" t="s">
        <v>920</v>
      </c>
      <c r="AC190" s="331" t="s">
        <v>271</v>
      </c>
      <c r="AD190" s="331" t="s">
        <v>24</v>
      </c>
      <c r="AE190" s="329">
        <v>221</v>
      </c>
      <c r="AF190" s="331" t="s">
        <v>254</v>
      </c>
      <c r="AG190" s="329"/>
      <c r="AH190" s="329">
        <v>17</v>
      </c>
      <c r="AI190" s="331" t="s">
        <v>280</v>
      </c>
      <c r="AJ190" s="331" t="s">
        <v>281</v>
      </c>
      <c r="AK190" s="331" t="s">
        <v>274</v>
      </c>
      <c r="AL190" s="331" t="s">
        <v>290</v>
      </c>
      <c r="AM190" s="331" t="s">
        <v>275</v>
      </c>
      <c r="AN190" s="331" t="s">
        <v>290</v>
      </c>
      <c r="AO190" s="331" t="s">
        <v>286</v>
      </c>
      <c r="AP190" s="329"/>
      <c r="AQ190" s="329"/>
      <c r="AR190" s="329"/>
      <c r="AS190" s="329"/>
      <c r="AT190" s="329" t="s">
        <v>319</v>
      </c>
      <c r="AU190" s="329" t="s">
        <v>283</v>
      </c>
      <c r="AV190" s="331" t="s">
        <v>397</v>
      </c>
      <c r="AW190" s="329"/>
      <c r="AX190" s="329"/>
      <c r="AY190" s="329"/>
      <c r="AZ190" s="329"/>
      <c r="BA190" s="329"/>
      <c r="BB190" s="329"/>
      <c r="BC190" s="329"/>
      <c r="BD190" s="329"/>
      <c r="BE190" s="329" t="s">
        <v>257</v>
      </c>
      <c r="BF190" s="329" t="s">
        <v>836</v>
      </c>
      <c r="BG190" s="329"/>
      <c r="BH190" s="329"/>
      <c r="BI190" s="329"/>
      <c r="BJ190" s="329"/>
      <c r="BK190" s="329">
        <v>18000</v>
      </c>
      <c r="BL190" s="329"/>
      <c r="BM190" s="331" t="s">
        <v>310</v>
      </c>
      <c r="BN190" s="329" t="s">
        <v>713</v>
      </c>
      <c r="BO190" s="333">
        <v>43766</v>
      </c>
      <c r="BP190" s="329"/>
      <c r="BQ190" s="329"/>
      <c r="BR190" s="329"/>
      <c r="BS190" s="329"/>
      <c r="BT190" s="329"/>
      <c r="BU190" s="331" t="s">
        <v>261</v>
      </c>
      <c r="BV190" s="329"/>
      <c r="BW190" s="329"/>
      <c r="BX190" s="329"/>
      <c r="BY190" s="331" t="s">
        <v>4577</v>
      </c>
      <c r="BZ190" s="331" t="s">
        <v>4578</v>
      </c>
      <c r="CA190" s="331" t="s">
        <v>4579</v>
      </c>
      <c r="CB190" s="331" t="s">
        <v>397</v>
      </c>
      <c r="CC190" s="331" t="s">
        <v>4580</v>
      </c>
    </row>
    <row r="191" spans="1:81" x14ac:dyDescent="0.25">
      <c r="A191" s="329">
        <v>198522</v>
      </c>
      <c r="B191" s="331" t="s">
        <v>4584</v>
      </c>
      <c r="C191" s="329">
        <v>35301</v>
      </c>
      <c r="D191" s="331" t="s">
        <v>560</v>
      </c>
      <c r="E191" s="331" t="s">
        <v>4585</v>
      </c>
      <c r="F191" s="331" t="s">
        <v>4586</v>
      </c>
      <c r="G191" s="331" t="s">
        <v>4587</v>
      </c>
      <c r="H191" s="331" t="s">
        <v>4588</v>
      </c>
      <c r="I191" s="331" t="s">
        <v>4589</v>
      </c>
      <c r="J191" s="331" t="s">
        <v>396</v>
      </c>
      <c r="K191" s="331" t="s">
        <v>4590</v>
      </c>
      <c r="L191" s="329"/>
      <c r="M191" s="329">
        <v>6</v>
      </c>
      <c r="N191" s="329">
        <v>0</v>
      </c>
      <c r="O191" s="329">
        <v>3.8</v>
      </c>
      <c r="P191" s="329"/>
      <c r="Q191" s="333">
        <v>43745.781944444447</v>
      </c>
      <c r="R191" s="329"/>
      <c r="S191" s="333">
        <v>43766</v>
      </c>
      <c r="T191" s="329">
        <v>55</v>
      </c>
      <c r="U191" s="333">
        <v>43766</v>
      </c>
      <c r="V191" s="333">
        <v>44109</v>
      </c>
      <c r="W191" s="329" t="b">
        <v>1</v>
      </c>
      <c r="X191" s="331" t="s">
        <v>905</v>
      </c>
      <c r="Y191" s="329">
        <v>747</v>
      </c>
      <c r="Z191" s="331" t="s">
        <v>25</v>
      </c>
      <c r="AA191" s="331" t="s">
        <v>919</v>
      </c>
      <c r="AB191" s="331" t="s">
        <v>920</v>
      </c>
      <c r="AC191" s="331" t="s">
        <v>264</v>
      </c>
      <c r="AD191" s="331" t="s">
        <v>24</v>
      </c>
      <c r="AE191" s="329">
        <v>221</v>
      </c>
      <c r="AF191" s="331" t="s">
        <v>254</v>
      </c>
      <c r="AG191" s="329"/>
      <c r="AH191" s="329">
        <v>17</v>
      </c>
      <c r="AI191" s="331" t="s">
        <v>280</v>
      </c>
      <c r="AJ191" s="331" t="s">
        <v>281</v>
      </c>
      <c r="AK191" s="329"/>
      <c r="AL191" s="329"/>
      <c r="AM191" s="329"/>
      <c r="AN191" s="329"/>
      <c r="AO191" s="329"/>
      <c r="AP191" s="329"/>
      <c r="AQ191" s="329"/>
      <c r="AR191" s="329"/>
      <c r="AS191" s="329"/>
      <c r="AT191" s="329" t="s">
        <v>258</v>
      </c>
      <c r="AU191" s="329" t="s">
        <v>283</v>
      </c>
      <c r="AV191" s="331" t="s">
        <v>396</v>
      </c>
      <c r="AW191" s="329"/>
      <c r="AX191" s="329"/>
      <c r="AY191" s="329"/>
      <c r="AZ191" s="329"/>
      <c r="BA191" s="329"/>
      <c r="BB191" s="329"/>
      <c r="BC191" s="329"/>
      <c r="BD191" s="329"/>
      <c r="BE191" s="329" t="s">
        <v>257</v>
      </c>
      <c r="BF191" s="329" t="s">
        <v>841</v>
      </c>
      <c r="BG191" s="329"/>
      <c r="BH191" s="329"/>
      <c r="BI191" s="329"/>
      <c r="BJ191" s="329"/>
      <c r="BK191" s="329">
        <v>9000</v>
      </c>
      <c r="BL191" s="329"/>
      <c r="BM191" s="331" t="s">
        <v>189</v>
      </c>
      <c r="BN191" s="329" t="s">
        <v>713</v>
      </c>
      <c r="BO191" s="333">
        <v>43766</v>
      </c>
      <c r="BP191" s="329"/>
      <c r="BQ191" s="329"/>
      <c r="BR191" s="329"/>
      <c r="BS191" s="329"/>
      <c r="BT191" s="329"/>
      <c r="BU191" s="331" t="s">
        <v>261</v>
      </c>
      <c r="BV191" s="329"/>
      <c r="BW191" s="329"/>
      <c r="BX191" s="329"/>
      <c r="BY191" s="331" t="s">
        <v>4591</v>
      </c>
      <c r="BZ191" s="331" t="s">
        <v>4592</v>
      </c>
      <c r="CA191" s="331" t="s">
        <v>4593</v>
      </c>
      <c r="CB191" s="331" t="s">
        <v>376</v>
      </c>
      <c r="CC191" s="331" t="s">
        <v>4594</v>
      </c>
    </row>
    <row r="192" spans="1:81" x14ac:dyDescent="0.25">
      <c r="A192" s="329">
        <v>198855</v>
      </c>
      <c r="B192" s="331" t="s">
        <v>4595</v>
      </c>
      <c r="C192" s="329">
        <v>35391</v>
      </c>
      <c r="D192" s="331" t="s">
        <v>4596</v>
      </c>
      <c r="E192" s="331" t="s">
        <v>806</v>
      </c>
      <c r="F192" s="331" t="s">
        <v>4597</v>
      </c>
      <c r="G192" s="331" t="s">
        <v>4598</v>
      </c>
      <c r="H192" s="331" t="s">
        <v>4599</v>
      </c>
      <c r="I192" s="331" t="s">
        <v>429</v>
      </c>
      <c r="J192" s="331" t="s">
        <v>430</v>
      </c>
      <c r="K192" s="331" t="s">
        <v>4600</v>
      </c>
      <c r="L192" s="329"/>
      <c r="M192" s="329">
        <v>6</v>
      </c>
      <c r="N192" s="329">
        <v>0</v>
      </c>
      <c r="O192" s="329">
        <v>3.25</v>
      </c>
      <c r="P192" s="329"/>
      <c r="Q192" s="333">
        <v>43747.988888888889</v>
      </c>
      <c r="R192" s="329"/>
      <c r="S192" s="333">
        <v>43766</v>
      </c>
      <c r="T192" s="329">
        <v>55</v>
      </c>
      <c r="U192" s="333">
        <v>43766</v>
      </c>
      <c r="V192" s="333">
        <v>44109</v>
      </c>
      <c r="W192" s="329" t="b">
        <v>1</v>
      </c>
      <c r="X192" s="331" t="s">
        <v>22</v>
      </c>
      <c r="Y192" s="329">
        <v>726</v>
      </c>
      <c r="Z192" s="331" t="s">
        <v>23</v>
      </c>
      <c r="AA192" s="331" t="s">
        <v>919</v>
      </c>
      <c r="AB192" s="331" t="s">
        <v>920</v>
      </c>
      <c r="AC192" s="331" t="s">
        <v>311</v>
      </c>
      <c r="AD192" s="331" t="s">
        <v>24</v>
      </c>
      <c r="AE192" s="329">
        <v>221</v>
      </c>
      <c r="AF192" s="331" t="s">
        <v>254</v>
      </c>
      <c r="AG192" s="329"/>
      <c r="AH192" s="329">
        <v>17</v>
      </c>
      <c r="AI192" s="331" t="s">
        <v>280</v>
      </c>
      <c r="AJ192" s="331" t="s">
        <v>281</v>
      </c>
      <c r="AK192" s="329"/>
      <c r="AL192" s="329"/>
      <c r="AM192" s="329"/>
      <c r="AN192" s="329"/>
      <c r="AO192" s="329"/>
      <c r="AP192" s="329"/>
      <c r="AQ192" s="329"/>
      <c r="AR192" s="329"/>
      <c r="AS192" s="329"/>
      <c r="AT192" s="329" t="s">
        <v>258</v>
      </c>
      <c r="AU192" s="329" t="s">
        <v>256</v>
      </c>
      <c r="AV192" s="331" t="s">
        <v>430</v>
      </c>
      <c r="AW192" s="329"/>
      <c r="AX192" s="329"/>
      <c r="AY192" s="329"/>
      <c r="AZ192" s="329"/>
      <c r="BA192" s="329"/>
      <c r="BB192" s="329"/>
      <c r="BC192" s="329"/>
      <c r="BD192" s="329"/>
      <c r="BE192" s="329" t="s">
        <v>257</v>
      </c>
      <c r="BF192" s="329" t="s">
        <v>841</v>
      </c>
      <c r="BG192" s="329"/>
      <c r="BH192" s="329"/>
      <c r="BI192" s="329"/>
      <c r="BJ192" s="329"/>
      <c r="BK192" s="329">
        <v>9000</v>
      </c>
      <c r="BL192" s="329"/>
      <c r="BM192" s="331" t="s">
        <v>189</v>
      </c>
      <c r="BN192" s="329" t="s">
        <v>713</v>
      </c>
      <c r="BO192" s="333">
        <v>43766</v>
      </c>
      <c r="BP192" s="329"/>
      <c r="BQ192" s="329"/>
      <c r="BR192" s="329"/>
      <c r="BS192" s="329"/>
      <c r="BT192" s="329"/>
      <c r="BU192" s="331" t="s">
        <v>261</v>
      </c>
      <c r="BV192" s="329"/>
      <c r="BW192" s="329"/>
      <c r="BX192" s="329"/>
      <c r="BY192" s="331" t="s">
        <v>4601</v>
      </c>
      <c r="BZ192" s="331" t="s">
        <v>4602</v>
      </c>
      <c r="CA192" s="331" t="s">
        <v>896</v>
      </c>
      <c r="CB192" s="331" t="s">
        <v>430</v>
      </c>
      <c r="CC192" s="331" t="s">
        <v>4603</v>
      </c>
    </row>
    <row r="193" spans="1:81" x14ac:dyDescent="0.25">
      <c r="A193" s="329">
        <v>196946</v>
      </c>
      <c r="B193" s="331" t="s">
        <v>4604</v>
      </c>
      <c r="C193" s="329">
        <v>34768</v>
      </c>
      <c r="D193" s="331" t="s">
        <v>4605</v>
      </c>
      <c r="E193" s="331" t="s">
        <v>4606</v>
      </c>
      <c r="F193" s="331" t="s">
        <v>4607</v>
      </c>
      <c r="G193" s="331" t="s">
        <v>4608</v>
      </c>
      <c r="H193" s="331" t="s">
        <v>4609</v>
      </c>
      <c r="I193" s="331" t="s">
        <v>446</v>
      </c>
      <c r="J193" s="331" t="s">
        <v>321</v>
      </c>
      <c r="K193" s="331" t="s">
        <v>4610</v>
      </c>
      <c r="L193" s="329"/>
      <c r="M193" s="329">
        <v>6</v>
      </c>
      <c r="N193" s="329">
        <v>0</v>
      </c>
      <c r="O193" s="329">
        <v>2.88496</v>
      </c>
      <c r="P193" s="329"/>
      <c r="Q193" s="333">
        <v>43701.642361111109</v>
      </c>
      <c r="R193" s="329"/>
      <c r="S193" s="333">
        <v>43766</v>
      </c>
      <c r="T193" s="329">
        <v>55</v>
      </c>
      <c r="U193" s="333">
        <v>43766</v>
      </c>
      <c r="V193" s="333">
        <v>44109</v>
      </c>
      <c r="W193" s="329" t="b">
        <v>1</v>
      </c>
      <c r="X193" s="331" t="s">
        <v>22</v>
      </c>
      <c r="Y193" s="329">
        <v>726</v>
      </c>
      <c r="Z193" s="331" t="s">
        <v>23</v>
      </c>
      <c r="AA193" s="331" t="s">
        <v>919</v>
      </c>
      <c r="AB193" s="331" t="s">
        <v>920</v>
      </c>
      <c r="AC193" s="331" t="s">
        <v>1405</v>
      </c>
      <c r="AD193" s="331" t="s">
        <v>24</v>
      </c>
      <c r="AE193" s="329">
        <v>221</v>
      </c>
      <c r="AF193" s="331" t="s">
        <v>254</v>
      </c>
      <c r="AG193" s="329"/>
      <c r="AH193" s="329">
        <v>17</v>
      </c>
      <c r="AI193" s="331" t="s">
        <v>280</v>
      </c>
      <c r="AJ193" s="331" t="s">
        <v>281</v>
      </c>
      <c r="AK193" s="331" t="s">
        <v>330</v>
      </c>
      <c r="AL193" s="331" t="s">
        <v>301</v>
      </c>
      <c r="AM193" s="331" t="s">
        <v>363</v>
      </c>
      <c r="AN193" s="331" t="s">
        <v>359</v>
      </c>
      <c r="AO193" s="331" t="s">
        <v>363</v>
      </c>
      <c r="AP193" s="329"/>
      <c r="AQ193" s="329"/>
      <c r="AR193" s="329"/>
      <c r="AS193" s="329"/>
      <c r="AT193" s="329" t="s">
        <v>492</v>
      </c>
      <c r="AU193" s="329" t="s">
        <v>283</v>
      </c>
      <c r="AV193" s="331" t="s">
        <v>321</v>
      </c>
      <c r="AW193" s="329"/>
      <c r="AX193" s="329"/>
      <c r="AY193" s="329"/>
      <c r="AZ193" s="329"/>
      <c r="BA193" s="329"/>
      <c r="BB193" s="329"/>
      <c r="BC193" s="329"/>
      <c r="BD193" s="329"/>
      <c r="BE193" s="329"/>
      <c r="BF193" s="329"/>
      <c r="BG193" s="329"/>
      <c r="BH193" s="329"/>
      <c r="BI193" s="329"/>
      <c r="BJ193" s="329"/>
      <c r="BK193" s="329">
        <v>0</v>
      </c>
      <c r="BL193" s="329"/>
      <c r="BM193" s="331" t="s">
        <v>27</v>
      </c>
      <c r="BN193" s="329" t="s">
        <v>713</v>
      </c>
      <c r="BO193" s="333">
        <v>43766</v>
      </c>
      <c r="BP193" s="329"/>
      <c r="BQ193" s="329"/>
      <c r="BR193" s="329"/>
      <c r="BS193" s="329"/>
      <c r="BT193" s="329"/>
      <c r="BU193" s="331" t="s">
        <v>261</v>
      </c>
      <c r="BV193" s="329"/>
      <c r="BW193" s="329"/>
      <c r="BX193" s="329"/>
      <c r="BY193" s="331" t="s">
        <v>4611</v>
      </c>
      <c r="BZ193" s="331" t="s">
        <v>4612</v>
      </c>
      <c r="CA193" s="331" t="s">
        <v>4613</v>
      </c>
      <c r="CB193" s="331" t="s">
        <v>321</v>
      </c>
      <c r="CC193" s="331" t="s">
        <v>4614</v>
      </c>
    </row>
    <row r="194" spans="1:81" x14ac:dyDescent="0.25">
      <c r="A194" s="329">
        <v>198826</v>
      </c>
      <c r="B194" s="331" t="s">
        <v>4624</v>
      </c>
      <c r="C194" s="329">
        <v>35388</v>
      </c>
      <c r="D194" s="331" t="s">
        <v>373</v>
      </c>
      <c r="E194" s="331" t="s">
        <v>4625</v>
      </c>
      <c r="F194" s="331" t="s">
        <v>4626</v>
      </c>
      <c r="G194" s="331" t="s">
        <v>4627</v>
      </c>
      <c r="H194" s="331" t="s">
        <v>4628</v>
      </c>
      <c r="I194" s="331" t="s">
        <v>388</v>
      </c>
      <c r="J194" s="331" t="s">
        <v>376</v>
      </c>
      <c r="K194" s="331" t="s">
        <v>4629</v>
      </c>
      <c r="L194" s="329"/>
      <c r="M194" s="329">
        <v>6</v>
      </c>
      <c r="N194" s="329">
        <v>0</v>
      </c>
      <c r="O194" s="329">
        <v>3</v>
      </c>
      <c r="P194" s="329"/>
      <c r="Q194" s="333">
        <v>43739.904861111114</v>
      </c>
      <c r="R194" s="329"/>
      <c r="S194" s="333">
        <v>43766</v>
      </c>
      <c r="T194" s="329">
        <v>55</v>
      </c>
      <c r="U194" s="333">
        <v>43766</v>
      </c>
      <c r="V194" s="333">
        <v>44109</v>
      </c>
      <c r="W194" s="329" t="b">
        <v>1</v>
      </c>
      <c r="X194" s="331" t="s">
        <v>905</v>
      </c>
      <c r="Y194" s="329">
        <v>747</v>
      </c>
      <c r="Z194" s="331" t="s">
        <v>23</v>
      </c>
      <c r="AA194" s="331" t="s">
        <v>919</v>
      </c>
      <c r="AB194" s="331" t="s">
        <v>920</v>
      </c>
      <c r="AC194" s="331" t="s">
        <v>346</v>
      </c>
      <c r="AD194" s="331" t="s">
        <v>24</v>
      </c>
      <c r="AE194" s="329">
        <v>221</v>
      </c>
      <c r="AF194" s="331" t="s">
        <v>254</v>
      </c>
      <c r="AG194" s="329"/>
      <c r="AH194" s="329">
        <v>17</v>
      </c>
      <c r="AI194" s="331" t="s">
        <v>280</v>
      </c>
      <c r="AJ194" s="331" t="s">
        <v>281</v>
      </c>
      <c r="AK194" s="331" t="s">
        <v>299</v>
      </c>
      <c r="AL194" s="331" t="s">
        <v>328</v>
      </c>
      <c r="AM194" s="331" t="s">
        <v>299</v>
      </c>
      <c r="AN194" s="331" t="s">
        <v>331</v>
      </c>
      <c r="AO194" s="331" t="s">
        <v>301</v>
      </c>
      <c r="AP194" s="329"/>
      <c r="AQ194" s="329"/>
      <c r="AR194" s="329"/>
      <c r="AS194" s="329"/>
      <c r="AT194" s="329" t="s">
        <v>266</v>
      </c>
      <c r="AU194" s="329" t="s">
        <v>283</v>
      </c>
      <c r="AV194" s="331" t="s">
        <v>376</v>
      </c>
      <c r="AW194" s="329"/>
      <c r="AX194" s="329"/>
      <c r="AY194" s="329"/>
      <c r="AZ194" s="329"/>
      <c r="BA194" s="329"/>
      <c r="BB194" s="329"/>
      <c r="BC194" s="329"/>
      <c r="BD194" s="329"/>
      <c r="BE194" s="329" t="s">
        <v>257</v>
      </c>
      <c r="BF194" s="329" t="s">
        <v>841</v>
      </c>
      <c r="BG194" s="329"/>
      <c r="BH194" s="329"/>
      <c r="BI194" s="329"/>
      <c r="BJ194" s="329"/>
      <c r="BK194" s="329">
        <v>9000</v>
      </c>
      <c r="BL194" s="329"/>
      <c r="BM194" s="331" t="s">
        <v>189</v>
      </c>
      <c r="BN194" s="329" t="s">
        <v>713</v>
      </c>
      <c r="BO194" s="333">
        <v>43766</v>
      </c>
      <c r="BP194" s="329"/>
      <c r="BQ194" s="329"/>
      <c r="BR194" s="329"/>
      <c r="BS194" s="329"/>
      <c r="BT194" s="329"/>
      <c r="BU194" s="331" t="s">
        <v>261</v>
      </c>
      <c r="BV194" s="329"/>
      <c r="BW194" s="329"/>
      <c r="BX194" s="329"/>
      <c r="BY194" s="331" t="s">
        <v>4630</v>
      </c>
      <c r="BZ194" s="331" t="s">
        <v>4631</v>
      </c>
      <c r="CA194" s="331" t="s">
        <v>709</v>
      </c>
      <c r="CB194" s="331" t="s">
        <v>376</v>
      </c>
      <c r="CC194" s="331" t="s">
        <v>4632</v>
      </c>
    </row>
    <row r="195" spans="1:81" x14ac:dyDescent="0.25">
      <c r="A195" s="329">
        <v>196148</v>
      </c>
      <c r="B195" s="331" t="s">
        <v>4633</v>
      </c>
      <c r="C195" s="329">
        <v>34516</v>
      </c>
      <c r="D195" s="331" t="s">
        <v>4634</v>
      </c>
      <c r="E195" s="331" t="s">
        <v>3564</v>
      </c>
      <c r="F195" s="331" t="s">
        <v>4635</v>
      </c>
      <c r="G195" s="331" t="s">
        <v>4636</v>
      </c>
      <c r="H195" s="331" t="s">
        <v>4637</v>
      </c>
      <c r="I195" s="331" t="s">
        <v>4638</v>
      </c>
      <c r="J195" s="331" t="s">
        <v>480</v>
      </c>
      <c r="K195" s="331" t="s">
        <v>4639</v>
      </c>
      <c r="L195" s="329"/>
      <c r="M195" s="329">
        <v>6</v>
      </c>
      <c r="N195" s="329">
        <v>0</v>
      </c>
      <c r="O195" s="329">
        <v>3.08</v>
      </c>
      <c r="P195" s="329"/>
      <c r="Q195" s="333">
        <v>43640.461111111108</v>
      </c>
      <c r="R195" s="329"/>
      <c r="S195" s="333">
        <v>43766</v>
      </c>
      <c r="T195" s="329">
        <v>55</v>
      </c>
      <c r="U195" s="333">
        <v>43766</v>
      </c>
      <c r="V195" s="333">
        <v>44109</v>
      </c>
      <c r="W195" s="329" t="b">
        <v>1</v>
      </c>
      <c r="X195" s="331" t="s">
        <v>22</v>
      </c>
      <c r="Y195" s="329">
        <v>726</v>
      </c>
      <c r="Z195" s="331" t="s">
        <v>25</v>
      </c>
      <c r="AA195" s="331" t="s">
        <v>919</v>
      </c>
      <c r="AB195" s="331" t="s">
        <v>920</v>
      </c>
      <c r="AC195" s="331" t="s">
        <v>4640</v>
      </c>
      <c r="AD195" s="331" t="s">
        <v>24</v>
      </c>
      <c r="AE195" s="329">
        <v>221</v>
      </c>
      <c r="AF195" s="331" t="s">
        <v>254</v>
      </c>
      <c r="AG195" s="329"/>
      <c r="AH195" s="329">
        <v>17</v>
      </c>
      <c r="AI195" s="331" t="s">
        <v>280</v>
      </c>
      <c r="AJ195" s="331" t="s">
        <v>281</v>
      </c>
      <c r="AK195" s="329"/>
      <c r="AL195" s="329"/>
      <c r="AM195" s="329"/>
      <c r="AN195" s="329"/>
      <c r="AO195" s="329"/>
      <c r="AP195" s="331" t="s">
        <v>481</v>
      </c>
      <c r="AQ195" s="329">
        <v>690</v>
      </c>
      <c r="AR195" s="329">
        <v>630</v>
      </c>
      <c r="AS195" s="329"/>
      <c r="AT195" s="329" t="s">
        <v>338</v>
      </c>
      <c r="AU195" s="329" t="s">
        <v>283</v>
      </c>
      <c r="AV195" s="331" t="s">
        <v>480</v>
      </c>
      <c r="AW195" s="329"/>
      <c r="AX195" s="329"/>
      <c r="AY195" s="329"/>
      <c r="AZ195" s="329"/>
      <c r="BA195" s="329"/>
      <c r="BB195" s="329"/>
      <c r="BC195" s="329"/>
      <c r="BD195" s="329"/>
      <c r="BE195" s="329" t="s">
        <v>257</v>
      </c>
      <c r="BF195" s="329" t="s">
        <v>834</v>
      </c>
      <c r="BG195" s="329"/>
      <c r="BH195" s="329"/>
      <c r="BI195" s="329"/>
      <c r="BJ195" s="329"/>
      <c r="BK195" s="329">
        <v>20400</v>
      </c>
      <c r="BL195" s="329"/>
      <c r="BM195" s="331" t="s">
        <v>278</v>
      </c>
      <c r="BN195" s="329" t="s">
        <v>713</v>
      </c>
      <c r="BO195" s="333">
        <v>43766</v>
      </c>
      <c r="BP195" s="329"/>
      <c r="BQ195" s="329"/>
      <c r="BR195" s="329"/>
      <c r="BS195" s="329"/>
      <c r="BT195" s="329"/>
      <c r="BU195" s="331" t="s">
        <v>261</v>
      </c>
      <c r="BV195" s="329"/>
      <c r="BW195" s="329"/>
      <c r="BX195" s="329"/>
      <c r="BY195" s="331" t="s">
        <v>4641</v>
      </c>
      <c r="BZ195" s="331" t="s">
        <v>4642</v>
      </c>
      <c r="CA195" s="331" t="s">
        <v>4643</v>
      </c>
      <c r="CB195" s="331" t="s">
        <v>480</v>
      </c>
      <c r="CC195" s="331" t="s">
        <v>4644</v>
      </c>
    </row>
    <row r="196" spans="1:81" x14ac:dyDescent="0.25">
      <c r="A196" s="329">
        <v>195714</v>
      </c>
      <c r="B196" s="331" t="s">
        <v>4651</v>
      </c>
      <c r="C196" s="329">
        <v>34392</v>
      </c>
      <c r="D196" s="331" t="s">
        <v>4652</v>
      </c>
      <c r="E196" s="331" t="s">
        <v>451</v>
      </c>
      <c r="F196" s="331" t="s">
        <v>4653</v>
      </c>
      <c r="G196" s="331" t="s">
        <v>4654</v>
      </c>
      <c r="H196" s="331" t="s">
        <v>4655</v>
      </c>
      <c r="I196" s="331" t="s">
        <v>509</v>
      </c>
      <c r="J196" s="331" t="s">
        <v>263</v>
      </c>
      <c r="K196" s="331" t="s">
        <v>4656</v>
      </c>
      <c r="L196" s="329"/>
      <c r="M196" s="329">
        <v>6</v>
      </c>
      <c r="N196" s="329">
        <v>0</v>
      </c>
      <c r="O196" s="329">
        <v>2.4420000000000002</v>
      </c>
      <c r="P196" s="329"/>
      <c r="Q196" s="333">
        <v>43673.454861111109</v>
      </c>
      <c r="R196" s="329"/>
      <c r="S196" s="333">
        <v>43766</v>
      </c>
      <c r="T196" s="329">
        <v>55</v>
      </c>
      <c r="U196" s="333">
        <v>43766</v>
      </c>
      <c r="V196" s="333">
        <v>44109</v>
      </c>
      <c r="W196" s="329" t="b">
        <v>1</v>
      </c>
      <c r="X196" s="331" t="s">
        <v>22</v>
      </c>
      <c r="Y196" s="329">
        <v>726</v>
      </c>
      <c r="Z196" s="331" t="s">
        <v>23</v>
      </c>
      <c r="AA196" s="331" t="s">
        <v>919</v>
      </c>
      <c r="AB196" s="331" t="s">
        <v>920</v>
      </c>
      <c r="AC196" s="331" t="s">
        <v>1482</v>
      </c>
      <c r="AD196" s="331" t="s">
        <v>592</v>
      </c>
      <c r="AE196" s="329">
        <v>222</v>
      </c>
      <c r="AF196" s="331" t="s">
        <v>254</v>
      </c>
      <c r="AG196" s="329"/>
      <c r="AH196" s="329">
        <v>17</v>
      </c>
      <c r="AI196" s="331" t="s">
        <v>280</v>
      </c>
      <c r="AJ196" s="331" t="s">
        <v>281</v>
      </c>
      <c r="AK196" s="329"/>
      <c r="AL196" s="329"/>
      <c r="AM196" s="329"/>
      <c r="AN196" s="329"/>
      <c r="AO196" s="329"/>
      <c r="AP196" s="331" t="s">
        <v>361</v>
      </c>
      <c r="AQ196" s="329">
        <v>690</v>
      </c>
      <c r="AR196" s="329">
        <v>560</v>
      </c>
      <c r="AS196" s="329"/>
      <c r="AT196" s="329" t="s">
        <v>365</v>
      </c>
      <c r="AU196" s="329" t="s">
        <v>283</v>
      </c>
      <c r="AV196" s="331" t="s">
        <v>263</v>
      </c>
      <c r="AW196" s="329"/>
      <c r="AX196" s="329"/>
      <c r="AY196" s="329"/>
      <c r="AZ196" s="329"/>
      <c r="BA196" s="329"/>
      <c r="BB196" s="329"/>
      <c r="BC196" s="329"/>
      <c r="BD196" s="329"/>
      <c r="BE196" s="329" t="s">
        <v>257</v>
      </c>
      <c r="BF196" s="329" t="s">
        <v>838</v>
      </c>
      <c r="BG196" s="329"/>
      <c r="BH196" s="329"/>
      <c r="BI196" s="329"/>
      <c r="BJ196" s="329"/>
      <c r="BK196" s="329">
        <v>15600</v>
      </c>
      <c r="BL196" s="329"/>
      <c r="BM196" s="331" t="s">
        <v>259</v>
      </c>
      <c r="BN196" s="329" t="s">
        <v>713</v>
      </c>
      <c r="BO196" s="333">
        <v>43766</v>
      </c>
      <c r="BP196" s="329"/>
      <c r="BQ196" s="329"/>
      <c r="BR196" s="329"/>
      <c r="BS196" s="329"/>
      <c r="BT196" s="329"/>
      <c r="BU196" s="331" t="s">
        <v>261</v>
      </c>
      <c r="BV196" s="329"/>
      <c r="BW196" s="329"/>
      <c r="BX196" s="329"/>
      <c r="BY196" s="331" t="s">
        <v>4657</v>
      </c>
      <c r="BZ196" s="331" t="s">
        <v>4658</v>
      </c>
      <c r="CA196" s="331" t="s">
        <v>509</v>
      </c>
      <c r="CB196" s="331" t="s">
        <v>263</v>
      </c>
      <c r="CC196" s="331" t="s">
        <v>533</v>
      </c>
    </row>
    <row r="197" spans="1:81" x14ac:dyDescent="0.25">
      <c r="A197" s="329">
        <v>197644</v>
      </c>
      <c r="B197" s="331" t="s">
        <v>4659</v>
      </c>
      <c r="C197" s="329">
        <v>34936</v>
      </c>
      <c r="D197" s="331" t="s">
        <v>4660</v>
      </c>
      <c r="E197" s="331" t="s">
        <v>443</v>
      </c>
      <c r="F197" s="331" t="s">
        <v>4661</v>
      </c>
      <c r="G197" s="331" t="s">
        <v>4662</v>
      </c>
      <c r="H197" s="331" t="s">
        <v>4663</v>
      </c>
      <c r="I197" s="331" t="s">
        <v>4664</v>
      </c>
      <c r="J197" s="331" t="s">
        <v>484</v>
      </c>
      <c r="K197" s="331" t="s">
        <v>4665</v>
      </c>
      <c r="L197" s="329"/>
      <c r="M197" s="329">
        <v>6</v>
      </c>
      <c r="N197" s="329">
        <v>0</v>
      </c>
      <c r="O197" s="329">
        <v>1.92</v>
      </c>
      <c r="P197" s="329"/>
      <c r="Q197" s="333">
        <v>43265.708333333336</v>
      </c>
      <c r="R197" s="329"/>
      <c r="S197" s="333">
        <v>43763</v>
      </c>
      <c r="T197" s="329">
        <v>55</v>
      </c>
      <c r="U197" s="333">
        <v>43763</v>
      </c>
      <c r="V197" s="333">
        <v>44109</v>
      </c>
      <c r="W197" s="329" t="b">
        <v>1</v>
      </c>
      <c r="X197" s="331" t="s">
        <v>187</v>
      </c>
      <c r="Y197" s="329">
        <v>718</v>
      </c>
      <c r="Z197" s="331" t="s">
        <v>23</v>
      </c>
      <c r="AA197" s="331" t="s">
        <v>919</v>
      </c>
      <c r="AB197" s="331" t="s">
        <v>920</v>
      </c>
      <c r="AC197" s="331" t="s">
        <v>4666</v>
      </c>
      <c r="AD197" s="331" t="s">
        <v>592</v>
      </c>
      <c r="AE197" s="329">
        <v>222</v>
      </c>
      <c r="AF197" s="331" t="s">
        <v>254</v>
      </c>
      <c r="AG197" s="329"/>
      <c r="AH197" s="329">
        <v>17</v>
      </c>
      <c r="AI197" s="331" t="s">
        <v>280</v>
      </c>
      <c r="AJ197" s="331" t="s">
        <v>281</v>
      </c>
      <c r="AK197" s="329"/>
      <c r="AL197" s="329"/>
      <c r="AM197" s="329"/>
      <c r="AN197" s="329"/>
      <c r="AO197" s="329"/>
      <c r="AP197" s="331" t="s">
        <v>489</v>
      </c>
      <c r="AQ197" s="329">
        <v>470</v>
      </c>
      <c r="AR197" s="329">
        <v>520</v>
      </c>
      <c r="AS197" s="329"/>
      <c r="AT197" s="329" t="s">
        <v>419</v>
      </c>
      <c r="AU197" s="329" t="s">
        <v>256</v>
      </c>
      <c r="AV197" s="331" t="s">
        <v>484</v>
      </c>
      <c r="AW197" s="329"/>
      <c r="AX197" s="329"/>
      <c r="AY197" s="329"/>
      <c r="AZ197" s="329"/>
      <c r="BA197" s="329"/>
      <c r="BB197" s="329"/>
      <c r="BC197" s="329"/>
      <c r="BD197" s="329"/>
      <c r="BE197" s="329"/>
      <c r="BF197" s="329"/>
      <c r="BG197" s="329"/>
      <c r="BH197" s="329" t="s">
        <v>258</v>
      </c>
      <c r="BI197" s="329"/>
      <c r="BJ197" s="329"/>
      <c r="BK197" s="329">
        <v>0</v>
      </c>
      <c r="BL197" s="329"/>
      <c r="BM197" s="331" t="s">
        <v>323</v>
      </c>
      <c r="BN197" s="329" t="s">
        <v>713</v>
      </c>
      <c r="BO197" s="333">
        <v>43766</v>
      </c>
      <c r="BP197" s="329"/>
      <c r="BQ197" s="335">
        <v>43720</v>
      </c>
      <c r="BR197" s="329"/>
      <c r="BS197" s="329"/>
      <c r="BT197" s="329"/>
      <c r="BU197" s="331" t="s">
        <v>261</v>
      </c>
      <c r="BV197" s="329"/>
      <c r="BW197" s="329"/>
      <c r="BX197" s="329"/>
      <c r="BY197" s="331" t="s">
        <v>4667</v>
      </c>
      <c r="BZ197" s="331" t="s">
        <v>4668</v>
      </c>
      <c r="CA197" s="331" t="s">
        <v>4669</v>
      </c>
      <c r="CB197" s="331" t="s">
        <v>484</v>
      </c>
      <c r="CC197" s="331" t="s">
        <v>4670</v>
      </c>
    </row>
    <row r="198" spans="1:81" x14ac:dyDescent="0.25">
      <c r="A198" s="329">
        <v>195734</v>
      </c>
      <c r="B198" s="331" t="s">
        <v>4332</v>
      </c>
      <c r="C198" s="329">
        <v>34396</v>
      </c>
      <c r="D198" s="331" t="s">
        <v>3898</v>
      </c>
      <c r="E198" s="331" t="s">
        <v>262</v>
      </c>
      <c r="F198" s="331" t="s">
        <v>4333</v>
      </c>
      <c r="G198" s="331" t="s">
        <v>4334</v>
      </c>
      <c r="H198" s="331" t="s">
        <v>4335</v>
      </c>
      <c r="I198" s="331" t="s">
        <v>553</v>
      </c>
      <c r="J198" s="331" t="s">
        <v>21</v>
      </c>
      <c r="K198" s="331" t="s">
        <v>554</v>
      </c>
      <c r="L198" s="329"/>
      <c r="M198" s="329">
        <v>6</v>
      </c>
      <c r="N198" s="329">
        <v>0</v>
      </c>
      <c r="O198" s="329">
        <v>2.6429999999999998</v>
      </c>
      <c r="P198" s="329"/>
      <c r="Q198" s="333">
        <v>43674.788194444445</v>
      </c>
      <c r="R198" s="329"/>
      <c r="S198" s="333">
        <v>43766</v>
      </c>
      <c r="T198" s="329">
        <v>55</v>
      </c>
      <c r="U198" s="333">
        <v>43766</v>
      </c>
      <c r="V198" s="333">
        <v>44109</v>
      </c>
      <c r="W198" s="329" t="b">
        <v>1</v>
      </c>
      <c r="X198" s="331" t="s">
        <v>187</v>
      </c>
      <c r="Y198" s="329">
        <v>718</v>
      </c>
      <c r="Z198" s="331" t="s">
        <v>23</v>
      </c>
      <c r="AA198" s="331" t="s">
        <v>407</v>
      </c>
      <c r="AB198" s="331" t="s">
        <v>408</v>
      </c>
      <c r="AC198" s="331" t="s">
        <v>720</v>
      </c>
      <c r="AD198" s="331" t="s">
        <v>592</v>
      </c>
      <c r="AE198" s="329">
        <v>222</v>
      </c>
      <c r="AF198" s="331" t="s">
        <v>254</v>
      </c>
      <c r="AG198" s="329"/>
      <c r="AH198" s="329">
        <v>17</v>
      </c>
      <c r="AI198" s="331" t="s">
        <v>280</v>
      </c>
      <c r="AJ198" s="331" t="s">
        <v>281</v>
      </c>
      <c r="AK198" s="331" t="s">
        <v>359</v>
      </c>
      <c r="AL198" s="331" t="s">
        <v>416</v>
      </c>
      <c r="AM198" s="331" t="s">
        <v>386</v>
      </c>
      <c r="AN198" s="331" t="s">
        <v>418</v>
      </c>
      <c r="AO198" s="331" t="s">
        <v>359</v>
      </c>
      <c r="AP198" s="329"/>
      <c r="AQ198" s="329"/>
      <c r="AR198" s="329"/>
      <c r="AS198" s="329"/>
      <c r="AT198" s="329" t="s">
        <v>1720</v>
      </c>
      <c r="AU198" s="329" t="s">
        <v>283</v>
      </c>
      <c r="AV198" s="331" t="s">
        <v>21</v>
      </c>
      <c r="AW198" s="329"/>
      <c r="AX198" s="329"/>
      <c r="AY198" s="329"/>
      <c r="AZ198" s="329"/>
      <c r="BA198" s="329"/>
      <c r="BB198" s="329"/>
      <c r="BC198" s="329"/>
      <c r="BD198" s="329"/>
      <c r="BE198" s="329"/>
      <c r="BF198" s="329"/>
      <c r="BG198" s="329"/>
      <c r="BH198" s="329"/>
      <c r="BI198" s="329" t="s">
        <v>334</v>
      </c>
      <c r="BJ198" s="329" t="s">
        <v>831</v>
      </c>
      <c r="BK198" s="329">
        <v>36000</v>
      </c>
      <c r="BL198" s="329"/>
      <c r="BM198" s="331" t="s">
        <v>28</v>
      </c>
      <c r="BN198" s="329" t="s">
        <v>713</v>
      </c>
      <c r="BO198" s="333">
        <v>43766</v>
      </c>
      <c r="BP198" s="329"/>
      <c r="BQ198" s="329"/>
      <c r="BR198" s="329"/>
      <c r="BS198" s="329"/>
      <c r="BT198" s="329"/>
      <c r="BU198" s="331" t="s">
        <v>261</v>
      </c>
      <c r="BV198" s="329"/>
      <c r="BW198" s="329"/>
      <c r="BX198" s="329"/>
      <c r="BY198" s="331" t="s">
        <v>4336</v>
      </c>
      <c r="BZ198" s="331" t="s">
        <v>4337</v>
      </c>
      <c r="CA198" s="331" t="s">
        <v>511</v>
      </c>
      <c r="CB198" s="331" t="s">
        <v>21</v>
      </c>
      <c r="CC198" s="331" t="s">
        <v>512</v>
      </c>
    </row>
    <row r="199" spans="1:81" x14ac:dyDescent="0.25">
      <c r="A199" s="329">
        <v>195357</v>
      </c>
      <c r="B199" s="331" t="s">
        <v>4541</v>
      </c>
      <c r="C199" s="329">
        <v>34306</v>
      </c>
      <c r="D199" s="331" t="s">
        <v>4542</v>
      </c>
      <c r="E199" s="331" t="s">
        <v>317</v>
      </c>
      <c r="F199" s="331" t="s">
        <v>4543</v>
      </c>
      <c r="G199" s="331" t="s">
        <v>4544</v>
      </c>
      <c r="H199" s="331" t="s">
        <v>4545</v>
      </c>
      <c r="I199" s="331" t="s">
        <v>778</v>
      </c>
      <c r="J199" s="331" t="s">
        <v>298</v>
      </c>
      <c r="K199" s="331" t="s">
        <v>779</v>
      </c>
      <c r="L199" s="329"/>
      <c r="M199" s="329">
        <v>6</v>
      </c>
      <c r="N199" s="329">
        <v>0</v>
      </c>
      <c r="O199" s="329">
        <v>3</v>
      </c>
      <c r="P199" s="329"/>
      <c r="Q199" s="333">
        <v>43578.65625</v>
      </c>
      <c r="R199" s="329"/>
      <c r="S199" s="333">
        <v>43766</v>
      </c>
      <c r="T199" s="329">
        <v>55</v>
      </c>
      <c r="U199" s="333">
        <v>43766</v>
      </c>
      <c r="V199" s="333">
        <v>44109</v>
      </c>
      <c r="W199" s="329" t="b">
        <v>1</v>
      </c>
      <c r="X199" s="331" t="s">
        <v>905</v>
      </c>
      <c r="Y199" s="329">
        <v>747</v>
      </c>
      <c r="Z199" s="331" t="s">
        <v>23</v>
      </c>
      <c r="AA199" s="331" t="s">
        <v>919</v>
      </c>
      <c r="AB199" s="331" t="s">
        <v>920</v>
      </c>
      <c r="AC199" s="331" t="s">
        <v>1329</v>
      </c>
      <c r="AD199" s="331" t="s">
        <v>592</v>
      </c>
      <c r="AE199" s="329">
        <v>222</v>
      </c>
      <c r="AF199" s="331" t="s">
        <v>254</v>
      </c>
      <c r="AG199" s="329"/>
      <c r="AH199" s="329">
        <v>17</v>
      </c>
      <c r="AI199" s="331" t="s">
        <v>280</v>
      </c>
      <c r="AJ199" s="331" t="s">
        <v>281</v>
      </c>
      <c r="AK199" s="329"/>
      <c r="AL199" s="329"/>
      <c r="AM199" s="329"/>
      <c r="AN199" s="329"/>
      <c r="AO199" s="329"/>
      <c r="AP199" s="329"/>
      <c r="AQ199" s="329"/>
      <c r="AR199" s="329"/>
      <c r="AS199" s="329"/>
      <c r="AT199" s="329" t="s">
        <v>258</v>
      </c>
      <c r="AU199" s="329" t="s">
        <v>283</v>
      </c>
      <c r="AV199" s="331" t="s">
        <v>298</v>
      </c>
      <c r="AW199" s="329"/>
      <c r="AX199" s="329"/>
      <c r="AY199" s="329"/>
      <c r="AZ199" s="329"/>
      <c r="BA199" s="329"/>
      <c r="BB199" s="329"/>
      <c r="BC199" s="329"/>
      <c r="BD199" s="329"/>
      <c r="BE199" s="329"/>
      <c r="BF199" s="329"/>
      <c r="BG199" s="329"/>
      <c r="BH199" s="329"/>
      <c r="BI199" s="329"/>
      <c r="BJ199" s="329"/>
      <c r="BK199" s="329">
        <v>0</v>
      </c>
      <c r="BL199" s="329"/>
      <c r="BM199" s="331" t="s">
        <v>28</v>
      </c>
      <c r="BN199" s="329" t="s">
        <v>713</v>
      </c>
      <c r="BO199" s="333">
        <v>43766</v>
      </c>
      <c r="BP199" s="329"/>
      <c r="BQ199" s="329"/>
      <c r="BR199" s="329"/>
      <c r="BS199" s="329"/>
      <c r="BT199" s="329"/>
      <c r="BU199" s="331" t="s">
        <v>261</v>
      </c>
      <c r="BV199" s="329"/>
      <c r="BW199" s="329"/>
      <c r="BX199" s="329"/>
      <c r="BY199" s="331" t="s">
        <v>4546</v>
      </c>
      <c r="BZ199" s="331" t="s">
        <v>4547</v>
      </c>
      <c r="CA199" s="331" t="s">
        <v>4548</v>
      </c>
      <c r="CB199" s="331" t="s">
        <v>298</v>
      </c>
      <c r="CC199" s="331" t="s">
        <v>779</v>
      </c>
    </row>
    <row r="200" spans="1:81" x14ac:dyDescent="0.25">
      <c r="A200" s="329">
        <v>198019</v>
      </c>
      <c r="B200" s="331" t="s">
        <v>1035</v>
      </c>
      <c r="C200" s="329">
        <v>35060</v>
      </c>
      <c r="D200" s="331" t="s">
        <v>1036</v>
      </c>
      <c r="E200" s="331" t="s">
        <v>1037</v>
      </c>
      <c r="F200" s="331" t="s">
        <v>1038</v>
      </c>
      <c r="G200" s="331" t="s">
        <v>1039</v>
      </c>
      <c r="H200" s="331" t="s">
        <v>1040</v>
      </c>
      <c r="I200" s="331" t="s">
        <v>381</v>
      </c>
      <c r="J200" s="331" t="s">
        <v>292</v>
      </c>
      <c r="K200" s="331" t="s">
        <v>1041</v>
      </c>
      <c r="L200" s="329"/>
      <c r="M200" s="329">
        <v>6</v>
      </c>
      <c r="N200" s="329">
        <v>0</v>
      </c>
      <c r="O200" s="329">
        <v>2.2200000000000002</v>
      </c>
      <c r="P200" s="329"/>
      <c r="Q200" s="333">
        <v>43707.730555555558</v>
      </c>
      <c r="R200" s="329"/>
      <c r="S200" s="333">
        <v>43755</v>
      </c>
      <c r="T200" s="329">
        <v>55</v>
      </c>
      <c r="U200" s="333">
        <v>43755</v>
      </c>
      <c r="V200" s="333">
        <v>44109</v>
      </c>
      <c r="W200" s="329" t="b">
        <v>1</v>
      </c>
      <c r="X200" s="331" t="s">
        <v>22</v>
      </c>
      <c r="Y200" s="329">
        <v>429</v>
      </c>
      <c r="Z200" s="331" t="s">
        <v>23</v>
      </c>
      <c r="AA200" s="331" t="s">
        <v>919</v>
      </c>
      <c r="AB200" s="331" t="s">
        <v>920</v>
      </c>
      <c r="AC200" s="331" t="s">
        <v>1042</v>
      </c>
      <c r="AD200" s="331" t="s">
        <v>24</v>
      </c>
      <c r="AE200" s="329">
        <v>221</v>
      </c>
      <c r="AF200" s="331" t="s">
        <v>254</v>
      </c>
      <c r="AG200" s="329"/>
      <c r="AH200" s="329">
        <v>17</v>
      </c>
      <c r="AI200" s="331" t="s">
        <v>280</v>
      </c>
      <c r="AJ200" s="331" t="s">
        <v>281</v>
      </c>
      <c r="AK200" s="329"/>
      <c r="AL200" s="329"/>
      <c r="AM200" s="329"/>
      <c r="AN200" s="329"/>
      <c r="AO200" s="329"/>
      <c r="AP200" s="331" t="s">
        <v>483</v>
      </c>
      <c r="AQ200" s="329">
        <v>530</v>
      </c>
      <c r="AR200" s="329">
        <v>610</v>
      </c>
      <c r="AS200" s="329"/>
      <c r="AT200" s="329" t="s">
        <v>492</v>
      </c>
      <c r="AU200" s="329" t="s">
        <v>283</v>
      </c>
      <c r="AV200" s="331" t="s">
        <v>292</v>
      </c>
      <c r="AW200" s="329"/>
      <c r="AX200" s="329"/>
      <c r="AY200" s="329"/>
      <c r="AZ200" s="329"/>
      <c r="BA200" s="329"/>
      <c r="BB200" s="329"/>
      <c r="BC200" s="329"/>
      <c r="BD200" s="329"/>
      <c r="BE200" s="329"/>
      <c r="BF200" s="329"/>
      <c r="BG200" s="329"/>
      <c r="BH200" s="329"/>
      <c r="BI200" s="329"/>
      <c r="BJ200" s="329"/>
      <c r="BK200" s="329">
        <v>0</v>
      </c>
      <c r="BL200" s="329"/>
      <c r="BM200" s="331" t="s">
        <v>267</v>
      </c>
      <c r="BN200" s="329" t="s">
        <v>922</v>
      </c>
      <c r="BO200" s="333">
        <v>43755</v>
      </c>
      <c r="BP200" s="329"/>
      <c r="BQ200" s="329"/>
      <c r="BR200" s="329"/>
      <c r="BS200" s="329"/>
      <c r="BT200" s="329"/>
      <c r="BU200" s="331" t="s">
        <v>261</v>
      </c>
      <c r="BV200" s="329"/>
      <c r="BW200" s="329"/>
      <c r="BX200" s="329"/>
      <c r="BY200" s="331" t="s">
        <v>1043</v>
      </c>
      <c r="BZ200" s="331" t="s">
        <v>1044</v>
      </c>
      <c r="CA200" s="331" t="s">
        <v>381</v>
      </c>
      <c r="CB200" s="331" t="s">
        <v>292</v>
      </c>
      <c r="CC200" s="331" t="s">
        <v>1045</v>
      </c>
    </row>
    <row r="201" spans="1:81" x14ac:dyDescent="0.25">
      <c r="A201" s="329">
        <v>198318</v>
      </c>
      <c r="B201" s="331" t="s">
        <v>1046</v>
      </c>
      <c r="C201" s="329">
        <v>35221</v>
      </c>
      <c r="D201" s="331" t="s">
        <v>1047</v>
      </c>
      <c r="E201" s="331" t="s">
        <v>524</v>
      </c>
      <c r="F201" s="331" t="s">
        <v>1048</v>
      </c>
      <c r="G201" s="331" t="s">
        <v>1049</v>
      </c>
      <c r="H201" s="331" t="s">
        <v>1050</v>
      </c>
      <c r="I201" s="331" t="s">
        <v>1051</v>
      </c>
      <c r="J201" s="331" t="s">
        <v>297</v>
      </c>
      <c r="K201" s="331" t="s">
        <v>1052</v>
      </c>
      <c r="L201" s="329"/>
      <c r="M201" s="329">
        <v>6</v>
      </c>
      <c r="N201" s="329">
        <v>0</v>
      </c>
      <c r="O201" s="329">
        <v>3.4</v>
      </c>
      <c r="P201" s="329"/>
      <c r="Q201" s="333">
        <v>43646.861111111109</v>
      </c>
      <c r="R201" s="329"/>
      <c r="S201" s="333">
        <v>43755</v>
      </c>
      <c r="T201" s="329">
        <v>55</v>
      </c>
      <c r="U201" s="333">
        <v>43755</v>
      </c>
      <c r="V201" s="333">
        <v>44109</v>
      </c>
      <c r="W201" s="329" t="b">
        <v>1</v>
      </c>
      <c r="X201" s="331" t="s">
        <v>22</v>
      </c>
      <c r="Y201" s="329">
        <v>429</v>
      </c>
      <c r="Z201" s="331" t="s">
        <v>23</v>
      </c>
      <c r="AA201" s="331" t="s">
        <v>919</v>
      </c>
      <c r="AB201" s="331" t="s">
        <v>920</v>
      </c>
      <c r="AC201" s="331" t="s">
        <v>1011</v>
      </c>
      <c r="AD201" s="331" t="s">
        <v>24</v>
      </c>
      <c r="AE201" s="329">
        <v>221</v>
      </c>
      <c r="AF201" s="331" t="s">
        <v>254</v>
      </c>
      <c r="AG201" s="329"/>
      <c r="AH201" s="329">
        <v>17</v>
      </c>
      <c r="AI201" s="331" t="s">
        <v>280</v>
      </c>
      <c r="AJ201" s="331" t="s">
        <v>281</v>
      </c>
      <c r="AK201" s="329"/>
      <c r="AL201" s="329"/>
      <c r="AM201" s="329"/>
      <c r="AN201" s="329"/>
      <c r="AO201" s="329"/>
      <c r="AP201" s="329"/>
      <c r="AQ201" s="329"/>
      <c r="AR201" s="329"/>
      <c r="AS201" s="329"/>
      <c r="AT201" s="329" t="s">
        <v>258</v>
      </c>
      <c r="AU201" s="329" t="s">
        <v>283</v>
      </c>
      <c r="AV201" s="331" t="s">
        <v>297</v>
      </c>
      <c r="AW201" s="329"/>
      <c r="AX201" s="329"/>
      <c r="AY201" s="329"/>
      <c r="AZ201" s="329"/>
      <c r="BA201" s="329"/>
      <c r="BB201" s="329"/>
      <c r="BC201" s="329"/>
      <c r="BD201" s="329"/>
      <c r="BE201" s="329" t="s">
        <v>257</v>
      </c>
      <c r="BF201" s="329" t="s">
        <v>837</v>
      </c>
      <c r="BG201" s="329"/>
      <c r="BH201" s="329"/>
      <c r="BI201" s="329"/>
      <c r="BJ201" s="329"/>
      <c r="BK201" s="329">
        <v>15000</v>
      </c>
      <c r="BL201" s="329"/>
      <c r="BM201" s="331" t="s">
        <v>295</v>
      </c>
      <c r="BN201" s="329" t="s">
        <v>922</v>
      </c>
      <c r="BO201" s="333">
        <v>43755</v>
      </c>
      <c r="BP201" s="329"/>
      <c r="BQ201" s="329"/>
      <c r="BR201" s="329"/>
      <c r="BS201" s="329"/>
      <c r="BT201" s="329"/>
      <c r="BU201" s="331" t="s">
        <v>261</v>
      </c>
      <c r="BV201" s="329"/>
      <c r="BW201" s="329"/>
      <c r="BX201" s="329"/>
      <c r="BY201" s="331" t="s">
        <v>1053</v>
      </c>
      <c r="BZ201" s="331" t="s">
        <v>1054</v>
      </c>
      <c r="CA201" s="331" t="s">
        <v>1055</v>
      </c>
      <c r="CB201" s="331" t="s">
        <v>297</v>
      </c>
      <c r="CC201" s="331" t="s">
        <v>1056</v>
      </c>
    </row>
    <row r="202" spans="1:81" x14ac:dyDescent="0.25">
      <c r="A202" s="329">
        <v>192743</v>
      </c>
      <c r="B202" s="331" t="s">
        <v>1212</v>
      </c>
      <c r="C202" s="329">
        <v>33693</v>
      </c>
      <c r="D202" s="331" t="s">
        <v>1213</v>
      </c>
      <c r="E202" s="331" t="s">
        <v>389</v>
      </c>
      <c r="F202" s="331" t="s">
        <v>1214</v>
      </c>
      <c r="G202" s="331" t="s">
        <v>1215</v>
      </c>
      <c r="H202" s="331" t="s">
        <v>1216</v>
      </c>
      <c r="I202" s="331" t="s">
        <v>523</v>
      </c>
      <c r="J202" s="331" t="s">
        <v>449</v>
      </c>
      <c r="K202" s="331" t="s">
        <v>1217</v>
      </c>
      <c r="L202" s="329"/>
      <c r="M202" s="329">
        <v>6</v>
      </c>
      <c r="N202" s="329">
        <v>0</v>
      </c>
      <c r="O202" s="329">
        <v>3.98</v>
      </c>
      <c r="P202" s="329"/>
      <c r="Q202" s="333">
        <v>43595.802083333336</v>
      </c>
      <c r="R202" s="329"/>
      <c r="S202" s="333">
        <v>43755</v>
      </c>
      <c r="T202" s="329">
        <v>55</v>
      </c>
      <c r="U202" s="333">
        <v>43755</v>
      </c>
      <c r="V202" s="333">
        <v>44109</v>
      </c>
      <c r="W202" s="329" t="b">
        <v>1</v>
      </c>
      <c r="X202" s="331" t="s">
        <v>905</v>
      </c>
      <c r="Y202" s="329">
        <v>747</v>
      </c>
      <c r="Z202" s="331" t="s">
        <v>25</v>
      </c>
      <c r="AA202" s="331" t="s">
        <v>919</v>
      </c>
      <c r="AB202" s="331" t="s">
        <v>920</v>
      </c>
      <c r="AC202" s="331" t="s">
        <v>1218</v>
      </c>
      <c r="AD202" s="331" t="s">
        <v>24</v>
      </c>
      <c r="AE202" s="329">
        <v>221</v>
      </c>
      <c r="AF202" s="331" t="s">
        <v>254</v>
      </c>
      <c r="AG202" s="329"/>
      <c r="AH202" s="329">
        <v>17</v>
      </c>
      <c r="AI202" s="331" t="s">
        <v>280</v>
      </c>
      <c r="AJ202" s="331" t="s">
        <v>281</v>
      </c>
      <c r="AK202" s="331" t="s">
        <v>351</v>
      </c>
      <c r="AL202" s="331" t="s">
        <v>348</v>
      </c>
      <c r="AM202" s="331" t="s">
        <v>272</v>
      </c>
      <c r="AN202" s="331" t="s">
        <v>287</v>
      </c>
      <c r="AO202" s="331" t="s">
        <v>347</v>
      </c>
      <c r="AP202" s="329"/>
      <c r="AQ202" s="329"/>
      <c r="AR202" s="329"/>
      <c r="AS202" s="329"/>
      <c r="AT202" s="329" t="s">
        <v>385</v>
      </c>
      <c r="AU202" s="329" t="s">
        <v>283</v>
      </c>
      <c r="AV202" s="331" t="s">
        <v>449</v>
      </c>
      <c r="AW202" s="329"/>
      <c r="AX202" s="329"/>
      <c r="AY202" s="329"/>
      <c r="AZ202" s="329"/>
      <c r="BA202" s="329"/>
      <c r="BB202" s="329"/>
      <c r="BC202" s="329"/>
      <c r="BD202" s="329"/>
      <c r="BE202" s="329" t="s">
        <v>257</v>
      </c>
      <c r="BF202" s="329" t="s">
        <v>834</v>
      </c>
      <c r="BG202" s="329"/>
      <c r="BH202" s="329"/>
      <c r="BI202" s="329"/>
      <c r="BJ202" s="329"/>
      <c r="BK202" s="329">
        <v>20400</v>
      </c>
      <c r="BL202" s="329"/>
      <c r="BM202" s="331" t="s">
        <v>278</v>
      </c>
      <c r="BN202" s="329" t="s">
        <v>922</v>
      </c>
      <c r="BO202" s="333">
        <v>43755</v>
      </c>
      <c r="BP202" s="329"/>
      <c r="BQ202" s="329"/>
      <c r="BR202" s="329"/>
      <c r="BS202" s="329"/>
      <c r="BT202" s="329"/>
      <c r="BU202" s="331" t="s">
        <v>261</v>
      </c>
      <c r="BV202" s="329"/>
      <c r="BW202" s="329"/>
      <c r="BX202" s="329"/>
      <c r="BY202" s="331" t="s">
        <v>1219</v>
      </c>
      <c r="BZ202" s="331" t="s">
        <v>1220</v>
      </c>
      <c r="CA202" s="331" t="s">
        <v>1221</v>
      </c>
      <c r="CB202" s="331" t="s">
        <v>449</v>
      </c>
      <c r="CC202" s="331" t="s">
        <v>1222</v>
      </c>
    </row>
    <row r="203" spans="1:81" x14ac:dyDescent="0.25">
      <c r="A203" s="329">
        <v>196960</v>
      </c>
      <c r="B203" s="331" t="s">
        <v>1281</v>
      </c>
      <c r="C203" s="329">
        <v>34773</v>
      </c>
      <c r="D203" s="331" t="s">
        <v>1282</v>
      </c>
      <c r="E203" s="331" t="s">
        <v>1283</v>
      </c>
      <c r="F203" s="331" t="s">
        <v>1284</v>
      </c>
      <c r="G203" s="331" t="s">
        <v>1285</v>
      </c>
      <c r="H203" s="331" t="s">
        <v>1286</v>
      </c>
      <c r="I203" s="331" t="s">
        <v>785</v>
      </c>
      <c r="J203" s="331" t="s">
        <v>397</v>
      </c>
      <c r="K203" s="331" t="s">
        <v>1287</v>
      </c>
      <c r="L203" s="329"/>
      <c r="M203" s="329">
        <v>6</v>
      </c>
      <c r="N203" s="329">
        <v>0</v>
      </c>
      <c r="O203" s="329">
        <v>3.6</v>
      </c>
      <c r="P203" s="329"/>
      <c r="Q203" s="333">
        <v>43633.8</v>
      </c>
      <c r="R203" s="329"/>
      <c r="S203" s="333">
        <v>43755</v>
      </c>
      <c r="T203" s="329">
        <v>55</v>
      </c>
      <c r="U203" s="333">
        <v>43755</v>
      </c>
      <c r="V203" s="333">
        <v>44109</v>
      </c>
      <c r="W203" s="329" t="b">
        <v>1</v>
      </c>
      <c r="X203" s="331" t="s">
        <v>905</v>
      </c>
      <c r="Y203" s="329">
        <v>747</v>
      </c>
      <c r="Z203" s="331" t="s">
        <v>25</v>
      </c>
      <c r="AA203" s="331" t="s">
        <v>919</v>
      </c>
      <c r="AB203" s="331" t="s">
        <v>920</v>
      </c>
      <c r="AC203" s="331" t="s">
        <v>1252</v>
      </c>
      <c r="AD203" s="331" t="s">
        <v>24</v>
      </c>
      <c r="AE203" s="329">
        <v>221</v>
      </c>
      <c r="AF203" s="331" t="s">
        <v>254</v>
      </c>
      <c r="AG203" s="329"/>
      <c r="AH203" s="329">
        <v>17</v>
      </c>
      <c r="AI203" s="331" t="s">
        <v>280</v>
      </c>
      <c r="AJ203" s="331" t="s">
        <v>281</v>
      </c>
      <c r="AK203" s="331" t="s">
        <v>301</v>
      </c>
      <c r="AL203" s="331" t="s">
        <v>299</v>
      </c>
      <c r="AM203" s="331" t="s">
        <v>328</v>
      </c>
      <c r="AN203" s="331" t="s">
        <v>275</v>
      </c>
      <c r="AO203" s="331" t="s">
        <v>301</v>
      </c>
      <c r="AP203" s="329"/>
      <c r="AQ203" s="329"/>
      <c r="AR203" s="329"/>
      <c r="AS203" s="329"/>
      <c r="AT203" s="329" t="s">
        <v>833</v>
      </c>
      <c r="AU203" s="329" t="s">
        <v>283</v>
      </c>
      <c r="AV203" s="331" t="s">
        <v>397</v>
      </c>
      <c r="AW203" s="329"/>
      <c r="AX203" s="329"/>
      <c r="AY203" s="329"/>
      <c r="AZ203" s="329"/>
      <c r="BA203" s="329"/>
      <c r="BB203" s="329"/>
      <c r="BC203" s="329"/>
      <c r="BD203" s="329"/>
      <c r="BE203" s="329" t="s">
        <v>257</v>
      </c>
      <c r="BF203" s="329" t="s">
        <v>837</v>
      </c>
      <c r="BG203" s="329"/>
      <c r="BH203" s="329"/>
      <c r="BI203" s="329"/>
      <c r="BJ203" s="329"/>
      <c r="BK203" s="329">
        <v>15000</v>
      </c>
      <c r="BL203" s="329"/>
      <c r="BM203" s="331" t="s">
        <v>295</v>
      </c>
      <c r="BN203" s="329" t="s">
        <v>922</v>
      </c>
      <c r="BO203" s="333">
        <v>43755</v>
      </c>
      <c r="BP203" s="329"/>
      <c r="BQ203" s="329"/>
      <c r="BR203" s="329"/>
      <c r="BS203" s="329"/>
      <c r="BT203" s="329"/>
      <c r="BU203" s="331" t="s">
        <v>261</v>
      </c>
      <c r="BV203" s="329"/>
      <c r="BW203" s="329"/>
      <c r="BX203" s="329"/>
      <c r="BY203" s="331" t="s">
        <v>1288</v>
      </c>
      <c r="BZ203" s="331" t="s">
        <v>1289</v>
      </c>
      <c r="CA203" s="331" t="s">
        <v>1290</v>
      </c>
      <c r="CB203" s="331" t="s">
        <v>397</v>
      </c>
      <c r="CC203" s="331" t="s">
        <v>1287</v>
      </c>
    </row>
    <row r="204" spans="1:81" x14ac:dyDescent="0.25">
      <c r="A204" s="329">
        <v>197321</v>
      </c>
      <c r="B204" s="331" t="s">
        <v>1450</v>
      </c>
      <c r="C204" s="329">
        <v>34846</v>
      </c>
      <c r="D204" s="331" t="s">
        <v>1451</v>
      </c>
      <c r="E204" s="331" t="s">
        <v>1452</v>
      </c>
      <c r="F204" s="331" t="s">
        <v>1453</v>
      </c>
      <c r="G204" s="331" t="s">
        <v>1454</v>
      </c>
      <c r="H204" s="331" t="s">
        <v>1455</v>
      </c>
      <c r="I204" s="331" t="s">
        <v>1456</v>
      </c>
      <c r="J204" s="331" t="s">
        <v>376</v>
      </c>
      <c r="K204" s="331" t="s">
        <v>1457</v>
      </c>
      <c r="L204" s="329"/>
      <c r="M204" s="329">
        <v>6</v>
      </c>
      <c r="N204" s="329">
        <v>0</v>
      </c>
      <c r="O204" s="329">
        <v>3.92</v>
      </c>
      <c r="P204" s="329"/>
      <c r="Q204" s="333">
        <v>43705.857638888891</v>
      </c>
      <c r="R204" s="329"/>
      <c r="S204" s="333">
        <v>43755</v>
      </c>
      <c r="T204" s="329">
        <v>55</v>
      </c>
      <c r="U204" s="333">
        <v>43755</v>
      </c>
      <c r="V204" s="333">
        <v>44109</v>
      </c>
      <c r="W204" s="329" t="b">
        <v>1</v>
      </c>
      <c r="X204" s="331" t="s">
        <v>22</v>
      </c>
      <c r="Y204" s="329">
        <v>429</v>
      </c>
      <c r="Z204" s="331" t="s">
        <v>23</v>
      </c>
      <c r="AA204" s="331" t="s">
        <v>919</v>
      </c>
      <c r="AB204" s="331" t="s">
        <v>920</v>
      </c>
      <c r="AC204" s="331" t="s">
        <v>1458</v>
      </c>
      <c r="AD204" s="331" t="s">
        <v>24</v>
      </c>
      <c r="AE204" s="329">
        <v>221</v>
      </c>
      <c r="AF204" s="331" t="s">
        <v>254</v>
      </c>
      <c r="AG204" s="329"/>
      <c r="AH204" s="329">
        <v>17</v>
      </c>
      <c r="AI204" s="331" t="s">
        <v>280</v>
      </c>
      <c r="AJ204" s="331" t="s">
        <v>281</v>
      </c>
      <c r="AK204" s="331" t="s">
        <v>275</v>
      </c>
      <c r="AL204" s="331" t="s">
        <v>299</v>
      </c>
      <c r="AM204" s="331" t="s">
        <v>300</v>
      </c>
      <c r="AN204" s="331" t="s">
        <v>289</v>
      </c>
      <c r="AO204" s="331" t="s">
        <v>289</v>
      </c>
      <c r="AP204" s="329"/>
      <c r="AQ204" s="329"/>
      <c r="AR204" s="329"/>
      <c r="AS204" s="329"/>
      <c r="AT204" s="329" t="s">
        <v>349</v>
      </c>
      <c r="AU204" s="329" t="s">
        <v>567</v>
      </c>
      <c r="AV204" s="331" t="s">
        <v>376</v>
      </c>
      <c r="AW204" s="329"/>
      <c r="AX204" s="329"/>
      <c r="AY204" s="329"/>
      <c r="AZ204" s="329"/>
      <c r="BA204" s="329"/>
      <c r="BB204" s="329"/>
      <c r="BC204" s="329"/>
      <c r="BD204" s="329"/>
      <c r="BE204" s="329" t="s">
        <v>257</v>
      </c>
      <c r="BF204" s="329" t="s">
        <v>834</v>
      </c>
      <c r="BG204" s="329"/>
      <c r="BH204" s="329"/>
      <c r="BI204" s="329"/>
      <c r="BJ204" s="329"/>
      <c r="BK204" s="329">
        <v>20400</v>
      </c>
      <c r="BL204" s="329"/>
      <c r="BM204" s="331" t="s">
        <v>278</v>
      </c>
      <c r="BN204" s="329" t="s">
        <v>922</v>
      </c>
      <c r="BO204" s="333">
        <v>43755</v>
      </c>
      <c r="BP204" s="329"/>
      <c r="BQ204" s="329"/>
      <c r="BR204" s="329"/>
      <c r="BS204" s="329"/>
      <c r="BT204" s="329"/>
      <c r="BU204" s="331" t="s">
        <v>261</v>
      </c>
      <c r="BV204" s="329"/>
      <c r="BW204" s="329"/>
      <c r="BX204" s="329"/>
      <c r="BY204" s="331" t="s">
        <v>1459</v>
      </c>
      <c r="BZ204" s="331" t="s">
        <v>1460</v>
      </c>
      <c r="CA204" s="331" t="s">
        <v>1461</v>
      </c>
      <c r="CB204" s="331" t="s">
        <v>376</v>
      </c>
      <c r="CC204" s="331" t="s">
        <v>1462</v>
      </c>
    </row>
    <row r="205" spans="1:81" x14ac:dyDescent="0.25">
      <c r="A205" s="329">
        <v>198282</v>
      </c>
      <c r="B205" s="331" t="s">
        <v>1547</v>
      </c>
      <c r="C205" s="329">
        <v>35195</v>
      </c>
      <c r="D205" s="331" t="s">
        <v>1149</v>
      </c>
      <c r="E205" s="331" t="s">
        <v>320</v>
      </c>
      <c r="F205" s="331" t="s">
        <v>1548</v>
      </c>
      <c r="G205" s="331" t="s">
        <v>1549</v>
      </c>
      <c r="H205" s="331" t="s">
        <v>1550</v>
      </c>
      <c r="I205" s="331" t="s">
        <v>1551</v>
      </c>
      <c r="J205" s="331" t="s">
        <v>307</v>
      </c>
      <c r="K205" s="331" t="s">
        <v>1552</v>
      </c>
      <c r="L205" s="329"/>
      <c r="M205" s="329">
        <v>6</v>
      </c>
      <c r="N205" s="329">
        <v>0</v>
      </c>
      <c r="O205" s="329">
        <v>3.1</v>
      </c>
      <c r="P205" s="329"/>
      <c r="Q205" s="333">
        <v>43600.690995370373</v>
      </c>
      <c r="R205" s="329"/>
      <c r="S205" s="333">
        <v>43755</v>
      </c>
      <c r="T205" s="329">
        <v>55</v>
      </c>
      <c r="U205" s="333">
        <v>43755</v>
      </c>
      <c r="V205" s="333">
        <v>44109</v>
      </c>
      <c r="W205" s="329" t="b">
        <v>1</v>
      </c>
      <c r="X205" s="331" t="s">
        <v>905</v>
      </c>
      <c r="Y205" s="329">
        <v>747</v>
      </c>
      <c r="Z205" s="331" t="s">
        <v>23</v>
      </c>
      <c r="AA205" s="331" t="s">
        <v>919</v>
      </c>
      <c r="AB205" s="331" t="s">
        <v>920</v>
      </c>
      <c r="AC205" s="331" t="s">
        <v>1264</v>
      </c>
      <c r="AD205" s="331" t="s">
        <v>24</v>
      </c>
      <c r="AE205" s="329">
        <v>221</v>
      </c>
      <c r="AF205" s="331" t="s">
        <v>254</v>
      </c>
      <c r="AG205" s="329"/>
      <c r="AH205" s="329">
        <v>17</v>
      </c>
      <c r="AI205" s="331" t="s">
        <v>280</v>
      </c>
      <c r="AJ205" s="331" t="s">
        <v>281</v>
      </c>
      <c r="AK205" s="329"/>
      <c r="AL205" s="329"/>
      <c r="AM205" s="329"/>
      <c r="AN205" s="329"/>
      <c r="AO205" s="329"/>
      <c r="AP205" s="331" t="s">
        <v>432</v>
      </c>
      <c r="AQ205" s="329">
        <v>550</v>
      </c>
      <c r="AR205" s="329">
        <v>430</v>
      </c>
      <c r="AS205" s="329"/>
      <c r="AT205" s="329" t="s">
        <v>365</v>
      </c>
      <c r="AU205" s="329" t="s">
        <v>283</v>
      </c>
      <c r="AV205" s="331" t="s">
        <v>307</v>
      </c>
      <c r="AW205" s="329"/>
      <c r="AX205" s="329"/>
      <c r="AY205" s="329"/>
      <c r="AZ205" s="329"/>
      <c r="BA205" s="329"/>
      <c r="BB205" s="329"/>
      <c r="BC205" s="329"/>
      <c r="BD205" s="329"/>
      <c r="BE205" s="329" t="s">
        <v>257</v>
      </c>
      <c r="BF205" s="329" t="s">
        <v>841</v>
      </c>
      <c r="BG205" s="329"/>
      <c r="BH205" s="329"/>
      <c r="BI205" s="329"/>
      <c r="BJ205" s="329"/>
      <c r="BK205" s="329">
        <v>9000</v>
      </c>
      <c r="BL205" s="329"/>
      <c r="BM205" s="331" t="s">
        <v>189</v>
      </c>
      <c r="BN205" s="329" t="s">
        <v>922</v>
      </c>
      <c r="BO205" s="333">
        <v>43755</v>
      </c>
      <c r="BP205" s="329"/>
      <c r="BQ205" s="329"/>
      <c r="BR205" s="329"/>
      <c r="BS205" s="329"/>
      <c r="BT205" s="329"/>
      <c r="BU205" s="331" t="s">
        <v>261</v>
      </c>
      <c r="BV205" s="329"/>
      <c r="BW205" s="329"/>
      <c r="BX205" s="329"/>
      <c r="BY205" s="331" t="s">
        <v>1553</v>
      </c>
      <c r="BZ205" s="331" t="s">
        <v>1554</v>
      </c>
      <c r="CA205" s="331" t="s">
        <v>1555</v>
      </c>
      <c r="CB205" s="331" t="s">
        <v>307</v>
      </c>
      <c r="CC205" s="331" t="s">
        <v>1552</v>
      </c>
    </row>
    <row r="206" spans="1:81" x14ac:dyDescent="0.25">
      <c r="A206" s="329">
        <v>198349</v>
      </c>
      <c r="B206" s="331" t="s">
        <v>2008</v>
      </c>
      <c r="C206" s="329">
        <v>35238</v>
      </c>
      <c r="D206" s="331" t="s">
        <v>1998</v>
      </c>
      <c r="E206" s="331" t="s">
        <v>2009</v>
      </c>
      <c r="F206" s="331" t="s">
        <v>2010</v>
      </c>
      <c r="G206" s="331" t="s">
        <v>2011</v>
      </c>
      <c r="H206" s="331" t="s">
        <v>2012</v>
      </c>
      <c r="I206" s="331" t="s">
        <v>2013</v>
      </c>
      <c r="J206" s="331" t="s">
        <v>350</v>
      </c>
      <c r="K206" s="331" t="s">
        <v>2014</v>
      </c>
      <c r="L206" s="329"/>
      <c r="M206" s="329">
        <v>6</v>
      </c>
      <c r="N206" s="329">
        <v>0</v>
      </c>
      <c r="O206" s="329">
        <v>3.02</v>
      </c>
      <c r="P206" s="329"/>
      <c r="Q206" s="333">
        <v>43704.730555555558</v>
      </c>
      <c r="R206" s="329"/>
      <c r="S206" s="333">
        <v>43755</v>
      </c>
      <c r="T206" s="329">
        <v>55</v>
      </c>
      <c r="U206" s="333">
        <v>43755</v>
      </c>
      <c r="V206" s="333">
        <v>44109</v>
      </c>
      <c r="W206" s="329" t="b">
        <v>1</v>
      </c>
      <c r="X206" s="331" t="s">
        <v>187</v>
      </c>
      <c r="Y206" s="329">
        <v>718</v>
      </c>
      <c r="Z206" s="331" t="s">
        <v>23</v>
      </c>
      <c r="AA206" s="331" t="s">
        <v>919</v>
      </c>
      <c r="AB206" s="331" t="s">
        <v>920</v>
      </c>
      <c r="AC206" s="331" t="s">
        <v>2015</v>
      </c>
      <c r="AD206" s="331" t="s">
        <v>24</v>
      </c>
      <c r="AE206" s="329">
        <v>221</v>
      </c>
      <c r="AF206" s="331" t="s">
        <v>254</v>
      </c>
      <c r="AG206" s="329"/>
      <c r="AH206" s="329">
        <v>17</v>
      </c>
      <c r="AI206" s="331" t="s">
        <v>280</v>
      </c>
      <c r="AJ206" s="331" t="s">
        <v>281</v>
      </c>
      <c r="AK206" s="331" t="s">
        <v>301</v>
      </c>
      <c r="AL206" s="331" t="s">
        <v>299</v>
      </c>
      <c r="AM206" s="331" t="s">
        <v>299</v>
      </c>
      <c r="AN206" s="331" t="s">
        <v>300</v>
      </c>
      <c r="AO206" s="331" t="s">
        <v>290</v>
      </c>
      <c r="AP206" s="329"/>
      <c r="AQ206" s="329"/>
      <c r="AR206" s="329"/>
      <c r="AS206" s="329"/>
      <c r="AT206" s="329" t="s">
        <v>365</v>
      </c>
      <c r="AU206" s="329" t="s">
        <v>256</v>
      </c>
      <c r="AV206" s="331" t="s">
        <v>350</v>
      </c>
      <c r="AW206" s="329"/>
      <c r="AX206" s="329"/>
      <c r="AY206" s="329"/>
      <c r="AZ206" s="329"/>
      <c r="BA206" s="329"/>
      <c r="BB206" s="329"/>
      <c r="BC206" s="329"/>
      <c r="BD206" s="329"/>
      <c r="BE206" s="329" t="s">
        <v>257</v>
      </c>
      <c r="BF206" s="329" t="s">
        <v>837</v>
      </c>
      <c r="BG206" s="329"/>
      <c r="BH206" s="329"/>
      <c r="BI206" s="329"/>
      <c r="BJ206" s="329"/>
      <c r="BK206" s="329">
        <v>15000</v>
      </c>
      <c r="BL206" s="329"/>
      <c r="BM206" s="331" t="s">
        <v>295</v>
      </c>
      <c r="BN206" s="329" t="s">
        <v>922</v>
      </c>
      <c r="BO206" s="333">
        <v>43755</v>
      </c>
      <c r="BP206" s="329"/>
      <c r="BQ206" s="329"/>
      <c r="BR206" s="329"/>
      <c r="BS206" s="329"/>
      <c r="BT206" s="329"/>
      <c r="BU206" s="331" t="s">
        <v>261</v>
      </c>
      <c r="BV206" s="329"/>
      <c r="BW206" s="329"/>
      <c r="BX206" s="329"/>
      <c r="BY206" s="331" t="s">
        <v>2016</v>
      </c>
      <c r="BZ206" s="331" t="s">
        <v>2017</v>
      </c>
      <c r="CA206" s="331" t="s">
        <v>2018</v>
      </c>
      <c r="CB206" s="331" t="s">
        <v>350</v>
      </c>
      <c r="CC206" s="331" t="s">
        <v>2014</v>
      </c>
    </row>
    <row r="207" spans="1:81" x14ac:dyDescent="0.25">
      <c r="A207" s="329">
        <v>198775</v>
      </c>
      <c r="B207" s="331" t="s">
        <v>2092</v>
      </c>
      <c r="C207" s="329">
        <v>35379</v>
      </c>
      <c r="D207" s="331" t="s">
        <v>2093</v>
      </c>
      <c r="E207" s="331" t="s">
        <v>2094</v>
      </c>
      <c r="F207" s="331" t="s">
        <v>2095</v>
      </c>
      <c r="G207" s="331" t="s">
        <v>2096</v>
      </c>
      <c r="H207" s="331" t="s">
        <v>2097</v>
      </c>
      <c r="I207" s="331" t="s">
        <v>2098</v>
      </c>
      <c r="J207" s="331" t="s">
        <v>297</v>
      </c>
      <c r="K207" s="331" t="s">
        <v>2099</v>
      </c>
      <c r="L207" s="329"/>
      <c r="M207" s="329">
        <v>6</v>
      </c>
      <c r="N207" s="329">
        <v>0</v>
      </c>
      <c r="O207" s="329">
        <v>3.68</v>
      </c>
      <c r="P207" s="329"/>
      <c r="Q207" s="333">
        <v>43701.470833333333</v>
      </c>
      <c r="R207" s="329"/>
      <c r="S207" s="333">
        <v>43755</v>
      </c>
      <c r="T207" s="329">
        <v>55</v>
      </c>
      <c r="U207" s="333">
        <v>43755</v>
      </c>
      <c r="V207" s="333">
        <v>44109</v>
      </c>
      <c r="W207" s="329" t="b">
        <v>1</v>
      </c>
      <c r="X207" s="331" t="s">
        <v>22</v>
      </c>
      <c r="Y207" s="329">
        <v>429</v>
      </c>
      <c r="Z207" s="331" t="s">
        <v>23</v>
      </c>
      <c r="AA207" s="331" t="s">
        <v>919</v>
      </c>
      <c r="AB207" s="331" t="s">
        <v>920</v>
      </c>
      <c r="AC207" s="331" t="s">
        <v>311</v>
      </c>
      <c r="AD207" s="331" t="s">
        <v>24</v>
      </c>
      <c r="AE207" s="329">
        <v>221</v>
      </c>
      <c r="AF207" s="331" t="s">
        <v>254</v>
      </c>
      <c r="AG207" s="329"/>
      <c r="AH207" s="329">
        <v>17</v>
      </c>
      <c r="AI207" s="331" t="s">
        <v>280</v>
      </c>
      <c r="AJ207" s="331" t="s">
        <v>281</v>
      </c>
      <c r="AK207" s="329"/>
      <c r="AL207" s="329"/>
      <c r="AM207" s="329"/>
      <c r="AN207" s="329"/>
      <c r="AO207" s="329"/>
      <c r="AP207" s="329"/>
      <c r="AQ207" s="329"/>
      <c r="AR207" s="329"/>
      <c r="AS207" s="329"/>
      <c r="AT207" s="329" t="s">
        <v>258</v>
      </c>
      <c r="AU207" s="329" t="s">
        <v>283</v>
      </c>
      <c r="AV207" s="331" t="s">
        <v>297</v>
      </c>
      <c r="AW207" s="329"/>
      <c r="AX207" s="329"/>
      <c r="AY207" s="329"/>
      <c r="AZ207" s="329"/>
      <c r="BA207" s="329"/>
      <c r="BB207" s="329"/>
      <c r="BC207" s="329"/>
      <c r="BD207" s="329"/>
      <c r="BE207" s="329" t="s">
        <v>257</v>
      </c>
      <c r="BF207" s="329" t="s">
        <v>830</v>
      </c>
      <c r="BG207" s="329"/>
      <c r="BH207" s="329"/>
      <c r="BI207" s="329"/>
      <c r="BJ207" s="329"/>
      <c r="BK207" s="329">
        <v>12000</v>
      </c>
      <c r="BL207" s="329"/>
      <c r="BM207" s="331" t="s">
        <v>26</v>
      </c>
      <c r="BN207" s="329" t="s">
        <v>922</v>
      </c>
      <c r="BO207" s="333">
        <v>43755</v>
      </c>
      <c r="BP207" s="329"/>
      <c r="BQ207" s="329"/>
      <c r="BR207" s="329"/>
      <c r="BS207" s="329"/>
      <c r="BT207" s="329"/>
      <c r="BU207" s="331" t="s">
        <v>261</v>
      </c>
      <c r="BV207" s="329"/>
      <c r="BW207" s="329"/>
      <c r="BX207" s="329"/>
      <c r="BY207" s="331" t="s">
        <v>2100</v>
      </c>
      <c r="BZ207" s="331" t="s">
        <v>2101</v>
      </c>
      <c r="CA207" s="329"/>
      <c r="CB207" s="331" t="s">
        <v>558</v>
      </c>
      <c r="CC207" s="331" t="s">
        <v>304</v>
      </c>
    </row>
    <row r="208" spans="1:81" x14ac:dyDescent="0.25">
      <c r="A208" s="329">
        <v>195851</v>
      </c>
      <c r="B208" s="331" t="s">
        <v>2187</v>
      </c>
      <c r="C208" s="329">
        <v>34411</v>
      </c>
      <c r="D208" s="331" t="s">
        <v>2188</v>
      </c>
      <c r="E208" s="331" t="s">
        <v>2189</v>
      </c>
      <c r="F208" s="331" t="s">
        <v>2190</v>
      </c>
      <c r="G208" s="331" t="s">
        <v>2191</v>
      </c>
      <c r="H208" s="331" t="s">
        <v>2192</v>
      </c>
      <c r="I208" s="331" t="s">
        <v>2193</v>
      </c>
      <c r="J208" s="331" t="s">
        <v>376</v>
      </c>
      <c r="K208" s="331" t="s">
        <v>2194</v>
      </c>
      <c r="L208" s="329"/>
      <c r="M208" s="329">
        <v>6</v>
      </c>
      <c r="N208" s="329">
        <v>0</v>
      </c>
      <c r="O208" s="329">
        <v>3.62</v>
      </c>
      <c r="P208" s="329"/>
      <c r="Q208" s="333">
        <v>43679.688194444447</v>
      </c>
      <c r="R208" s="329"/>
      <c r="S208" s="333">
        <v>43755</v>
      </c>
      <c r="T208" s="329">
        <v>55</v>
      </c>
      <c r="U208" s="333">
        <v>43755</v>
      </c>
      <c r="V208" s="333">
        <v>44109</v>
      </c>
      <c r="W208" s="329" t="b">
        <v>1</v>
      </c>
      <c r="X208" s="331" t="s">
        <v>22</v>
      </c>
      <c r="Y208" s="329">
        <v>726</v>
      </c>
      <c r="Z208" s="331" t="s">
        <v>23</v>
      </c>
      <c r="AA208" s="331" t="s">
        <v>919</v>
      </c>
      <c r="AB208" s="331" t="s">
        <v>920</v>
      </c>
      <c r="AC208" s="331" t="s">
        <v>264</v>
      </c>
      <c r="AD208" s="331" t="s">
        <v>24</v>
      </c>
      <c r="AE208" s="329">
        <v>221</v>
      </c>
      <c r="AF208" s="331" t="s">
        <v>254</v>
      </c>
      <c r="AG208" s="329"/>
      <c r="AH208" s="329">
        <v>17</v>
      </c>
      <c r="AI208" s="331" t="s">
        <v>280</v>
      </c>
      <c r="AJ208" s="331" t="s">
        <v>281</v>
      </c>
      <c r="AK208" s="331" t="s">
        <v>290</v>
      </c>
      <c r="AL208" s="331" t="s">
        <v>330</v>
      </c>
      <c r="AM208" s="331" t="s">
        <v>290</v>
      </c>
      <c r="AN208" s="331" t="s">
        <v>274</v>
      </c>
      <c r="AO208" s="331" t="s">
        <v>300</v>
      </c>
      <c r="AP208" s="329"/>
      <c r="AQ208" s="329"/>
      <c r="AR208" s="329"/>
      <c r="AS208" s="329"/>
      <c r="AT208" s="329" t="s">
        <v>394</v>
      </c>
      <c r="AU208" s="329" t="s">
        <v>283</v>
      </c>
      <c r="AV208" s="331" t="s">
        <v>376</v>
      </c>
      <c r="AW208" s="329"/>
      <c r="AX208" s="329"/>
      <c r="AY208" s="329"/>
      <c r="AZ208" s="329"/>
      <c r="BA208" s="329"/>
      <c r="BB208" s="329"/>
      <c r="BC208" s="329"/>
      <c r="BD208" s="329"/>
      <c r="BE208" s="329" t="s">
        <v>257</v>
      </c>
      <c r="BF208" s="329" t="s">
        <v>837</v>
      </c>
      <c r="BG208" s="329"/>
      <c r="BH208" s="329"/>
      <c r="BI208" s="329"/>
      <c r="BJ208" s="329"/>
      <c r="BK208" s="329">
        <v>15000</v>
      </c>
      <c r="BL208" s="329"/>
      <c r="BM208" s="331" t="s">
        <v>295</v>
      </c>
      <c r="BN208" s="329" t="s">
        <v>922</v>
      </c>
      <c r="BO208" s="333">
        <v>43755</v>
      </c>
      <c r="BP208" s="329"/>
      <c r="BQ208" s="329"/>
      <c r="BR208" s="329"/>
      <c r="BS208" s="329"/>
      <c r="BT208" s="329"/>
      <c r="BU208" s="331" t="s">
        <v>261</v>
      </c>
      <c r="BV208" s="329"/>
      <c r="BW208" s="329"/>
      <c r="BX208" s="329"/>
      <c r="BY208" s="331" t="s">
        <v>2195</v>
      </c>
      <c r="BZ208" s="331" t="s">
        <v>2196</v>
      </c>
      <c r="CA208" s="331" t="s">
        <v>2197</v>
      </c>
      <c r="CB208" s="331" t="s">
        <v>376</v>
      </c>
      <c r="CC208" s="331" t="s">
        <v>2194</v>
      </c>
    </row>
    <row r="209" spans="1:81" x14ac:dyDescent="0.25">
      <c r="A209" s="329">
        <v>196822</v>
      </c>
      <c r="B209" s="331" t="s">
        <v>2339</v>
      </c>
      <c r="C209" s="329">
        <v>34748</v>
      </c>
      <c r="D209" s="331" t="s">
        <v>2340</v>
      </c>
      <c r="E209" s="331" t="s">
        <v>2341</v>
      </c>
      <c r="F209" s="331" t="s">
        <v>2342</v>
      </c>
      <c r="G209" s="331" t="s">
        <v>2343</v>
      </c>
      <c r="H209" s="331" t="s">
        <v>2344</v>
      </c>
      <c r="I209" s="331" t="s">
        <v>459</v>
      </c>
      <c r="J209" s="331" t="s">
        <v>325</v>
      </c>
      <c r="K209" s="331" t="s">
        <v>2345</v>
      </c>
      <c r="L209" s="329"/>
      <c r="M209" s="329">
        <v>6</v>
      </c>
      <c r="N209" s="329">
        <v>0</v>
      </c>
      <c r="O209" s="329">
        <v>1.7666999999999999</v>
      </c>
      <c r="P209" s="329"/>
      <c r="Q209" s="333">
        <v>43707.388888888891</v>
      </c>
      <c r="R209" s="329"/>
      <c r="S209" s="333">
        <v>43755</v>
      </c>
      <c r="T209" s="329">
        <v>55</v>
      </c>
      <c r="U209" s="333">
        <v>43755</v>
      </c>
      <c r="V209" s="333">
        <v>44109</v>
      </c>
      <c r="W209" s="329" t="b">
        <v>1</v>
      </c>
      <c r="X209" s="331" t="s">
        <v>22</v>
      </c>
      <c r="Y209" s="329">
        <v>726</v>
      </c>
      <c r="Z209" s="331" t="s">
        <v>25</v>
      </c>
      <c r="AA209" s="331" t="s">
        <v>919</v>
      </c>
      <c r="AB209" s="331" t="s">
        <v>920</v>
      </c>
      <c r="AC209" s="331" t="s">
        <v>264</v>
      </c>
      <c r="AD209" s="331" t="s">
        <v>24</v>
      </c>
      <c r="AE209" s="329">
        <v>221</v>
      </c>
      <c r="AF209" s="331" t="s">
        <v>254</v>
      </c>
      <c r="AG209" s="329"/>
      <c r="AH209" s="329">
        <v>17</v>
      </c>
      <c r="AI209" s="331" t="s">
        <v>280</v>
      </c>
      <c r="AJ209" s="331" t="s">
        <v>281</v>
      </c>
      <c r="AK209" s="331" t="s">
        <v>274</v>
      </c>
      <c r="AL209" s="331" t="s">
        <v>290</v>
      </c>
      <c r="AM209" s="331" t="s">
        <v>289</v>
      </c>
      <c r="AN209" s="331" t="s">
        <v>300</v>
      </c>
      <c r="AO209" s="331" t="s">
        <v>347</v>
      </c>
      <c r="AP209" s="329"/>
      <c r="AQ209" s="329"/>
      <c r="AR209" s="329"/>
      <c r="AS209" s="329"/>
      <c r="AT209" s="329" t="s">
        <v>460</v>
      </c>
      <c r="AU209" s="329" t="s">
        <v>256</v>
      </c>
      <c r="AV209" s="331" t="s">
        <v>325</v>
      </c>
      <c r="AW209" s="329"/>
      <c r="AX209" s="329"/>
      <c r="AY209" s="329"/>
      <c r="AZ209" s="329"/>
      <c r="BA209" s="329"/>
      <c r="BB209" s="329"/>
      <c r="BC209" s="329"/>
      <c r="BD209" s="329"/>
      <c r="BE209" s="329"/>
      <c r="BF209" s="329"/>
      <c r="BG209" s="329"/>
      <c r="BH209" s="329"/>
      <c r="BI209" s="329"/>
      <c r="BJ209" s="329"/>
      <c r="BK209" s="329">
        <v>0</v>
      </c>
      <c r="BL209" s="329"/>
      <c r="BM209" s="331" t="s">
        <v>323</v>
      </c>
      <c r="BN209" s="329" t="s">
        <v>922</v>
      </c>
      <c r="BO209" s="333">
        <v>43755</v>
      </c>
      <c r="BP209" s="329"/>
      <c r="BQ209" s="329"/>
      <c r="BR209" s="329"/>
      <c r="BS209" s="329"/>
      <c r="BT209" s="329"/>
      <c r="BU209" s="331" t="s">
        <v>261</v>
      </c>
      <c r="BV209" s="329"/>
      <c r="BW209" s="329"/>
      <c r="BX209" s="329"/>
      <c r="BY209" s="331" t="s">
        <v>2346</v>
      </c>
      <c r="BZ209" s="331" t="s">
        <v>2347</v>
      </c>
      <c r="CA209" s="331" t="s">
        <v>2348</v>
      </c>
      <c r="CB209" s="331" t="s">
        <v>325</v>
      </c>
      <c r="CC209" s="331" t="s">
        <v>852</v>
      </c>
    </row>
    <row r="210" spans="1:81" x14ac:dyDescent="0.25">
      <c r="A210" s="329">
        <v>198540</v>
      </c>
      <c r="B210" s="331" t="s">
        <v>2425</v>
      </c>
      <c r="C210" s="329">
        <v>35306</v>
      </c>
      <c r="D210" s="331" t="s">
        <v>913</v>
      </c>
      <c r="E210" s="331" t="s">
        <v>2426</v>
      </c>
      <c r="F210" s="331" t="s">
        <v>2427</v>
      </c>
      <c r="G210" s="331" t="s">
        <v>2428</v>
      </c>
      <c r="H210" s="331" t="s">
        <v>2429</v>
      </c>
      <c r="I210" s="331" t="s">
        <v>2430</v>
      </c>
      <c r="J210" s="331" t="s">
        <v>392</v>
      </c>
      <c r="K210" s="331" t="s">
        <v>2431</v>
      </c>
      <c r="L210" s="329"/>
      <c r="M210" s="329">
        <v>6</v>
      </c>
      <c r="N210" s="329">
        <v>0</v>
      </c>
      <c r="O210" s="329">
        <v>3.2959999999999998</v>
      </c>
      <c r="P210" s="329"/>
      <c r="Q210" s="333">
        <v>43745.770833333336</v>
      </c>
      <c r="R210" s="329"/>
      <c r="S210" s="333">
        <v>43755</v>
      </c>
      <c r="T210" s="329">
        <v>55</v>
      </c>
      <c r="U210" s="333">
        <v>43755</v>
      </c>
      <c r="V210" s="333">
        <v>44109</v>
      </c>
      <c r="W210" s="329" t="b">
        <v>1</v>
      </c>
      <c r="X210" s="331" t="s">
        <v>22</v>
      </c>
      <c r="Y210" s="329">
        <v>429</v>
      </c>
      <c r="Z210" s="331" t="s">
        <v>336</v>
      </c>
      <c r="AA210" s="331" t="s">
        <v>919</v>
      </c>
      <c r="AB210" s="331" t="s">
        <v>920</v>
      </c>
      <c r="AC210" s="331" t="s">
        <v>1405</v>
      </c>
      <c r="AD210" s="331" t="s">
        <v>24</v>
      </c>
      <c r="AE210" s="329">
        <v>221</v>
      </c>
      <c r="AF210" s="331" t="s">
        <v>254</v>
      </c>
      <c r="AG210" s="329"/>
      <c r="AH210" s="329">
        <v>17</v>
      </c>
      <c r="AI210" s="331" t="s">
        <v>280</v>
      </c>
      <c r="AJ210" s="331" t="s">
        <v>281</v>
      </c>
      <c r="AK210" s="329"/>
      <c r="AL210" s="329"/>
      <c r="AM210" s="329"/>
      <c r="AN210" s="329"/>
      <c r="AO210" s="329"/>
      <c r="AP210" s="329"/>
      <c r="AQ210" s="329"/>
      <c r="AR210" s="329"/>
      <c r="AS210" s="329"/>
      <c r="AT210" s="329" t="s">
        <v>258</v>
      </c>
      <c r="AU210" s="329" t="s">
        <v>256</v>
      </c>
      <c r="AV210" s="331" t="s">
        <v>392</v>
      </c>
      <c r="AW210" s="329"/>
      <c r="AX210" s="329"/>
      <c r="AY210" s="329"/>
      <c r="AZ210" s="329"/>
      <c r="BA210" s="329"/>
      <c r="BB210" s="329"/>
      <c r="BC210" s="329"/>
      <c r="BD210" s="329"/>
      <c r="BE210" s="329"/>
      <c r="BF210" s="329"/>
      <c r="BG210" s="329"/>
      <c r="BH210" s="329"/>
      <c r="BI210" s="329"/>
      <c r="BJ210" s="329"/>
      <c r="BK210" s="329">
        <v>0</v>
      </c>
      <c r="BL210" s="329"/>
      <c r="BM210" s="331" t="s">
        <v>267</v>
      </c>
      <c r="BN210" s="329" t="s">
        <v>922</v>
      </c>
      <c r="BO210" s="333">
        <v>43755</v>
      </c>
      <c r="BP210" s="329"/>
      <c r="BQ210" s="329"/>
      <c r="BR210" s="329"/>
      <c r="BS210" s="329"/>
      <c r="BT210" s="329"/>
      <c r="BU210" s="331" t="s">
        <v>261</v>
      </c>
      <c r="BV210" s="329"/>
      <c r="BW210" s="329"/>
      <c r="BX210" s="329"/>
      <c r="BY210" s="331" t="s">
        <v>2432</v>
      </c>
      <c r="BZ210" s="331" t="s">
        <v>2433</v>
      </c>
      <c r="CA210" s="329"/>
      <c r="CB210" s="331" t="s">
        <v>558</v>
      </c>
      <c r="CC210" s="331" t="s">
        <v>304</v>
      </c>
    </row>
    <row r="211" spans="1:81" x14ac:dyDescent="0.25">
      <c r="A211" s="329">
        <v>198714</v>
      </c>
      <c r="B211" s="331" t="s">
        <v>2434</v>
      </c>
      <c r="C211" s="329">
        <v>35362</v>
      </c>
      <c r="D211" s="331" t="s">
        <v>913</v>
      </c>
      <c r="E211" s="331" t="s">
        <v>451</v>
      </c>
      <c r="F211" s="331" t="s">
        <v>2435</v>
      </c>
      <c r="G211" s="331" t="s">
        <v>2436</v>
      </c>
      <c r="H211" s="331" t="s">
        <v>2437</v>
      </c>
      <c r="I211" s="331" t="s">
        <v>2438</v>
      </c>
      <c r="J211" s="331" t="s">
        <v>263</v>
      </c>
      <c r="K211" s="331" t="s">
        <v>2439</v>
      </c>
      <c r="L211" s="329"/>
      <c r="M211" s="329">
        <v>6</v>
      </c>
      <c r="N211" s="329">
        <v>0</v>
      </c>
      <c r="O211" s="329">
        <v>3.6389999999999998</v>
      </c>
      <c r="P211" s="329"/>
      <c r="Q211" s="333">
        <v>43641.465277777781</v>
      </c>
      <c r="R211" s="329"/>
      <c r="S211" s="333">
        <v>43755</v>
      </c>
      <c r="T211" s="329">
        <v>55</v>
      </c>
      <c r="U211" s="333">
        <v>43755</v>
      </c>
      <c r="V211" s="333">
        <v>44109</v>
      </c>
      <c r="W211" s="329" t="b">
        <v>1</v>
      </c>
      <c r="X211" s="331" t="s">
        <v>22</v>
      </c>
      <c r="Y211" s="329">
        <v>726</v>
      </c>
      <c r="Z211" s="331" t="s">
        <v>23</v>
      </c>
      <c r="AA211" s="331" t="s">
        <v>919</v>
      </c>
      <c r="AB211" s="331" t="s">
        <v>920</v>
      </c>
      <c r="AC211" s="331" t="s">
        <v>1097</v>
      </c>
      <c r="AD211" s="331" t="s">
        <v>24</v>
      </c>
      <c r="AE211" s="329">
        <v>221</v>
      </c>
      <c r="AF211" s="331" t="s">
        <v>254</v>
      </c>
      <c r="AG211" s="329"/>
      <c r="AH211" s="329">
        <v>17</v>
      </c>
      <c r="AI211" s="331" t="s">
        <v>280</v>
      </c>
      <c r="AJ211" s="331" t="s">
        <v>281</v>
      </c>
      <c r="AK211" s="329"/>
      <c r="AL211" s="329"/>
      <c r="AM211" s="329"/>
      <c r="AN211" s="329"/>
      <c r="AO211" s="329"/>
      <c r="AP211" s="331" t="s">
        <v>405</v>
      </c>
      <c r="AQ211" s="329">
        <v>640</v>
      </c>
      <c r="AR211" s="329">
        <v>600</v>
      </c>
      <c r="AS211" s="329"/>
      <c r="AT211" s="329" t="s">
        <v>312</v>
      </c>
      <c r="AU211" s="329" t="s">
        <v>963</v>
      </c>
      <c r="AV211" s="331" t="s">
        <v>263</v>
      </c>
      <c r="AW211" s="329"/>
      <c r="AX211" s="329"/>
      <c r="AY211" s="329"/>
      <c r="AZ211" s="329"/>
      <c r="BA211" s="329"/>
      <c r="BB211" s="329"/>
      <c r="BC211" s="329"/>
      <c r="BD211" s="329"/>
      <c r="BE211" s="329" t="s">
        <v>257</v>
      </c>
      <c r="BF211" s="329" t="s">
        <v>834</v>
      </c>
      <c r="BG211" s="329"/>
      <c r="BH211" s="329"/>
      <c r="BI211" s="329"/>
      <c r="BJ211" s="329"/>
      <c r="BK211" s="329">
        <v>20400</v>
      </c>
      <c r="BL211" s="329"/>
      <c r="BM211" s="331" t="s">
        <v>278</v>
      </c>
      <c r="BN211" s="329" t="s">
        <v>922</v>
      </c>
      <c r="BO211" s="333">
        <v>43755</v>
      </c>
      <c r="BP211" s="329"/>
      <c r="BQ211" s="329"/>
      <c r="BR211" s="329"/>
      <c r="BS211" s="329"/>
      <c r="BT211" s="329"/>
      <c r="BU211" s="331" t="s">
        <v>261</v>
      </c>
      <c r="BV211" s="329"/>
      <c r="BW211" s="329"/>
      <c r="BX211" s="329"/>
      <c r="BY211" s="331" t="s">
        <v>2440</v>
      </c>
      <c r="BZ211" s="331" t="s">
        <v>2441</v>
      </c>
      <c r="CA211" s="331" t="s">
        <v>2442</v>
      </c>
      <c r="CB211" s="331" t="s">
        <v>263</v>
      </c>
      <c r="CC211" s="331" t="s">
        <v>2443</v>
      </c>
    </row>
    <row r="212" spans="1:81" x14ac:dyDescent="0.25">
      <c r="A212" s="329">
        <v>198365</v>
      </c>
      <c r="B212" s="331" t="s">
        <v>2472</v>
      </c>
      <c r="C212" s="329">
        <v>35247</v>
      </c>
      <c r="D212" s="331" t="s">
        <v>478</v>
      </c>
      <c r="E212" s="331" t="s">
        <v>2473</v>
      </c>
      <c r="F212" s="331" t="s">
        <v>2474</v>
      </c>
      <c r="G212" s="331" t="s">
        <v>2475</v>
      </c>
      <c r="H212" s="331" t="s">
        <v>2476</v>
      </c>
      <c r="I212" s="331" t="s">
        <v>2477</v>
      </c>
      <c r="J212" s="331" t="s">
        <v>354</v>
      </c>
      <c r="K212" s="331" t="s">
        <v>2478</v>
      </c>
      <c r="L212" s="329"/>
      <c r="M212" s="329">
        <v>6</v>
      </c>
      <c r="N212" s="329">
        <v>0</v>
      </c>
      <c r="O212" s="329">
        <v>3</v>
      </c>
      <c r="P212" s="329"/>
      <c r="Q212" s="333">
        <v>43682.330555555556</v>
      </c>
      <c r="R212" s="329"/>
      <c r="S212" s="333">
        <v>43755</v>
      </c>
      <c r="T212" s="329">
        <v>55</v>
      </c>
      <c r="U212" s="333">
        <v>43755</v>
      </c>
      <c r="V212" s="333">
        <v>44109</v>
      </c>
      <c r="W212" s="329" t="b">
        <v>1</v>
      </c>
      <c r="X212" s="331" t="s">
        <v>22</v>
      </c>
      <c r="Y212" s="329">
        <v>726</v>
      </c>
      <c r="Z212" s="331" t="s">
        <v>25</v>
      </c>
      <c r="AA212" s="331" t="s">
        <v>919</v>
      </c>
      <c r="AB212" s="331" t="s">
        <v>920</v>
      </c>
      <c r="AC212" s="331" t="s">
        <v>1750</v>
      </c>
      <c r="AD212" s="331" t="s">
        <v>24</v>
      </c>
      <c r="AE212" s="329">
        <v>221</v>
      </c>
      <c r="AF212" s="331" t="s">
        <v>254</v>
      </c>
      <c r="AG212" s="329"/>
      <c r="AH212" s="329">
        <v>17</v>
      </c>
      <c r="AI212" s="331" t="s">
        <v>280</v>
      </c>
      <c r="AJ212" s="331" t="s">
        <v>281</v>
      </c>
      <c r="AK212" s="329"/>
      <c r="AL212" s="329"/>
      <c r="AM212" s="329"/>
      <c r="AN212" s="329"/>
      <c r="AO212" s="329"/>
      <c r="AP212" s="331" t="s">
        <v>491</v>
      </c>
      <c r="AQ212" s="329">
        <v>510</v>
      </c>
      <c r="AR212" s="329">
        <v>490</v>
      </c>
      <c r="AS212" s="329"/>
      <c r="AT212" s="329" t="s">
        <v>266</v>
      </c>
      <c r="AU212" s="329" t="s">
        <v>283</v>
      </c>
      <c r="AV212" s="331" t="s">
        <v>354</v>
      </c>
      <c r="AW212" s="329"/>
      <c r="AX212" s="329"/>
      <c r="AY212" s="329"/>
      <c r="AZ212" s="329"/>
      <c r="BA212" s="329"/>
      <c r="BB212" s="329"/>
      <c r="BC212" s="329"/>
      <c r="BD212" s="329"/>
      <c r="BE212" s="329" t="s">
        <v>257</v>
      </c>
      <c r="BF212" s="329" t="s">
        <v>836</v>
      </c>
      <c r="BG212" s="329"/>
      <c r="BH212" s="329"/>
      <c r="BI212" s="329"/>
      <c r="BJ212" s="329"/>
      <c r="BK212" s="329">
        <v>18000</v>
      </c>
      <c r="BL212" s="329"/>
      <c r="BM212" s="331" t="s">
        <v>310</v>
      </c>
      <c r="BN212" s="329" t="s">
        <v>922</v>
      </c>
      <c r="BO212" s="333">
        <v>43755</v>
      </c>
      <c r="BP212" s="329"/>
      <c r="BQ212" s="329"/>
      <c r="BR212" s="329"/>
      <c r="BS212" s="329"/>
      <c r="BT212" s="329"/>
      <c r="BU212" s="331" t="s">
        <v>261</v>
      </c>
      <c r="BV212" s="329"/>
      <c r="BW212" s="329"/>
      <c r="BX212" s="329"/>
      <c r="BY212" s="331" t="s">
        <v>2479</v>
      </c>
      <c r="BZ212" s="331" t="s">
        <v>2480</v>
      </c>
      <c r="CA212" s="331" t="s">
        <v>2481</v>
      </c>
      <c r="CB212" s="331" t="s">
        <v>354</v>
      </c>
      <c r="CC212" s="331" t="s">
        <v>2482</v>
      </c>
    </row>
    <row r="213" spans="1:81" x14ac:dyDescent="0.25">
      <c r="A213" s="329">
        <v>198565</v>
      </c>
      <c r="B213" s="331" t="s">
        <v>2514</v>
      </c>
      <c r="C213" s="329">
        <v>35315</v>
      </c>
      <c r="D213" s="331" t="s">
        <v>2515</v>
      </c>
      <c r="E213" s="331" t="s">
        <v>2516</v>
      </c>
      <c r="F213" s="331" t="s">
        <v>2517</v>
      </c>
      <c r="G213" s="331" t="s">
        <v>2518</v>
      </c>
      <c r="H213" s="331" t="s">
        <v>2519</v>
      </c>
      <c r="I213" s="331" t="s">
        <v>434</v>
      </c>
      <c r="J213" s="331" t="s">
        <v>341</v>
      </c>
      <c r="K213" s="331" t="s">
        <v>435</v>
      </c>
      <c r="L213" s="329"/>
      <c r="M213" s="329">
        <v>6</v>
      </c>
      <c r="N213" s="329">
        <v>0</v>
      </c>
      <c r="O213" s="329">
        <v>3.4710000000000001</v>
      </c>
      <c r="P213" s="329"/>
      <c r="Q213" s="333">
        <v>43648.415277777778</v>
      </c>
      <c r="R213" s="329"/>
      <c r="S213" s="333">
        <v>43755</v>
      </c>
      <c r="T213" s="329">
        <v>55</v>
      </c>
      <c r="U213" s="333">
        <v>43755</v>
      </c>
      <c r="V213" s="333">
        <v>44109</v>
      </c>
      <c r="W213" s="329" t="b">
        <v>1</v>
      </c>
      <c r="X213" s="331" t="s">
        <v>22</v>
      </c>
      <c r="Y213" s="329">
        <v>726</v>
      </c>
      <c r="Z213" s="331" t="s">
        <v>25</v>
      </c>
      <c r="AA213" s="331" t="s">
        <v>919</v>
      </c>
      <c r="AB213" s="331" t="s">
        <v>920</v>
      </c>
      <c r="AC213" s="331" t="s">
        <v>346</v>
      </c>
      <c r="AD213" s="331" t="s">
        <v>24</v>
      </c>
      <c r="AE213" s="329">
        <v>221</v>
      </c>
      <c r="AF213" s="331" t="s">
        <v>254</v>
      </c>
      <c r="AG213" s="329"/>
      <c r="AH213" s="329">
        <v>17</v>
      </c>
      <c r="AI213" s="331" t="s">
        <v>280</v>
      </c>
      <c r="AJ213" s="331" t="s">
        <v>281</v>
      </c>
      <c r="AK213" s="331" t="s">
        <v>330</v>
      </c>
      <c r="AL213" s="331" t="s">
        <v>386</v>
      </c>
      <c r="AM213" s="331" t="s">
        <v>329</v>
      </c>
      <c r="AN213" s="331" t="s">
        <v>299</v>
      </c>
      <c r="AO213" s="331" t="s">
        <v>331</v>
      </c>
      <c r="AP213" s="331" t="s">
        <v>356</v>
      </c>
      <c r="AQ213" s="329">
        <v>520</v>
      </c>
      <c r="AR213" s="329">
        <v>530</v>
      </c>
      <c r="AS213" s="329"/>
      <c r="AT213" s="329" t="s">
        <v>353</v>
      </c>
      <c r="AU213" s="329" t="s">
        <v>283</v>
      </c>
      <c r="AV213" s="331" t="s">
        <v>341</v>
      </c>
      <c r="AW213" s="329"/>
      <c r="AX213" s="329"/>
      <c r="AY213" s="329"/>
      <c r="AZ213" s="329"/>
      <c r="BA213" s="329"/>
      <c r="BB213" s="329"/>
      <c r="BC213" s="329"/>
      <c r="BD213" s="329"/>
      <c r="BE213" s="329" t="s">
        <v>257</v>
      </c>
      <c r="BF213" s="329" t="s">
        <v>836</v>
      </c>
      <c r="BG213" s="329"/>
      <c r="BH213" s="329"/>
      <c r="BI213" s="329"/>
      <c r="BJ213" s="329"/>
      <c r="BK213" s="329">
        <v>18000</v>
      </c>
      <c r="BL213" s="329"/>
      <c r="BM213" s="331" t="s">
        <v>310</v>
      </c>
      <c r="BN213" s="329" t="s">
        <v>922</v>
      </c>
      <c r="BO213" s="333">
        <v>43755</v>
      </c>
      <c r="BP213" s="329"/>
      <c r="BQ213" s="329"/>
      <c r="BR213" s="329"/>
      <c r="BS213" s="329"/>
      <c r="BT213" s="329"/>
      <c r="BU213" s="331" t="s">
        <v>261</v>
      </c>
      <c r="BV213" s="329"/>
      <c r="BW213" s="329"/>
      <c r="BX213" s="329"/>
      <c r="BY213" s="331" t="s">
        <v>2520</v>
      </c>
      <c r="BZ213" s="331" t="s">
        <v>2521</v>
      </c>
      <c r="CA213" s="331" t="s">
        <v>1989</v>
      </c>
      <c r="CB213" s="331" t="s">
        <v>341</v>
      </c>
      <c r="CC213" s="331" t="s">
        <v>2522</v>
      </c>
    </row>
    <row r="214" spans="1:81" x14ac:dyDescent="0.25">
      <c r="A214" s="329">
        <v>197661</v>
      </c>
      <c r="B214" s="331" t="s">
        <v>2534</v>
      </c>
      <c r="C214" s="329">
        <v>34943</v>
      </c>
      <c r="D214" s="331" t="s">
        <v>2535</v>
      </c>
      <c r="E214" s="331" t="s">
        <v>2536</v>
      </c>
      <c r="F214" s="331" t="s">
        <v>2537</v>
      </c>
      <c r="G214" s="331" t="s">
        <v>2538</v>
      </c>
      <c r="H214" s="331" t="s">
        <v>6150</v>
      </c>
      <c r="I214" s="331" t="s">
        <v>2539</v>
      </c>
      <c r="J214" s="331" t="s">
        <v>20</v>
      </c>
      <c r="K214" s="331" t="s">
        <v>2540</v>
      </c>
      <c r="L214" s="329"/>
      <c r="M214" s="329">
        <v>6</v>
      </c>
      <c r="N214" s="329">
        <v>0</v>
      </c>
      <c r="O214" s="329">
        <v>4.2</v>
      </c>
      <c r="P214" s="329"/>
      <c r="Q214" s="333">
        <v>43715.617164351854</v>
      </c>
      <c r="R214" s="329"/>
      <c r="S214" s="333">
        <v>43755</v>
      </c>
      <c r="T214" s="329">
        <v>55</v>
      </c>
      <c r="U214" s="333">
        <v>43755</v>
      </c>
      <c r="V214" s="333">
        <v>44109</v>
      </c>
      <c r="W214" s="329" t="b">
        <v>1</v>
      </c>
      <c r="X214" s="331" t="s">
        <v>905</v>
      </c>
      <c r="Y214" s="329">
        <v>747</v>
      </c>
      <c r="Z214" s="331" t="s">
        <v>25</v>
      </c>
      <c r="AA214" s="331" t="s">
        <v>919</v>
      </c>
      <c r="AB214" s="331" t="s">
        <v>920</v>
      </c>
      <c r="AC214" s="331" t="s">
        <v>271</v>
      </c>
      <c r="AD214" s="331" t="s">
        <v>24</v>
      </c>
      <c r="AE214" s="329">
        <v>221</v>
      </c>
      <c r="AF214" s="331" t="s">
        <v>254</v>
      </c>
      <c r="AG214" s="329"/>
      <c r="AH214" s="329">
        <v>17</v>
      </c>
      <c r="AI214" s="331" t="s">
        <v>280</v>
      </c>
      <c r="AJ214" s="331" t="s">
        <v>281</v>
      </c>
      <c r="AK214" s="329"/>
      <c r="AL214" s="329"/>
      <c r="AM214" s="329"/>
      <c r="AN214" s="329"/>
      <c r="AO214" s="329"/>
      <c r="AP214" s="329"/>
      <c r="AQ214" s="329"/>
      <c r="AR214" s="329"/>
      <c r="AS214" s="329"/>
      <c r="AT214" s="329" t="s">
        <v>258</v>
      </c>
      <c r="AU214" s="329" t="s">
        <v>283</v>
      </c>
      <c r="AV214" s="331" t="s">
        <v>20</v>
      </c>
      <c r="AW214" s="329"/>
      <c r="AX214" s="329"/>
      <c r="AY214" s="329"/>
      <c r="AZ214" s="329"/>
      <c r="BA214" s="329"/>
      <c r="BB214" s="329"/>
      <c r="BC214" s="329"/>
      <c r="BD214" s="329"/>
      <c r="BE214" s="329" t="s">
        <v>257</v>
      </c>
      <c r="BF214" s="329" t="s">
        <v>834</v>
      </c>
      <c r="BG214" s="329"/>
      <c r="BH214" s="329"/>
      <c r="BI214" s="329"/>
      <c r="BJ214" s="329"/>
      <c r="BK214" s="329">
        <v>20400</v>
      </c>
      <c r="BL214" s="329"/>
      <c r="BM214" s="331" t="s">
        <v>278</v>
      </c>
      <c r="BN214" s="329" t="s">
        <v>922</v>
      </c>
      <c r="BO214" s="333">
        <v>43755</v>
      </c>
      <c r="BP214" s="329"/>
      <c r="BQ214" s="329"/>
      <c r="BR214" s="329"/>
      <c r="BS214" s="329"/>
      <c r="BT214" s="329"/>
      <c r="BU214" s="331" t="s">
        <v>261</v>
      </c>
      <c r="BV214" s="329"/>
      <c r="BW214" s="329"/>
      <c r="BX214" s="329"/>
      <c r="BY214" s="331" t="s">
        <v>2541</v>
      </c>
      <c r="BZ214" s="331" t="s">
        <v>2542</v>
      </c>
      <c r="CA214" s="331" t="s">
        <v>2543</v>
      </c>
      <c r="CB214" s="331" t="s">
        <v>20</v>
      </c>
      <c r="CC214" s="331" t="s">
        <v>2544</v>
      </c>
    </row>
    <row r="215" spans="1:81" x14ac:dyDescent="0.25">
      <c r="A215" s="329">
        <v>198604</v>
      </c>
      <c r="B215" s="331" t="s">
        <v>2557</v>
      </c>
      <c r="C215" s="329">
        <v>35324</v>
      </c>
      <c r="D215" s="331" t="s">
        <v>2558</v>
      </c>
      <c r="E215" s="331" t="s">
        <v>2559</v>
      </c>
      <c r="F215" s="331" t="s">
        <v>2560</v>
      </c>
      <c r="G215" s="331" t="s">
        <v>2561</v>
      </c>
      <c r="H215" s="331" t="s">
        <v>2562</v>
      </c>
      <c r="I215" s="331" t="s">
        <v>560</v>
      </c>
      <c r="J215" s="331" t="s">
        <v>251</v>
      </c>
      <c r="K215" s="331" t="s">
        <v>2563</v>
      </c>
      <c r="L215" s="329"/>
      <c r="M215" s="329">
        <v>6</v>
      </c>
      <c r="N215" s="329">
        <v>0</v>
      </c>
      <c r="O215" s="329">
        <v>3.3860000000000001</v>
      </c>
      <c r="P215" s="329"/>
      <c r="Q215" s="333">
        <v>43747.685416666667</v>
      </c>
      <c r="R215" s="329"/>
      <c r="S215" s="333">
        <v>43755</v>
      </c>
      <c r="T215" s="329">
        <v>55</v>
      </c>
      <c r="U215" s="333">
        <v>43755</v>
      </c>
      <c r="V215" s="333">
        <v>44109</v>
      </c>
      <c r="W215" s="329" t="b">
        <v>1</v>
      </c>
      <c r="X215" s="331" t="s">
        <v>22</v>
      </c>
      <c r="Y215" s="329">
        <v>726</v>
      </c>
      <c r="Z215" s="331" t="s">
        <v>25</v>
      </c>
      <c r="AA215" s="331" t="s">
        <v>919</v>
      </c>
      <c r="AB215" s="331" t="s">
        <v>920</v>
      </c>
      <c r="AC215" s="331" t="s">
        <v>264</v>
      </c>
      <c r="AD215" s="331" t="s">
        <v>24</v>
      </c>
      <c r="AE215" s="329">
        <v>221</v>
      </c>
      <c r="AF215" s="331" t="s">
        <v>254</v>
      </c>
      <c r="AG215" s="329"/>
      <c r="AH215" s="329">
        <v>17</v>
      </c>
      <c r="AI215" s="331" t="s">
        <v>280</v>
      </c>
      <c r="AJ215" s="331" t="s">
        <v>281</v>
      </c>
      <c r="AK215" s="329"/>
      <c r="AL215" s="329"/>
      <c r="AM215" s="329"/>
      <c r="AN215" s="329"/>
      <c r="AO215" s="329"/>
      <c r="AP215" s="331" t="s">
        <v>476</v>
      </c>
      <c r="AQ215" s="329">
        <v>470</v>
      </c>
      <c r="AR215" s="329">
        <v>490</v>
      </c>
      <c r="AS215" s="329"/>
      <c r="AT215" s="329" t="s">
        <v>842</v>
      </c>
      <c r="AU215" s="329" t="s">
        <v>256</v>
      </c>
      <c r="AV215" s="331" t="s">
        <v>251</v>
      </c>
      <c r="AW215" s="329"/>
      <c r="AX215" s="329"/>
      <c r="AY215" s="329"/>
      <c r="AZ215" s="329"/>
      <c r="BA215" s="329"/>
      <c r="BB215" s="329"/>
      <c r="BC215" s="329"/>
      <c r="BD215" s="329"/>
      <c r="BE215" s="329" t="s">
        <v>257</v>
      </c>
      <c r="BF215" s="329" t="s">
        <v>837</v>
      </c>
      <c r="BG215" s="329"/>
      <c r="BH215" s="329"/>
      <c r="BI215" s="329"/>
      <c r="BJ215" s="329"/>
      <c r="BK215" s="329">
        <v>15000</v>
      </c>
      <c r="BL215" s="329"/>
      <c r="BM215" s="331" t="s">
        <v>295</v>
      </c>
      <c r="BN215" s="329" t="s">
        <v>922</v>
      </c>
      <c r="BO215" s="333">
        <v>43755</v>
      </c>
      <c r="BP215" s="329"/>
      <c r="BQ215" s="329"/>
      <c r="BR215" s="329"/>
      <c r="BS215" s="329"/>
      <c r="BT215" s="329"/>
      <c r="BU215" s="331" t="s">
        <v>261</v>
      </c>
      <c r="BV215" s="329"/>
      <c r="BW215" s="329"/>
      <c r="BX215" s="329"/>
      <c r="BY215" s="331" t="s">
        <v>2564</v>
      </c>
      <c r="BZ215" s="331" t="s">
        <v>2565</v>
      </c>
      <c r="CA215" s="331" t="s">
        <v>2566</v>
      </c>
      <c r="CB215" s="331" t="s">
        <v>251</v>
      </c>
      <c r="CC215" s="331" t="s">
        <v>2563</v>
      </c>
    </row>
    <row r="216" spans="1:81" x14ac:dyDescent="0.25">
      <c r="A216" s="329">
        <v>196258</v>
      </c>
      <c r="B216" s="331" t="s">
        <v>2586</v>
      </c>
      <c r="C216" s="329">
        <v>34577</v>
      </c>
      <c r="D216" s="331" t="s">
        <v>2587</v>
      </c>
      <c r="E216" s="331" t="s">
        <v>183</v>
      </c>
      <c r="F216" s="331" t="s">
        <v>2588</v>
      </c>
      <c r="G216" s="331" t="s">
        <v>2589</v>
      </c>
      <c r="H216" s="331" t="s">
        <v>2590</v>
      </c>
      <c r="I216" s="331" t="s">
        <v>2591</v>
      </c>
      <c r="J216" s="331" t="s">
        <v>284</v>
      </c>
      <c r="K216" s="331" t="s">
        <v>2592</v>
      </c>
      <c r="L216" s="329"/>
      <c r="M216" s="329">
        <v>6</v>
      </c>
      <c r="N216" s="329">
        <v>0</v>
      </c>
      <c r="O216" s="329">
        <v>2.5</v>
      </c>
      <c r="P216" s="329"/>
      <c r="Q216" s="333">
        <v>43629.645833333336</v>
      </c>
      <c r="R216" s="329"/>
      <c r="S216" s="333">
        <v>43755</v>
      </c>
      <c r="T216" s="329">
        <v>55</v>
      </c>
      <c r="U216" s="333">
        <v>43755</v>
      </c>
      <c r="V216" s="333">
        <v>44109</v>
      </c>
      <c r="W216" s="329" t="b">
        <v>1</v>
      </c>
      <c r="X216" s="331" t="s">
        <v>22</v>
      </c>
      <c r="Y216" s="329">
        <v>726</v>
      </c>
      <c r="Z216" s="331" t="s">
        <v>23</v>
      </c>
      <c r="AA216" s="331" t="s">
        <v>919</v>
      </c>
      <c r="AB216" s="331" t="s">
        <v>920</v>
      </c>
      <c r="AC216" s="331" t="s">
        <v>1670</v>
      </c>
      <c r="AD216" s="331" t="s">
        <v>24</v>
      </c>
      <c r="AE216" s="329">
        <v>221</v>
      </c>
      <c r="AF216" s="331" t="s">
        <v>254</v>
      </c>
      <c r="AG216" s="329"/>
      <c r="AH216" s="329">
        <v>17</v>
      </c>
      <c r="AI216" s="331" t="s">
        <v>280</v>
      </c>
      <c r="AJ216" s="331" t="s">
        <v>281</v>
      </c>
      <c r="AK216" s="329"/>
      <c r="AL216" s="329"/>
      <c r="AM216" s="329"/>
      <c r="AN216" s="329"/>
      <c r="AO216" s="329"/>
      <c r="AP216" s="331" t="s">
        <v>371</v>
      </c>
      <c r="AQ216" s="329">
        <v>570</v>
      </c>
      <c r="AR216" s="329">
        <v>640</v>
      </c>
      <c r="AS216" s="329"/>
      <c r="AT216" s="329" t="s">
        <v>365</v>
      </c>
      <c r="AU216" s="329" t="s">
        <v>256</v>
      </c>
      <c r="AV216" s="331" t="s">
        <v>284</v>
      </c>
      <c r="AW216" s="329"/>
      <c r="AX216" s="329"/>
      <c r="AY216" s="329"/>
      <c r="AZ216" s="329"/>
      <c r="BA216" s="329"/>
      <c r="BB216" s="329"/>
      <c r="BC216" s="329"/>
      <c r="BD216" s="329"/>
      <c r="BE216" s="329"/>
      <c r="BF216" s="329"/>
      <c r="BG216" s="329"/>
      <c r="BH216" s="329"/>
      <c r="BI216" s="329"/>
      <c r="BJ216" s="329"/>
      <c r="BK216" s="329">
        <v>0</v>
      </c>
      <c r="BL216" s="329"/>
      <c r="BM216" s="331" t="s">
        <v>267</v>
      </c>
      <c r="BN216" s="329" t="s">
        <v>922</v>
      </c>
      <c r="BO216" s="333">
        <v>43755</v>
      </c>
      <c r="BP216" s="329"/>
      <c r="BQ216" s="329"/>
      <c r="BR216" s="329"/>
      <c r="BS216" s="329"/>
      <c r="BT216" s="329"/>
      <c r="BU216" s="331" t="s">
        <v>261</v>
      </c>
      <c r="BV216" s="329"/>
      <c r="BW216" s="329"/>
      <c r="BX216" s="329"/>
      <c r="BY216" s="331" t="s">
        <v>2593</v>
      </c>
      <c r="BZ216" s="331" t="s">
        <v>2594</v>
      </c>
      <c r="CA216" s="331" t="s">
        <v>2595</v>
      </c>
      <c r="CB216" s="331" t="s">
        <v>284</v>
      </c>
      <c r="CC216" s="331" t="s">
        <v>2596</v>
      </c>
    </row>
    <row r="217" spans="1:81" x14ac:dyDescent="0.25">
      <c r="A217" s="329">
        <v>197787</v>
      </c>
      <c r="B217" s="331" t="s">
        <v>2666</v>
      </c>
      <c r="C217" s="329">
        <v>34992</v>
      </c>
      <c r="D217" s="331" t="s">
        <v>2667</v>
      </c>
      <c r="E217" s="331" t="s">
        <v>2668</v>
      </c>
      <c r="F217" s="331" t="s">
        <v>2669</v>
      </c>
      <c r="G217" s="331" t="s">
        <v>2670</v>
      </c>
      <c r="H217" s="331" t="s">
        <v>2671</v>
      </c>
      <c r="I217" s="331" t="s">
        <v>908</v>
      </c>
      <c r="J217" s="331" t="s">
        <v>325</v>
      </c>
      <c r="K217" s="331" t="s">
        <v>2672</v>
      </c>
      <c r="L217" s="329"/>
      <c r="M217" s="329">
        <v>6</v>
      </c>
      <c r="N217" s="329">
        <v>0</v>
      </c>
      <c r="O217" s="329">
        <v>2.6749999999999998</v>
      </c>
      <c r="P217" s="329"/>
      <c r="Q217" s="333">
        <v>43707.73228009259</v>
      </c>
      <c r="R217" s="329"/>
      <c r="S217" s="333">
        <v>43755</v>
      </c>
      <c r="T217" s="329">
        <v>55</v>
      </c>
      <c r="U217" s="333">
        <v>43755</v>
      </c>
      <c r="V217" s="333">
        <v>44109</v>
      </c>
      <c r="W217" s="329" t="b">
        <v>1</v>
      </c>
      <c r="X217" s="331" t="s">
        <v>22</v>
      </c>
      <c r="Y217" s="329">
        <v>726</v>
      </c>
      <c r="Z217" s="331" t="s">
        <v>25</v>
      </c>
      <c r="AA217" s="331" t="s">
        <v>919</v>
      </c>
      <c r="AB217" s="331" t="s">
        <v>920</v>
      </c>
      <c r="AC217" s="331" t="s">
        <v>2673</v>
      </c>
      <c r="AD217" s="331" t="s">
        <v>24</v>
      </c>
      <c r="AE217" s="329">
        <v>221</v>
      </c>
      <c r="AF217" s="331" t="s">
        <v>254</v>
      </c>
      <c r="AG217" s="329"/>
      <c r="AH217" s="329">
        <v>17</v>
      </c>
      <c r="AI217" s="331" t="s">
        <v>280</v>
      </c>
      <c r="AJ217" s="331" t="s">
        <v>281</v>
      </c>
      <c r="AK217" s="331" t="s">
        <v>329</v>
      </c>
      <c r="AL217" s="331" t="s">
        <v>417</v>
      </c>
      <c r="AM217" s="331" t="s">
        <v>359</v>
      </c>
      <c r="AN217" s="331" t="s">
        <v>329</v>
      </c>
      <c r="AO217" s="331" t="s">
        <v>328</v>
      </c>
      <c r="AP217" s="329"/>
      <c r="AQ217" s="329"/>
      <c r="AR217" s="329"/>
      <c r="AS217" s="329"/>
      <c r="AT217" s="329" t="s">
        <v>835</v>
      </c>
      <c r="AU217" s="329" t="s">
        <v>283</v>
      </c>
      <c r="AV217" s="331" t="s">
        <v>325</v>
      </c>
      <c r="AW217" s="329"/>
      <c r="AX217" s="329"/>
      <c r="AY217" s="329"/>
      <c r="AZ217" s="329"/>
      <c r="BA217" s="329"/>
      <c r="BB217" s="329"/>
      <c r="BC217" s="329"/>
      <c r="BD217" s="329"/>
      <c r="BE217" s="329"/>
      <c r="BF217" s="329"/>
      <c r="BG217" s="329"/>
      <c r="BH217" s="329"/>
      <c r="BI217" s="329"/>
      <c r="BJ217" s="329"/>
      <c r="BK217" s="329">
        <v>0</v>
      </c>
      <c r="BL217" s="329"/>
      <c r="BM217" s="331" t="s">
        <v>323</v>
      </c>
      <c r="BN217" s="329" t="s">
        <v>922</v>
      </c>
      <c r="BO217" s="333">
        <v>43755</v>
      </c>
      <c r="BP217" s="329"/>
      <c r="BQ217" s="329"/>
      <c r="BR217" s="329"/>
      <c r="BS217" s="329"/>
      <c r="BT217" s="329"/>
      <c r="BU217" s="331" t="s">
        <v>261</v>
      </c>
      <c r="BV217" s="329"/>
      <c r="BW217" s="329"/>
      <c r="BX217" s="329"/>
      <c r="BY217" s="331" t="s">
        <v>2674</v>
      </c>
      <c r="BZ217" s="331" t="s">
        <v>2675</v>
      </c>
      <c r="CA217" s="331" t="s">
        <v>909</v>
      </c>
      <c r="CB217" s="331" t="s">
        <v>325</v>
      </c>
      <c r="CC217" s="331" t="s">
        <v>2672</v>
      </c>
    </row>
    <row r="218" spans="1:81" x14ac:dyDescent="0.25">
      <c r="A218" s="329">
        <v>193448</v>
      </c>
      <c r="B218" s="331" t="s">
        <v>2760</v>
      </c>
      <c r="C218" s="329">
        <v>33850</v>
      </c>
      <c r="D218" s="331" t="s">
        <v>2761</v>
      </c>
      <c r="E218" s="331" t="s">
        <v>389</v>
      </c>
      <c r="F218" s="331" t="s">
        <v>2762</v>
      </c>
      <c r="G218" s="331" t="s">
        <v>2763</v>
      </c>
      <c r="H218" s="331" t="s">
        <v>2764</v>
      </c>
      <c r="I218" s="331" t="s">
        <v>2113</v>
      </c>
      <c r="J218" s="331" t="s">
        <v>393</v>
      </c>
      <c r="K218" s="331" t="s">
        <v>2114</v>
      </c>
      <c r="L218" s="329"/>
      <c r="M218" s="329">
        <v>6</v>
      </c>
      <c r="N218" s="329">
        <v>0</v>
      </c>
      <c r="O218" s="329">
        <v>3.62</v>
      </c>
      <c r="P218" s="329"/>
      <c r="Q218" s="333">
        <v>43626.517430555556</v>
      </c>
      <c r="R218" s="329"/>
      <c r="S218" s="333">
        <v>43755</v>
      </c>
      <c r="T218" s="329">
        <v>55</v>
      </c>
      <c r="U218" s="333">
        <v>43755</v>
      </c>
      <c r="V218" s="333">
        <v>44109</v>
      </c>
      <c r="W218" s="329" t="b">
        <v>1</v>
      </c>
      <c r="X218" s="331" t="s">
        <v>905</v>
      </c>
      <c r="Y218" s="329">
        <v>747</v>
      </c>
      <c r="Z218" s="331" t="s">
        <v>25</v>
      </c>
      <c r="AA218" s="331" t="s">
        <v>919</v>
      </c>
      <c r="AB218" s="331" t="s">
        <v>920</v>
      </c>
      <c r="AC218" s="331" t="s">
        <v>1184</v>
      </c>
      <c r="AD218" s="331" t="s">
        <v>24</v>
      </c>
      <c r="AE218" s="329">
        <v>221</v>
      </c>
      <c r="AF218" s="331" t="s">
        <v>254</v>
      </c>
      <c r="AG218" s="329"/>
      <c r="AH218" s="329">
        <v>17</v>
      </c>
      <c r="AI218" s="331" t="s">
        <v>280</v>
      </c>
      <c r="AJ218" s="331" t="s">
        <v>281</v>
      </c>
      <c r="AK218" s="331" t="s">
        <v>301</v>
      </c>
      <c r="AL218" s="331" t="s">
        <v>290</v>
      </c>
      <c r="AM218" s="331" t="s">
        <v>275</v>
      </c>
      <c r="AN218" s="331" t="s">
        <v>330</v>
      </c>
      <c r="AO218" s="331" t="s">
        <v>299</v>
      </c>
      <c r="AP218" s="329"/>
      <c r="AQ218" s="329"/>
      <c r="AR218" s="329"/>
      <c r="AS218" s="329"/>
      <c r="AT218" s="329" t="s">
        <v>833</v>
      </c>
      <c r="AU218" s="329" t="s">
        <v>283</v>
      </c>
      <c r="AV218" s="331" t="s">
        <v>393</v>
      </c>
      <c r="AW218" s="329"/>
      <c r="AX218" s="329"/>
      <c r="AY218" s="329"/>
      <c r="AZ218" s="329"/>
      <c r="BA218" s="329"/>
      <c r="BB218" s="329"/>
      <c r="BC218" s="329"/>
      <c r="BD218" s="329"/>
      <c r="BE218" s="329" t="s">
        <v>257</v>
      </c>
      <c r="BF218" s="329" t="s">
        <v>836</v>
      </c>
      <c r="BG218" s="329"/>
      <c r="BH218" s="329"/>
      <c r="BI218" s="329"/>
      <c r="BJ218" s="329"/>
      <c r="BK218" s="329">
        <v>18000</v>
      </c>
      <c r="BL218" s="329"/>
      <c r="BM218" s="331" t="s">
        <v>310</v>
      </c>
      <c r="BN218" s="329" t="s">
        <v>922</v>
      </c>
      <c r="BO218" s="333">
        <v>43755</v>
      </c>
      <c r="BP218" s="329"/>
      <c r="BQ218" s="329"/>
      <c r="BR218" s="329"/>
      <c r="BS218" s="329"/>
      <c r="BT218" s="329"/>
      <c r="BU218" s="331" t="s">
        <v>261</v>
      </c>
      <c r="BV218" s="329"/>
      <c r="BW218" s="329"/>
      <c r="BX218" s="329"/>
      <c r="BY218" s="331" t="s">
        <v>2115</v>
      </c>
      <c r="BZ218" s="331" t="s">
        <v>2116</v>
      </c>
      <c r="CA218" s="331" t="s">
        <v>2117</v>
      </c>
      <c r="CB218" s="331" t="s">
        <v>393</v>
      </c>
      <c r="CC218" s="331" t="s">
        <v>2114</v>
      </c>
    </row>
    <row r="219" spans="1:81" x14ac:dyDescent="0.25">
      <c r="A219" s="329">
        <v>198179</v>
      </c>
      <c r="B219" s="331" t="s">
        <v>3116</v>
      </c>
      <c r="C219" s="329">
        <v>35141</v>
      </c>
      <c r="D219" s="331" t="s">
        <v>471</v>
      </c>
      <c r="E219" s="331" t="s">
        <v>559</v>
      </c>
      <c r="F219" s="331" t="s">
        <v>3117</v>
      </c>
      <c r="G219" s="331" t="s">
        <v>3118</v>
      </c>
      <c r="H219" s="331" t="s">
        <v>3119</v>
      </c>
      <c r="I219" s="331" t="s">
        <v>3120</v>
      </c>
      <c r="J219" s="331" t="s">
        <v>392</v>
      </c>
      <c r="K219" s="331" t="s">
        <v>3121</v>
      </c>
      <c r="L219" s="329"/>
      <c r="M219" s="329">
        <v>6</v>
      </c>
      <c r="N219" s="329">
        <v>0</v>
      </c>
      <c r="O219" s="329">
        <v>3.9169999999999998</v>
      </c>
      <c r="P219" s="329"/>
      <c r="Q219" s="333">
        <v>43733.258333333331</v>
      </c>
      <c r="R219" s="329"/>
      <c r="S219" s="333">
        <v>43755</v>
      </c>
      <c r="T219" s="329">
        <v>55</v>
      </c>
      <c r="U219" s="333">
        <v>43755</v>
      </c>
      <c r="V219" s="333">
        <v>44109</v>
      </c>
      <c r="W219" s="329" t="b">
        <v>1</v>
      </c>
      <c r="X219" s="331" t="s">
        <v>22</v>
      </c>
      <c r="Y219" s="329">
        <v>726</v>
      </c>
      <c r="Z219" s="331" t="s">
        <v>25</v>
      </c>
      <c r="AA219" s="331" t="s">
        <v>919</v>
      </c>
      <c r="AB219" s="331" t="s">
        <v>920</v>
      </c>
      <c r="AC219" s="331" t="s">
        <v>346</v>
      </c>
      <c r="AD219" s="331" t="s">
        <v>24</v>
      </c>
      <c r="AE219" s="329">
        <v>221</v>
      </c>
      <c r="AF219" s="331" t="s">
        <v>254</v>
      </c>
      <c r="AG219" s="329"/>
      <c r="AH219" s="329">
        <v>17</v>
      </c>
      <c r="AI219" s="331" t="s">
        <v>280</v>
      </c>
      <c r="AJ219" s="331" t="s">
        <v>281</v>
      </c>
      <c r="AK219" s="329"/>
      <c r="AL219" s="329"/>
      <c r="AM219" s="329"/>
      <c r="AN219" s="329"/>
      <c r="AO219" s="329"/>
      <c r="AP219" s="331" t="s">
        <v>302</v>
      </c>
      <c r="AQ219" s="329">
        <v>520</v>
      </c>
      <c r="AR219" s="329">
        <v>590</v>
      </c>
      <c r="AS219" s="329"/>
      <c r="AT219" s="329" t="s">
        <v>855</v>
      </c>
      <c r="AU219" s="329" t="s">
        <v>256</v>
      </c>
      <c r="AV219" s="331" t="s">
        <v>392</v>
      </c>
      <c r="AW219" s="329"/>
      <c r="AX219" s="329"/>
      <c r="AY219" s="329"/>
      <c r="AZ219" s="329"/>
      <c r="BA219" s="329"/>
      <c r="BB219" s="329"/>
      <c r="BC219" s="329"/>
      <c r="BD219" s="329"/>
      <c r="BE219" s="329" t="s">
        <v>257</v>
      </c>
      <c r="BF219" s="329" t="s">
        <v>834</v>
      </c>
      <c r="BG219" s="329"/>
      <c r="BH219" s="329"/>
      <c r="BI219" s="329"/>
      <c r="BJ219" s="329"/>
      <c r="BK219" s="329">
        <v>20400</v>
      </c>
      <c r="BL219" s="329"/>
      <c r="BM219" s="331" t="s">
        <v>278</v>
      </c>
      <c r="BN219" s="329" t="s">
        <v>922</v>
      </c>
      <c r="BO219" s="333">
        <v>43755</v>
      </c>
      <c r="BP219" s="329"/>
      <c r="BQ219" s="329"/>
      <c r="BR219" s="329"/>
      <c r="BS219" s="329"/>
      <c r="BT219" s="329"/>
      <c r="BU219" s="331" t="s">
        <v>261</v>
      </c>
      <c r="BV219" s="329"/>
      <c r="BW219" s="329"/>
      <c r="BX219" s="329"/>
      <c r="BY219" s="331" t="s">
        <v>3122</v>
      </c>
      <c r="BZ219" s="331" t="s">
        <v>3123</v>
      </c>
      <c r="CA219" s="331" t="s">
        <v>3124</v>
      </c>
      <c r="CB219" s="331" t="s">
        <v>392</v>
      </c>
      <c r="CC219" s="331" t="s">
        <v>3125</v>
      </c>
    </row>
    <row r="220" spans="1:81" x14ac:dyDescent="0.25">
      <c r="A220" s="329">
        <v>198185</v>
      </c>
      <c r="B220" s="331" t="s">
        <v>3160</v>
      </c>
      <c r="C220" s="329">
        <v>35142</v>
      </c>
      <c r="D220" s="331" t="s">
        <v>803</v>
      </c>
      <c r="E220" s="331" t="s">
        <v>3161</v>
      </c>
      <c r="F220" s="331" t="s">
        <v>3162</v>
      </c>
      <c r="G220" s="331" t="s">
        <v>3163</v>
      </c>
      <c r="H220" s="331" t="s">
        <v>3164</v>
      </c>
      <c r="I220" s="331" t="s">
        <v>3165</v>
      </c>
      <c r="J220" s="331" t="s">
        <v>360</v>
      </c>
      <c r="K220" s="331" t="s">
        <v>3166</v>
      </c>
      <c r="L220" s="329"/>
      <c r="M220" s="329">
        <v>6</v>
      </c>
      <c r="N220" s="329">
        <v>0</v>
      </c>
      <c r="O220" s="329">
        <v>2.6858</v>
      </c>
      <c r="P220" s="329"/>
      <c r="Q220" s="333">
        <v>43717.795138888891</v>
      </c>
      <c r="R220" s="329"/>
      <c r="S220" s="333">
        <v>43755</v>
      </c>
      <c r="T220" s="329">
        <v>55</v>
      </c>
      <c r="U220" s="333">
        <v>43755</v>
      </c>
      <c r="V220" s="333">
        <v>44109</v>
      </c>
      <c r="W220" s="329" t="b">
        <v>1</v>
      </c>
      <c r="X220" s="331" t="s">
        <v>187</v>
      </c>
      <c r="Y220" s="329">
        <v>718</v>
      </c>
      <c r="Z220" s="331" t="s">
        <v>23</v>
      </c>
      <c r="AA220" s="331" t="s">
        <v>919</v>
      </c>
      <c r="AB220" s="331" t="s">
        <v>920</v>
      </c>
      <c r="AC220" s="331" t="s">
        <v>1446</v>
      </c>
      <c r="AD220" s="331" t="s">
        <v>24</v>
      </c>
      <c r="AE220" s="329">
        <v>221</v>
      </c>
      <c r="AF220" s="331" t="s">
        <v>254</v>
      </c>
      <c r="AG220" s="329"/>
      <c r="AH220" s="329">
        <v>17</v>
      </c>
      <c r="AI220" s="331" t="s">
        <v>280</v>
      </c>
      <c r="AJ220" s="331" t="s">
        <v>281</v>
      </c>
      <c r="AK220" s="329"/>
      <c r="AL220" s="329"/>
      <c r="AM220" s="329"/>
      <c r="AN220" s="329"/>
      <c r="AO220" s="329"/>
      <c r="AP220" s="331" t="s">
        <v>491</v>
      </c>
      <c r="AQ220" s="329">
        <v>530</v>
      </c>
      <c r="AR220" s="329">
        <v>470</v>
      </c>
      <c r="AS220" s="329"/>
      <c r="AT220" s="329" t="s">
        <v>382</v>
      </c>
      <c r="AU220" s="329" t="s">
        <v>283</v>
      </c>
      <c r="AV220" s="331" t="s">
        <v>360</v>
      </c>
      <c r="AW220" s="329"/>
      <c r="AX220" s="329"/>
      <c r="AY220" s="329"/>
      <c r="AZ220" s="329"/>
      <c r="BA220" s="329"/>
      <c r="BB220" s="329"/>
      <c r="BC220" s="329"/>
      <c r="BD220" s="329"/>
      <c r="BE220" s="329"/>
      <c r="BF220" s="329"/>
      <c r="BG220" s="329"/>
      <c r="BH220" s="329"/>
      <c r="BI220" s="329"/>
      <c r="BJ220" s="329"/>
      <c r="BK220" s="329">
        <v>0</v>
      </c>
      <c r="BL220" s="329"/>
      <c r="BM220" s="331" t="s">
        <v>27</v>
      </c>
      <c r="BN220" s="329" t="s">
        <v>922</v>
      </c>
      <c r="BO220" s="333">
        <v>43755</v>
      </c>
      <c r="BP220" s="329"/>
      <c r="BQ220" s="329"/>
      <c r="BR220" s="329"/>
      <c r="BS220" s="329"/>
      <c r="BT220" s="329"/>
      <c r="BU220" s="331" t="s">
        <v>261</v>
      </c>
      <c r="BV220" s="329"/>
      <c r="BW220" s="329"/>
      <c r="BX220" s="329"/>
      <c r="BY220" s="331" t="s">
        <v>3167</v>
      </c>
      <c r="BZ220" s="331" t="s">
        <v>3168</v>
      </c>
      <c r="CA220" s="331" t="s">
        <v>3169</v>
      </c>
      <c r="CB220" s="331" t="s">
        <v>360</v>
      </c>
      <c r="CC220" s="331" t="s">
        <v>3166</v>
      </c>
    </row>
    <row r="221" spans="1:81" x14ac:dyDescent="0.25">
      <c r="A221" s="329">
        <v>197858</v>
      </c>
      <c r="B221" s="331" t="s">
        <v>3352</v>
      </c>
      <c r="C221" s="329">
        <v>35019</v>
      </c>
      <c r="D221" s="331" t="s">
        <v>3353</v>
      </c>
      <c r="E221" s="331" t="s">
        <v>3354</v>
      </c>
      <c r="F221" s="331" t="s">
        <v>3355</v>
      </c>
      <c r="G221" s="331" t="s">
        <v>3356</v>
      </c>
      <c r="H221" s="331" t="s">
        <v>3357</v>
      </c>
      <c r="I221" s="331" t="s">
        <v>345</v>
      </c>
      <c r="J221" s="331" t="s">
        <v>298</v>
      </c>
      <c r="K221" s="331" t="s">
        <v>3358</v>
      </c>
      <c r="L221" s="329"/>
      <c r="M221" s="329">
        <v>6</v>
      </c>
      <c r="N221" s="329">
        <v>0</v>
      </c>
      <c r="O221" s="329">
        <v>3.96</v>
      </c>
      <c r="P221" s="329"/>
      <c r="Q221" s="333">
        <v>43711.449305555558</v>
      </c>
      <c r="R221" s="329"/>
      <c r="S221" s="333">
        <v>43755</v>
      </c>
      <c r="T221" s="329">
        <v>55</v>
      </c>
      <c r="U221" s="333">
        <v>43755</v>
      </c>
      <c r="V221" s="333">
        <v>44109</v>
      </c>
      <c r="W221" s="329" t="b">
        <v>1</v>
      </c>
      <c r="X221" s="331" t="s">
        <v>22</v>
      </c>
      <c r="Y221" s="329">
        <v>726</v>
      </c>
      <c r="Z221" s="331" t="s">
        <v>23</v>
      </c>
      <c r="AA221" s="331" t="s">
        <v>919</v>
      </c>
      <c r="AB221" s="331" t="s">
        <v>920</v>
      </c>
      <c r="AC221" s="331" t="s">
        <v>337</v>
      </c>
      <c r="AD221" s="331" t="s">
        <v>24</v>
      </c>
      <c r="AE221" s="329">
        <v>221</v>
      </c>
      <c r="AF221" s="331" t="s">
        <v>254</v>
      </c>
      <c r="AG221" s="329"/>
      <c r="AH221" s="329">
        <v>17</v>
      </c>
      <c r="AI221" s="331" t="s">
        <v>280</v>
      </c>
      <c r="AJ221" s="331" t="s">
        <v>281</v>
      </c>
      <c r="AK221" s="329"/>
      <c r="AL221" s="329"/>
      <c r="AM221" s="329"/>
      <c r="AN221" s="329"/>
      <c r="AO221" s="329"/>
      <c r="AP221" s="331" t="s">
        <v>517</v>
      </c>
      <c r="AQ221" s="329">
        <v>680</v>
      </c>
      <c r="AR221" s="329">
        <v>670</v>
      </c>
      <c r="AS221" s="329"/>
      <c r="AT221" s="329" t="s">
        <v>352</v>
      </c>
      <c r="AU221" s="329" t="s">
        <v>256</v>
      </c>
      <c r="AV221" s="331" t="s">
        <v>298</v>
      </c>
      <c r="AW221" s="329"/>
      <c r="AX221" s="329"/>
      <c r="AY221" s="329"/>
      <c r="AZ221" s="329"/>
      <c r="BA221" s="329"/>
      <c r="BB221" s="329"/>
      <c r="BC221" s="329"/>
      <c r="BD221" s="329"/>
      <c r="BE221" s="329" t="s">
        <v>257</v>
      </c>
      <c r="BF221" s="329" t="s">
        <v>834</v>
      </c>
      <c r="BG221" s="329"/>
      <c r="BH221" s="329"/>
      <c r="BI221" s="329"/>
      <c r="BJ221" s="329"/>
      <c r="BK221" s="329">
        <v>20400</v>
      </c>
      <c r="BL221" s="329"/>
      <c r="BM221" s="331" t="s">
        <v>278</v>
      </c>
      <c r="BN221" s="329" t="s">
        <v>922</v>
      </c>
      <c r="BO221" s="333">
        <v>43755</v>
      </c>
      <c r="BP221" s="329"/>
      <c r="BQ221" s="329"/>
      <c r="BR221" s="329"/>
      <c r="BS221" s="329"/>
      <c r="BT221" s="329"/>
      <c r="BU221" s="331" t="s">
        <v>261</v>
      </c>
      <c r="BV221" s="329"/>
      <c r="BW221" s="329"/>
      <c r="BX221" s="329"/>
      <c r="BY221" s="331" t="s">
        <v>3359</v>
      </c>
      <c r="BZ221" s="331" t="s">
        <v>3360</v>
      </c>
      <c r="CA221" s="331" t="s">
        <v>3361</v>
      </c>
      <c r="CB221" s="331" t="s">
        <v>298</v>
      </c>
      <c r="CC221" s="331" t="s">
        <v>3362</v>
      </c>
    </row>
    <row r="222" spans="1:81" x14ac:dyDescent="0.25">
      <c r="A222" s="329">
        <v>196812</v>
      </c>
      <c r="B222" s="331" t="s">
        <v>3416</v>
      </c>
      <c r="C222" s="329">
        <v>34747</v>
      </c>
      <c r="D222" s="331" t="s">
        <v>3417</v>
      </c>
      <c r="E222" s="331" t="s">
        <v>3418</v>
      </c>
      <c r="F222" s="331" t="s">
        <v>3419</v>
      </c>
      <c r="G222" s="331" t="s">
        <v>3420</v>
      </c>
      <c r="H222" s="331" t="s">
        <v>3421</v>
      </c>
      <c r="I222" s="331" t="s">
        <v>3422</v>
      </c>
      <c r="J222" s="331" t="s">
        <v>354</v>
      </c>
      <c r="K222" s="331" t="s">
        <v>3423</v>
      </c>
      <c r="L222" s="329"/>
      <c r="M222" s="329">
        <v>6</v>
      </c>
      <c r="N222" s="329">
        <v>0</v>
      </c>
      <c r="O222" s="329">
        <v>3.3</v>
      </c>
      <c r="P222" s="329"/>
      <c r="Q222" s="333">
        <v>43704.729861111111</v>
      </c>
      <c r="R222" s="329"/>
      <c r="S222" s="333">
        <v>43755</v>
      </c>
      <c r="T222" s="329">
        <v>55</v>
      </c>
      <c r="U222" s="333">
        <v>43755</v>
      </c>
      <c r="V222" s="333">
        <v>44109</v>
      </c>
      <c r="W222" s="329" t="b">
        <v>1</v>
      </c>
      <c r="X222" s="331" t="s">
        <v>905</v>
      </c>
      <c r="Y222" s="329">
        <v>747</v>
      </c>
      <c r="Z222" s="331" t="s">
        <v>23</v>
      </c>
      <c r="AA222" s="331" t="s">
        <v>919</v>
      </c>
      <c r="AB222" s="331" t="s">
        <v>920</v>
      </c>
      <c r="AC222" s="331" t="s">
        <v>1011</v>
      </c>
      <c r="AD222" s="331" t="s">
        <v>24</v>
      </c>
      <c r="AE222" s="329">
        <v>221</v>
      </c>
      <c r="AF222" s="331" t="s">
        <v>254</v>
      </c>
      <c r="AG222" s="329"/>
      <c r="AH222" s="329">
        <v>17</v>
      </c>
      <c r="AI222" s="331" t="s">
        <v>280</v>
      </c>
      <c r="AJ222" s="331" t="s">
        <v>281</v>
      </c>
      <c r="AK222" s="329"/>
      <c r="AL222" s="329"/>
      <c r="AM222" s="329"/>
      <c r="AN222" s="329"/>
      <c r="AO222" s="329"/>
      <c r="AP222" s="329"/>
      <c r="AQ222" s="329"/>
      <c r="AR222" s="329"/>
      <c r="AS222" s="329"/>
      <c r="AT222" s="329" t="s">
        <v>258</v>
      </c>
      <c r="AU222" s="329" t="s">
        <v>283</v>
      </c>
      <c r="AV222" s="331" t="s">
        <v>354</v>
      </c>
      <c r="AW222" s="329"/>
      <c r="AX222" s="329"/>
      <c r="AY222" s="329"/>
      <c r="AZ222" s="329"/>
      <c r="BA222" s="329"/>
      <c r="BB222" s="329"/>
      <c r="BC222" s="329"/>
      <c r="BD222" s="329"/>
      <c r="BE222" s="329"/>
      <c r="BF222" s="329"/>
      <c r="BG222" s="329"/>
      <c r="BH222" s="329"/>
      <c r="BI222" s="329"/>
      <c r="BJ222" s="329"/>
      <c r="BK222" s="329">
        <v>0</v>
      </c>
      <c r="BL222" s="329"/>
      <c r="BM222" s="331" t="s">
        <v>28</v>
      </c>
      <c r="BN222" s="329" t="s">
        <v>922</v>
      </c>
      <c r="BO222" s="333">
        <v>43755</v>
      </c>
      <c r="BP222" s="329"/>
      <c r="BQ222" s="329"/>
      <c r="BR222" s="329"/>
      <c r="BS222" s="329"/>
      <c r="BT222" s="329"/>
      <c r="BU222" s="331" t="s">
        <v>261</v>
      </c>
      <c r="BV222" s="329"/>
      <c r="BW222" s="329"/>
      <c r="BX222" s="329"/>
      <c r="BY222" s="331" t="s">
        <v>3424</v>
      </c>
      <c r="BZ222" s="331" t="s">
        <v>3425</v>
      </c>
      <c r="CA222" s="331" t="s">
        <v>3426</v>
      </c>
      <c r="CB222" s="331" t="s">
        <v>354</v>
      </c>
      <c r="CC222" s="331" t="s">
        <v>3427</v>
      </c>
    </row>
    <row r="223" spans="1:81" x14ac:dyDescent="0.25">
      <c r="A223" s="329">
        <v>197807</v>
      </c>
      <c r="B223" s="331" t="s">
        <v>3428</v>
      </c>
      <c r="C223" s="329">
        <v>34997</v>
      </c>
      <c r="D223" s="331" t="s">
        <v>889</v>
      </c>
      <c r="E223" s="331" t="s">
        <v>399</v>
      </c>
      <c r="F223" s="331" t="s">
        <v>3429</v>
      </c>
      <c r="G223" s="331" t="s">
        <v>3430</v>
      </c>
      <c r="H223" s="331" t="s">
        <v>3431</v>
      </c>
      <c r="I223" s="331" t="s">
        <v>729</v>
      </c>
      <c r="J223" s="331" t="s">
        <v>21</v>
      </c>
      <c r="K223" s="331" t="s">
        <v>730</v>
      </c>
      <c r="L223" s="329"/>
      <c r="M223" s="329">
        <v>6</v>
      </c>
      <c r="N223" s="329">
        <v>0</v>
      </c>
      <c r="O223" s="329">
        <v>3.6778</v>
      </c>
      <c r="P223" s="329"/>
      <c r="Q223" s="333">
        <v>43726.320138888892</v>
      </c>
      <c r="R223" s="329"/>
      <c r="S223" s="333">
        <v>43755</v>
      </c>
      <c r="T223" s="329">
        <v>55</v>
      </c>
      <c r="U223" s="333">
        <v>43755</v>
      </c>
      <c r="V223" s="333">
        <v>44109</v>
      </c>
      <c r="W223" s="329" t="b">
        <v>1</v>
      </c>
      <c r="X223" s="331" t="s">
        <v>906</v>
      </c>
      <c r="Y223" s="329">
        <v>748</v>
      </c>
      <c r="Z223" s="331" t="s">
        <v>23</v>
      </c>
      <c r="AA223" s="331" t="s">
        <v>789</v>
      </c>
      <c r="AB223" s="331" t="s">
        <v>790</v>
      </c>
      <c r="AC223" s="331" t="s">
        <v>357</v>
      </c>
      <c r="AD223" s="331" t="s">
        <v>24</v>
      </c>
      <c r="AE223" s="329">
        <v>221</v>
      </c>
      <c r="AF223" s="331" t="s">
        <v>254</v>
      </c>
      <c r="AG223" s="329"/>
      <c r="AH223" s="329">
        <v>17</v>
      </c>
      <c r="AI223" s="331" t="s">
        <v>280</v>
      </c>
      <c r="AJ223" s="331" t="s">
        <v>281</v>
      </c>
      <c r="AK223" s="331" t="s">
        <v>363</v>
      </c>
      <c r="AL223" s="331" t="s">
        <v>417</v>
      </c>
      <c r="AM223" s="331" t="s">
        <v>386</v>
      </c>
      <c r="AN223" s="331" t="s">
        <v>299</v>
      </c>
      <c r="AO223" s="331" t="s">
        <v>330</v>
      </c>
      <c r="AP223" s="329"/>
      <c r="AQ223" s="329"/>
      <c r="AR223" s="329"/>
      <c r="AS223" s="329"/>
      <c r="AT223" s="329" t="s">
        <v>842</v>
      </c>
      <c r="AU223" s="329" t="s">
        <v>283</v>
      </c>
      <c r="AV223" s="331" t="s">
        <v>21</v>
      </c>
      <c r="AW223" s="329"/>
      <c r="AX223" s="329"/>
      <c r="AY223" s="329"/>
      <c r="AZ223" s="329"/>
      <c r="BA223" s="329"/>
      <c r="BB223" s="329"/>
      <c r="BC223" s="329"/>
      <c r="BD223" s="329"/>
      <c r="BE223" s="329" t="s">
        <v>257</v>
      </c>
      <c r="BF223" s="329" t="s">
        <v>830</v>
      </c>
      <c r="BG223" s="329"/>
      <c r="BH223" s="329"/>
      <c r="BI223" s="329" t="s">
        <v>334</v>
      </c>
      <c r="BJ223" s="329" t="s">
        <v>831</v>
      </c>
      <c r="BK223" s="329">
        <v>48000</v>
      </c>
      <c r="BL223" s="329"/>
      <c r="BM223" s="331" t="s">
        <v>26</v>
      </c>
      <c r="BN223" s="329" t="s">
        <v>922</v>
      </c>
      <c r="BO223" s="333">
        <v>43755</v>
      </c>
      <c r="BP223" s="329"/>
      <c r="BQ223" s="329"/>
      <c r="BR223" s="329"/>
      <c r="BS223" s="329"/>
      <c r="BT223" s="329"/>
      <c r="BU223" s="331" t="s">
        <v>261</v>
      </c>
      <c r="BV223" s="329"/>
      <c r="BW223" s="329"/>
      <c r="BX223" s="329"/>
      <c r="BY223" s="331" t="s">
        <v>3432</v>
      </c>
      <c r="BZ223" s="331" t="s">
        <v>3433</v>
      </c>
      <c r="CA223" s="331" t="s">
        <v>1844</v>
      </c>
      <c r="CB223" s="331" t="s">
        <v>292</v>
      </c>
      <c r="CC223" s="331" t="s">
        <v>3434</v>
      </c>
    </row>
    <row r="224" spans="1:81" x14ac:dyDescent="0.25">
      <c r="A224" s="329">
        <v>198506</v>
      </c>
      <c r="B224" s="331" t="s">
        <v>3455</v>
      </c>
      <c r="C224" s="329">
        <v>35296</v>
      </c>
      <c r="D224" s="331" t="s">
        <v>3456</v>
      </c>
      <c r="E224" s="331" t="s">
        <v>538</v>
      </c>
      <c r="F224" s="331" t="s">
        <v>3457</v>
      </c>
      <c r="G224" s="331" t="s">
        <v>3458</v>
      </c>
      <c r="H224" s="331" t="s">
        <v>3459</v>
      </c>
      <c r="I224" s="331" t="s">
        <v>3460</v>
      </c>
      <c r="J224" s="331" t="s">
        <v>449</v>
      </c>
      <c r="K224" s="331" t="s">
        <v>3461</v>
      </c>
      <c r="L224" s="329"/>
      <c r="M224" s="329">
        <v>6</v>
      </c>
      <c r="N224" s="329">
        <v>0</v>
      </c>
      <c r="O224" s="329">
        <v>3.5</v>
      </c>
      <c r="P224" s="329"/>
      <c r="Q224" s="333">
        <v>43745.60833333333</v>
      </c>
      <c r="R224" s="329"/>
      <c r="S224" s="333">
        <v>43755</v>
      </c>
      <c r="T224" s="329">
        <v>55</v>
      </c>
      <c r="U224" s="333">
        <v>43755</v>
      </c>
      <c r="V224" s="333">
        <v>44109</v>
      </c>
      <c r="W224" s="329" t="b">
        <v>1</v>
      </c>
      <c r="X224" s="331" t="s">
        <v>905</v>
      </c>
      <c r="Y224" s="329">
        <v>747</v>
      </c>
      <c r="Z224" s="331" t="s">
        <v>23</v>
      </c>
      <c r="AA224" s="331" t="s">
        <v>919</v>
      </c>
      <c r="AB224" s="331" t="s">
        <v>920</v>
      </c>
      <c r="AC224" s="331" t="s">
        <v>264</v>
      </c>
      <c r="AD224" s="331" t="s">
        <v>24</v>
      </c>
      <c r="AE224" s="329">
        <v>221</v>
      </c>
      <c r="AF224" s="331" t="s">
        <v>254</v>
      </c>
      <c r="AG224" s="329"/>
      <c r="AH224" s="329">
        <v>17</v>
      </c>
      <c r="AI224" s="331" t="s">
        <v>280</v>
      </c>
      <c r="AJ224" s="331" t="s">
        <v>281</v>
      </c>
      <c r="AK224" s="331" t="s">
        <v>331</v>
      </c>
      <c r="AL224" s="331" t="s">
        <v>331</v>
      </c>
      <c r="AM224" s="331" t="s">
        <v>328</v>
      </c>
      <c r="AN224" s="331" t="s">
        <v>301</v>
      </c>
      <c r="AO224" s="331" t="s">
        <v>331</v>
      </c>
      <c r="AP224" s="329"/>
      <c r="AQ224" s="329"/>
      <c r="AR224" s="329"/>
      <c r="AS224" s="329"/>
      <c r="AT224" s="329" t="s">
        <v>400</v>
      </c>
      <c r="AU224" s="329" t="s">
        <v>283</v>
      </c>
      <c r="AV224" s="331" t="s">
        <v>449</v>
      </c>
      <c r="AW224" s="329"/>
      <c r="AX224" s="329"/>
      <c r="AY224" s="329"/>
      <c r="AZ224" s="329"/>
      <c r="BA224" s="329"/>
      <c r="BB224" s="329"/>
      <c r="BC224" s="329"/>
      <c r="BD224" s="329"/>
      <c r="BE224" s="329" t="s">
        <v>257</v>
      </c>
      <c r="BF224" s="329" t="s">
        <v>830</v>
      </c>
      <c r="BG224" s="329"/>
      <c r="BH224" s="329"/>
      <c r="BI224" s="329"/>
      <c r="BJ224" s="329"/>
      <c r="BK224" s="329">
        <v>12000</v>
      </c>
      <c r="BL224" s="329"/>
      <c r="BM224" s="331" t="s">
        <v>26</v>
      </c>
      <c r="BN224" s="329" t="s">
        <v>922</v>
      </c>
      <c r="BO224" s="333">
        <v>43755</v>
      </c>
      <c r="BP224" s="329"/>
      <c r="BQ224" s="329"/>
      <c r="BR224" s="329"/>
      <c r="BS224" s="329"/>
      <c r="BT224" s="329"/>
      <c r="BU224" s="331" t="s">
        <v>261</v>
      </c>
      <c r="BV224" s="329"/>
      <c r="BW224" s="329"/>
      <c r="BX224" s="329"/>
      <c r="BY224" s="331" t="s">
        <v>3462</v>
      </c>
      <c r="BZ224" s="331" t="s">
        <v>3463</v>
      </c>
      <c r="CA224" s="331" t="s">
        <v>3464</v>
      </c>
      <c r="CB224" s="331" t="s">
        <v>449</v>
      </c>
      <c r="CC224" s="331" t="s">
        <v>3461</v>
      </c>
    </row>
    <row r="225" spans="1:81" x14ac:dyDescent="0.25">
      <c r="A225" s="329">
        <v>198395</v>
      </c>
      <c r="B225" s="331" t="s">
        <v>3477</v>
      </c>
      <c r="C225" s="329">
        <v>35266</v>
      </c>
      <c r="D225" s="331" t="s">
        <v>3466</v>
      </c>
      <c r="E225" s="331" t="s">
        <v>399</v>
      </c>
      <c r="F225" s="331" t="s">
        <v>3478</v>
      </c>
      <c r="G225" s="331" t="s">
        <v>3479</v>
      </c>
      <c r="H225" s="331" t="s">
        <v>3480</v>
      </c>
      <c r="I225" s="331" t="s">
        <v>717</v>
      </c>
      <c r="J225" s="331" t="s">
        <v>430</v>
      </c>
      <c r="K225" s="331" t="s">
        <v>3481</v>
      </c>
      <c r="L225" s="329"/>
      <c r="M225" s="329">
        <v>6</v>
      </c>
      <c r="N225" s="329">
        <v>0</v>
      </c>
      <c r="O225" s="329">
        <v>3.923</v>
      </c>
      <c r="P225" s="329"/>
      <c r="Q225" s="333">
        <v>43627.729861111111</v>
      </c>
      <c r="R225" s="329"/>
      <c r="S225" s="333">
        <v>43755</v>
      </c>
      <c r="T225" s="329">
        <v>55</v>
      </c>
      <c r="U225" s="333">
        <v>43755</v>
      </c>
      <c r="V225" s="333">
        <v>44109</v>
      </c>
      <c r="W225" s="329" t="b">
        <v>1</v>
      </c>
      <c r="X225" s="331" t="s">
        <v>22</v>
      </c>
      <c r="Y225" s="329">
        <v>726</v>
      </c>
      <c r="Z225" s="331" t="s">
        <v>23</v>
      </c>
      <c r="AA225" s="331" t="s">
        <v>919</v>
      </c>
      <c r="AB225" s="331" t="s">
        <v>920</v>
      </c>
      <c r="AC225" s="331" t="s">
        <v>1688</v>
      </c>
      <c r="AD225" s="331" t="s">
        <v>24</v>
      </c>
      <c r="AE225" s="329">
        <v>221</v>
      </c>
      <c r="AF225" s="331" t="s">
        <v>254</v>
      </c>
      <c r="AG225" s="329"/>
      <c r="AH225" s="329">
        <v>17</v>
      </c>
      <c r="AI225" s="331" t="s">
        <v>280</v>
      </c>
      <c r="AJ225" s="331" t="s">
        <v>281</v>
      </c>
      <c r="AK225" s="329"/>
      <c r="AL225" s="329"/>
      <c r="AM225" s="329"/>
      <c r="AN225" s="329"/>
      <c r="AO225" s="329"/>
      <c r="AP225" s="329"/>
      <c r="AQ225" s="329"/>
      <c r="AR225" s="329"/>
      <c r="AS225" s="329"/>
      <c r="AT225" s="329" t="s">
        <v>258</v>
      </c>
      <c r="AU225" s="329" t="s">
        <v>567</v>
      </c>
      <c r="AV225" s="331" t="s">
        <v>430</v>
      </c>
      <c r="AW225" s="329"/>
      <c r="AX225" s="329"/>
      <c r="AY225" s="329"/>
      <c r="AZ225" s="329"/>
      <c r="BA225" s="329"/>
      <c r="BB225" s="329"/>
      <c r="BC225" s="329"/>
      <c r="BD225" s="329"/>
      <c r="BE225" s="329" t="s">
        <v>257</v>
      </c>
      <c r="BF225" s="329" t="s">
        <v>834</v>
      </c>
      <c r="BG225" s="329"/>
      <c r="BH225" s="329"/>
      <c r="BI225" s="329"/>
      <c r="BJ225" s="329"/>
      <c r="BK225" s="329">
        <v>20400</v>
      </c>
      <c r="BL225" s="329"/>
      <c r="BM225" s="331" t="s">
        <v>278</v>
      </c>
      <c r="BN225" s="329" t="s">
        <v>922</v>
      </c>
      <c r="BO225" s="333">
        <v>43755</v>
      </c>
      <c r="BP225" s="329"/>
      <c r="BQ225" s="329"/>
      <c r="BR225" s="329"/>
      <c r="BS225" s="329"/>
      <c r="BT225" s="329"/>
      <c r="BU225" s="331" t="s">
        <v>261</v>
      </c>
      <c r="BV225" s="329"/>
      <c r="BW225" s="329"/>
      <c r="BX225" s="329"/>
      <c r="BY225" s="331" t="s">
        <v>3482</v>
      </c>
      <c r="BZ225" s="331" t="s">
        <v>3483</v>
      </c>
      <c r="CA225" s="331" t="s">
        <v>896</v>
      </c>
      <c r="CB225" s="331" t="s">
        <v>430</v>
      </c>
      <c r="CC225" s="331" t="s">
        <v>3484</v>
      </c>
    </row>
    <row r="226" spans="1:81" x14ac:dyDescent="0.25">
      <c r="A226" s="329">
        <v>198763</v>
      </c>
      <c r="B226" s="331" t="s">
        <v>3784</v>
      </c>
      <c r="C226" s="329">
        <v>35375</v>
      </c>
      <c r="D226" s="331" t="s">
        <v>560</v>
      </c>
      <c r="E226" s="331" t="s">
        <v>3785</v>
      </c>
      <c r="F226" s="331" t="s">
        <v>3786</v>
      </c>
      <c r="G226" s="331" t="s">
        <v>3787</v>
      </c>
      <c r="H226" s="331" t="s">
        <v>3788</v>
      </c>
      <c r="I226" s="331" t="s">
        <v>1850</v>
      </c>
      <c r="J226" s="331" t="s">
        <v>251</v>
      </c>
      <c r="K226" s="331" t="s">
        <v>3789</v>
      </c>
      <c r="L226" s="329"/>
      <c r="M226" s="329">
        <v>6</v>
      </c>
      <c r="N226" s="329">
        <v>0</v>
      </c>
      <c r="O226" s="329">
        <v>2.7</v>
      </c>
      <c r="P226" s="329"/>
      <c r="Q226" s="333">
        <v>43753.620138888888</v>
      </c>
      <c r="R226" s="329"/>
      <c r="S226" s="333">
        <v>43755</v>
      </c>
      <c r="T226" s="329">
        <v>55</v>
      </c>
      <c r="U226" s="333">
        <v>43755</v>
      </c>
      <c r="V226" s="333">
        <v>44109</v>
      </c>
      <c r="W226" s="329" t="b">
        <v>1</v>
      </c>
      <c r="X226" s="331" t="s">
        <v>22</v>
      </c>
      <c r="Y226" s="329">
        <v>429</v>
      </c>
      <c r="Z226" s="331" t="s">
        <v>25</v>
      </c>
      <c r="AA226" s="331" t="s">
        <v>919</v>
      </c>
      <c r="AB226" s="331" t="s">
        <v>920</v>
      </c>
      <c r="AC226" s="331" t="s">
        <v>264</v>
      </c>
      <c r="AD226" s="331" t="s">
        <v>24</v>
      </c>
      <c r="AE226" s="329">
        <v>221</v>
      </c>
      <c r="AF226" s="331" t="s">
        <v>254</v>
      </c>
      <c r="AG226" s="329"/>
      <c r="AH226" s="329">
        <v>17</v>
      </c>
      <c r="AI226" s="331" t="s">
        <v>280</v>
      </c>
      <c r="AJ226" s="331" t="s">
        <v>281</v>
      </c>
      <c r="AK226" s="329"/>
      <c r="AL226" s="329"/>
      <c r="AM226" s="329"/>
      <c r="AN226" s="329"/>
      <c r="AO226" s="329"/>
      <c r="AP226" s="329"/>
      <c r="AQ226" s="329"/>
      <c r="AR226" s="329"/>
      <c r="AS226" s="329"/>
      <c r="AT226" s="329" t="s">
        <v>258</v>
      </c>
      <c r="AU226" s="329" t="s">
        <v>567</v>
      </c>
      <c r="AV226" s="331" t="s">
        <v>251</v>
      </c>
      <c r="AW226" s="329"/>
      <c r="AX226" s="329"/>
      <c r="AY226" s="329"/>
      <c r="AZ226" s="329"/>
      <c r="BA226" s="329"/>
      <c r="BB226" s="329"/>
      <c r="BC226" s="329"/>
      <c r="BD226" s="329"/>
      <c r="BE226" s="329"/>
      <c r="BF226" s="329"/>
      <c r="BG226" s="329"/>
      <c r="BH226" s="329"/>
      <c r="BI226" s="329"/>
      <c r="BJ226" s="329"/>
      <c r="BK226" s="329">
        <v>0</v>
      </c>
      <c r="BL226" s="329"/>
      <c r="BM226" s="331" t="s">
        <v>28</v>
      </c>
      <c r="BN226" s="329" t="s">
        <v>922</v>
      </c>
      <c r="BO226" s="333">
        <v>43755</v>
      </c>
      <c r="BP226" s="329"/>
      <c r="BQ226" s="329"/>
      <c r="BR226" s="329"/>
      <c r="BS226" s="329"/>
      <c r="BT226" s="329"/>
      <c r="BU226" s="331" t="s">
        <v>261</v>
      </c>
      <c r="BV226" s="329"/>
      <c r="BW226" s="329"/>
      <c r="BX226" s="329"/>
      <c r="BY226" s="331" t="s">
        <v>3790</v>
      </c>
      <c r="BZ226" s="331" t="s">
        <v>3791</v>
      </c>
      <c r="CA226" s="331" t="s">
        <v>3792</v>
      </c>
      <c r="CB226" s="331" t="s">
        <v>251</v>
      </c>
      <c r="CC226" s="331" t="s">
        <v>3793</v>
      </c>
    </row>
    <row r="227" spans="1:81" x14ac:dyDescent="0.25">
      <c r="A227" s="329">
        <v>198761</v>
      </c>
      <c r="B227" s="331" t="s">
        <v>3794</v>
      </c>
      <c r="C227" s="329">
        <v>35374</v>
      </c>
      <c r="D227" s="331" t="s">
        <v>3795</v>
      </c>
      <c r="E227" s="331" t="s">
        <v>3319</v>
      </c>
      <c r="F227" s="331" t="s">
        <v>3796</v>
      </c>
      <c r="G227" s="331" t="s">
        <v>3797</v>
      </c>
      <c r="H227" s="331" t="s">
        <v>3798</v>
      </c>
      <c r="I227" s="331" t="s">
        <v>384</v>
      </c>
      <c r="J227" s="331" t="s">
        <v>298</v>
      </c>
      <c r="K227" s="331" t="s">
        <v>3799</v>
      </c>
      <c r="L227" s="329"/>
      <c r="M227" s="329">
        <v>6</v>
      </c>
      <c r="N227" s="329">
        <v>0</v>
      </c>
      <c r="O227" s="329">
        <v>3.6</v>
      </c>
      <c r="P227" s="329"/>
      <c r="Q227" s="333">
        <v>43626.729166666664</v>
      </c>
      <c r="R227" s="329"/>
      <c r="S227" s="333">
        <v>43755</v>
      </c>
      <c r="T227" s="329">
        <v>55</v>
      </c>
      <c r="U227" s="333">
        <v>43755</v>
      </c>
      <c r="V227" s="333">
        <v>44109</v>
      </c>
      <c r="W227" s="329" t="b">
        <v>1</v>
      </c>
      <c r="X227" s="331" t="s">
        <v>22</v>
      </c>
      <c r="Y227" s="329">
        <v>726</v>
      </c>
      <c r="Z227" s="331" t="s">
        <v>23</v>
      </c>
      <c r="AA227" s="331" t="s">
        <v>919</v>
      </c>
      <c r="AB227" s="331" t="s">
        <v>920</v>
      </c>
      <c r="AC227" s="331" t="s">
        <v>972</v>
      </c>
      <c r="AD227" s="331" t="s">
        <v>24</v>
      </c>
      <c r="AE227" s="329">
        <v>221</v>
      </c>
      <c r="AF227" s="331" t="s">
        <v>254</v>
      </c>
      <c r="AG227" s="329"/>
      <c r="AH227" s="329">
        <v>17</v>
      </c>
      <c r="AI227" s="331" t="s">
        <v>280</v>
      </c>
      <c r="AJ227" s="331" t="s">
        <v>281</v>
      </c>
      <c r="AK227" s="329"/>
      <c r="AL227" s="329"/>
      <c r="AM227" s="329"/>
      <c r="AN227" s="329"/>
      <c r="AO227" s="329"/>
      <c r="AP227" s="331" t="s">
        <v>508</v>
      </c>
      <c r="AQ227" s="329">
        <v>610</v>
      </c>
      <c r="AR227" s="329">
        <v>580</v>
      </c>
      <c r="AS227" s="329"/>
      <c r="AT227" s="329" t="s">
        <v>303</v>
      </c>
      <c r="AU227" s="329" t="s">
        <v>283</v>
      </c>
      <c r="AV227" s="331" t="s">
        <v>298</v>
      </c>
      <c r="AW227" s="329"/>
      <c r="AX227" s="329"/>
      <c r="AY227" s="329"/>
      <c r="AZ227" s="329"/>
      <c r="BA227" s="329"/>
      <c r="BB227" s="329"/>
      <c r="BC227" s="329"/>
      <c r="BD227" s="329"/>
      <c r="BE227" s="329" t="s">
        <v>257</v>
      </c>
      <c r="BF227" s="329" t="s">
        <v>834</v>
      </c>
      <c r="BG227" s="329"/>
      <c r="BH227" s="329"/>
      <c r="BI227" s="329"/>
      <c r="BJ227" s="329"/>
      <c r="BK227" s="329">
        <v>20400</v>
      </c>
      <c r="BL227" s="329"/>
      <c r="BM227" s="331" t="s">
        <v>278</v>
      </c>
      <c r="BN227" s="329" t="s">
        <v>922</v>
      </c>
      <c r="BO227" s="333">
        <v>43755</v>
      </c>
      <c r="BP227" s="329"/>
      <c r="BQ227" s="329"/>
      <c r="BR227" s="329"/>
      <c r="BS227" s="329"/>
      <c r="BT227" s="329"/>
      <c r="BU227" s="331" t="s">
        <v>261</v>
      </c>
      <c r="BV227" s="329"/>
      <c r="BW227" s="329"/>
      <c r="BX227" s="329"/>
      <c r="BY227" s="331" t="s">
        <v>3800</v>
      </c>
      <c r="BZ227" s="331" t="s">
        <v>3801</v>
      </c>
      <c r="CA227" s="331" t="s">
        <v>3802</v>
      </c>
      <c r="CB227" s="331" t="s">
        <v>298</v>
      </c>
      <c r="CC227" s="331" t="s">
        <v>3803</v>
      </c>
    </row>
    <row r="228" spans="1:81" x14ac:dyDescent="0.25">
      <c r="A228" s="329">
        <v>196423</v>
      </c>
      <c r="B228" s="331" t="s">
        <v>3977</v>
      </c>
      <c r="C228" s="329">
        <v>34643</v>
      </c>
      <c r="D228" s="331" t="s">
        <v>3971</v>
      </c>
      <c r="E228" s="331" t="s">
        <v>506</v>
      </c>
      <c r="F228" s="331" t="s">
        <v>3978</v>
      </c>
      <c r="G228" s="331" t="s">
        <v>3979</v>
      </c>
      <c r="H228" s="331" t="s">
        <v>3974</v>
      </c>
      <c r="I228" s="331" t="s">
        <v>3975</v>
      </c>
      <c r="J228" s="331" t="s">
        <v>393</v>
      </c>
      <c r="K228" s="331" t="s">
        <v>3976</v>
      </c>
      <c r="L228" s="329"/>
      <c r="M228" s="329">
        <v>6</v>
      </c>
      <c r="N228" s="329">
        <v>0</v>
      </c>
      <c r="O228" s="329">
        <v>2.7</v>
      </c>
      <c r="P228" s="329"/>
      <c r="Q228" s="333">
        <v>42405.431944444441</v>
      </c>
      <c r="R228" s="329"/>
      <c r="S228" s="333">
        <v>43755</v>
      </c>
      <c r="T228" s="329">
        <v>55</v>
      </c>
      <c r="U228" s="333">
        <v>43755</v>
      </c>
      <c r="V228" s="333">
        <v>44109</v>
      </c>
      <c r="W228" s="329" t="b">
        <v>1</v>
      </c>
      <c r="X228" s="331" t="s">
        <v>905</v>
      </c>
      <c r="Y228" s="329">
        <v>747</v>
      </c>
      <c r="Z228" s="331" t="s">
        <v>23</v>
      </c>
      <c r="AA228" s="331" t="s">
        <v>817</v>
      </c>
      <c r="AB228" s="331" t="s">
        <v>818</v>
      </c>
      <c r="AC228" s="331" t="s">
        <v>3980</v>
      </c>
      <c r="AD228" s="331" t="s">
        <v>24</v>
      </c>
      <c r="AE228" s="329">
        <v>221</v>
      </c>
      <c r="AF228" s="331" t="s">
        <v>254</v>
      </c>
      <c r="AG228" s="329"/>
      <c r="AH228" s="329">
        <v>17</v>
      </c>
      <c r="AI228" s="331" t="s">
        <v>280</v>
      </c>
      <c r="AJ228" s="331" t="s">
        <v>281</v>
      </c>
      <c r="AK228" s="331" t="s">
        <v>386</v>
      </c>
      <c r="AL228" s="331" t="s">
        <v>328</v>
      </c>
      <c r="AM228" s="331" t="s">
        <v>329</v>
      </c>
      <c r="AN228" s="331" t="s">
        <v>416</v>
      </c>
      <c r="AO228" s="331" t="s">
        <v>330</v>
      </c>
      <c r="AP228" s="329"/>
      <c r="AQ228" s="329"/>
      <c r="AR228" s="329"/>
      <c r="AS228" s="329"/>
      <c r="AT228" s="329" t="s">
        <v>844</v>
      </c>
      <c r="AU228" s="329" t="s">
        <v>283</v>
      </c>
      <c r="AV228" s="331" t="s">
        <v>393</v>
      </c>
      <c r="AW228" s="329"/>
      <c r="AX228" s="329"/>
      <c r="AY228" s="329"/>
      <c r="AZ228" s="329"/>
      <c r="BA228" s="329"/>
      <c r="BB228" s="329"/>
      <c r="BC228" s="329"/>
      <c r="BD228" s="329"/>
      <c r="BE228" s="329"/>
      <c r="BF228" s="329"/>
      <c r="BG228" s="329"/>
      <c r="BH228" s="329"/>
      <c r="BI228" s="329"/>
      <c r="BJ228" s="329"/>
      <c r="BK228" s="329">
        <v>0</v>
      </c>
      <c r="BL228" s="329"/>
      <c r="BM228" s="331" t="s">
        <v>28</v>
      </c>
      <c r="BN228" s="329" t="s">
        <v>922</v>
      </c>
      <c r="BO228" s="333">
        <v>43755</v>
      </c>
      <c r="BP228" s="329"/>
      <c r="BQ228" s="329"/>
      <c r="BR228" s="329"/>
      <c r="BS228" s="329"/>
      <c r="BT228" s="329"/>
      <c r="BU228" s="331" t="s">
        <v>261</v>
      </c>
      <c r="BV228" s="329"/>
      <c r="BW228" s="329"/>
      <c r="BX228" s="329"/>
      <c r="BY228" s="331" t="s">
        <v>3981</v>
      </c>
      <c r="BZ228" s="331" t="s">
        <v>3982</v>
      </c>
      <c r="CA228" s="331" t="s">
        <v>3958</v>
      </c>
      <c r="CB228" s="331" t="s">
        <v>393</v>
      </c>
      <c r="CC228" s="331" t="s">
        <v>3959</v>
      </c>
    </row>
    <row r="229" spans="1:81" x14ac:dyDescent="0.25">
      <c r="A229" s="329">
        <v>198333</v>
      </c>
      <c r="B229" s="331" t="s">
        <v>3983</v>
      </c>
      <c r="C229" s="329">
        <v>35230</v>
      </c>
      <c r="D229" s="331" t="s">
        <v>3984</v>
      </c>
      <c r="E229" s="331" t="s">
        <v>3985</v>
      </c>
      <c r="F229" s="331" t="s">
        <v>3986</v>
      </c>
      <c r="G229" s="331" t="s">
        <v>3987</v>
      </c>
      <c r="H229" s="331" t="s">
        <v>3988</v>
      </c>
      <c r="I229" s="331" t="s">
        <v>3989</v>
      </c>
      <c r="J229" s="331" t="s">
        <v>263</v>
      </c>
      <c r="K229" s="331" t="s">
        <v>3990</v>
      </c>
      <c r="L229" s="329"/>
      <c r="M229" s="329">
        <v>6</v>
      </c>
      <c r="N229" s="329">
        <v>0</v>
      </c>
      <c r="O229" s="329">
        <v>3.56</v>
      </c>
      <c r="P229" s="329"/>
      <c r="Q229" s="333">
        <v>43739.450694444444</v>
      </c>
      <c r="R229" s="329"/>
      <c r="S229" s="333">
        <v>43755</v>
      </c>
      <c r="T229" s="329">
        <v>55</v>
      </c>
      <c r="U229" s="333">
        <v>43755</v>
      </c>
      <c r="V229" s="333">
        <v>44109</v>
      </c>
      <c r="W229" s="329" t="b">
        <v>1</v>
      </c>
      <c r="X229" s="331" t="s">
        <v>22</v>
      </c>
      <c r="Y229" s="329">
        <v>726</v>
      </c>
      <c r="Z229" s="331" t="s">
        <v>25</v>
      </c>
      <c r="AA229" s="331" t="s">
        <v>919</v>
      </c>
      <c r="AB229" s="331" t="s">
        <v>920</v>
      </c>
      <c r="AC229" s="331" t="s">
        <v>357</v>
      </c>
      <c r="AD229" s="331" t="s">
        <v>24</v>
      </c>
      <c r="AE229" s="329">
        <v>221</v>
      </c>
      <c r="AF229" s="331" t="s">
        <v>254</v>
      </c>
      <c r="AG229" s="329"/>
      <c r="AH229" s="329">
        <v>17</v>
      </c>
      <c r="AI229" s="331" t="s">
        <v>280</v>
      </c>
      <c r="AJ229" s="331" t="s">
        <v>281</v>
      </c>
      <c r="AK229" s="329"/>
      <c r="AL229" s="329"/>
      <c r="AM229" s="329"/>
      <c r="AN229" s="329"/>
      <c r="AO229" s="329"/>
      <c r="AP229" s="331" t="s">
        <v>362</v>
      </c>
      <c r="AQ229" s="329">
        <v>550</v>
      </c>
      <c r="AR229" s="329">
        <v>580</v>
      </c>
      <c r="AS229" s="329"/>
      <c r="AT229" s="329" t="s">
        <v>319</v>
      </c>
      <c r="AU229" s="329" t="s">
        <v>283</v>
      </c>
      <c r="AV229" s="331" t="s">
        <v>263</v>
      </c>
      <c r="AW229" s="329"/>
      <c r="AX229" s="329"/>
      <c r="AY229" s="329"/>
      <c r="AZ229" s="329"/>
      <c r="BA229" s="329"/>
      <c r="BB229" s="329"/>
      <c r="BC229" s="329"/>
      <c r="BD229" s="329"/>
      <c r="BE229" s="329" t="s">
        <v>257</v>
      </c>
      <c r="BF229" s="329" t="s">
        <v>838</v>
      </c>
      <c r="BG229" s="329"/>
      <c r="BH229" s="329"/>
      <c r="BI229" s="329"/>
      <c r="BJ229" s="329"/>
      <c r="BK229" s="329">
        <v>15600</v>
      </c>
      <c r="BL229" s="329"/>
      <c r="BM229" s="331" t="s">
        <v>259</v>
      </c>
      <c r="BN229" s="329" t="s">
        <v>922</v>
      </c>
      <c r="BO229" s="333">
        <v>43755</v>
      </c>
      <c r="BP229" s="329"/>
      <c r="BQ229" s="329"/>
      <c r="BR229" s="329"/>
      <c r="BS229" s="329"/>
      <c r="BT229" s="329"/>
      <c r="BU229" s="331" t="s">
        <v>261</v>
      </c>
      <c r="BV229" s="329"/>
      <c r="BW229" s="329"/>
      <c r="BX229" s="329"/>
      <c r="BY229" s="331" t="s">
        <v>3991</v>
      </c>
      <c r="BZ229" s="331" t="s">
        <v>3992</v>
      </c>
      <c r="CA229" s="331" t="s">
        <v>3993</v>
      </c>
      <c r="CB229" s="331" t="s">
        <v>263</v>
      </c>
      <c r="CC229" s="331" t="s">
        <v>3990</v>
      </c>
    </row>
    <row r="230" spans="1:81" x14ac:dyDescent="0.25">
      <c r="A230" s="329">
        <v>194958</v>
      </c>
      <c r="B230" s="331" t="s">
        <v>1090</v>
      </c>
      <c r="C230" s="329">
        <v>34199</v>
      </c>
      <c r="D230" s="331" t="s">
        <v>1091</v>
      </c>
      <c r="E230" s="331" t="s">
        <v>758</v>
      </c>
      <c r="F230" s="331" t="s">
        <v>1092</v>
      </c>
      <c r="G230" s="331" t="s">
        <v>1093</v>
      </c>
      <c r="H230" s="331" t="s">
        <v>1094</v>
      </c>
      <c r="I230" s="331" t="s">
        <v>1095</v>
      </c>
      <c r="J230" s="331" t="s">
        <v>746</v>
      </c>
      <c r="K230" s="331" t="s">
        <v>1096</v>
      </c>
      <c r="L230" s="329"/>
      <c r="M230" s="329">
        <v>6</v>
      </c>
      <c r="N230" s="329">
        <v>0</v>
      </c>
      <c r="O230" s="329">
        <v>3.3</v>
      </c>
      <c r="P230" s="329"/>
      <c r="Q230" s="333">
        <v>43644.628472222219</v>
      </c>
      <c r="R230" s="329"/>
      <c r="S230" s="333">
        <v>43753</v>
      </c>
      <c r="T230" s="329">
        <v>55</v>
      </c>
      <c r="U230" s="333">
        <v>43753</v>
      </c>
      <c r="V230" s="333">
        <v>44109</v>
      </c>
      <c r="W230" s="329" t="b">
        <v>1</v>
      </c>
      <c r="X230" s="331" t="s">
        <v>905</v>
      </c>
      <c r="Y230" s="329">
        <v>747</v>
      </c>
      <c r="Z230" s="331" t="s">
        <v>23</v>
      </c>
      <c r="AA230" s="331" t="s">
        <v>919</v>
      </c>
      <c r="AB230" s="331" t="s">
        <v>920</v>
      </c>
      <c r="AC230" s="331" t="s">
        <v>1097</v>
      </c>
      <c r="AD230" s="331" t="s">
        <v>24</v>
      </c>
      <c r="AE230" s="329">
        <v>221</v>
      </c>
      <c r="AF230" s="331" t="s">
        <v>254</v>
      </c>
      <c r="AG230" s="329"/>
      <c r="AH230" s="329">
        <v>17</v>
      </c>
      <c r="AI230" s="331" t="s">
        <v>280</v>
      </c>
      <c r="AJ230" s="331" t="s">
        <v>281</v>
      </c>
      <c r="AK230" s="329"/>
      <c r="AL230" s="329"/>
      <c r="AM230" s="329"/>
      <c r="AN230" s="329"/>
      <c r="AO230" s="329"/>
      <c r="AP230" s="331" t="s">
        <v>483</v>
      </c>
      <c r="AQ230" s="329">
        <v>590</v>
      </c>
      <c r="AR230" s="329">
        <v>550</v>
      </c>
      <c r="AS230" s="329"/>
      <c r="AT230" s="329" t="s">
        <v>833</v>
      </c>
      <c r="AU230" s="329" t="s">
        <v>283</v>
      </c>
      <c r="AV230" s="331" t="s">
        <v>746</v>
      </c>
      <c r="AW230" s="329"/>
      <c r="AX230" s="329"/>
      <c r="AY230" s="329"/>
      <c r="AZ230" s="329"/>
      <c r="BA230" s="329"/>
      <c r="BB230" s="329"/>
      <c r="BC230" s="329"/>
      <c r="BD230" s="329"/>
      <c r="BE230" s="329" t="s">
        <v>257</v>
      </c>
      <c r="BF230" s="329" t="s">
        <v>837</v>
      </c>
      <c r="BG230" s="329"/>
      <c r="BH230" s="329"/>
      <c r="BI230" s="329"/>
      <c r="BJ230" s="329"/>
      <c r="BK230" s="329">
        <v>15000</v>
      </c>
      <c r="BL230" s="329"/>
      <c r="BM230" s="331" t="s">
        <v>295</v>
      </c>
      <c r="BN230" s="329" t="s">
        <v>922</v>
      </c>
      <c r="BO230" s="333">
        <v>43754</v>
      </c>
      <c r="BP230" s="329"/>
      <c r="BQ230" s="329"/>
      <c r="BR230" s="329"/>
      <c r="BS230" s="329"/>
      <c r="BT230" s="329"/>
      <c r="BU230" s="331" t="s">
        <v>261</v>
      </c>
      <c r="BV230" s="329"/>
      <c r="BW230" s="329"/>
      <c r="BX230" s="329"/>
      <c r="BY230" s="331" t="s">
        <v>1098</v>
      </c>
      <c r="BZ230" s="331" t="s">
        <v>1099</v>
      </c>
      <c r="CA230" s="331" t="s">
        <v>1100</v>
      </c>
      <c r="CB230" s="331" t="s">
        <v>746</v>
      </c>
      <c r="CC230" s="331" t="s">
        <v>1101</v>
      </c>
    </row>
    <row r="231" spans="1:81" x14ac:dyDescent="0.25">
      <c r="A231" s="329">
        <v>192987</v>
      </c>
      <c r="B231" s="331" t="s">
        <v>1108</v>
      </c>
      <c r="C231" s="329">
        <v>33749</v>
      </c>
      <c r="D231" s="331" t="s">
        <v>1109</v>
      </c>
      <c r="E231" s="331" t="s">
        <v>1110</v>
      </c>
      <c r="F231" s="331" t="s">
        <v>1111</v>
      </c>
      <c r="G231" s="331" t="s">
        <v>1112</v>
      </c>
      <c r="H231" s="331" t="s">
        <v>1113</v>
      </c>
      <c r="I231" s="331" t="s">
        <v>446</v>
      </c>
      <c r="J231" s="331" t="s">
        <v>321</v>
      </c>
      <c r="K231" s="331" t="s">
        <v>1114</v>
      </c>
      <c r="L231" s="329"/>
      <c r="M231" s="329">
        <v>6</v>
      </c>
      <c r="N231" s="329">
        <v>0</v>
      </c>
      <c r="O231" s="329">
        <v>3.5</v>
      </c>
      <c r="P231" s="329"/>
      <c r="Q231" s="333">
        <v>43613.786805555559</v>
      </c>
      <c r="R231" s="329"/>
      <c r="S231" s="333">
        <v>43753</v>
      </c>
      <c r="T231" s="329">
        <v>55</v>
      </c>
      <c r="U231" s="333">
        <v>43753</v>
      </c>
      <c r="V231" s="333">
        <v>44109</v>
      </c>
      <c r="W231" s="329" t="b">
        <v>1</v>
      </c>
      <c r="X231" s="331" t="s">
        <v>905</v>
      </c>
      <c r="Y231" s="329">
        <v>747</v>
      </c>
      <c r="Z231" s="331" t="s">
        <v>23</v>
      </c>
      <c r="AA231" s="331" t="s">
        <v>919</v>
      </c>
      <c r="AB231" s="331" t="s">
        <v>920</v>
      </c>
      <c r="AC231" s="331" t="s">
        <v>346</v>
      </c>
      <c r="AD231" s="331" t="s">
        <v>24</v>
      </c>
      <c r="AE231" s="329">
        <v>221</v>
      </c>
      <c r="AF231" s="331" t="s">
        <v>254</v>
      </c>
      <c r="AG231" s="329"/>
      <c r="AH231" s="329">
        <v>17</v>
      </c>
      <c r="AI231" s="331" t="s">
        <v>280</v>
      </c>
      <c r="AJ231" s="331" t="s">
        <v>281</v>
      </c>
      <c r="AK231" s="329"/>
      <c r="AL231" s="329"/>
      <c r="AM231" s="329"/>
      <c r="AN231" s="329"/>
      <c r="AO231" s="329"/>
      <c r="AP231" s="329"/>
      <c r="AQ231" s="329"/>
      <c r="AR231" s="329"/>
      <c r="AS231" s="329"/>
      <c r="AT231" s="329" t="s">
        <v>258</v>
      </c>
      <c r="AU231" s="329" t="s">
        <v>283</v>
      </c>
      <c r="AV231" s="331" t="s">
        <v>321</v>
      </c>
      <c r="AW231" s="329"/>
      <c r="AX231" s="329"/>
      <c r="AY231" s="329"/>
      <c r="AZ231" s="329"/>
      <c r="BA231" s="329"/>
      <c r="BB231" s="329"/>
      <c r="BC231" s="329"/>
      <c r="BD231" s="329"/>
      <c r="BE231" s="329"/>
      <c r="BF231" s="329"/>
      <c r="BG231" s="329"/>
      <c r="BH231" s="329"/>
      <c r="BI231" s="329"/>
      <c r="BJ231" s="329"/>
      <c r="BK231" s="329">
        <v>0</v>
      </c>
      <c r="BL231" s="329"/>
      <c r="BM231" s="331" t="s">
        <v>267</v>
      </c>
      <c r="BN231" s="329" t="s">
        <v>922</v>
      </c>
      <c r="BO231" s="333">
        <v>43754</v>
      </c>
      <c r="BP231" s="329"/>
      <c r="BQ231" s="329"/>
      <c r="BR231" s="329"/>
      <c r="BS231" s="329"/>
      <c r="BT231" s="329"/>
      <c r="BU231" s="331" t="s">
        <v>261</v>
      </c>
      <c r="BV231" s="329"/>
      <c r="BW231" s="329"/>
      <c r="BX231" s="329"/>
      <c r="BY231" s="331" t="s">
        <v>1115</v>
      </c>
      <c r="BZ231" s="331" t="s">
        <v>1116</v>
      </c>
      <c r="CA231" s="331" t="s">
        <v>1117</v>
      </c>
      <c r="CB231" s="331" t="s">
        <v>321</v>
      </c>
      <c r="CC231" s="331" t="s">
        <v>1118</v>
      </c>
    </row>
    <row r="232" spans="1:81" x14ac:dyDescent="0.25">
      <c r="A232" s="329">
        <v>198711</v>
      </c>
      <c r="B232" s="331" t="s">
        <v>1334</v>
      </c>
      <c r="C232" s="329">
        <v>35360</v>
      </c>
      <c r="D232" s="331" t="s">
        <v>487</v>
      </c>
      <c r="E232" s="331" t="s">
        <v>759</v>
      </c>
      <c r="F232" s="331" t="s">
        <v>1335</v>
      </c>
      <c r="G232" s="331" t="s">
        <v>1336</v>
      </c>
      <c r="H232" s="331" t="s">
        <v>1337</v>
      </c>
      <c r="I232" s="331" t="s">
        <v>1338</v>
      </c>
      <c r="J232" s="331" t="s">
        <v>354</v>
      </c>
      <c r="K232" s="331" t="s">
        <v>1339</v>
      </c>
      <c r="L232" s="329"/>
      <c r="M232" s="329">
        <v>6</v>
      </c>
      <c r="N232" s="329">
        <v>0</v>
      </c>
      <c r="O232" s="329">
        <v>3.7</v>
      </c>
      <c r="P232" s="329"/>
      <c r="Q232" s="333">
        <v>43615.386805555558</v>
      </c>
      <c r="R232" s="329"/>
      <c r="S232" s="333">
        <v>43753</v>
      </c>
      <c r="T232" s="329">
        <v>55</v>
      </c>
      <c r="U232" s="333">
        <v>43753</v>
      </c>
      <c r="V232" s="333">
        <v>44109</v>
      </c>
      <c r="W232" s="329" t="b">
        <v>1</v>
      </c>
      <c r="X232" s="331" t="s">
        <v>905</v>
      </c>
      <c r="Y232" s="329">
        <v>747</v>
      </c>
      <c r="Z232" s="331" t="s">
        <v>23</v>
      </c>
      <c r="AA232" s="331" t="s">
        <v>919</v>
      </c>
      <c r="AB232" s="331" t="s">
        <v>920</v>
      </c>
      <c r="AC232" s="331" t="s">
        <v>346</v>
      </c>
      <c r="AD232" s="331" t="s">
        <v>24</v>
      </c>
      <c r="AE232" s="329">
        <v>221</v>
      </c>
      <c r="AF232" s="331" t="s">
        <v>254</v>
      </c>
      <c r="AG232" s="329"/>
      <c r="AH232" s="329">
        <v>17</v>
      </c>
      <c r="AI232" s="331" t="s">
        <v>280</v>
      </c>
      <c r="AJ232" s="331" t="s">
        <v>281</v>
      </c>
      <c r="AK232" s="329"/>
      <c r="AL232" s="329"/>
      <c r="AM232" s="329"/>
      <c r="AN232" s="329"/>
      <c r="AO232" s="329"/>
      <c r="AP232" s="329"/>
      <c r="AQ232" s="329"/>
      <c r="AR232" s="329"/>
      <c r="AS232" s="329"/>
      <c r="AT232" s="329" t="s">
        <v>258</v>
      </c>
      <c r="AU232" s="329" t="s">
        <v>283</v>
      </c>
      <c r="AV232" s="331" t="s">
        <v>354</v>
      </c>
      <c r="AW232" s="329"/>
      <c r="AX232" s="329"/>
      <c r="AY232" s="329"/>
      <c r="AZ232" s="329"/>
      <c r="BA232" s="329"/>
      <c r="BB232" s="329"/>
      <c r="BC232" s="329"/>
      <c r="BD232" s="329"/>
      <c r="BE232" s="329" t="s">
        <v>257</v>
      </c>
      <c r="BF232" s="329" t="s">
        <v>830</v>
      </c>
      <c r="BG232" s="329"/>
      <c r="BH232" s="329"/>
      <c r="BI232" s="329"/>
      <c r="BJ232" s="329"/>
      <c r="BK232" s="329">
        <v>12000</v>
      </c>
      <c r="BL232" s="329"/>
      <c r="BM232" s="331" t="s">
        <v>26</v>
      </c>
      <c r="BN232" s="329" t="s">
        <v>922</v>
      </c>
      <c r="BO232" s="333">
        <v>43754</v>
      </c>
      <c r="BP232" s="329"/>
      <c r="BQ232" s="329"/>
      <c r="BR232" s="329"/>
      <c r="BS232" s="329"/>
      <c r="BT232" s="329"/>
      <c r="BU232" s="331" t="s">
        <v>261</v>
      </c>
      <c r="BV232" s="329"/>
      <c r="BW232" s="329"/>
      <c r="BX232" s="329"/>
      <c r="BY232" s="331" t="s">
        <v>1340</v>
      </c>
      <c r="BZ232" s="331" t="s">
        <v>1341</v>
      </c>
      <c r="CA232" s="331" t="s">
        <v>1342</v>
      </c>
      <c r="CB232" s="331" t="s">
        <v>354</v>
      </c>
      <c r="CC232" s="331" t="s">
        <v>1343</v>
      </c>
    </row>
    <row r="233" spans="1:81" x14ac:dyDescent="0.25">
      <c r="A233" s="329">
        <v>196302</v>
      </c>
      <c r="B233" s="331" t="s">
        <v>1579</v>
      </c>
      <c r="C233" s="329">
        <v>34605</v>
      </c>
      <c r="D233" s="331" t="s">
        <v>1580</v>
      </c>
      <c r="E233" s="331" t="s">
        <v>270</v>
      </c>
      <c r="F233" s="331" t="s">
        <v>1581</v>
      </c>
      <c r="G233" s="331" t="s">
        <v>1582</v>
      </c>
      <c r="H233" s="331" t="s">
        <v>1583</v>
      </c>
      <c r="I233" s="331" t="s">
        <v>813</v>
      </c>
      <c r="J233" s="331" t="s">
        <v>284</v>
      </c>
      <c r="K233" s="331" t="s">
        <v>1584</v>
      </c>
      <c r="L233" s="329"/>
      <c r="M233" s="329">
        <v>6</v>
      </c>
      <c r="N233" s="329">
        <v>0</v>
      </c>
      <c r="O233" s="329">
        <v>3.8</v>
      </c>
      <c r="P233" s="329"/>
      <c r="Q233" s="333">
        <v>43687.536805555559</v>
      </c>
      <c r="R233" s="329"/>
      <c r="S233" s="333">
        <v>43753</v>
      </c>
      <c r="T233" s="329">
        <v>55</v>
      </c>
      <c r="U233" s="333">
        <v>43753</v>
      </c>
      <c r="V233" s="333">
        <v>44109</v>
      </c>
      <c r="W233" s="329" t="b">
        <v>1</v>
      </c>
      <c r="X233" s="331" t="s">
        <v>905</v>
      </c>
      <c r="Y233" s="329">
        <v>747</v>
      </c>
      <c r="Z233" s="331" t="s">
        <v>23</v>
      </c>
      <c r="AA233" s="331" t="s">
        <v>919</v>
      </c>
      <c r="AB233" s="331" t="s">
        <v>920</v>
      </c>
      <c r="AC233" s="331" t="s">
        <v>271</v>
      </c>
      <c r="AD233" s="331" t="s">
        <v>24</v>
      </c>
      <c r="AE233" s="329">
        <v>221</v>
      </c>
      <c r="AF233" s="331" t="s">
        <v>254</v>
      </c>
      <c r="AG233" s="329"/>
      <c r="AH233" s="329">
        <v>17</v>
      </c>
      <c r="AI233" s="331" t="s">
        <v>280</v>
      </c>
      <c r="AJ233" s="331" t="s">
        <v>281</v>
      </c>
      <c r="AK233" s="329"/>
      <c r="AL233" s="329"/>
      <c r="AM233" s="329"/>
      <c r="AN233" s="329"/>
      <c r="AO233" s="329"/>
      <c r="AP233" s="331" t="s">
        <v>371</v>
      </c>
      <c r="AQ233" s="329">
        <v>650</v>
      </c>
      <c r="AR233" s="329">
        <v>560</v>
      </c>
      <c r="AS233" s="329"/>
      <c r="AT233" s="329" t="s">
        <v>556</v>
      </c>
      <c r="AU233" s="329" t="s">
        <v>283</v>
      </c>
      <c r="AV233" s="331" t="s">
        <v>284</v>
      </c>
      <c r="AW233" s="329"/>
      <c r="AX233" s="329"/>
      <c r="AY233" s="329"/>
      <c r="AZ233" s="329"/>
      <c r="BA233" s="329"/>
      <c r="BB233" s="329"/>
      <c r="BC233" s="329"/>
      <c r="BD233" s="329"/>
      <c r="BE233" s="329" t="s">
        <v>257</v>
      </c>
      <c r="BF233" s="329" t="s">
        <v>834</v>
      </c>
      <c r="BG233" s="329"/>
      <c r="BH233" s="329"/>
      <c r="BI233" s="329"/>
      <c r="BJ233" s="329"/>
      <c r="BK233" s="329">
        <v>20400</v>
      </c>
      <c r="BL233" s="329"/>
      <c r="BM233" s="331" t="s">
        <v>278</v>
      </c>
      <c r="BN233" s="329" t="s">
        <v>922</v>
      </c>
      <c r="BO233" s="333">
        <v>43754</v>
      </c>
      <c r="BP233" s="329"/>
      <c r="BQ233" s="329"/>
      <c r="BR233" s="329"/>
      <c r="BS233" s="329"/>
      <c r="BT233" s="329"/>
      <c r="BU233" s="331" t="s">
        <v>261</v>
      </c>
      <c r="BV233" s="329"/>
      <c r="BW233" s="329"/>
      <c r="BX233" s="329"/>
      <c r="BY233" s="331" t="s">
        <v>1585</v>
      </c>
      <c r="BZ233" s="331" t="s">
        <v>1586</v>
      </c>
      <c r="CA233" s="331" t="s">
        <v>1587</v>
      </c>
      <c r="CB233" s="331" t="s">
        <v>284</v>
      </c>
      <c r="CC233" s="331" t="s">
        <v>1588</v>
      </c>
    </row>
    <row r="234" spans="1:81" x14ac:dyDescent="0.25">
      <c r="A234" s="329">
        <v>196800</v>
      </c>
      <c r="B234" s="331" t="s">
        <v>1641</v>
      </c>
      <c r="C234" s="329">
        <v>34744</v>
      </c>
      <c r="D234" s="331" t="s">
        <v>1642</v>
      </c>
      <c r="E234" s="331" t="s">
        <v>1643</v>
      </c>
      <c r="F234" s="331" t="s">
        <v>1644</v>
      </c>
      <c r="G234" s="331" t="s">
        <v>1645</v>
      </c>
      <c r="H234" s="331" t="s">
        <v>1646</v>
      </c>
      <c r="I234" s="331" t="s">
        <v>1647</v>
      </c>
      <c r="J234" s="331" t="s">
        <v>335</v>
      </c>
      <c r="K234" s="331" t="s">
        <v>1648</v>
      </c>
      <c r="L234" s="329"/>
      <c r="M234" s="329">
        <v>6</v>
      </c>
      <c r="N234" s="329">
        <v>0</v>
      </c>
      <c r="O234" s="329">
        <v>3.98</v>
      </c>
      <c r="P234" s="329"/>
      <c r="Q234" s="333">
        <v>43706.805555555555</v>
      </c>
      <c r="R234" s="329"/>
      <c r="S234" s="333">
        <v>43753</v>
      </c>
      <c r="T234" s="329">
        <v>55</v>
      </c>
      <c r="U234" s="333">
        <v>43753</v>
      </c>
      <c r="V234" s="333">
        <v>44109</v>
      </c>
      <c r="W234" s="329" t="b">
        <v>1</v>
      </c>
      <c r="X234" s="331" t="s">
        <v>22</v>
      </c>
      <c r="Y234" s="329">
        <v>429</v>
      </c>
      <c r="Z234" s="331" t="s">
        <v>23</v>
      </c>
      <c r="AA234" s="331" t="s">
        <v>919</v>
      </c>
      <c r="AB234" s="331" t="s">
        <v>920</v>
      </c>
      <c r="AC234" s="331" t="s">
        <v>962</v>
      </c>
      <c r="AD234" s="331" t="s">
        <v>24</v>
      </c>
      <c r="AE234" s="329">
        <v>221</v>
      </c>
      <c r="AF234" s="331" t="s">
        <v>254</v>
      </c>
      <c r="AG234" s="329"/>
      <c r="AH234" s="329">
        <v>17</v>
      </c>
      <c r="AI234" s="331" t="s">
        <v>280</v>
      </c>
      <c r="AJ234" s="331" t="s">
        <v>281</v>
      </c>
      <c r="AK234" s="329"/>
      <c r="AL234" s="329"/>
      <c r="AM234" s="329"/>
      <c r="AN234" s="329"/>
      <c r="AO234" s="329"/>
      <c r="AP234" s="331" t="s">
        <v>1649</v>
      </c>
      <c r="AQ234" s="329">
        <v>750</v>
      </c>
      <c r="AR234" s="329">
        <v>670</v>
      </c>
      <c r="AS234" s="329"/>
      <c r="AT234" s="329" t="s">
        <v>857</v>
      </c>
      <c r="AU234" s="329" t="s">
        <v>256</v>
      </c>
      <c r="AV234" s="331" t="s">
        <v>335</v>
      </c>
      <c r="AW234" s="329"/>
      <c r="AX234" s="329"/>
      <c r="AY234" s="329"/>
      <c r="AZ234" s="329"/>
      <c r="BA234" s="329"/>
      <c r="BB234" s="329"/>
      <c r="BC234" s="329"/>
      <c r="BD234" s="329"/>
      <c r="BE234" s="329" t="s">
        <v>257</v>
      </c>
      <c r="BF234" s="329" t="s">
        <v>834</v>
      </c>
      <c r="BG234" s="329"/>
      <c r="BH234" s="329"/>
      <c r="BI234" s="329"/>
      <c r="BJ234" s="329"/>
      <c r="BK234" s="329">
        <v>20400</v>
      </c>
      <c r="BL234" s="329"/>
      <c r="BM234" s="331" t="s">
        <v>278</v>
      </c>
      <c r="BN234" s="329" t="s">
        <v>922</v>
      </c>
      <c r="BO234" s="333">
        <v>43754</v>
      </c>
      <c r="BP234" s="329"/>
      <c r="BQ234" s="329"/>
      <c r="BR234" s="329"/>
      <c r="BS234" s="329"/>
      <c r="BT234" s="329"/>
      <c r="BU234" s="331" t="s">
        <v>261</v>
      </c>
      <c r="BV234" s="329"/>
      <c r="BW234" s="329"/>
      <c r="BX234" s="329"/>
      <c r="BY234" s="331" t="s">
        <v>1650</v>
      </c>
      <c r="BZ234" s="331" t="s">
        <v>1651</v>
      </c>
      <c r="CA234" s="331" t="s">
        <v>1652</v>
      </c>
      <c r="CB234" s="331" t="s">
        <v>335</v>
      </c>
      <c r="CC234" s="331" t="s">
        <v>1648</v>
      </c>
    </row>
    <row r="235" spans="1:81" x14ac:dyDescent="0.25">
      <c r="A235" s="329">
        <v>198617</v>
      </c>
      <c r="B235" s="331" t="s">
        <v>1692</v>
      </c>
      <c r="C235" s="329">
        <v>35329</v>
      </c>
      <c r="D235" s="331" t="s">
        <v>1693</v>
      </c>
      <c r="E235" s="331" t="s">
        <v>1694</v>
      </c>
      <c r="F235" s="331" t="s">
        <v>1695</v>
      </c>
      <c r="G235" s="331" t="s">
        <v>1696</v>
      </c>
      <c r="H235" s="331" t="s">
        <v>1697</v>
      </c>
      <c r="I235" s="331" t="s">
        <v>1698</v>
      </c>
      <c r="J235" s="331" t="s">
        <v>292</v>
      </c>
      <c r="K235" s="331" t="s">
        <v>1699</v>
      </c>
      <c r="L235" s="329"/>
      <c r="M235" s="329">
        <v>6</v>
      </c>
      <c r="N235" s="329">
        <v>0</v>
      </c>
      <c r="O235" s="329">
        <v>3.1269999999999998</v>
      </c>
      <c r="P235" s="329"/>
      <c r="Q235" s="333">
        <v>43748.430555555555</v>
      </c>
      <c r="R235" s="329"/>
      <c r="S235" s="333">
        <v>43753</v>
      </c>
      <c r="T235" s="329">
        <v>55</v>
      </c>
      <c r="U235" s="333">
        <v>43753</v>
      </c>
      <c r="V235" s="333">
        <v>44109</v>
      </c>
      <c r="W235" s="329" t="b">
        <v>1</v>
      </c>
      <c r="X235" s="331" t="s">
        <v>22</v>
      </c>
      <c r="Y235" s="329">
        <v>429</v>
      </c>
      <c r="Z235" s="331" t="s">
        <v>23</v>
      </c>
      <c r="AA235" s="331" t="s">
        <v>919</v>
      </c>
      <c r="AB235" s="331" t="s">
        <v>920</v>
      </c>
      <c r="AC235" s="331" t="s">
        <v>264</v>
      </c>
      <c r="AD235" s="331" t="s">
        <v>24</v>
      </c>
      <c r="AE235" s="329">
        <v>221</v>
      </c>
      <c r="AF235" s="331" t="s">
        <v>254</v>
      </c>
      <c r="AG235" s="329"/>
      <c r="AH235" s="329">
        <v>17</v>
      </c>
      <c r="AI235" s="331" t="s">
        <v>280</v>
      </c>
      <c r="AJ235" s="331" t="s">
        <v>281</v>
      </c>
      <c r="AK235" s="329"/>
      <c r="AL235" s="329"/>
      <c r="AM235" s="329"/>
      <c r="AN235" s="329"/>
      <c r="AO235" s="329"/>
      <c r="AP235" s="329"/>
      <c r="AQ235" s="329"/>
      <c r="AR235" s="329"/>
      <c r="AS235" s="329"/>
      <c r="AT235" s="329" t="s">
        <v>258</v>
      </c>
      <c r="AU235" s="329" t="s">
        <v>283</v>
      </c>
      <c r="AV235" s="331" t="s">
        <v>292</v>
      </c>
      <c r="AW235" s="329"/>
      <c r="AX235" s="329"/>
      <c r="AY235" s="329"/>
      <c r="AZ235" s="329"/>
      <c r="BA235" s="329"/>
      <c r="BB235" s="329"/>
      <c r="BC235" s="329"/>
      <c r="BD235" s="329"/>
      <c r="BE235" s="329"/>
      <c r="BF235" s="329"/>
      <c r="BG235" s="329"/>
      <c r="BH235" s="329"/>
      <c r="BI235" s="329"/>
      <c r="BJ235" s="329"/>
      <c r="BK235" s="329">
        <v>0</v>
      </c>
      <c r="BL235" s="329"/>
      <c r="BM235" s="331" t="s">
        <v>267</v>
      </c>
      <c r="BN235" s="329" t="s">
        <v>922</v>
      </c>
      <c r="BO235" s="333">
        <v>43754</v>
      </c>
      <c r="BP235" s="329"/>
      <c r="BQ235" s="329"/>
      <c r="BR235" s="329"/>
      <c r="BS235" s="329"/>
      <c r="BT235" s="329"/>
      <c r="BU235" s="331" t="s">
        <v>261</v>
      </c>
      <c r="BV235" s="329"/>
      <c r="BW235" s="329"/>
      <c r="BX235" s="329"/>
      <c r="BY235" s="331" t="s">
        <v>1700</v>
      </c>
      <c r="BZ235" s="331" t="s">
        <v>1701</v>
      </c>
      <c r="CA235" s="331" t="s">
        <v>1702</v>
      </c>
      <c r="CB235" s="331" t="s">
        <v>292</v>
      </c>
      <c r="CC235" s="331" t="s">
        <v>1699</v>
      </c>
    </row>
    <row r="236" spans="1:81" x14ac:dyDescent="0.25">
      <c r="A236" s="329">
        <v>192389</v>
      </c>
      <c r="B236" s="331" t="s">
        <v>1846</v>
      </c>
      <c r="C236" s="329">
        <v>33636</v>
      </c>
      <c r="D236" s="331" t="s">
        <v>1847</v>
      </c>
      <c r="E236" s="331" t="s">
        <v>566</v>
      </c>
      <c r="F236" s="331" t="s">
        <v>1848</v>
      </c>
      <c r="G236" s="331" t="s">
        <v>1849</v>
      </c>
      <c r="H236" s="331" t="s">
        <v>4285</v>
      </c>
      <c r="I236" s="331" t="s">
        <v>1850</v>
      </c>
      <c r="J236" s="331" t="s">
        <v>251</v>
      </c>
      <c r="K236" s="331" t="s">
        <v>1854</v>
      </c>
      <c r="L236" s="329"/>
      <c r="M236" s="329">
        <v>6</v>
      </c>
      <c r="N236" s="329">
        <v>0</v>
      </c>
      <c r="O236" s="329">
        <v>2.6</v>
      </c>
      <c r="P236" s="329"/>
      <c r="Q236" s="333">
        <v>43599.666666666664</v>
      </c>
      <c r="R236" s="329"/>
      <c r="S236" s="333">
        <v>43753</v>
      </c>
      <c r="T236" s="329">
        <v>55</v>
      </c>
      <c r="U236" s="333">
        <v>43753</v>
      </c>
      <c r="V236" s="333">
        <v>44109</v>
      </c>
      <c r="W236" s="329" t="b">
        <v>1</v>
      </c>
      <c r="X236" s="331" t="s">
        <v>905</v>
      </c>
      <c r="Y236" s="329">
        <v>747</v>
      </c>
      <c r="Z236" s="331" t="s">
        <v>23</v>
      </c>
      <c r="AA236" s="331" t="s">
        <v>919</v>
      </c>
      <c r="AB236" s="331" t="s">
        <v>920</v>
      </c>
      <c r="AC236" s="331" t="s">
        <v>1264</v>
      </c>
      <c r="AD236" s="331" t="s">
        <v>24</v>
      </c>
      <c r="AE236" s="329">
        <v>221</v>
      </c>
      <c r="AF236" s="331" t="s">
        <v>254</v>
      </c>
      <c r="AG236" s="329"/>
      <c r="AH236" s="329">
        <v>17</v>
      </c>
      <c r="AI236" s="331" t="s">
        <v>280</v>
      </c>
      <c r="AJ236" s="331" t="s">
        <v>281</v>
      </c>
      <c r="AK236" s="329"/>
      <c r="AL236" s="329"/>
      <c r="AM236" s="329"/>
      <c r="AN236" s="329"/>
      <c r="AO236" s="329"/>
      <c r="AP236" s="331" t="s">
        <v>302</v>
      </c>
      <c r="AQ236" s="329">
        <v>570</v>
      </c>
      <c r="AR236" s="329">
        <v>540</v>
      </c>
      <c r="AS236" s="329"/>
      <c r="AT236" s="329" t="s">
        <v>409</v>
      </c>
      <c r="AU236" s="329" t="s">
        <v>283</v>
      </c>
      <c r="AV236" s="331" t="s">
        <v>251</v>
      </c>
      <c r="AW236" s="329"/>
      <c r="AX236" s="329"/>
      <c r="AY236" s="329"/>
      <c r="AZ236" s="329"/>
      <c r="BA236" s="329"/>
      <c r="BB236" s="329"/>
      <c r="BC236" s="329"/>
      <c r="BD236" s="329"/>
      <c r="BE236" s="329"/>
      <c r="BF236" s="329"/>
      <c r="BG236" s="329"/>
      <c r="BH236" s="329"/>
      <c r="BI236" s="329"/>
      <c r="BJ236" s="329"/>
      <c r="BK236" s="329">
        <v>0</v>
      </c>
      <c r="BL236" s="329"/>
      <c r="BM236" s="331" t="s">
        <v>267</v>
      </c>
      <c r="BN236" s="329" t="s">
        <v>922</v>
      </c>
      <c r="BO236" s="333">
        <v>43754</v>
      </c>
      <c r="BP236" s="329"/>
      <c r="BQ236" s="329"/>
      <c r="BR236" s="329"/>
      <c r="BS236" s="329"/>
      <c r="BT236" s="329"/>
      <c r="BU236" s="331" t="s">
        <v>261</v>
      </c>
      <c r="BV236" s="329"/>
      <c r="BW236" s="329"/>
      <c r="BX236" s="329"/>
      <c r="BY236" s="331" t="s">
        <v>1851</v>
      </c>
      <c r="BZ236" s="331" t="s">
        <v>1852</v>
      </c>
      <c r="CA236" s="331" t="s">
        <v>1853</v>
      </c>
      <c r="CB236" s="331" t="s">
        <v>251</v>
      </c>
      <c r="CC236" s="331" t="s">
        <v>1854</v>
      </c>
    </row>
    <row r="237" spans="1:81" x14ac:dyDescent="0.25">
      <c r="A237" s="329">
        <v>195435</v>
      </c>
      <c r="B237" s="331" t="s">
        <v>1927</v>
      </c>
      <c r="C237" s="329">
        <v>34337</v>
      </c>
      <c r="D237" s="331" t="s">
        <v>1928</v>
      </c>
      <c r="E237" s="331" t="s">
        <v>1929</v>
      </c>
      <c r="F237" s="331" t="s">
        <v>1930</v>
      </c>
      <c r="G237" s="331" t="s">
        <v>1931</v>
      </c>
      <c r="H237" s="331" t="s">
        <v>1932</v>
      </c>
      <c r="I237" s="331" t="s">
        <v>1933</v>
      </c>
      <c r="J237" s="331" t="s">
        <v>350</v>
      </c>
      <c r="K237" s="331" t="s">
        <v>1934</v>
      </c>
      <c r="L237" s="329"/>
      <c r="M237" s="329">
        <v>6</v>
      </c>
      <c r="N237" s="329">
        <v>0</v>
      </c>
      <c r="O237" s="329">
        <v>3.8</v>
      </c>
      <c r="P237" s="329"/>
      <c r="Q237" s="333">
        <v>43632.495138888888</v>
      </c>
      <c r="R237" s="329"/>
      <c r="S237" s="333">
        <v>43753</v>
      </c>
      <c r="T237" s="329">
        <v>55</v>
      </c>
      <c r="U237" s="333">
        <v>43753</v>
      </c>
      <c r="V237" s="333">
        <v>44109</v>
      </c>
      <c r="W237" s="329" t="b">
        <v>1</v>
      </c>
      <c r="X237" s="331" t="s">
        <v>22</v>
      </c>
      <c r="Y237" s="329">
        <v>429</v>
      </c>
      <c r="Z237" s="331" t="s">
        <v>23</v>
      </c>
      <c r="AA237" s="331" t="s">
        <v>919</v>
      </c>
      <c r="AB237" s="331" t="s">
        <v>920</v>
      </c>
      <c r="AC237" s="331" t="s">
        <v>337</v>
      </c>
      <c r="AD237" s="331" t="s">
        <v>24</v>
      </c>
      <c r="AE237" s="329">
        <v>221</v>
      </c>
      <c r="AF237" s="331" t="s">
        <v>254</v>
      </c>
      <c r="AG237" s="329"/>
      <c r="AH237" s="329">
        <v>17</v>
      </c>
      <c r="AI237" s="331" t="s">
        <v>280</v>
      </c>
      <c r="AJ237" s="331" t="s">
        <v>281</v>
      </c>
      <c r="AK237" s="329"/>
      <c r="AL237" s="329"/>
      <c r="AM237" s="329"/>
      <c r="AN237" s="329"/>
      <c r="AO237" s="329"/>
      <c r="AP237" s="329"/>
      <c r="AQ237" s="329"/>
      <c r="AR237" s="329"/>
      <c r="AS237" s="329"/>
      <c r="AT237" s="329" t="s">
        <v>258</v>
      </c>
      <c r="AU237" s="329" t="s">
        <v>277</v>
      </c>
      <c r="AV237" s="331" t="s">
        <v>350</v>
      </c>
      <c r="AW237" s="329"/>
      <c r="AX237" s="329"/>
      <c r="AY237" s="329"/>
      <c r="AZ237" s="329"/>
      <c r="BA237" s="329"/>
      <c r="BB237" s="329"/>
      <c r="BC237" s="329"/>
      <c r="BD237" s="329"/>
      <c r="BE237" s="329" t="s">
        <v>257</v>
      </c>
      <c r="BF237" s="329" t="s">
        <v>830</v>
      </c>
      <c r="BG237" s="329"/>
      <c r="BH237" s="329"/>
      <c r="BI237" s="329"/>
      <c r="BJ237" s="329"/>
      <c r="BK237" s="329">
        <v>12000</v>
      </c>
      <c r="BL237" s="329"/>
      <c r="BM237" s="331" t="s">
        <v>26</v>
      </c>
      <c r="BN237" s="329" t="s">
        <v>922</v>
      </c>
      <c r="BO237" s="333">
        <v>43754</v>
      </c>
      <c r="BP237" s="329"/>
      <c r="BQ237" s="329"/>
      <c r="BR237" s="329"/>
      <c r="BS237" s="329"/>
      <c r="BT237" s="329"/>
      <c r="BU237" s="331" t="s">
        <v>261</v>
      </c>
      <c r="BV237" s="329"/>
      <c r="BW237" s="329"/>
      <c r="BX237" s="329"/>
      <c r="BY237" s="331" t="s">
        <v>1935</v>
      </c>
      <c r="BZ237" s="331" t="s">
        <v>1936</v>
      </c>
      <c r="CA237" s="331" t="s">
        <v>1937</v>
      </c>
      <c r="CB237" s="331" t="s">
        <v>350</v>
      </c>
      <c r="CC237" s="331" t="s">
        <v>1934</v>
      </c>
    </row>
    <row r="238" spans="1:81" x14ac:dyDescent="0.25">
      <c r="A238" s="329">
        <v>198605</v>
      </c>
      <c r="B238" s="331" t="s">
        <v>2019</v>
      </c>
      <c r="C238" s="329">
        <v>35326</v>
      </c>
      <c r="D238" s="331" t="s">
        <v>2020</v>
      </c>
      <c r="E238" s="331" t="s">
        <v>2021</v>
      </c>
      <c r="F238" s="331" t="s">
        <v>2022</v>
      </c>
      <c r="G238" s="331" t="s">
        <v>2023</v>
      </c>
      <c r="H238" s="331" t="s">
        <v>2024</v>
      </c>
      <c r="I238" s="331" t="s">
        <v>543</v>
      </c>
      <c r="J238" s="331" t="s">
        <v>251</v>
      </c>
      <c r="K238" s="331" t="s">
        <v>2025</v>
      </c>
      <c r="L238" s="329"/>
      <c r="M238" s="329">
        <v>6</v>
      </c>
      <c r="N238" s="329">
        <v>0</v>
      </c>
      <c r="O238" s="329">
        <v>3.6659999999999999</v>
      </c>
      <c r="P238" s="329"/>
      <c r="Q238" s="333">
        <v>43747.752083333333</v>
      </c>
      <c r="R238" s="329"/>
      <c r="S238" s="333">
        <v>43753</v>
      </c>
      <c r="T238" s="329">
        <v>55</v>
      </c>
      <c r="U238" s="333">
        <v>43753</v>
      </c>
      <c r="V238" s="333">
        <v>44109</v>
      </c>
      <c r="W238" s="329" t="b">
        <v>1</v>
      </c>
      <c r="X238" s="331" t="s">
        <v>22</v>
      </c>
      <c r="Y238" s="329">
        <v>429</v>
      </c>
      <c r="Z238" s="331" t="s">
        <v>23</v>
      </c>
      <c r="AA238" s="331" t="s">
        <v>919</v>
      </c>
      <c r="AB238" s="331" t="s">
        <v>920</v>
      </c>
      <c r="AC238" s="331" t="s">
        <v>264</v>
      </c>
      <c r="AD238" s="331" t="s">
        <v>24</v>
      </c>
      <c r="AE238" s="329">
        <v>221</v>
      </c>
      <c r="AF238" s="331" t="s">
        <v>254</v>
      </c>
      <c r="AG238" s="329"/>
      <c r="AH238" s="329">
        <v>17</v>
      </c>
      <c r="AI238" s="331" t="s">
        <v>280</v>
      </c>
      <c r="AJ238" s="331" t="s">
        <v>281</v>
      </c>
      <c r="AK238" s="329"/>
      <c r="AL238" s="329"/>
      <c r="AM238" s="329"/>
      <c r="AN238" s="329"/>
      <c r="AO238" s="329"/>
      <c r="AP238" s="329"/>
      <c r="AQ238" s="329"/>
      <c r="AR238" s="329"/>
      <c r="AS238" s="329"/>
      <c r="AT238" s="329" t="s">
        <v>258</v>
      </c>
      <c r="AU238" s="329" t="s">
        <v>283</v>
      </c>
      <c r="AV238" s="331" t="s">
        <v>251</v>
      </c>
      <c r="AW238" s="329"/>
      <c r="AX238" s="329"/>
      <c r="AY238" s="329"/>
      <c r="AZ238" s="329"/>
      <c r="BA238" s="329"/>
      <c r="BB238" s="329"/>
      <c r="BC238" s="329"/>
      <c r="BD238" s="329"/>
      <c r="BE238" s="329" t="s">
        <v>257</v>
      </c>
      <c r="BF238" s="329" t="s">
        <v>830</v>
      </c>
      <c r="BG238" s="329"/>
      <c r="BH238" s="329"/>
      <c r="BI238" s="329"/>
      <c r="BJ238" s="329"/>
      <c r="BK238" s="329">
        <v>12000</v>
      </c>
      <c r="BL238" s="329"/>
      <c r="BM238" s="331" t="s">
        <v>26</v>
      </c>
      <c r="BN238" s="329" t="s">
        <v>922</v>
      </c>
      <c r="BO238" s="333">
        <v>43754</v>
      </c>
      <c r="BP238" s="329"/>
      <c r="BQ238" s="329"/>
      <c r="BR238" s="329"/>
      <c r="BS238" s="329"/>
      <c r="BT238" s="329"/>
      <c r="BU238" s="331" t="s">
        <v>261</v>
      </c>
      <c r="BV238" s="329"/>
      <c r="BW238" s="329"/>
      <c r="BX238" s="329"/>
      <c r="BY238" s="331" t="s">
        <v>2026</v>
      </c>
      <c r="BZ238" s="331" t="s">
        <v>2027</v>
      </c>
      <c r="CA238" s="331" t="s">
        <v>2028</v>
      </c>
      <c r="CB238" s="331" t="s">
        <v>251</v>
      </c>
      <c r="CC238" s="331" t="s">
        <v>2029</v>
      </c>
    </row>
    <row r="239" spans="1:81" x14ac:dyDescent="0.25">
      <c r="A239" s="329">
        <v>198416</v>
      </c>
      <c r="B239" s="331" t="s">
        <v>2102</v>
      </c>
      <c r="C239" s="329">
        <v>35270</v>
      </c>
      <c r="D239" s="331" t="s">
        <v>2093</v>
      </c>
      <c r="E239" s="331" t="s">
        <v>2103</v>
      </c>
      <c r="F239" s="331" t="s">
        <v>2104</v>
      </c>
      <c r="G239" s="331" t="s">
        <v>2105</v>
      </c>
      <c r="H239" s="331" t="s">
        <v>2106</v>
      </c>
      <c r="I239" s="331" t="s">
        <v>464</v>
      </c>
      <c r="J239" s="331" t="s">
        <v>292</v>
      </c>
      <c r="K239" s="331" t="s">
        <v>2107</v>
      </c>
      <c r="L239" s="329"/>
      <c r="M239" s="329">
        <v>6</v>
      </c>
      <c r="N239" s="329">
        <v>0</v>
      </c>
      <c r="O239" s="329">
        <v>3.6</v>
      </c>
      <c r="P239" s="329"/>
      <c r="Q239" s="333">
        <v>43740.592361111114</v>
      </c>
      <c r="R239" s="329"/>
      <c r="S239" s="333">
        <v>43753</v>
      </c>
      <c r="T239" s="329">
        <v>55</v>
      </c>
      <c r="U239" s="333">
        <v>43753</v>
      </c>
      <c r="V239" s="333">
        <v>44109</v>
      </c>
      <c r="W239" s="329" t="b">
        <v>1</v>
      </c>
      <c r="X239" s="331" t="s">
        <v>22</v>
      </c>
      <c r="Y239" s="329">
        <v>726</v>
      </c>
      <c r="Z239" s="331" t="s">
        <v>23</v>
      </c>
      <c r="AA239" s="331" t="s">
        <v>919</v>
      </c>
      <c r="AB239" s="331" t="s">
        <v>920</v>
      </c>
      <c r="AC239" s="331" t="s">
        <v>311</v>
      </c>
      <c r="AD239" s="331" t="s">
        <v>24</v>
      </c>
      <c r="AE239" s="329">
        <v>221</v>
      </c>
      <c r="AF239" s="331" t="s">
        <v>254</v>
      </c>
      <c r="AG239" s="329"/>
      <c r="AH239" s="329">
        <v>17</v>
      </c>
      <c r="AI239" s="331" t="s">
        <v>280</v>
      </c>
      <c r="AJ239" s="331" t="s">
        <v>281</v>
      </c>
      <c r="AK239" s="329"/>
      <c r="AL239" s="329"/>
      <c r="AM239" s="329"/>
      <c r="AN239" s="329"/>
      <c r="AO239" s="329"/>
      <c r="AP239" s="331" t="s">
        <v>473</v>
      </c>
      <c r="AQ239" s="329">
        <v>540</v>
      </c>
      <c r="AR239" s="329">
        <v>500</v>
      </c>
      <c r="AS239" s="329"/>
      <c r="AT239" s="329" t="s">
        <v>833</v>
      </c>
      <c r="AU239" s="329" t="s">
        <v>283</v>
      </c>
      <c r="AV239" s="331" t="s">
        <v>292</v>
      </c>
      <c r="AW239" s="329"/>
      <c r="AX239" s="329"/>
      <c r="AY239" s="329"/>
      <c r="AZ239" s="329"/>
      <c r="BA239" s="329"/>
      <c r="BB239" s="329"/>
      <c r="BC239" s="329"/>
      <c r="BD239" s="329"/>
      <c r="BE239" s="329" t="s">
        <v>257</v>
      </c>
      <c r="BF239" s="329" t="s">
        <v>834</v>
      </c>
      <c r="BG239" s="329"/>
      <c r="BH239" s="329"/>
      <c r="BI239" s="329"/>
      <c r="BJ239" s="329"/>
      <c r="BK239" s="329">
        <v>20400</v>
      </c>
      <c r="BL239" s="329"/>
      <c r="BM239" s="331" t="s">
        <v>278</v>
      </c>
      <c r="BN239" s="329" t="s">
        <v>922</v>
      </c>
      <c r="BO239" s="333">
        <v>43754</v>
      </c>
      <c r="BP239" s="329"/>
      <c r="BQ239" s="329"/>
      <c r="BR239" s="329"/>
      <c r="BS239" s="329"/>
      <c r="BT239" s="329"/>
      <c r="BU239" s="331" t="s">
        <v>261</v>
      </c>
      <c r="BV239" s="329"/>
      <c r="BW239" s="329"/>
      <c r="BX239" s="329"/>
      <c r="BY239" s="331" t="s">
        <v>1819</v>
      </c>
      <c r="BZ239" s="331" t="s">
        <v>1820</v>
      </c>
      <c r="CA239" s="331" t="s">
        <v>464</v>
      </c>
      <c r="CB239" s="331" t="s">
        <v>292</v>
      </c>
      <c r="CC239" s="331" t="s">
        <v>1821</v>
      </c>
    </row>
    <row r="240" spans="1:81" x14ac:dyDescent="0.25">
      <c r="A240" s="329">
        <v>192490</v>
      </c>
      <c r="B240" s="331" t="s">
        <v>2176</v>
      </c>
      <c r="C240" s="329">
        <v>33662</v>
      </c>
      <c r="D240" s="331" t="s">
        <v>872</v>
      </c>
      <c r="E240" s="331" t="s">
        <v>753</v>
      </c>
      <c r="F240" s="331" t="s">
        <v>2177</v>
      </c>
      <c r="G240" s="331" t="s">
        <v>2178</v>
      </c>
      <c r="H240" s="331" t="s">
        <v>2179</v>
      </c>
      <c r="I240" s="331" t="s">
        <v>2180</v>
      </c>
      <c r="J240" s="331" t="s">
        <v>306</v>
      </c>
      <c r="K240" s="331" t="s">
        <v>2181</v>
      </c>
      <c r="L240" s="329"/>
      <c r="M240" s="329">
        <v>6</v>
      </c>
      <c r="N240" s="329">
        <v>0</v>
      </c>
      <c r="O240" s="329">
        <v>3.6659999999999999</v>
      </c>
      <c r="P240" s="329"/>
      <c r="Q240" s="333">
        <v>43582.923622685186</v>
      </c>
      <c r="R240" s="329"/>
      <c r="S240" s="333">
        <v>43753</v>
      </c>
      <c r="T240" s="329">
        <v>55</v>
      </c>
      <c r="U240" s="333">
        <v>43753</v>
      </c>
      <c r="V240" s="333">
        <v>44109</v>
      </c>
      <c r="W240" s="329" t="b">
        <v>1</v>
      </c>
      <c r="X240" s="331" t="s">
        <v>22</v>
      </c>
      <c r="Y240" s="329">
        <v>429</v>
      </c>
      <c r="Z240" s="331" t="s">
        <v>23</v>
      </c>
      <c r="AA240" s="331" t="s">
        <v>919</v>
      </c>
      <c r="AB240" s="331" t="s">
        <v>920</v>
      </c>
      <c r="AC240" s="331" t="s">
        <v>2182</v>
      </c>
      <c r="AD240" s="331" t="s">
        <v>24</v>
      </c>
      <c r="AE240" s="329">
        <v>221</v>
      </c>
      <c r="AF240" s="331" t="s">
        <v>254</v>
      </c>
      <c r="AG240" s="329"/>
      <c r="AH240" s="329">
        <v>17</v>
      </c>
      <c r="AI240" s="331" t="s">
        <v>280</v>
      </c>
      <c r="AJ240" s="331" t="s">
        <v>281</v>
      </c>
      <c r="AK240" s="331" t="s">
        <v>347</v>
      </c>
      <c r="AL240" s="331" t="s">
        <v>272</v>
      </c>
      <c r="AM240" s="331" t="s">
        <v>272</v>
      </c>
      <c r="AN240" s="331" t="s">
        <v>351</v>
      </c>
      <c r="AO240" s="331" t="s">
        <v>273</v>
      </c>
      <c r="AP240" s="329"/>
      <c r="AQ240" s="329"/>
      <c r="AR240" s="329"/>
      <c r="AS240" s="329"/>
      <c r="AT240" s="329" t="s">
        <v>313</v>
      </c>
      <c r="AU240" s="329" t="s">
        <v>283</v>
      </c>
      <c r="AV240" s="331" t="s">
        <v>306</v>
      </c>
      <c r="AW240" s="329"/>
      <c r="AX240" s="329"/>
      <c r="AY240" s="329"/>
      <c r="AZ240" s="329"/>
      <c r="BA240" s="329"/>
      <c r="BB240" s="329"/>
      <c r="BC240" s="329"/>
      <c r="BD240" s="329"/>
      <c r="BE240" s="329" t="s">
        <v>257</v>
      </c>
      <c r="BF240" s="329" t="s">
        <v>834</v>
      </c>
      <c r="BG240" s="329"/>
      <c r="BH240" s="329"/>
      <c r="BI240" s="329"/>
      <c r="BJ240" s="329"/>
      <c r="BK240" s="329">
        <v>20400</v>
      </c>
      <c r="BL240" s="329"/>
      <c r="BM240" s="331" t="s">
        <v>278</v>
      </c>
      <c r="BN240" s="329" t="s">
        <v>922</v>
      </c>
      <c r="BO240" s="333">
        <v>43754</v>
      </c>
      <c r="BP240" s="329"/>
      <c r="BQ240" s="329"/>
      <c r="BR240" s="329"/>
      <c r="BS240" s="329"/>
      <c r="BT240" s="329"/>
      <c r="BU240" s="331" t="s">
        <v>261</v>
      </c>
      <c r="BV240" s="329"/>
      <c r="BW240" s="329"/>
      <c r="BX240" s="329"/>
      <c r="BY240" s="331" t="s">
        <v>2183</v>
      </c>
      <c r="BZ240" s="331" t="s">
        <v>2184</v>
      </c>
      <c r="CA240" s="331" t="s">
        <v>2185</v>
      </c>
      <c r="CB240" s="331" t="s">
        <v>306</v>
      </c>
      <c r="CC240" s="331" t="s">
        <v>2186</v>
      </c>
    </row>
    <row r="241" spans="1:81" x14ac:dyDescent="0.25">
      <c r="A241" s="329">
        <v>198394</v>
      </c>
      <c r="B241" s="331" t="s">
        <v>2349</v>
      </c>
      <c r="C241" s="329">
        <v>35265</v>
      </c>
      <c r="D241" s="331" t="s">
        <v>2350</v>
      </c>
      <c r="E241" s="331" t="s">
        <v>2351</v>
      </c>
      <c r="F241" s="331" t="s">
        <v>2352</v>
      </c>
      <c r="G241" s="331" t="s">
        <v>2353</v>
      </c>
      <c r="H241" s="331" t="s">
        <v>2354</v>
      </c>
      <c r="I241" s="331" t="s">
        <v>2355</v>
      </c>
      <c r="J241" s="331" t="s">
        <v>498</v>
      </c>
      <c r="K241" s="331" t="s">
        <v>2356</v>
      </c>
      <c r="L241" s="329"/>
      <c r="M241" s="329">
        <v>6</v>
      </c>
      <c r="N241" s="329">
        <v>0</v>
      </c>
      <c r="O241" s="329">
        <v>3.9</v>
      </c>
      <c r="P241" s="329"/>
      <c r="Q241" s="333">
        <v>43621.664583333331</v>
      </c>
      <c r="R241" s="329"/>
      <c r="S241" s="333">
        <v>43753</v>
      </c>
      <c r="T241" s="329">
        <v>55</v>
      </c>
      <c r="U241" s="333">
        <v>43753</v>
      </c>
      <c r="V241" s="333">
        <v>44109</v>
      </c>
      <c r="W241" s="329" t="b">
        <v>1</v>
      </c>
      <c r="X241" s="331" t="s">
        <v>22</v>
      </c>
      <c r="Y241" s="329">
        <v>726</v>
      </c>
      <c r="Z241" s="331" t="s">
        <v>23</v>
      </c>
      <c r="AA241" s="331" t="s">
        <v>919</v>
      </c>
      <c r="AB241" s="331" t="s">
        <v>920</v>
      </c>
      <c r="AC241" s="331" t="s">
        <v>1329</v>
      </c>
      <c r="AD241" s="331" t="s">
        <v>24</v>
      </c>
      <c r="AE241" s="329">
        <v>221</v>
      </c>
      <c r="AF241" s="331" t="s">
        <v>254</v>
      </c>
      <c r="AG241" s="329"/>
      <c r="AH241" s="329">
        <v>17</v>
      </c>
      <c r="AI241" s="331" t="s">
        <v>280</v>
      </c>
      <c r="AJ241" s="331" t="s">
        <v>281</v>
      </c>
      <c r="AK241" s="329"/>
      <c r="AL241" s="329"/>
      <c r="AM241" s="329"/>
      <c r="AN241" s="329"/>
      <c r="AO241" s="329"/>
      <c r="AP241" s="331" t="s">
        <v>847</v>
      </c>
      <c r="AQ241" s="329">
        <v>750</v>
      </c>
      <c r="AR241" s="329">
        <v>720</v>
      </c>
      <c r="AS241" s="329"/>
      <c r="AT241" s="329" t="s">
        <v>857</v>
      </c>
      <c r="AU241" s="329" t="s">
        <v>283</v>
      </c>
      <c r="AV241" s="331" t="s">
        <v>498</v>
      </c>
      <c r="AW241" s="329"/>
      <c r="AX241" s="329"/>
      <c r="AY241" s="329"/>
      <c r="AZ241" s="329"/>
      <c r="BA241" s="329"/>
      <c r="BB241" s="329"/>
      <c r="BC241" s="329"/>
      <c r="BD241" s="329"/>
      <c r="BE241" s="329" t="s">
        <v>257</v>
      </c>
      <c r="BF241" s="329" t="s">
        <v>834</v>
      </c>
      <c r="BG241" s="329"/>
      <c r="BH241" s="329"/>
      <c r="BI241" s="329"/>
      <c r="BJ241" s="329"/>
      <c r="BK241" s="329">
        <v>20400</v>
      </c>
      <c r="BL241" s="329"/>
      <c r="BM241" s="331" t="s">
        <v>278</v>
      </c>
      <c r="BN241" s="329" t="s">
        <v>922</v>
      </c>
      <c r="BO241" s="333">
        <v>43754</v>
      </c>
      <c r="BP241" s="329"/>
      <c r="BQ241" s="329"/>
      <c r="BR241" s="329"/>
      <c r="BS241" s="329"/>
      <c r="BT241" s="329"/>
      <c r="BU241" s="331" t="s">
        <v>261</v>
      </c>
      <c r="BV241" s="329"/>
      <c r="BW241" s="329"/>
      <c r="BX241" s="329"/>
      <c r="BY241" s="331" t="s">
        <v>2357</v>
      </c>
      <c r="BZ241" s="331" t="s">
        <v>2358</v>
      </c>
      <c r="CA241" s="331" t="s">
        <v>2359</v>
      </c>
      <c r="CB241" s="331" t="s">
        <v>498</v>
      </c>
      <c r="CC241" s="331" t="s">
        <v>2360</v>
      </c>
    </row>
    <row r="242" spans="1:81" x14ac:dyDescent="0.25">
      <c r="A242" s="329">
        <v>193332</v>
      </c>
      <c r="B242" s="331" t="s">
        <v>2775</v>
      </c>
      <c r="C242" s="329">
        <v>33813</v>
      </c>
      <c r="D242" s="331" t="s">
        <v>2776</v>
      </c>
      <c r="E242" s="331" t="s">
        <v>2777</v>
      </c>
      <c r="F242" s="331" t="s">
        <v>2778</v>
      </c>
      <c r="G242" s="331" t="s">
        <v>2779</v>
      </c>
      <c r="H242" s="331" t="s">
        <v>2780</v>
      </c>
      <c r="I242" s="331" t="s">
        <v>2781</v>
      </c>
      <c r="J242" s="331" t="s">
        <v>263</v>
      </c>
      <c r="K242" s="331" t="s">
        <v>2782</v>
      </c>
      <c r="L242" s="329"/>
      <c r="M242" s="329">
        <v>6</v>
      </c>
      <c r="N242" s="329">
        <v>0</v>
      </c>
      <c r="O242" s="329">
        <v>3.93</v>
      </c>
      <c r="P242" s="329"/>
      <c r="Q242" s="333">
        <v>43627.896527777775</v>
      </c>
      <c r="R242" s="329"/>
      <c r="S242" s="333">
        <v>43753</v>
      </c>
      <c r="T242" s="329">
        <v>55</v>
      </c>
      <c r="U242" s="333">
        <v>43753</v>
      </c>
      <c r="V242" s="333">
        <v>44109</v>
      </c>
      <c r="W242" s="329" t="b">
        <v>1</v>
      </c>
      <c r="X242" s="331" t="s">
        <v>22</v>
      </c>
      <c r="Y242" s="329">
        <v>429</v>
      </c>
      <c r="Z242" s="331" t="s">
        <v>336</v>
      </c>
      <c r="AA242" s="331" t="s">
        <v>919</v>
      </c>
      <c r="AB242" s="331" t="s">
        <v>920</v>
      </c>
      <c r="AC242" s="331" t="s">
        <v>264</v>
      </c>
      <c r="AD242" s="331" t="s">
        <v>24</v>
      </c>
      <c r="AE242" s="329">
        <v>221</v>
      </c>
      <c r="AF242" s="331" t="s">
        <v>254</v>
      </c>
      <c r="AG242" s="329"/>
      <c r="AH242" s="329">
        <v>17</v>
      </c>
      <c r="AI242" s="331" t="s">
        <v>280</v>
      </c>
      <c r="AJ242" s="331" t="s">
        <v>281</v>
      </c>
      <c r="AK242" s="329"/>
      <c r="AL242" s="329"/>
      <c r="AM242" s="329"/>
      <c r="AN242" s="329"/>
      <c r="AO242" s="329"/>
      <c r="AP242" s="329"/>
      <c r="AQ242" s="329"/>
      <c r="AR242" s="329"/>
      <c r="AS242" s="329"/>
      <c r="AT242" s="329" t="s">
        <v>258</v>
      </c>
      <c r="AU242" s="329" t="s">
        <v>256</v>
      </c>
      <c r="AV242" s="331" t="s">
        <v>263</v>
      </c>
      <c r="AW242" s="329"/>
      <c r="AX242" s="329"/>
      <c r="AY242" s="329"/>
      <c r="AZ242" s="329"/>
      <c r="BA242" s="329"/>
      <c r="BB242" s="329"/>
      <c r="BC242" s="329"/>
      <c r="BD242" s="329"/>
      <c r="BE242" s="329" t="s">
        <v>257</v>
      </c>
      <c r="BF242" s="329" t="s">
        <v>836</v>
      </c>
      <c r="BG242" s="329"/>
      <c r="BH242" s="329"/>
      <c r="BI242" s="329"/>
      <c r="BJ242" s="329"/>
      <c r="BK242" s="329">
        <v>18000</v>
      </c>
      <c r="BL242" s="329"/>
      <c r="BM242" s="331" t="s">
        <v>310</v>
      </c>
      <c r="BN242" s="329" t="s">
        <v>922</v>
      </c>
      <c r="BO242" s="333">
        <v>43754</v>
      </c>
      <c r="BP242" s="329"/>
      <c r="BQ242" s="329"/>
      <c r="BR242" s="329"/>
      <c r="BS242" s="329"/>
      <c r="BT242" s="329"/>
      <c r="BU242" s="331" t="s">
        <v>261</v>
      </c>
      <c r="BV242" s="329"/>
      <c r="BW242" s="329"/>
      <c r="BX242" s="329"/>
      <c r="BY242" s="331" t="s">
        <v>2783</v>
      </c>
      <c r="BZ242" s="331" t="s">
        <v>2784</v>
      </c>
      <c r="CA242" s="331" t="s">
        <v>2785</v>
      </c>
      <c r="CB242" s="331" t="s">
        <v>263</v>
      </c>
      <c r="CC242" s="331" t="s">
        <v>2782</v>
      </c>
    </row>
    <row r="243" spans="1:81" x14ac:dyDescent="0.25">
      <c r="A243" s="329">
        <v>198390</v>
      </c>
      <c r="B243" s="331" t="s">
        <v>2797</v>
      </c>
      <c r="C243" s="329">
        <v>35262</v>
      </c>
      <c r="D243" s="331" t="s">
        <v>2798</v>
      </c>
      <c r="E243" s="331" t="s">
        <v>2799</v>
      </c>
      <c r="F243" s="331" t="s">
        <v>2800</v>
      </c>
      <c r="G243" s="331" t="s">
        <v>2801</v>
      </c>
      <c r="H243" s="331" t="s">
        <v>2802</v>
      </c>
      <c r="I243" s="331" t="s">
        <v>2803</v>
      </c>
      <c r="J243" s="331" t="s">
        <v>325</v>
      </c>
      <c r="K243" s="331" t="s">
        <v>2804</v>
      </c>
      <c r="L243" s="329"/>
      <c r="M243" s="329">
        <v>6</v>
      </c>
      <c r="N243" s="329">
        <v>0</v>
      </c>
      <c r="O243" s="329">
        <v>3.8868</v>
      </c>
      <c r="P243" s="329"/>
      <c r="Q243" s="333">
        <v>43740.725694444445</v>
      </c>
      <c r="R243" s="329"/>
      <c r="S243" s="333">
        <v>43753</v>
      </c>
      <c r="T243" s="329">
        <v>55</v>
      </c>
      <c r="U243" s="333">
        <v>43753</v>
      </c>
      <c r="V243" s="333">
        <v>44109</v>
      </c>
      <c r="W243" s="329" t="b">
        <v>1</v>
      </c>
      <c r="X243" s="331" t="s">
        <v>22</v>
      </c>
      <c r="Y243" s="329">
        <v>726</v>
      </c>
      <c r="Z243" s="331" t="s">
        <v>23</v>
      </c>
      <c r="AA243" s="331" t="s">
        <v>919</v>
      </c>
      <c r="AB243" s="331" t="s">
        <v>920</v>
      </c>
      <c r="AC243" s="331" t="s">
        <v>264</v>
      </c>
      <c r="AD243" s="331" t="s">
        <v>24</v>
      </c>
      <c r="AE243" s="329">
        <v>221</v>
      </c>
      <c r="AF243" s="331" t="s">
        <v>254</v>
      </c>
      <c r="AG243" s="329"/>
      <c r="AH243" s="329">
        <v>17</v>
      </c>
      <c r="AI243" s="331" t="s">
        <v>280</v>
      </c>
      <c r="AJ243" s="331" t="s">
        <v>281</v>
      </c>
      <c r="AK243" s="331" t="s">
        <v>351</v>
      </c>
      <c r="AL243" s="331" t="s">
        <v>285</v>
      </c>
      <c r="AM243" s="331" t="s">
        <v>287</v>
      </c>
      <c r="AN243" s="331" t="s">
        <v>273</v>
      </c>
      <c r="AO243" s="331" t="s">
        <v>351</v>
      </c>
      <c r="AP243" s="329"/>
      <c r="AQ243" s="329"/>
      <c r="AR243" s="329"/>
      <c r="AS243" s="329"/>
      <c r="AT243" s="329" t="s">
        <v>352</v>
      </c>
      <c r="AU243" s="329" t="s">
        <v>283</v>
      </c>
      <c r="AV243" s="331" t="s">
        <v>325</v>
      </c>
      <c r="AW243" s="329"/>
      <c r="AX243" s="329"/>
      <c r="AY243" s="329"/>
      <c r="AZ243" s="329"/>
      <c r="BA243" s="329"/>
      <c r="BB243" s="329"/>
      <c r="BC243" s="329"/>
      <c r="BD243" s="329"/>
      <c r="BE243" s="329" t="s">
        <v>257</v>
      </c>
      <c r="BF243" s="329" t="s">
        <v>834</v>
      </c>
      <c r="BG243" s="329"/>
      <c r="BH243" s="329"/>
      <c r="BI243" s="329"/>
      <c r="BJ243" s="329"/>
      <c r="BK243" s="329">
        <v>20400</v>
      </c>
      <c r="BL243" s="329"/>
      <c r="BM243" s="331" t="s">
        <v>278</v>
      </c>
      <c r="BN243" s="329" t="s">
        <v>922</v>
      </c>
      <c r="BO243" s="333">
        <v>43754</v>
      </c>
      <c r="BP243" s="329"/>
      <c r="BQ243" s="329"/>
      <c r="BR243" s="329"/>
      <c r="BS243" s="329"/>
      <c r="BT243" s="329"/>
      <c r="BU243" s="331" t="s">
        <v>261</v>
      </c>
      <c r="BV243" s="329"/>
      <c r="BW243" s="329"/>
      <c r="BX243" s="329"/>
      <c r="BY243" s="331" t="s">
        <v>2805</v>
      </c>
      <c r="BZ243" s="331" t="s">
        <v>2806</v>
      </c>
      <c r="CA243" s="331" t="s">
        <v>2807</v>
      </c>
      <c r="CB243" s="331" t="s">
        <v>325</v>
      </c>
      <c r="CC243" s="331" t="s">
        <v>2808</v>
      </c>
    </row>
    <row r="244" spans="1:81" x14ac:dyDescent="0.25">
      <c r="A244" s="329">
        <v>198217</v>
      </c>
      <c r="B244" s="331" t="s">
        <v>3035</v>
      </c>
      <c r="C244" s="329">
        <v>35163</v>
      </c>
      <c r="D244" s="331" t="s">
        <v>3036</v>
      </c>
      <c r="E244" s="331" t="s">
        <v>3037</v>
      </c>
      <c r="F244" s="331" t="s">
        <v>3038</v>
      </c>
      <c r="G244" s="331" t="s">
        <v>3039</v>
      </c>
      <c r="H244" s="331" t="s">
        <v>3040</v>
      </c>
      <c r="I244" s="331" t="s">
        <v>3041</v>
      </c>
      <c r="J244" s="331" t="s">
        <v>449</v>
      </c>
      <c r="K244" s="331" t="s">
        <v>3042</v>
      </c>
      <c r="L244" s="329"/>
      <c r="M244" s="329">
        <v>6</v>
      </c>
      <c r="N244" s="329">
        <v>0</v>
      </c>
      <c r="O244" s="329">
        <v>3.3</v>
      </c>
      <c r="P244" s="329"/>
      <c r="Q244" s="333">
        <v>43654.611805555556</v>
      </c>
      <c r="R244" s="329"/>
      <c r="S244" s="333">
        <v>43753</v>
      </c>
      <c r="T244" s="329">
        <v>55</v>
      </c>
      <c r="U244" s="333">
        <v>43753</v>
      </c>
      <c r="V244" s="333">
        <v>44109</v>
      </c>
      <c r="W244" s="329" t="b">
        <v>1</v>
      </c>
      <c r="X244" s="331" t="s">
        <v>905</v>
      </c>
      <c r="Y244" s="329">
        <v>747</v>
      </c>
      <c r="Z244" s="331" t="s">
        <v>23</v>
      </c>
      <c r="AA244" s="331" t="s">
        <v>919</v>
      </c>
      <c r="AB244" s="331" t="s">
        <v>920</v>
      </c>
      <c r="AC244" s="331" t="s">
        <v>339</v>
      </c>
      <c r="AD244" s="331" t="s">
        <v>24</v>
      </c>
      <c r="AE244" s="329">
        <v>221</v>
      </c>
      <c r="AF244" s="331" t="s">
        <v>254</v>
      </c>
      <c r="AG244" s="329"/>
      <c r="AH244" s="329">
        <v>17</v>
      </c>
      <c r="AI244" s="331" t="s">
        <v>280</v>
      </c>
      <c r="AJ244" s="331" t="s">
        <v>281</v>
      </c>
      <c r="AK244" s="331" t="s">
        <v>348</v>
      </c>
      <c r="AL244" s="331" t="s">
        <v>285</v>
      </c>
      <c r="AM244" s="331" t="s">
        <v>348</v>
      </c>
      <c r="AN244" s="331" t="s">
        <v>286</v>
      </c>
      <c r="AO244" s="331" t="s">
        <v>366</v>
      </c>
      <c r="AP244" s="329"/>
      <c r="AQ244" s="329"/>
      <c r="AR244" s="329"/>
      <c r="AS244" s="329"/>
      <c r="AT244" s="329" t="s">
        <v>291</v>
      </c>
      <c r="AU244" s="329" t="s">
        <v>283</v>
      </c>
      <c r="AV244" s="331" t="s">
        <v>449</v>
      </c>
      <c r="AW244" s="329"/>
      <c r="AX244" s="329"/>
      <c r="AY244" s="329"/>
      <c r="AZ244" s="329"/>
      <c r="BA244" s="329"/>
      <c r="BB244" s="329"/>
      <c r="BC244" s="329"/>
      <c r="BD244" s="329"/>
      <c r="BE244" s="329" t="s">
        <v>257</v>
      </c>
      <c r="BF244" s="329" t="s">
        <v>838</v>
      </c>
      <c r="BG244" s="329"/>
      <c r="BH244" s="329"/>
      <c r="BI244" s="329"/>
      <c r="BJ244" s="329"/>
      <c r="BK244" s="329">
        <v>15600</v>
      </c>
      <c r="BL244" s="329"/>
      <c r="BM244" s="331" t="s">
        <v>259</v>
      </c>
      <c r="BN244" s="329" t="s">
        <v>922</v>
      </c>
      <c r="BO244" s="333">
        <v>43754</v>
      </c>
      <c r="BP244" s="329"/>
      <c r="BQ244" s="329"/>
      <c r="BR244" s="329"/>
      <c r="BS244" s="329"/>
      <c r="BT244" s="329"/>
      <c r="BU244" s="331" t="s">
        <v>261</v>
      </c>
      <c r="BV244" s="329"/>
      <c r="BW244" s="329"/>
      <c r="BX244" s="329"/>
      <c r="BY244" s="331" t="s">
        <v>3043</v>
      </c>
      <c r="BZ244" s="331" t="s">
        <v>3044</v>
      </c>
      <c r="CA244" s="331" t="s">
        <v>3045</v>
      </c>
      <c r="CB244" s="331" t="s">
        <v>449</v>
      </c>
      <c r="CC244" s="331" t="s">
        <v>3046</v>
      </c>
    </row>
    <row r="245" spans="1:81" x14ac:dyDescent="0.25">
      <c r="A245" s="329">
        <v>196339</v>
      </c>
      <c r="B245" s="331" t="s">
        <v>3282</v>
      </c>
      <c r="C245" s="329">
        <v>34614</v>
      </c>
      <c r="D245" s="331" t="s">
        <v>3283</v>
      </c>
      <c r="E245" s="331" t="s">
        <v>3284</v>
      </c>
      <c r="F245" s="331" t="s">
        <v>3285</v>
      </c>
      <c r="G245" s="331" t="s">
        <v>3286</v>
      </c>
      <c r="H245" s="331" t="s">
        <v>3287</v>
      </c>
      <c r="I245" s="331" t="s">
        <v>3030</v>
      </c>
      <c r="J245" s="331" t="s">
        <v>297</v>
      </c>
      <c r="K245" s="331" t="s">
        <v>3288</v>
      </c>
      <c r="L245" s="329"/>
      <c r="M245" s="329">
        <v>6</v>
      </c>
      <c r="N245" s="329">
        <v>0</v>
      </c>
      <c r="O245" s="329">
        <v>3.3409</v>
      </c>
      <c r="P245" s="329"/>
      <c r="Q245" s="333">
        <v>43700.618055555555</v>
      </c>
      <c r="R245" s="329"/>
      <c r="S245" s="333">
        <v>43752</v>
      </c>
      <c r="T245" s="329">
        <v>55</v>
      </c>
      <c r="U245" s="333">
        <v>43752</v>
      </c>
      <c r="V245" s="333">
        <v>44109</v>
      </c>
      <c r="W245" s="329" t="b">
        <v>1</v>
      </c>
      <c r="X245" s="331" t="s">
        <v>22</v>
      </c>
      <c r="Y245" s="329">
        <v>726</v>
      </c>
      <c r="Z245" s="331" t="s">
        <v>25</v>
      </c>
      <c r="AA245" s="331" t="s">
        <v>919</v>
      </c>
      <c r="AB245" s="331" t="s">
        <v>920</v>
      </c>
      <c r="AC245" s="331" t="s">
        <v>1207</v>
      </c>
      <c r="AD245" s="331" t="s">
        <v>24</v>
      </c>
      <c r="AE245" s="329">
        <v>221</v>
      </c>
      <c r="AF245" s="331" t="s">
        <v>254</v>
      </c>
      <c r="AG245" s="329"/>
      <c r="AH245" s="329">
        <v>17</v>
      </c>
      <c r="AI245" s="331" t="s">
        <v>280</v>
      </c>
      <c r="AJ245" s="331" t="s">
        <v>281</v>
      </c>
      <c r="AK245" s="331" t="s">
        <v>301</v>
      </c>
      <c r="AL245" s="331" t="s">
        <v>301</v>
      </c>
      <c r="AM245" s="331" t="s">
        <v>274</v>
      </c>
      <c r="AN245" s="331" t="s">
        <v>301</v>
      </c>
      <c r="AO245" s="331" t="s">
        <v>328</v>
      </c>
      <c r="AP245" s="329"/>
      <c r="AQ245" s="329"/>
      <c r="AR245" s="329"/>
      <c r="AS245" s="329"/>
      <c r="AT245" s="329" t="s">
        <v>426</v>
      </c>
      <c r="AU245" s="329" t="s">
        <v>963</v>
      </c>
      <c r="AV245" s="331" t="s">
        <v>297</v>
      </c>
      <c r="AW245" s="329"/>
      <c r="AX245" s="329"/>
      <c r="AY245" s="329"/>
      <c r="AZ245" s="329"/>
      <c r="BA245" s="329"/>
      <c r="BB245" s="329"/>
      <c r="BC245" s="329"/>
      <c r="BD245" s="329"/>
      <c r="BE245" s="329" t="s">
        <v>257</v>
      </c>
      <c r="BF245" s="329" t="s">
        <v>834</v>
      </c>
      <c r="BG245" s="329"/>
      <c r="BH245" s="329"/>
      <c r="BI245" s="329"/>
      <c r="BJ245" s="329"/>
      <c r="BK245" s="329">
        <v>20400</v>
      </c>
      <c r="BL245" s="329"/>
      <c r="BM245" s="331" t="s">
        <v>278</v>
      </c>
      <c r="BN245" s="329" t="s">
        <v>922</v>
      </c>
      <c r="BO245" s="333">
        <v>43754</v>
      </c>
      <c r="BP245" s="329"/>
      <c r="BQ245" s="329"/>
      <c r="BR245" s="329"/>
      <c r="BS245" s="329"/>
      <c r="BT245" s="329"/>
      <c r="BU245" s="331" t="s">
        <v>261</v>
      </c>
      <c r="BV245" s="329"/>
      <c r="BW245" s="329"/>
      <c r="BX245" s="329"/>
      <c r="BY245" s="331" t="s">
        <v>3289</v>
      </c>
      <c r="BZ245" s="331" t="s">
        <v>3290</v>
      </c>
      <c r="CA245" s="331" t="s">
        <v>3030</v>
      </c>
      <c r="CB245" s="331" t="s">
        <v>297</v>
      </c>
      <c r="CC245" s="331" t="s">
        <v>3288</v>
      </c>
    </row>
    <row r="246" spans="1:81" x14ac:dyDescent="0.25">
      <c r="A246" s="329">
        <v>196070</v>
      </c>
      <c r="B246" s="331" t="s">
        <v>3485</v>
      </c>
      <c r="C246" s="329">
        <v>34487</v>
      </c>
      <c r="D246" s="331" t="s">
        <v>3486</v>
      </c>
      <c r="E246" s="331" t="s">
        <v>1367</v>
      </c>
      <c r="F246" s="331" t="s">
        <v>3487</v>
      </c>
      <c r="G246" s="331" t="s">
        <v>3488</v>
      </c>
      <c r="H246" s="331" t="s">
        <v>3489</v>
      </c>
      <c r="I246" s="331" t="s">
        <v>564</v>
      </c>
      <c r="J246" s="331" t="s">
        <v>354</v>
      </c>
      <c r="K246" s="331" t="s">
        <v>3490</v>
      </c>
      <c r="L246" s="329"/>
      <c r="M246" s="329">
        <v>6</v>
      </c>
      <c r="N246" s="329">
        <v>0</v>
      </c>
      <c r="O246" s="329">
        <v>3.1040000000000001</v>
      </c>
      <c r="P246" s="329"/>
      <c r="Q246" s="333">
        <v>43641.430567129632</v>
      </c>
      <c r="R246" s="329"/>
      <c r="S246" s="333">
        <v>43752</v>
      </c>
      <c r="T246" s="329">
        <v>55</v>
      </c>
      <c r="U246" s="333">
        <v>43752</v>
      </c>
      <c r="V246" s="333">
        <v>44109</v>
      </c>
      <c r="W246" s="329" t="b">
        <v>1</v>
      </c>
      <c r="X246" s="331" t="s">
        <v>22</v>
      </c>
      <c r="Y246" s="329">
        <v>726</v>
      </c>
      <c r="Z246" s="331" t="s">
        <v>23</v>
      </c>
      <c r="AA246" s="331" t="s">
        <v>919</v>
      </c>
      <c r="AB246" s="331" t="s">
        <v>920</v>
      </c>
      <c r="AC246" s="331" t="s">
        <v>1097</v>
      </c>
      <c r="AD246" s="331" t="s">
        <v>24</v>
      </c>
      <c r="AE246" s="329">
        <v>221</v>
      </c>
      <c r="AF246" s="331" t="s">
        <v>254</v>
      </c>
      <c r="AG246" s="329"/>
      <c r="AH246" s="329">
        <v>17</v>
      </c>
      <c r="AI246" s="331" t="s">
        <v>280</v>
      </c>
      <c r="AJ246" s="331" t="s">
        <v>281</v>
      </c>
      <c r="AK246" s="329"/>
      <c r="AL246" s="329"/>
      <c r="AM246" s="329"/>
      <c r="AN246" s="329"/>
      <c r="AO246" s="329"/>
      <c r="AP246" s="329"/>
      <c r="AQ246" s="329"/>
      <c r="AR246" s="329"/>
      <c r="AS246" s="329"/>
      <c r="AT246" s="329" t="s">
        <v>258</v>
      </c>
      <c r="AU246" s="329" t="s">
        <v>256</v>
      </c>
      <c r="AV246" s="331" t="s">
        <v>354</v>
      </c>
      <c r="AW246" s="329"/>
      <c r="AX246" s="329"/>
      <c r="AY246" s="329"/>
      <c r="AZ246" s="329"/>
      <c r="BA246" s="329"/>
      <c r="BB246" s="329"/>
      <c r="BC246" s="329"/>
      <c r="BD246" s="329"/>
      <c r="BE246" s="329"/>
      <c r="BF246" s="329"/>
      <c r="BG246" s="329"/>
      <c r="BH246" s="329"/>
      <c r="BI246" s="329"/>
      <c r="BJ246" s="329"/>
      <c r="BK246" s="329">
        <v>0</v>
      </c>
      <c r="BL246" s="329"/>
      <c r="BM246" s="331" t="s">
        <v>28</v>
      </c>
      <c r="BN246" s="329" t="s">
        <v>922</v>
      </c>
      <c r="BO246" s="333">
        <v>43754</v>
      </c>
      <c r="BP246" s="329"/>
      <c r="BQ246" s="329"/>
      <c r="BR246" s="329"/>
      <c r="BS246" s="329"/>
      <c r="BT246" s="329"/>
      <c r="BU246" s="331" t="s">
        <v>261</v>
      </c>
      <c r="BV246" s="329"/>
      <c r="BW246" s="329"/>
      <c r="BX246" s="329"/>
      <c r="BY246" s="331" t="s">
        <v>3491</v>
      </c>
      <c r="BZ246" s="331" t="s">
        <v>3492</v>
      </c>
      <c r="CA246" s="331" t="s">
        <v>3493</v>
      </c>
      <c r="CB246" s="331" t="s">
        <v>354</v>
      </c>
      <c r="CC246" s="331" t="s">
        <v>862</v>
      </c>
    </row>
    <row r="247" spans="1:81" x14ac:dyDescent="0.25">
      <c r="A247" s="329">
        <v>193881</v>
      </c>
      <c r="B247" s="331" t="s">
        <v>3494</v>
      </c>
      <c r="C247" s="329">
        <v>34017</v>
      </c>
      <c r="D247" s="331" t="s">
        <v>580</v>
      </c>
      <c r="E247" s="331" t="s">
        <v>3495</v>
      </c>
      <c r="F247" s="331" t="s">
        <v>3496</v>
      </c>
      <c r="G247" s="331" t="s">
        <v>3497</v>
      </c>
      <c r="H247" s="331" t="s">
        <v>3498</v>
      </c>
      <c r="I247" s="331" t="s">
        <v>3499</v>
      </c>
      <c r="J247" s="331" t="s">
        <v>327</v>
      </c>
      <c r="K247" s="331" t="s">
        <v>3500</v>
      </c>
      <c r="L247" s="329"/>
      <c r="M247" s="329">
        <v>6</v>
      </c>
      <c r="N247" s="329">
        <v>0</v>
      </c>
      <c r="O247" s="329">
        <v>3.98</v>
      </c>
      <c r="P247" s="329"/>
      <c r="Q247" s="333">
        <v>43623.503483796296</v>
      </c>
      <c r="R247" s="329"/>
      <c r="S247" s="333">
        <v>43752</v>
      </c>
      <c r="T247" s="329">
        <v>55</v>
      </c>
      <c r="U247" s="333">
        <v>43752</v>
      </c>
      <c r="V247" s="333">
        <v>44109</v>
      </c>
      <c r="W247" s="329" t="b">
        <v>1</v>
      </c>
      <c r="X247" s="331" t="s">
        <v>22</v>
      </c>
      <c r="Y247" s="329">
        <v>726</v>
      </c>
      <c r="Z247" s="331" t="s">
        <v>25</v>
      </c>
      <c r="AA247" s="331" t="s">
        <v>252</v>
      </c>
      <c r="AB247" s="331" t="s">
        <v>253</v>
      </c>
      <c r="AC247" s="331" t="s">
        <v>1184</v>
      </c>
      <c r="AD247" s="331" t="s">
        <v>24</v>
      </c>
      <c r="AE247" s="329">
        <v>221</v>
      </c>
      <c r="AF247" s="331" t="s">
        <v>254</v>
      </c>
      <c r="AG247" s="329"/>
      <c r="AH247" s="329">
        <v>17</v>
      </c>
      <c r="AI247" s="331" t="s">
        <v>280</v>
      </c>
      <c r="AJ247" s="331" t="s">
        <v>281</v>
      </c>
      <c r="AK247" s="331" t="s">
        <v>275</v>
      </c>
      <c r="AL247" s="331" t="s">
        <v>287</v>
      </c>
      <c r="AM247" s="331" t="s">
        <v>301</v>
      </c>
      <c r="AN247" s="331" t="s">
        <v>300</v>
      </c>
      <c r="AO247" s="331" t="s">
        <v>275</v>
      </c>
      <c r="AP247" s="329"/>
      <c r="AQ247" s="329"/>
      <c r="AR247" s="329"/>
      <c r="AS247" s="329"/>
      <c r="AT247" s="329" t="s">
        <v>379</v>
      </c>
      <c r="AU247" s="329" t="s">
        <v>256</v>
      </c>
      <c r="AV247" s="331" t="s">
        <v>327</v>
      </c>
      <c r="AW247" s="329"/>
      <c r="AX247" s="329"/>
      <c r="AY247" s="329"/>
      <c r="AZ247" s="329"/>
      <c r="BA247" s="329"/>
      <c r="BB247" s="329"/>
      <c r="BC247" s="329"/>
      <c r="BD247" s="329"/>
      <c r="BE247" s="329" t="s">
        <v>257</v>
      </c>
      <c r="BF247" s="329" t="s">
        <v>834</v>
      </c>
      <c r="BG247" s="329"/>
      <c r="BH247" s="329"/>
      <c r="BI247" s="329"/>
      <c r="BJ247" s="329"/>
      <c r="BK247" s="329">
        <v>20400</v>
      </c>
      <c r="BL247" s="329"/>
      <c r="BM247" s="331" t="s">
        <v>278</v>
      </c>
      <c r="BN247" s="329" t="s">
        <v>922</v>
      </c>
      <c r="BO247" s="333">
        <v>43754</v>
      </c>
      <c r="BP247" s="329"/>
      <c r="BQ247" s="329"/>
      <c r="BR247" s="329"/>
      <c r="BS247" s="329"/>
      <c r="BT247" s="329"/>
      <c r="BU247" s="331" t="s">
        <v>261</v>
      </c>
      <c r="BV247" s="329"/>
      <c r="BW247" s="329"/>
      <c r="BX247" s="329"/>
      <c r="BY247" s="331" t="s">
        <v>3501</v>
      </c>
      <c r="BZ247" s="331" t="s">
        <v>3502</v>
      </c>
      <c r="CA247" s="331" t="s">
        <v>3503</v>
      </c>
      <c r="CB247" s="331" t="s">
        <v>327</v>
      </c>
      <c r="CC247" s="331" t="s">
        <v>3500</v>
      </c>
    </row>
    <row r="248" spans="1:81" x14ac:dyDescent="0.25">
      <c r="A248" s="329">
        <v>196939</v>
      </c>
      <c r="B248" s="331" t="s">
        <v>3504</v>
      </c>
      <c r="C248" s="329">
        <v>34767</v>
      </c>
      <c r="D248" s="331" t="s">
        <v>3505</v>
      </c>
      <c r="E248" s="331" t="s">
        <v>3506</v>
      </c>
      <c r="F248" s="331" t="s">
        <v>3507</v>
      </c>
      <c r="G248" s="331" t="s">
        <v>3508</v>
      </c>
      <c r="H248" s="331" t="s">
        <v>3509</v>
      </c>
      <c r="I248" s="331" t="s">
        <v>3510</v>
      </c>
      <c r="J248" s="331" t="s">
        <v>298</v>
      </c>
      <c r="K248" s="331" t="s">
        <v>3511</v>
      </c>
      <c r="L248" s="329"/>
      <c r="M248" s="329">
        <v>6</v>
      </c>
      <c r="N248" s="329">
        <v>0</v>
      </c>
      <c r="O248" s="329">
        <v>3.8</v>
      </c>
      <c r="P248" s="329"/>
      <c r="Q248" s="333">
        <v>43701.677083333336</v>
      </c>
      <c r="R248" s="329"/>
      <c r="S248" s="333">
        <v>43753</v>
      </c>
      <c r="T248" s="329">
        <v>55</v>
      </c>
      <c r="U248" s="333">
        <v>43753</v>
      </c>
      <c r="V248" s="333">
        <v>44109</v>
      </c>
      <c r="W248" s="329" t="b">
        <v>1</v>
      </c>
      <c r="X248" s="331" t="s">
        <v>905</v>
      </c>
      <c r="Y248" s="329">
        <v>747</v>
      </c>
      <c r="Z248" s="331" t="s">
        <v>23</v>
      </c>
      <c r="AA248" s="331" t="s">
        <v>919</v>
      </c>
      <c r="AB248" s="331" t="s">
        <v>920</v>
      </c>
      <c r="AC248" s="331" t="s">
        <v>271</v>
      </c>
      <c r="AD248" s="331" t="s">
        <v>24</v>
      </c>
      <c r="AE248" s="329">
        <v>221</v>
      </c>
      <c r="AF248" s="331" t="s">
        <v>254</v>
      </c>
      <c r="AG248" s="329"/>
      <c r="AH248" s="329">
        <v>17</v>
      </c>
      <c r="AI248" s="331" t="s">
        <v>280</v>
      </c>
      <c r="AJ248" s="331" t="s">
        <v>281</v>
      </c>
      <c r="AK248" s="331" t="s">
        <v>290</v>
      </c>
      <c r="AL248" s="331" t="s">
        <v>331</v>
      </c>
      <c r="AM248" s="331" t="s">
        <v>274</v>
      </c>
      <c r="AN248" s="331" t="s">
        <v>300</v>
      </c>
      <c r="AO248" s="331" t="s">
        <v>301</v>
      </c>
      <c r="AP248" s="329"/>
      <c r="AQ248" s="329"/>
      <c r="AR248" s="329"/>
      <c r="AS248" s="329"/>
      <c r="AT248" s="329" t="s">
        <v>319</v>
      </c>
      <c r="AU248" s="329" t="s">
        <v>283</v>
      </c>
      <c r="AV248" s="331" t="s">
        <v>298</v>
      </c>
      <c r="AW248" s="329"/>
      <c r="AX248" s="329"/>
      <c r="AY248" s="329"/>
      <c r="AZ248" s="329"/>
      <c r="BA248" s="329"/>
      <c r="BB248" s="329"/>
      <c r="BC248" s="329"/>
      <c r="BD248" s="329"/>
      <c r="BE248" s="329" t="s">
        <v>257</v>
      </c>
      <c r="BF248" s="329" t="s">
        <v>838</v>
      </c>
      <c r="BG248" s="329"/>
      <c r="BH248" s="329"/>
      <c r="BI248" s="329"/>
      <c r="BJ248" s="329"/>
      <c r="BK248" s="329">
        <v>15600</v>
      </c>
      <c r="BL248" s="329"/>
      <c r="BM248" s="331" t="s">
        <v>259</v>
      </c>
      <c r="BN248" s="329" t="s">
        <v>922</v>
      </c>
      <c r="BO248" s="333">
        <v>43754</v>
      </c>
      <c r="BP248" s="329"/>
      <c r="BQ248" s="329"/>
      <c r="BR248" s="329"/>
      <c r="BS248" s="329"/>
      <c r="BT248" s="329"/>
      <c r="BU248" s="331" t="s">
        <v>261</v>
      </c>
      <c r="BV248" s="329"/>
      <c r="BW248" s="329"/>
      <c r="BX248" s="329"/>
      <c r="BY248" s="331" t="s">
        <v>3512</v>
      </c>
      <c r="BZ248" s="331" t="s">
        <v>3513</v>
      </c>
      <c r="CA248" s="331" t="s">
        <v>3510</v>
      </c>
      <c r="CB248" s="331" t="s">
        <v>298</v>
      </c>
      <c r="CC248" s="331" t="s">
        <v>3511</v>
      </c>
    </row>
    <row r="249" spans="1:81" x14ac:dyDescent="0.25">
      <c r="A249" s="329">
        <v>196500</v>
      </c>
      <c r="B249" s="331" t="s">
        <v>3514</v>
      </c>
      <c r="C249" s="329">
        <v>34665</v>
      </c>
      <c r="D249" s="331" t="s">
        <v>3515</v>
      </c>
      <c r="E249" s="331" t="s">
        <v>2689</v>
      </c>
      <c r="F249" s="331" t="s">
        <v>3516</v>
      </c>
      <c r="G249" s="331" t="s">
        <v>3517</v>
      </c>
      <c r="H249" s="331" t="s">
        <v>3518</v>
      </c>
      <c r="I249" s="331" t="s">
        <v>3519</v>
      </c>
      <c r="J249" s="331" t="s">
        <v>187</v>
      </c>
      <c r="K249" s="331" t="s">
        <v>3520</v>
      </c>
      <c r="L249" s="329"/>
      <c r="M249" s="329">
        <v>6</v>
      </c>
      <c r="N249" s="329">
        <v>0</v>
      </c>
      <c r="O249" s="329">
        <v>3.077</v>
      </c>
      <c r="P249" s="329"/>
      <c r="Q249" s="333">
        <v>43703.666666666664</v>
      </c>
      <c r="R249" s="329"/>
      <c r="S249" s="333">
        <v>43753</v>
      </c>
      <c r="T249" s="329">
        <v>55</v>
      </c>
      <c r="U249" s="333">
        <v>43753</v>
      </c>
      <c r="V249" s="333">
        <v>44109</v>
      </c>
      <c r="W249" s="329" t="b">
        <v>1</v>
      </c>
      <c r="X249" s="331" t="s">
        <v>22</v>
      </c>
      <c r="Y249" s="329">
        <v>429</v>
      </c>
      <c r="Z249" s="331" t="s">
        <v>23</v>
      </c>
      <c r="AA249" s="331" t="s">
        <v>919</v>
      </c>
      <c r="AB249" s="331" t="s">
        <v>920</v>
      </c>
      <c r="AC249" s="331" t="s">
        <v>1841</v>
      </c>
      <c r="AD249" s="331" t="s">
        <v>24</v>
      </c>
      <c r="AE249" s="329">
        <v>221</v>
      </c>
      <c r="AF249" s="331" t="s">
        <v>254</v>
      </c>
      <c r="AG249" s="329"/>
      <c r="AH249" s="329">
        <v>17</v>
      </c>
      <c r="AI249" s="331" t="s">
        <v>280</v>
      </c>
      <c r="AJ249" s="331" t="s">
        <v>281</v>
      </c>
      <c r="AK249" s="331" t="s">
        <v>300</v>
      </c>
      <c r="AL249" s="331" t="s">
        <v>328</v>
      </c>
      <c r="AM249" s="331" t="s">
        <v>272</v>
      </c>
      <c r="AN249" s="331" t="s">
        <v>300</v>
      </c>
      <c r="AO249" s="331" t="s">
        <v>290</v>
      </c>
      <c r="AP249" s="329"/>
      <c r="AQ249" s="329"/>
      <c r="AR249" s="329"/>
      <c r="AS249" s="329"/>
      <c r="AT249" s="329" t="s">
        <v>400</v>
      </c>
      <c r="AU249" s="329" t="s">
        <v>567</v>
      </c>
      <c r="AV249" s="331" t="s">
        <v>187</v>
      </c>
      <c r="AW249" s="329"/>
      <c r="AX249" s="329"/>
      <c r="AY249" s="329"/>
      <c r="AZ249" s="329"/>
      <c r="BA249" s="329"/>
      <c r="BB249" s="329"/>
      <c r="BC249" s="329"/>
      <c r="BD249" s="329"/>
      <c r="BE249" s="329" t="s">
        <v>257</v>
      </c>
      <c r="BF249" s="329" t="s">
        <v>838</v>
      </c>
      <c r="BG249" s="329"/>
      <c r="BH249" s="329"/>
      <c r="BI249" s="329"/>
      <c r="BJ249" s="329"/>
      <c r="BK249" s="329">
        <v>15600</v>
      </c>
      <c r="BL249" s="329"/>
      <c r="BM249" s="331" t="s">
        <v>259</v>
      </c>
      <c r="BN249" s="329" t="s">
        <v>922</v>
      </c>
      <c r="BO249" s="333">
        <v>43754</v>
      </c>
      <c r="BP249" s="329"/>
      <c r="BQ249" s="329"/>
      <c r="BR249" s="329"/>
      <c r="BS249" s="329"/>
      <c r="BT249" s="329"/>
      <c r="BU249" s="331" t="s">
        <v>261</v>
      </c>
      <c r="BV249" s="329"/>
      <c r="BW249" s="329"/>
      <c r="BX249" s="329"/>
      <c r="BY249" s="331" t="s">
        <v>3521</v>
      </c>
      <c r="BZ249" s="331" t="s">
        <v>3522</v>
      </c>
      <c r="CA249" s="331" t="s">
        <v>3523</v>
      </c>
      <c r="CB249" s="331" t="s">
        <v>187</v>
      </c>
      <c r="CC249" s="331" t="s">
        <v>3520</v>
      </c>
    </row>
    <row r="250" spans="1:81" x14ac:dyDescent="0.25">
      <c r="A250" s="329">
        <v>195856</v>
      </c>
      <c r="B250" s="331" t="s">
        <v>3532</v>
      </c>
      <c r="C250" s="329">
        <v>34413</v>
      </c>
      <c r="D250" s="331" t="s">
        <v>3533</v>
      </c>
      <c r="E250" s="331" t="s">
        <v>802</v>
      </c>
      <c r="F250" s="331" t="s">
        <v>3534</v>
      </c>
      <c r="G250" s="331" t="s">
        <v>3535</v>
      </c>
      <c r="H250" s="331" t="s">
        <v>3536</v>
      </c>
      <c r="I250" s="331" t="s">
        <v>3537</v>
      </c>
      <c r="J250" s="331" t="s">
        <v>279</v>
      </c>
      <c r="K250" s="331" t="s">
        <v>3538</v>
      </c>
      <c r="L250" s="329"/>
      <c r="M250" s="329">
        <v>6</v>
      </c>
      <c r="N250" s="329">
        <v>0</v>
      </c>
      <c r="O250" s="329">
        <v>3.38</v>
      </c>
      <c r="P250" s="329"/>
      <c r="Q250" s="333">
        <v>43674.944456018522</v>
      </c>
      <c r="R250" s="329"/>
      <c r="S250" s="333">
        <v>43753</v>
      </c>
      <c r="T250" s="329">
        <v>55</v>
      </c>
      <c r="U250" s="333">
        <v>43753</v>
      </c>
      <c r="V250" s="333">
        <v>44109</v>
      </c>
      <c r="W250" s="329" t="b">
        <v>1</v>
      </c>
      <c r="X250" s="331" t="s">
        <v>187</v>
      </c>
      <c r="Y250" s="329">
        <v>718</v>
      </c>
      <c r="Z250" s="331" t="s">
        <v>23</v>
      </c>
      <c r="AA250" s="331" t="s">
        <v>919</v>
      </c>
      <c r="AB250" s="331" t="s">
        <v>920</v>
      </c>
      <c r="AC250" s="331" t="s">
        <v>962</v>
      </c>
      <c r="AD250" s="331" t="s">
        <v>24</v>
      </c>
      <c r="AE250" s="329">
        <v>221</v>
      </c>
      <c r="AF250" s="331" t="s">
        <v>254</v>
      </c>
      <c r="AG250" s="329"/>
      <c r="AH250" s="329">
        <v>17</v>
      </c>
      <c r="AI250" s="331" t="s">
        <v>280</v>
      </c>
      <c r="AJ250" s="331" t="s">
        <v>281</v>
      </c>
      <c r="AK250" s="329"/>
      <c r="AL250" s="329"/>
      <c r="AM250" s="329"/>
      <c r="AN250" s="329"/>
      <c r="AO250" s="329"/>
      <c r="AP250" s="331" t="s">
        <v>483</v>
      </c>
      <c r="AQ250" s="329">
        <v>570</v>
      </c>
      <c r="AR250" s="329">
        <v>570</v>
      </c>
      <c r="AS250" s="329"/>
      <c r="AT250" s="329" t="s">
        <v>355</v>
      </c>
      <c r="AU250" s="329" t="s">
        <v>283</v>
      </c>
      <c r="AV250" s="331" t="s">
        <v>279</v>
      </c>
      <c r="AW250" s="329"/>
      <c r="AX250" s="329"/>
      <c r="AY250" s="329"/>
      <c r="AZ250" s="329"/>
      <c r="BA250" s="329"/>
      <c r="BB250" s="329"/>
      <c r="BC250" s="329"/>
      <c r="BD250" s="329"/>
      <c r="BE250" s="329" t="s">
        <v>257</v>
      </c>
      <c r="BF250" s="329" t="s">
        <v>834</v>
      </c>
      <c r="BG250" s="329"/>
      <c r="BH250" s="329"/>
      <c r="BI250" s="329"/>
      <c r="BJ250" s="329"/>
      <c r="BK250" s="329">
        <v>20400</v>
      </c>
      <c r="BL250" s="329"/>
      <c r="BM250" s="331" t="s">
        <v>278</v>
      </c>
      <c r="BN250" s="329" t="s">
        <v>922</v>
      </c>
      <c r="BO250" s="333">
        <v>43754</v>
      </c>
      <c r="BP250" s="329"/>
      <c r="BQ250" s="329"/>
      <c r="BR250" s="329"/>
      <c r="BS250" s="329"/>
      <c r="BT250" s="329"/>
      <c r="BU250" s="331" t="s">
        <v>261</v>
      </c>
      <c r="BV250" s="329"/>
      <c r="BW250" s="329"/>
      <c r="BX250" s="329"/>
      <c r="BY250" s="331" t="s">
        <v>3539</v>
      </c>
      <c r="BZ250" s="331" t="s">
        <v>3540</v>
      </c>
      <c r="CA250" s="331" t="s">
        <v>3541</v>
      </c>
      <c r="CB250" s="331" t="s">
        <v>279</v>
      </c>
      <c r="CC250" s="331" t="s">
        <v>3542</v>
      </c>
    </row>
    <row r="251" spans="1:81" x14ac:dyDescent="0.25">
      <c r="A251" s="329">
        <v>196572</v>
      </c>
      <c r="B251" s="331" t="s">
        <v>3543</v>
      </c>
      <c r="C251" s="329">
        <v>34693</v>
      </c>
      <c r="D251" s="331" t="s">
        <v>555</v>
      </c>
      <c r="E251" s="331" t="s">
        <v>3544</v>
      </c>
      <c r="F251" s="331" t="s">
        <v>3545</v>
      </c>
      <c r="G251" s="331" t="s">
        <v>3546</v>
      </c>
      <c r="H251" s="331" t="s">
        <v>3547</v>
      </c>
      <c r="I251" s="331" t="s">
        <v>3548</v>
      </c>
      <c r="J251" s="331" t="s">
        <v>321</v>
      </c>
      <c r="K251" s="331" t="s">
        <v>3549</v>
      </c>
      <c r="L251" s="329"/>
      <c r="M251" s="329">
        <v>6</v>
      </c>
      <c r="N251" s="329">
        <v>0</v>
      </c>
      <c r="O251" s="329">
        <v>3.6269999999999998</v>
      </c>
      <c r="P251" s="329"/>
      <c r="Q251" s="333">
        <v>43704.509027777778</v>
      </c>
      <c r="R251" s="329"/>
      <c r="S251" s="333">
        <v>43752</v>
      </c>
      <c r="T251" s="329">
        <v>55</v>
      </c>
      <c r="U251" s="333">
        <v>43752</v>
      </c>
      <c r="V251" s="333">
        <v>44109</v>
      </c>
      <c r="W251" s="329" t="b">
        <v>1</v>
      </c>
      <c r="X251" s="331" t="s">
        <v>22</v>
      </c>
      <c r="Y251" s="329">
        <v>726</v>
      </c>
      <c r="Z251" s="331" t="s">
        <v>25</v>
      </c>
      <c r="AA251" s="331" t="s">
        <v>919</v>
      </c>
      <c r="AB251" s="331" t="s">
        <v>920</v>
      </c>
      <c r="AC251" s="331" t="s">
        <v>264</v>
      </c>
      <c r="AD251" s="331" t="s">
        <v>24</v>
      </c>
      <c r="AE251" s="329">
        <v>221</v>
      </c>
      <c r="AF251" s="331" t="s">
        <v>254</v>
      </c>
      <c r="AG251" s="329"/>
      <c r="AH251" s="329">
        <v>17</v>
      </c>
      <c r="AI251" s="331" t="s">
        <v>280</v>
      </c>
      <c r="AJ251" s="331" t="s">
        <v>281</v>
      </c>
      <c r="AK251" s="329"/>
      <c r="AL251" s="329"/>
      <c r="AM251" s="329"/>
      <c r="AN251" s="329"/>
      <c r="AO251" s="329"/>
      <c r="AP251" s="329"/>
      <c r="AQ251" s="329"/>
      <c r="AR251" s="329"/>
      <c r="AS251" s="329"/>
      <c r="AT251" s="329" t="s">
        <v>258</v>
      </c>
      <c r="AU251" s="329" t="s">
        <v>256</v>
      </c>
      <c r="AV251" s="331" t="s">
        <v>321</v>
      </c>
      <c r="AW251" s="329"/>
      <c r="AX251" s="329"/>
      <c r="AY251" s="329"/>
      <c r="AZ251" s="329"/>
      <c r="BA251" s="329"/>
      <c r="BB251" s="329"/>
      <c r="BC251" s="329"/>
      <c r="BD251" s="329"/>
      <c r="BE251" s="329" t="s">
        <v>257</v>
      </c>
      <c r="BF251" s="329" t="s">
        <v>841</v>
      </c>
      <c r="BG251" s="329"/>
      <c r="BH251" s="329"/>
      <c r="BI251" s="329"/>
      <c r="BJ251" s="329"/>
      <c r="BK251" s="329">
        <v>9000</v>
      </c>
      <c r="BL251" s="329"/>
      <c r="BM251" s="331" t="s">
        <v>189</v>
      </c>
      <c r="BN251" s="329" t="s">
        <v>922</v>
      </c>
      <c r="BO251" s="333">
        <v>43754</v>
      </c>
      <c r="BP251" s="329"/>
      <c r="BQ251" s="329"/>
      <c r="BR251" s="329"/>
      <c r="BS251" s="329"/>
      <c r="BT251" s="329"/>
      <c r="BU251" s="331" t="s">
        <v>261</v>
      </c>
      <c r="BV251" s="329"/>
      <c r="BW251" s="329"/>
      <c r="BX251" s="329"/>
      <c r="BY251" s="331" t="s">
        <v>3550</v>
      </c>
      <c r="BZ251" s="331" t="s">
        <v>1606</v>
      </c>
      <c r="CA251" s="331" t="s">
        <v>3551</v>
      </c>
      <c r="CB251" s="331" t="s">
        <v>321</v>
      </c>
      <c r="CC251" s="331" t="s">
        <v>3552</v>
      </c>
    </row>
    <row r="252" spans="1:81" x14ac:dyDescent="0.25">
      <c r="A252" s="329">
        <v>197509</v>
      </c>
      <c r="B252" s="331" t="s">
        <v>3573</v>
      </c>
      <c r="C252" s="329">
        <v>34894</v>
      </c>
      <c r="D252" s="331" t="s">
        <v>3574</v>
      </c>
      <c r="E252" s="331" t="s">
        <v>3575</v>
      </c>
      <c r="F252" s="331" t="s">
        <v>3576</v>
      </c>
      <c r="G252" s="331" t="s">
        <v>3577</v>
      </c>
      <c r="H252" s="331" t="s">
        <v>3578</v>
      </c>
      <c r="I252" s="331" t="s">
        <v>873</v>
      </c>
      <c r="J252" s="331" t="s">
        <v>376</v>
      </c>
      <c r="K252" s="331" t="s">
        <v>3579</v>
      </c>
      <c r="L252" s="329"/>
      <c r="M252" s="329">
        <v>6</v>
      </c>
      <c r="N252" s="329">
        <v>0</v>
      </c>
      <c r="O252" s="329">
        <v>3.992</v>
      </c>
      <c r="P252" s="329"/>
      <c r="Q252" s="333">
        <v>43718.605555555558</v>
      </c>
      <c r="R252" s="329"/>
      <c r="S252" s="333">
        <v>43752</v>
      </c>
      <c r="T252" s="329">
        <v>55</v>
      </c>
      <c r="U252" s="333">
        <v>43752</v>
      </c>
      <c r="V252" s="333">
        <v>44109</v>
      </c>
      <c r="W252" s="329" t="b">
        <v>1</v>
      </c>
      <c r="X252" s="331" t="s">
        <v>22</v>
      </c>
      <c r="Y252" s="329">
        <v>726</v>
      </c>
      <c r="Z252" s="331" t="s">
        <v>336</v>
      </c>
      <c r="AA252" s="331" t="s">
        <v>919</v>
      </c>
      <c r="AB252" s="331" t="s">
        <v>920</v>
      </c>
      <c r="AC252" s="331" t="s">
        <v>264</v>
      </c>
      <c r="AD252" s="331" t="s">
        <v>24</v>
      </c>
      <c r="AE252" s="329">
        <v>221</v>
      </c>
      <c r="AF252" s="331" t="s">
        <v>254</v>
      </c>
      <c r="AG252" s="329"/>
      <c r="AH252" s="329">
        <v>17</v>
      </c>
      <c r="AI252" s="331" t="s">
        <v>280</v>
      </c>
      <c r="AJ252" s="331" t="s">
        <v>281</v>
      </c>
      <c r="AK252" s="331" t="s">
        <v>286</v>
      </c>
      <c r="AL252" s="331" t="s">
        <v>347</v>
      </c>
      <c r="AM252" s="331" t="s">
        <v>366</v>
      </c>
      <c r="AN252" s="331" t="s">
        <v>286</v>
      </c>
      <c r="AO252" s="331" t="s">
        <v>366</v>
      </c>
      <c r="AP252" s="329"/>
      <c r="AQ252" s="329"/>
      <c r="AR252" s="329"/>
      <c r="AS252" s="329"/>
      <c r="AT252" s="329" t="s">
        <v>848</v>
      </c>
      <c r="AU252" s="329" t="s">
        <v>283</v>
      </c>
      <c r="AV252" s="331" t="s">
        <v>376</v>
      </c>
      <c r="AW252" s="329"/>
      <c r="AX252" s="329"/>
      <c r="AY252" s="329"/>
      <c r="AZ252" s="329"/>
      <c r="BA252" s="329"/>
      <c r="BB252" s="329"/>
      <c r="BC252" s="329"/>
      <c r="BD252" s="329"/>
      <c r="BE252" s="329" t="s">
        <v>257</v>
      </c>
      <c r="BF252" s="329" t="s">
        <v>834</v>
      </c>
      <c r="BG252" s="329"/>
      <c r="BH252" s="329"/>
      <c r="BI252" s="329"/>
      <c r="BJ252" s="329"/>
      <c r="BK252" s="329">
        <v>20400</v>
      </c>
      <c r="BL252" s="329"/>
      <c r="BM252" s="331" t="s">
        <v>278</v>
      </c>
      <c r="BN252" s="329" t="s">
        <v>922</v>
      </c>
      <c r="BO252" s="333">
        <v>43754</v>
      </c>
      <c r="BP252" s="329"/>
      <c r="BQ252" s="329"/>
      <c r="BR252" s="329"/>
      <c r="BS252" s="329"/>
      <c r="BT252" s="329"/>
      <c r="BU252" s="331" t="s">
        <v>261</v>
      </c>
      <c r="BV252" s="329"/>
      <c r="BW252" s="329"/>
      <c r="BX252" s="329"/>
      <c r="BY252" s="331" t="s">
        <v>3580</v>
      </c>
      <c r="BZ252" s="331" t="s">
        <v>3581</v>
      </c>
      <c r="CA252" s="331" t="s">
        <v>3582</v>
      </c>
      <c r="CB252" s="331" t="s">
        <v>376</v>
      </c>
      <c r="CC252" s="331" t="s">
        <v>3579</v>
      </c>
    </row>
    <row r="253" spans="1:81" x14ac:dyDescent="0.25">
      <c r="A253" s="329">
        <v>197252</v>
      </c>
      <c r="B253" s="331" t="s">
        <v>3583</v>
      </c>
      <c r="C253" s="329">
        <v>34827</v>
      </c>
      <c r="D253" s="331" t="s">
        <v>3584</v>
      </c>
      <c r="E253" s="331" t="s">
        <v>3585</v>
      </c>
      <c r="F253" s="331" t="s">
        <v>3586</v>
      </c>
      <c r="G253" s="331" t="s">
        <v>3587</v>
      </c>
      <c r="H253" s="331" t="s">
        <v>3588</v>
      </c>
      <c r="I253" s="331" t="s">
        <v>3589</v>
      </c>
      <c r="J253" s="331" t="s">
        <v>284</v>
      </c>
      <c r="K253" s="331" t="s">
        <v>3590</v>
      </c>
      <c r="L253" s="329"/>
      <c r="M253" s="329">
        <v>6</v>
      </c>
      <c r="N253" s="329">
        <v>0</v>
      </c>
      <c r="O253" s="329">
        <v>2.97</v>
      </c>
      <c r="P253" s="329"/>
      <c r="Q253" s="333">
        <v>43628.71875</v>
      </c>
      <c r="R253" s="329"/>
      <c r="S253" s="333">
        <v>43753</v>
      </c>
      <c r="T253" s="329">
        <v>55</v>
      </c>
      <c r="U253" s="333">
        <v>43753</v>
      </c>
      <c r="V253" s="333">
        <v>44109</v>
      </c>
      <c r="W253" s="329" t="b">
        <v>1</v>
      </c>
      <c r="X253" s="331" t="s">
        <v>905</v>
      </c>
      <c r="Y253" s="329">
        <v>747</v>
      </c>
      <c r="Z253" s="331" t="s">
        <v>23</v>
      </c>
      <c r="AA253" s="331" t="s">
        <v>919</v>
      </c>
      <c r="AB253" s="331" t="s">
        <v>920</v>
      </c>
      <c r="AC253" s="331" t="s">
        <v>337</v>
      </c>
      <c r="AD253" s="331" t="s">
        <v>24</v>
      </c>
      <c r="AE253" s="329">
        <v>221</v>
      </c>
      <c r="AF253" s="331" t="s">
        <v>254</v>
      </c>
      <c r="AG253" s="329"/>
      <c r="AH253" s="329">
        <v>17</v>
      </c>
      <c r="AI253" s="331" t="s">
        <v>280</v>
      </c>
      <c r="AJ253" s="331" t="s">
        <v>281</v>
      </c>
      <c r="AK253" s="331" t="s">
        <v>289</v>
      </c>
      <c r="AL253" s="331" t="s">
        <v>290</v>
      </c>
      <c r="AM253" s="331" t="s">
        <v>347</v>
      </c>
      <c r="AN253" s="331" t="s">
        <v>347</v>
      </c>
      <c r="AO253" s="331" t="s">
        <v>275</v>
      </c>
      <c r="AP253" s="329"/>
      <c r="AQ253" s="329"/>
      <c r="AR253" s="329"/>
      <c r="AS253" s="329"/>
      <c r="AT253" s="329" t="s">
        <v>309</v>
      </c>
      <c r="AU253" s="329" t="s">
        <v>283</v>
      </c>
      <c r="AV253" s="331" t="s">
        <v>284</v>
      </c>
      <c r="AW253" s="329"/>
      <c r="AX253" s="329"/>
      <c r="AY253" s="329"/>
      <c r="AZ253" s="329"/>
      <c r="BA253" s="329"/>
      <c r="BB253" s="329"/>
      <c r="BC253" s="329"/>
      <c r="BD253" s="329"/>
      <c r="BE253" s="329" t="s">
        <v>257</v>
      </c>
      <c r="BF253" s="329" t="s">
        <v>837</v>
      </c>
      <c r="BG253" s="329"/>
      <c r="BH253" s="329"/>
      <c r="BI253" s="329"/>
      <c r="BJ253" s="329"/>
      <c r="BK253" s="329">
        <v>15000</v>
      </c>
      <c r="BL253" s="329"/>
      <c r="BM253" s="331" t="s">
        <v>295</v>
      </c>
      <c r="BN253" s="329" t="s">
        <v>922</v>
      </c>
      <c r="BO253" s="333">
        <v>43754</v>
      </c>
      <c r="BP253" s="329"/>
      <c r="BQ253" s="329"/>
      <c r="BR253" s="329"/>
      <c r="BS253" s="329"/>
      <c r="BT253" s="329"/>
      <c r="BU253" s="331" t="s">
        <v>261</v>
      </c>
      <c r="BV253" s="329"/>
      <c r="BW253" s="329"/>
      <c r="BX253" s="329"/>
      <c r="BY253" s="331" t="s">
        <v>3591</v>
      </c>
      <c r="BZ253" s="331" t="s">
        <v>3592</v>
      </c>
      <c r="CA253" s="331" t="s">
        <v>3593</v>
      </c>
      <c r="CB253" s="331" t="s">
        <v>284</v>
      </c>
      <c r="CC253" s="331" t="s">
        <v>304</v>
      </c>
    </row>
    <row r="254" spans="1:81" x14ac:dyDescent="0.25">
      <c r="A254" s="329">
        <v>191641</v>
      </c>
      <c r="B254" s="331" t="s">
        <v>3632</v>
      </c>
      <c r="C254" s="329">
        <v>33532</v>
      </c>
      <c r="D254" s="331" t="s">
        <v>269</v>
      </c>
      <c r="E254" s="331" t="s">
        <v>696</v>
      </c>
      <c r="F254" s="331" t="s">
        <v>3633</v>
      </c>
      <c r="G254" s="331" t="s">
        <v>3634</v>
      </c>
      <c r="H254" s="331" t="s">
        <v>3635</v>
      </c>
      <c r="I254" s="331" t="s">
        <v>3636</v>
      </c>
      <c r="J254" s="331" t="s">
        <v>263</v>
      </c>
      <c r="K254" s="331" t="s">
        <v>3637</v>
      </c>
      <c r="L254" s="329"/>
      <c r="M254" s="329">
        <v>6</v>
      </c>
      <c r="N254" s="329">
        <v>0</v>
      </c>
      <c r="O254" s="329">
        <v>3.395</v>
      </c>
      <c r="P254" s="329"/>
      <c r="Q254" s="333">
        <v>43578.732662037037</v>
      </c>
      <c r="R254" s="329"/>
      <c r="S254" s="333">
        <v>43753</v>
      </c>
      <c r="T254" s="329">
        <v>55</v>
      </c>
      <c r="U254" s="333">
        <v>43753</v>
      </c>
      <c r="V254" s="333">
        <v>44109</v>
      </c>
      <c r="W254" s="329" t="b">
        <v>1</v>
      </c>
      <c r="X254" s="331" t="s">
        <v>187</v>
      </c>
      <c r="Y254" s="329">
        <v>718</v>
      </c>
      <c r="Z254" s="331" t="s">
        <v>23</v>
      </c>
      <c r="AA254" s="331" t="s">
        <v>919</v>
      </c>
      <c r="AB254" s="331" t="s">
        <v>920</v>
      </c>
      <c r="AC254" s="331" t="s">
        <v>1329</v>
      </c>
      <c r="AD254" s="331" t="s">
        <v>24</v>
      </c>
      <c r="AE254" s="329">
        <v>221</v>
      </c>
      <c r="AF254" s="331" t="s">
        <v>254</v>
      </c>
      <c r="AG254" s="329"/>
      <c r="AH254" s="329">
        <v>17</v>
      </c>
      <c r="AI254" s="331" t="s">
        <v>280</v>
      </c>
      <c r="AJ254" s="331" t="s">
        <v>281</v>
      </c>
      <c r="AK254" s="329"/>
      <c r="AL254" s="329"/>
      <c r="AM254" s="329"/>
      <c r="AN254" s="329"/>
      <c r="AO254" s="329"/>
      <c r="AP254" s="329"/>
      <c r="AQ254" s="329"/>
      <c r="AR254" s="329"/>
      <c r="AS254" s="329"/>
      <c r="AT254" s="329" t="s">
        <v>258</v>
      </c>
      <c r="AU254" s="329" t="s">
        <v>283</v>
      </c>
      <c r="AV254" s="331" t="s">
        <v>263</v>
      </c>
      <c r="AW254" s="329"/>
      <c r="AX254" s="329"/>
      <c r="AY254" s="329"/>
      <c r="AZ254" s="329"/>
      <c r="BA254" s="329"/>
      <c r="BB254" s="329"/>
      <c r="BC254" s="329"/>
      <c r="BD254" s="329"/>
      <c r="BE254" s="329" t="s">
        <v>257</v>
      </c>
      <c r="BF254" s="329" t="s">
        <v>830</v>
      </c>
      <c r="BG254" s="329"/>
      <c r="BH254" s="329" t="s">
        <v>258</v>
      </c>
      <c r="BI254" s="329"/>
      <c r="BJ254" s="329"/>
      <c r="BK254" s="329">
        <v>12000</v>
      </c>
      <c r="BL254" s="329"/>
      <c r="BM254" s="331" t="s">
        <v>26</v>
      </c>
      <c r="BN254" s="329" t="s">
        <v>922</v>
      </c>
      <c r="BO254" s="333">
        <v>43754</v>
      </c>
      <c r="BP254" s="329"/>
      <c r="BQ254" s="329"/>
      <c r="BR254" s="329"/>
      <c r="BS254" s="329"/>
      <c r="BT254" s="329"/>
      <c r="BU254" s="331" t="s">
        <v>261</v>
      </c>
      <c r="BV254" s="329"/>
      <c r="BW254" s="329"/>
      <c r="BX254" s="329"/>
      <c r="BY254" s="331" t="s">
        <v>3638</v>
      </c>
      <c r="BZ254" s="331" t="s">
        <v>3639</v>
      </c>
      <c r="CA254" s="331" t="s">
        <v>3640</v>
      </c>
      <c r="CB254" s="331" t="s">
        <v>263</v>
      </c>
      <c r="CC254" s="331" t="s">
        <v>3641</v>
      </c>
    </row>
    <row r="255" spans="1:81" x14ac:dyDescent="0.25">
      <c r="A255" s="329">
        <v>195989</v>
      </c>
      <c r="B255" s="331" t="s">
        <v>3642</v>
      </c>
      <c r="C255" s="329">
        <v>34455</v>
      </c>
      <c r="D255" s="331" t="s">
        <v>269</v>
      </c>
      <c r="E255" s="331" t="s">
        <v>1917</v>
      </c>
      <c r="F255" s="331" t="s">
        <v>3643</v>
      </c>
      <c r="G255" s="331" t="s">
        <v>3644</v>
      </c>
      <c r="H255" s="331" t="s">
        <v>3645</v>
      </c>
      <c r="I255" s="331" t="s">
        <v>722</v>
      </c>
      <c r="J255" s="331" t="s">
        <v>21</v>
      </c>
      <c r="K255" s="331" t="s">
        <v>723</v>
      </c>
      <c r="L255" s="329"/>
      <c r="M255" s="329">
        <v>6</v>
      </c>
      <c r="N255" s="329">
        <v>0</v>
      </c>
      <c r="O255" s="329">
        <v>3.1469999999999998</v>
      </c>
      <c r="P255" s="329"/>
      <c r="Q255" s="333">
        <v>43676.472916666666</v>
      </c>
      <c r="R255" s="329"/>
      <c r="S255" s="333">
        <v>43753</v>
      </c>
      <c r="T255" s="329">
        <v>55</v>
      </c>
      <c r="U255" s="333">
        <v>43753</v>
      </c>
      <c r="V255" s="333">
        <v>44109</v>
      </c>
      <c r="W255" s="329" t="b">
        <v>1</v>
      </c>
      <c r="X255" s="331" t="s">
        <v>906</v>
      </c>
      <c r="Y255" s="329">
        <v>748</v>
      </c>
      <c r="Z255" s="331" t="s">
        <v>25</v>
      </c>
      <c r="AA255" s="331" t="s">
        <v>919</v>
      </c>
      <c r="AB255" s="331" t="s">
        <v>920</v>
      </c>
      <c r="AC255" s="331" t="s">
        <v>364</v>
      </c>
      <c r="AD255" s="331" t="s">
        <v>24</v>
      </c>
      <c r="AE255" s="329">
        <v>221</v>
      </c>
      <c r="AF255" s="331" t="s">
        <v>254</v>
      </c>
      <c r="AG255" s="329"/>
      <c r="AH255" s="329">
        <v>17</v>
      </c>
      <c r="AI255" s="331" t="s">
        <v>280</v>
      </c>
      <c r="AJ255" s="331" t="s">
        <v>281</v>
      </c>
      <c r="AK255" s="331" t="s">
        <v>290</v>
      </c>
      <c r="AL255" s="331" t="s">
        <v>301</v>
      </c>
      <c r="AM255" s="331" t="s">
        <v>299</v>
      </c>
      <c r="AN255" s="331" t="s">
        <v>289</v>
      </c>
      <c r="AO255" s="331" t="s">
        <v>301</v>
      </c>
      <c r="AP255" s="329"/>
      <c r="AQ255" s="329"/>
      <c r="AR255" s="329"/>
      <c r="AS255" s="329"/>
      <c r="AT255" s="329" t="s">
        <v>258</v>
      </c>
      <c r="AU255" s="329" t="s">
        <v>283</v>
      </c>
      <c r="AV255" s="331" t="s">
        <v>21</v>
      </c>
      <c r="AW255" s="329"/>
      <c r="AX255" s="329"/>
      <c r="AY255" s="329"/>
      <c r="AZ255" s="329"/>
      <c r="BA255" s="329"/>
      <c r="BB255" s="329"/>
      <c r="BC255" s="329"/>
      <c r="BD255" s="329"/>
      <c r="BE255" s="329"/>
      <c r="BF255" s="329"/>
      <c r="BG255" s="329"/>
      <c r="BH255" s="329"/>
      <c r="BI255" s="329" t="s">
        <v>334</v>
      </c>
      <c r="BJ255" s="329" t="s">
        <v>831</v>
      </c>
      <c r="BK255" s="329">
        <v>36000</v>
      </c>
      <c r="BL255" s="329"/>
      <c r="BM255" s="331" t="s">
        <v>28</v>
      </c>
      <c r="BN255" s="329" t="s">
        <v>922</v>
      </c>
      <c r="BO255" s="333">
        <v>43754</v>
      </c>
      <c r="BP255" s="329"/>
      <c r="BQ255" s="329"/>
      <c r="BR255" s="329"/>
      <c r="BS255" s="329"/>
      <c r="BT255" s="329"/>
      <c r="BU255" s="331" t="s">
        <v>261</v>
      </c>
      <c r="BV255" s="329"/>
      <c r="BW255" s="329"/>
      <c r="BX255" s="329"/>
      <c r="BY255" s="331" t="s">
        <v>3646</v>
      </c>
      <c r="BZ255" s="331" t="s">
        <v>3647</v>
      </c>
      <c r="CA255" s="331" t="s">
        <v>703</v>
      </c>
      <c r="CB255" s="331" t="s">
        <v>21</v>
      </c>
      <c r="CC255" s="331" t="s">
        <v>704</v>
      </c>
    </row>
    <row r="256" spans="1:81" x14ac:dyDescent="0.25">
      <c r="A256" s="329">
        <v>192217</v>
      </c>
      <c r="B256" s="331" t="s">
        <v>3659</v>
      </c>
      <c r="C256" s="329">
        <v>33607</v>
      </c>
      <c r="D256" s="331" t="s">
        <v>3660</v>
      </c>
      <c r="E256" s="331" t="s">
        <v>3661</v>
      </c>
      <c r="F256" s="331" t="s">
        <v>3662</v>
      </c>
      <c r="G256" s="331" t="s">
        <v>3663</v>
      </c>
      <c r="H256" s="331" t="s">
        <v>3664</v>
      </c>
      <c r="I256" s="331" t="s">
        <v>3665</v>
      </c>
      <c r="J256" s="331" t="s">
        <v>297</v>
      </c>
      <c r="K256" s="331" t="s">
        <v>3666</v>
      </c>
      <c r="L256" s="329"/>
      <c r="M256" s="329">
        <v>6</v>
      </c>
      <c r="N256" s="329">
        <v>0</v>
      </c>
      <c r="O256" s="329">
        <v>3.5</v>
      </c>
      <c r="P256" s="329"/>
      <c r="Q256" s="333">
        <v>43599.440972222219</v>
      </c>
      <c r="R256" s="329"/>
      <c r="S256" s="333">
        <v>43753</v>
      </c>
      <c r="T256" s="329">
        <v>55</v>
      </c>
      <c r="U256" s="333">
        <v>43753</v>
      </c>
      <c r="V256" s="333">
        <v>44109</v>
      </c>
      <c r="W256" s="329" t="b">
        <v>1</v>
      </c>
      <c r="X256" s="331" t="s">
        <v>187</v>
      </c>
      <c r="Y256" s="329">
        <v>718</v>
      </c>
      <c r="Z256" s="331" t="s">
        <v>23</v>
      </c>
      <c r="AA256" s="331" t="s">
        <v>919</v>
      </c>
      <c r="AB256" s="331" t="s">
        <v>920</v>
      </c>
      <c r="AC256" s="331" t="s">
        <v>1264</v>
      </c>
      <c r="AD256" s="331" t="s">
        <v>24</v>
      </c>
      <c r="AE256" s="329">
        <v>221</v>
      </c>
      <c r="AF256" s="331" t="s">
        <v>254</v>
      </c>
      <c r="AG256" s="329"/>
      <c r="AH256" s="329">
        <v>17</v>
      </c>
      <c r="AI256" s="331" t="s">
        <v>280</v>
      </c>
      <c r="AJ256" s="331" t="s">
        <v>281</v>
      </c>
      <c r="AK256" s="331" t="s">
        <v>275</v>
      </c>
      <c r="AL256" s="331" t="s">
        <v>301</v>
      </c>
      <c r="AM256" s="331" t="s">
        <v>274</v>
      </c>
      <c r="AN256" s="331" t="s">
        <v>331</v>
      </c>
      <c r="AO256" s="331" t="s">
        <v>347</v>
      </c>
      <c r="AP256" s="329"/>
      <c r="AQ256" s="329"/>
      <c r="AR256" s="329"/>
      <c r="AS256" s="329"/>
      <c r="AT256" s="329" t="s">
        <v>338</v>
      </c>
      <c r="AU256" s="329" t="s">
        <v>256</v>
      </c>
      <c r="AV256" s="331" t="s">
        <v>297</v>
      </c>
      <c r="AW256" s="329"/>
      <c r="AX256" s="329"/>
      <c r="AY256" s="329"/>
      <c r="AZ256" s="329"/>
      <c r="BA256" s="329"/>
      <c r="BB256" s="329"/>
      <c r="BC256" s="329"/>
      <c r="BD256" s="329"/>
      <c r="BE256" s="329" t="s">
        <v>257</v>
      </c>
      <c r="BF256" s="329" t="s">
        <v>838</v>
      </c>
      <c r="BG256" s="329"/>
      <c r="BH256" s="329"/>
      <c r="BI256" s="329"/>
      <c r="BJ256" s="329"/>
      <c r="BK256" s="329">
        <v>15600</v>
      </c>
      <c r="BL256" s="329"/>
      <c r="BM256" s="331" t="s">
        <v>259</v>
      </c>
      <c r="BN256" s="329" t="s">
        <v>922</v>
      </c>
      <c r="BO256" s="333">
        <v>43754</v>
      </c>
      <c r="BP256" s="329"/>
      <c r="BQ256" s="329"/>
      <c r="BR256" s="329"/>
      <c r="BS256" s="329"/>
      <c r="BT256" s="329"/>
      <c r="BU256" s="331" t="s">
        <v>261</v>
      </c>
      <c r="BV256" s="329"/>
      <c r="BW256" s="329"/>
      <c r="BX256" s="329"/>
      <c r="BY256" s="331" t="s">
        <v>3667</v>
      </c>
      <c r="BZ256" s="331" t="s">
        <v>3668</v>
      </c>
      <c r="CA256" s="331" t="s">
        <v>3669</v>
      </c>
      <c r="CB256" s="331" t="s">
        <v>297</v>
      </c>
      <c r="CC256" s="331" t="s">
        <v>3666</v>
      </c>
    </row>
    <row r="257" spans="1:81" x14ac:dyDescent="0.25">
      <c r="A257" s="329">
        <v>195360</v>
      </c>
      <c r="B257" s="331" t="s">
        <v>3670</v>
      </c>
      <c r="C257" s="329">
        <v>34308</v>
      </c>
      <c r="D257" s="331" t="s">
        <v>3671</v>
      </c>
      <c r="E257" s="331" t="s">
        <v>3672</v>
      </c>
      <c r="F257" s="331" t="s">
        <v>3673</v>
      </c>
      <c r="G257" s="331" t="s">
        <v>3674</v>
      </c>
      <c r="H257" s="331" t="s">
        <v>3675</v>
      </c>
      <c r="I257" s="331" t="s">
        <v>3676</v>
      </c>
      <c r="J257" s="331" t="s">
        <v>344</v>
      </c>
      <c r="K257" s="331" t="s">
        <v>3677</v>
      </c>
      <c r="L257" s="329"/>
      <c r="M257" s="329">
        <v>6</v>
      </c>
      <c r="N257" s="329">
        <v>0</v>
      </c>
      <c r="O257" s="329">
        <v>2.8570000000000002</v>
      </c>
      <c r="P257" s="329"/>
      <c r="Q257" s="333">
        <v>43644.961805555555</v>
      </c>
      <c r="R257" s="329"/>
      <c r="S257" s="333">
        <v>43752</v>
      </c>
      <c r="T257" s="329">
        <v>55</v>
      </c>
      <c r="U257" s="333">
        <v>43752</v>
      </c>
      <c r="V257" s="333">
        <v>44109</v>
      </c>
      <c r="W257" s="329" t="b">
        <v>1</v>
      </c>
      <c r="X257" s="331" t="s">
        <v>187</v>
      </c>
      <c r="Y257" s="329">
        <v>718</v>
      </c>
      <c r="Z257" s="331" t="s">
        <v>23</v>
      </c>
      <c r="AA257" s="331" t="s">
        <v>252</v>
      </c>
      <c r="AB257" s="331" t="s">
        <v>253</v>
      </c>
      <c r="AC257" s="331" t="s">
        <v>1011</v>
      </c>
      <c r="AD257" s="331" t="s">
        <v>24</v>
      </c>
      <c r="AE257" s="329">
        <v>221</v>
      </c>
      <c r="AF257" s="331" t="s">
        <v>254</v>
      </c>
      <c r="AG257" s="329"/>
      <c r="AH257" s="329">
        <v>17</v>
      </c>
      <c r="AI257" s="331" t="s">
        <v>280</v>
      </c>
      <c r="AJ257" s="331" t="s">
        <v>281</v>
      </c>
      <c r="AK257" s="329"/>
      <c r="AL257" s="329"/>
      <c r="AM257" s="329"/>
      <c r="AN257" s="329"/>
      <c r="AO257" s="329"/>
      <c r="AP257" s="331" t="s">
        <v>955</v>
      </c>
      <c r="AQ257" s="329">
        <v>400</v>
      </c>
      <c r="AR257" s="329">
        <v>430</v>
      </c>
      <c r="AS257" s="329"/>
      <c r="AT257" s="329" t="s">
        <v>845</v>
      </c>
      <c r="AU257" s="329" t="s">
        <v>256</v>
      </c>
      <c r="AV257" s="331" t="s">
        <v>344</v>
      </c>
      <c r="AW257" s="329"/>
      <c r="AX257" s="329"/>
      <c r="AY257" s="329"/>
      <c r="AZ257" s="329"/>
      <c r="BA257" s="329"/>
      <c r="BB257" s="329"/>
      <c r="BC257" s="329"/>
      <c r="BD257" s="329"/>
      <c r="BE257" s="329"/>
      <c r="BF257" s="329"/>
      <c r="BG257" s="329"/>
      <c r="BH257" s="329"/>
      <c r="BI257" s="329"/>
      <c r="BJ257" s="329"/>
      <c r="BK257" s="329">
        <v>0</v>
      </c>
      <c r="BL257" s="329"/>
      <c r="BM257" s="331" t="s">
        <v>27</v>
      </c>
      <c r="BN257" s="329" t="s">
        <v>922</v>
      </c>
      <c r="BO257" s="333">
        <v>43754</v>
      </c>
      <c r="BP257" s="329"/>
      <c r="BQ257" s="329"/>
      <c r="BR257" s="329"/>
      <c r="BS257" s="329"/>
      <c r="BT257" s="329"/>
      <c r="BU257" s="331" t="s">
        <v>261</v>
      </c>
      <c r="BV257" s="329"/>
      <c r="BW257" s="329"/>
      <c r="BX257" s="329"/>
      <c r="BY257" s="331" t="s">
        <v>3678</v>
      </c>
      <c r="BZ257" s="331" t="s">
        <v>3679</v>
      </c>
      <c r="CA257" s="331" t="s">
        <v>3680</v>
      </c>
      <c r="CB257" s="331" t="s">
        <v>344</v>
      </c>
      <c r="CC257" s="331" t="s">
        <v>3681</v>
      </c>
    </row>
    <row r="258" spans="1:81" x14ac:dyDescent="0.25">
      <c r="A258" s="329">
        <v>197627</v>
      </c>
      <c r="B258" s="331" t="s">
        <v>3682</v>
      </c>
      <c r="C258" s="329">
        <v>34927</v>
      </c>
      <c r="D258" s="331" t="s">
        <v>877</v>
      </c>
      <c r="E258" s="331" t="s">
        <v>3683</v>
      </c>
      <c r="F258" s="331" t="s">
        <v>3684</v>
      </c>
      <c r="G258" s="331" t="s">
        <v>3685</v>
      </c>
      <c r="H258" s="331" t="s">
        <v>3686</v>
      </c>
      <c r="I258" s="331" t="s">
        <v>3687</v>
      </c>
      <c r="J258" s="331" t="s">
        <v>297</v>
      </c>
      <c r="K258" s="331" t="s">
        <v>3688</v>
      </c>
      <c r="L258" s="329"/>
      <c r="M258" s="329">
        <v>6</v>
      </c>
      <c r="N258" s="329">
        <v>0</v>
      </c>
      <c r="O258" s="329">
        <v>3.89</v>
      </c>
      <c r="P258" s="329"/>
      <c r="Q258" s="333">
        <v>43580.30972222222</v>
      </c>
      <c r="R258" s="329"/>
      <c r="S258" s="333">
        <v>43753</v>
      </c>
      <c r="T258" s="329">
        <v>55</v>
      </c>
      <c r="U258" s="333">
        <v>43753</v>
      </c>
      <c r="V258" s="333">
        <v>44109</v>
      </c>
      <c r="W258" s="329" t="b">
        <v>1</v>
      </c>
      <c r="X258" s="331" t="s">
        <v>22</v>
      </c>
      <c r="Y258" s="329">
        <v>726</v>
      </c>
      <c r="Z258" s="331" t="s">
        <v>23</v>
      </c>
      <c r="AA258" s="331" t="s">
        <v>919</v>
      </c>
      <c r="AB258" s="331" t="s">
        <v>920</v>
      </c>
      <c r="AC258" s="331" t="s">
        <v>271</v>
      </c>
      <c r="AD258" s="331" t="s">
        <v>24</v>
      </c>
      <c r="AE258" s="329">
        <v>221</v>
      </c>
      <c r="AF258" s="331" t="s">
        <v>254</v>
      </c>
      <c r="AG258" s="329"/>
      <c r="AH258" s="329">
        <v>17</v>
      </c>
      <c r="AI258" s="331" t="s">
        <v>280</v>
      </c>
      <c r="AJ258" s="331" t="s">
        <v>281</v>
      </c>
      <c r="AK258" s="329"/>
      <c r="AL258" s="329"/>
      <c r="AM258" s="329"/>
      <c r="AN258" s="329"/>
      <c r="AO258" s="329"/>
      <c r="AP258" s="329"/>
      <c r="AQ258" s="329"/>
      <c r="AR258" s="329"/>
      <c r="AS258" s="329"/>
      <c r="AT258" s="329" t="s">
        <v>258</v>
      </c>
      <c r="AU258" s="329" t="s">
        <v>256</v>
      </c>
      <c r="AV258" s="331" t="s">
        <v>297</v>
      </c>
      <c r="AW258" s="329"/>
      <c r="AX258" s="329"/>
      <c r="AY258" s="329"/>
      <c r="AZ258" s="329"/>
      <c r="BA258" s="329"/>
      <c r="BB258" s="329"/>
      <c r="BC258" s="329"/>
      <c r="BD258" s="329"/>
      <c r="BE258" s="329" t="s">
        <v>257</v>
      </c>
      <c r="BF258" s="329" t="s">
        <v>838</v>
      </c>
      <c r="BG258" s="329"/>
      <c r="BH258" s="329"/>
      <c r="BI258" s="329"/>
      <c r="BJ258" s="329"/>
      <c r="BK258" s="329">
        <v>15600</v>
      </c>
      <c r="BL258" s="329"/>
      <c r="BM258" s="331" t="s">
        <v>259</v>
      </c>
      <c r="BN258" s="329" t="s">
        <v>922</v>
      </c>
      <c r="BO258" s="333">
        <v>43754</v>
      </c>
      <c r="BP258" s="329"/>
      <c r="BQ258" s="329"/>
      <c r="BR258" s="329"/>
      <c r="BS258" s="329"/>
      <c r="BT258" s="329"/>
      <c r="BU258" s="331" t="s">
        <v>261</v>
      </c>
      <c r="BV258" s="329"/>
      <c r="BW258" s="329"/>
      <c r="BX258" s="329"/>
      <c r="BY258" s="331" t="s">
        <v>3689</v>
      </c>
      <c r="BZ258" s="331" t="s">
        <v>814</v>
      </c>
      <c r="CA258" s="331" t="s">
        <v>3687</v>
      </c>
      <c r="CB258" s="331" t="s">
        <v>297</v>
      </c>
      <c r="CC258" s="331" t="s">
        <v>304</v>
      </c>
    </row>
    <row r="259" spans="1:81" x14ac:dyDescent="0.25">
      <c r="A259" s="329">
        <v>197215</v>
      </c>
      <c r="B259" s="331" t="s">
        <v>3699</v>
      </c>
      <c r="C259" s="329">
        <v>34819</v>
      </c>
      <c r="D259" s="331" t="s">
        <v>3700</v>
      </c>
      <c r="E259" s="331" t="s">
        <v>3683</v>
      </c>
      <c r="F259" s="331" t="s">
        <v>3701</v>
      </c>
      <c r="G259" s="331" t="s">
        <v>3702</v>
      </c>
      <c r="H259" s="331" t="s">
        <v>3703</v>
      </c>
      <c r="I259" s="331" t="s">
        <v>3704</v>
      </c>
      <c r="J259" s="331" t="s">
        <v>279</v>
      </c>
      <c r="K259" s="331" t="s">
        <v>3705</v>
      </c>
      <c r="L259" s="329"/>
      <c r="M259" s="329">
        <v>6</v>
      </c>
      <c r="N259" s="329">
        <v>0</v>
      </c>
      <c r="O259" s="329">
        <v>3.11</v>
      </c>
      <c r="P259" s="329"/>
      <c r="Q259" s="333">
        <v>43695.409722222219</v>
      </c>
      <c r="R259" s="329"/>
      <c r="S259" s="333">
        <v>43753</v>
      </c>
      <c r="T259" s="329">
        <v>55</v>
      </c>
      <c r="U259" s="333">
        <v>43753</v>
      </c>
      <c r="V259" s="333">
        <v>44109</v>
      </c>
      <c r="W259" s="329" t="b">
        <v>1</v>
      </c>
      <c r="X259" s="331" t="s">
        <v>22</v>
      </c>
      <c r="Y259" s="329">
        <v>429</v>
      </c>
      <c r="Z259" s="331" t="s">
        <v>23</v>
      </c>
      <c r="AA259" s="331" t="s">
        <v>919</v>
      </c>
      <c r="AB259" s="331" t="s">
        <v>920</v>
      </c>
      <c r="AC259" s="331" t="s">
        <v>3706</v>
      </c>
      <c r="AD259" s="331" t="s">
        <v>24</v>
      </c>
      <c r="AE259" s="329">
        <v>221</v>
      </c>
      <c r="AF259" s="331" t="s">
        <v>254</v>
      </c>
      <c r="AG259" s="329"/>
      <c r="AH259" s="329">
        <v>17</v>
      </c>
      <c r="AI259" s="331" t="s">
        <v>280</v>
      </c>
      <c r="AJ259" s="331" t="s">
        <v>281</v>
      </c>
      <c r="AK259" s="329"/>
      <c r="AL259" s="329"/>
      <c r="AM259" s="329"/>
      <c r="AN259" s="329"/>
      <c r="AO259" s="329"/>
      <c r="AP259" s="331" t="s">
        <v>489</v>
      </c>
      <c r="AQ259" s="329">
        <v>530</v>
      </c>
      <c r="AR259" s="329">
        <v>460</v>
      </c>
      <c r="AS259" s="329"/>
      <c r="AT259" s="329" t="s">
        <v>365</v>
      </c>
      <c r="AU259" s="329" t="s">
        <v>283</v>
      </c>
      <c r="AV259" s="331" t="s">
        <v>279</v>
      </c>
      <c r="AW259" s="329"/>
      <c r="AX259" s="329"/>
      <c r="AY259" s="329"/>
      <c r="AZ259" s="329"/>
      <c r="BA259" s="329"/>
      <c r="BB259" s="329"/>
      <c r="BC259" s="329"/>
      <c r="BD259" s="329"/>
      <c r="BE259" s="329" t="s">
        <v>257</v>
      </c>
      <c r="BF259" s="329" t="s">
        <v>830</v>
      </c>
      <c r="BG259" s="329"/>
      <c r="BH259" s="329"/>
      <c r="BI259" s="329"/>
      <c r="BJ259" s="329"/>
      <c r="BK259" s="329">
        <v>12000</v>
      </c>
      <c r="BL259" s="329"/>
      <c r="BM259" s="331" t="s">
        <v>26</v>
      </c>
      <c r="BN259" s="329" t="s">
        <v>922</v>
      </c>
      <c r="BO259" s="333">
        <v>43754</v>
      </c>
      <c r="BP259" s="329"/>
      <c r="BQ259" s="329"/>
      <c r="BR259" s="329"/>
      <c r="BS259" s="329"/>
      <c r="BT259" s="329"/>
      <c r="BU259" s="331" t="s">
        <v>261</v>
      </c>
      <c r="BV259" s="329"/>
      <c r="BW259" s="329"/>
      <c r="BX259" s="329"/>
      <c r="BY259" s="331" t="s">
        <v>3707</v>
      </c>
      <c r="BZ259" s="331" t="s">
        <v>3708</v>
      </c>
      <c r="CA259" s="331" t="s">
        <v>3709</v>
      </c>
      <c r="CB259" s="331" t="s">
        <v>279</v>
      </c>
      <c r="CC259" s="331" t="s">
        <v>3710</v>
      </c>
    </row>
    <row r="260" spans="1:81" x14ac:dyDescent="0.25">
      <c r="A260" s="329">
        <v>193530</v>
      </c>
      <c r="B260" s="331" t="s">
        <v>3711</v>
      </c>
      <c r="C260" s="329">
        <v>33883</v>
      </c>
      <c r="D260" s="331" t="s">
        <v>3712</v>
      </c>
      <c r="E260" s="331" t="s">
        <v>467</v>
      </c>
      <c r="F260" s="331" t="s">
        <v>3713</v>
      </c>
      <c r="G260" s="331" t="s">
        <v>4582</v>
      </c>
      <c r="H260" s="331" t="s">
        <v>4583</v>
      </c>
      <c r="I260" s="331" t="s">
        <v>1943</v>
      </c>
      <c r="J260" s="331" t="s">
        <v>396</v>
      </c>
      <c r="K260" s="331" t="s">
        <v>3714</v>
      </c>
      <c r="L260" s="329"/>
      <c r="M260" s="329">
        <v>6</v>
      </c>
      <c r="N260" s="329">
        <v>0</v>
      </c>
      <c r="O260" s="329">
        <v>3.0832999999999999</v>
      </c>
      <c r="P260" s="329"/>
      <c r="Q260" s="333">
        <v>43628.694444444445</v>
      </c>
      <c r="R260" s="329"/>
      <c r="S260" s="333">
        <v>43752</v>
      </c>
      <c r="T260" s="329">
        <v>55</v>
      </c>
      <c r="U260" s="333">
        <v>43752</v>
      </c>
      <c r="V260" s="333">
        <v>44109</v>
      </c>
      <c r="W260" s="329" t="b">
        <v>1</v>
      </c>
      <c r="X260" s="331" t="s">
        <v>22</v>
      </c>
      <c r="Y260" s="329">
        <v>726</v>
      </c>
      <c r="Z260" s="331" t="s">
        <v>23</v>
      </c>
      <c r="AA260" s="331" t="s">
        <v>919</v>
      </c>
      <c r="AB260" s="331" t="s">
        <v>920</v>
      </c>
      <c r="AC260" s="331" t="s">
        <v>1011</v>
      </c>
      <c r="AD260" s="331" t="s">
        <v>24</v>
      </c>
      <c r="AE260" s="329">
        <v>221</v>
      </c>
      <c r="AF260" s="331" t="s">
        <v>254</v>
      </c>
      <c r="AG260" s="329"/>
      <c r="AH260" s="329">
        <v>17</v>
      </c>
      <c r="AI260" s="331" t="s">
        <v>280</v>
      </c>
      <c r="AJ260" s="331" t="s">
        <v>281</v>
      </c>
      <c r="AK260" s="331" t="s">
        <v>299</v>
      </c>
      <c r="AL260" s="331" t="s">
        <v>330</v>
      </c>
      <c r="AM260" s="331" t="s">
        <v>363</v>
      </c>
      <c r="AN260" s="331" t="s">
        <v>290</v>
      </c>
      <c r="AO260" s="331" t="s">
        <v>275</v>
      </c>
      <c r="AP260" s="329"/>
      <c r="AQ260" s="329"/>
      <c r="AR260" s="329"/>
      <c r="AS260" s="329"/>
      <c r="AT260" s="329" t="s">
        <v>365</v>
      </c>
      <c r="AU260" s="329" t="s">
        <v>256</v>
      </c>
      <c r="AV260" s="331" t="s">
        <v>396</v>
      </c>
      <c r="AW260" s="329"/>
      <c r="AX260" s="329"/>
      <c r="AY260" s="329"/>
      <c r="AZ260" s="329"/>
      <c r="BA260" s="329"/>
      <c r="BB260" s="329"/>
      <c r="BC260" s="329"/>
      <c r="BD260" s="329"/>
      <c r="BE260" s="329"/>
      <c r="BF260" s="329"/>
      <c r="BG260" s="329"/>
      <c r="BH260" s="329"/>
      <c r="BI260" s="329"/>
      <c r="BJ260" s="329"/>
      <c r="BK260" s="329">
        <v>0</v>
      </c>
      <c r="BL260" s="329"/>
      <c r="BM260" s="331" t="s">
        <v>267</v>
      </c>
      <c r="BN260" s="329" t="s">
        <v>922</v>
      </c>
      <c r="BO260" s="333">
        <v>43754</v>
      </c>
      <c r="BP260" s="329"/>
      <c r="BQ260" s="329"/>
      <c r="BR260" s="329"/>
      <c r="BS260" s="329"/>
      <c r="BT260" s="329"/>
      <c r="BU260" s="331" t="s">
        <v>261</v>
      </c>
      <c r="BV260" s="329"/>
      <c r="BW260" s="329"/>
      <c r="BX260" s="329"/>
      <c r="BY260" s="331" t="s">
        <v>3715</v>
      </c>
      <c r="BZ260" s="331" t="s">
        <v>3716</v>
      </c>
      <c r="CA260" s="331" t="s">
        <v>3717</v>
      </c>
      <c r="CB260" s="331" t="s">
        <v>396</v>
      </c>
      <c r="CC260" s="331" t="s">
        <v>3718</v>
      </c>
    </row>
    <row r="261" spans="1:81" x14ac:dyDescent="0.25">
      <c r="A261" s="329">
        <v>196516</v>
      </c>
      <c r="B261" s="331" t="s">
        <v>3719</v>
      </c>
      <c r="C261" s="329">
        <v>34671</v>
      </c>
      <c r="D261" s="331" t="s">
        <v>3720</v>
      </c>
      <c r="E261" s="331" t="s">
        <v>3721</v>
      </c>
      <c r="F261" s="331" t="s">
        <v>3722</v>
      </c>
      <c r="G261" s="331" t="s">
        <v>3723</v>
      </c>
      <c r="H261" s="331" t="s">
        <v>3724</v>
      </c>
      <c r="I261" s="331" t="s">
        <v>3725</v>
      </c>
      <c r="J261" s="331" t="s">
        <v>321</v>
      </c>
      <c r="K261" s="331" t="s">
        <v>3726</v>
      </c>
      <c r="L261" s="329"/>
      <c r="M261" s="329">
        <v>6</v>
      </c>
      <c r="N261" s="329">
        <v>0</v>
      </c>
      <c r="O261" s="329">
        <v>3.7857099999999999</v>
      </c>
      <c r="P261" s="329"/>
      <c r="Q261" s="333">
        <v>43703.753472222219</v>
      </c>
      <c r="R261" s="329"/>
      <c r="S261" s="333">
        <v>43753</v>
      </c>
      <c r="T261" s="329">
        <v>55</v>
      </c>
      <c r="U261" s="333">
        <v>43753</v>
      </c>
      <c r="V261" s="333">
        <v>44109</v>
      </c>
      <c r="W261" s="329" t="b">
        <v>1</v>
      </c>
      <c r="X261" s="331" t="s">
        <v>187</v>
      </c>
      <c r="Y261" s="329">
        <v>718</v>
      </c>
      <c r="Z261" s="331" t="s">
        <v>23</v>
      </c>
      <c r="AA261" s="331" t="s">
        <v>919</v>
      </c>
      <c r="AB261" s="331" t="s">
        <v>920</v>
      </c>
      <c r="AC261" s="331" t="s">
        <v>264</v>
      </c>
      <c r="AD261" s="331" t="s">
        <v>24</v>
      </c>
      <c r="AE261" s="329">
        <v>221</v>
      </c>
      <c r="AF261" s="331" t="s">
        <v>254</v>
      </c>
      <c r="AG261" s="329"/>
      <c r="AH261" s="329">
        <v>17</v>
      </c>
      <c r="AI261" s="331" t="s">
        <v>280</v>
      </c>
      <c r="AJ261" s="331" t="s">
        <v>281</v>
      </c>
      <c r="AK261" s="331" t="s">
        <v>331</v>
      </c>
      <c r="AL261" s="331" t="s">
        <v>275</v>
      </c>
      <c r="AM261" s="331" t="s">
        <v>330</v>
      </c>
      <c r="AN261" s="331" t="s">
        <v>363</v>
      </c>
      <c r="AO261" s="331" t="s">
        <v>331</v>
      </c>
      <c r="AP261" s="329"/>
      <c r="AQ261" s="329"/>
      <c r="AR261" s="329"/>
      <c r="AS261" s="329"/>
      <c r="AT261" s="329" t="s">
        <v>833</v>
      </c>
      <c r="AU261" s="329" t="s">
        <v>283</v>
      </c>
      <c r="AV261" s="331" t="s">
        <v>321</v>
      </c>
      <c r="AW261" s="329"/>
      <c r="AX261" s="329"/>
      <c r="AY261" s="329"/>
      <c r="AZ261" s="329"/>
      <c r="BA261" s="329"/>
      <c r="BB261" s="329"/>
      <c r="BC261" s="329"/>
      <c r="BD261" s="329"/>
      <c r="BE261" s="329" t="s">
        <v>257</v>
      </c>
      <c r="BF261" s="329" t="s">
        <v>837</v>
      </c>
      <c r="BG261" s="329"/>
      <c r="BH261" s="329"/>
      <c r="BI261" s="329"/>
      <c r="BJ261" s="329"/>
      <c r="BK261" s="329">
        <v>15000</v>
      </c>
      <c r="BL261" s="329"/>
      <c r="BM261" s="331" t="s">
        <v>295</v>
      </c>
      <c r="BN261" s="329" t="s">
        <v>922</v>
      </c>
      <c r="BO261" s="333">
        <v>43754</v>
      </c>
      <c r="BP261" s="329"/>
      <c r="BQ261" s="329"/>
      <c r="BR261" s="329"/>
      <c r="BS261" s="329"/>
      <c r="BT261" s="329"/>
      <c r="BU261" s="331" t="s">
        <v>261</v>
      </c>
      <c r="BV261" s="329"/>
      <c r="BW261" s="329"/>
      <c r="BX261" s="329"/>
      <c r="BY261" s="331" t="s">
        <v>3727</v>
      </c>
      <c r="BZ261" s="331" t="s">
        <v>3728</v>
      </c>
      <c r="CA261" s="331" t="s">
        <v>3729</v>
      </c>
      <c r="CB261" s="331" t="s">
        <v>321</v>
      </c>
      <c r="CC261" s="331" t="s">
        <v>3730</v>
      </c>
    </row>
    <row r="262" spans="1:81" x14ac:dyDescent="0.25">
      <c r="A262" s="329">
        <v>197102</v>
      </c>
      <c r="B262" s="331" t="s">
        <v>3752</v>
      </c>
      <c r="C262" s="329">
        <v>34813</v>
      </c>
      <c r="D262" s="331" t="s">
        <v>577</v>
      </c>
      <c r="E262" s="331" t="s">
        <v>2143</v>
      </c>
      <c r="F262" s="331" t="s">
        <v>3753</v>
      </c>
      <c r="G262" s="331" t="s">
        <v>3754</v>
      </c>
      <c r="H262" s="331" t="s">
        <v>3755</v>
      </c>
      <c r="I262" s="331" t="s">
        <v>3756</v>
      </c>
      <c r="J262" s="331" t="s">
        <v>292</v>
      </c>
      <c r="K262" s="331" t="s">
        <v>3757</v>
      </c>
      <c r="L262" s="329"/>
      <c r="M262" s="329">
        <v>6</v>
      </c>
      <c r="N262" s="329">
        <v>0</v>
      </c>
      <c r="O262" s="329">
        <v>4.0999999999999996</v>
      </c>
      <c r="P262" s="329"/>
      <c r="Q262" s="333">
        <v>43709.856249999997</v>
      </c>
      <c r="R262" s="329"/>
      <c r="S262" s="333">
        <v>43753</v>
      </c>
      <c r="T262" s="329">
        <v>55</v>
      </c>
      <c r="U262" s="333">
        <v>43753</v>
      </c>
      <c r="V262" s="333">
        <v>44109</v>
      </c>
      <c r="W262" s="329" t="b">
        <v>1</v>
      </c>
      <c r="X262" s="331" t="s">
        <v>905</v>
      </c>
      <c r="Y262" s="329">
        <v>747</v>
      </c>
      <c r="Z262" s="331" t="s">
        <v>23</v>
      </c>
      <c r="AA262" s="331" t="s">
        <v>919</v>
      </c>
      <c r="AB262" s="331" t="s">
        <v>920</v>
      </c>
      <c r="AC262" s="331" t="s">
        <v>364</v>
      </c>
      <c r="AD262" s="331" t="s">
        <v>24</v>
      </c>
      <c r="AE262" s="329">
        <v>221</v>
      </c>
      <c r="AF262" s="331" t="s">
        <v>254</v>
      </c>
      <c r="AG262" s="329"/>
      <c r="AH262" s="329">
        <v>17</v>
      </c>
      <c r="AI262" s="331" t="s">
        <v>280</v>
      </c>
      <c r="AJ262" s="331" t="s">
        <v>281</v>
      </c>
      <c r="AK262" s="331" t="s">
        <v>300</v>
      </c>
      <c r="AL262" s="331" t="s">
        <v>301</v>
      </c>
      <c r="AM262" s="331" t="s">
        <v>274</v>
      </c>
      <c r="AN262" s="331" t="s">
        <v>363</v>
      </c>
      <c r="AO262" s="331" t="s">
        <v>287</v>
      </c>
      <c r="AP262" s="331" t="s">
        <v>437</v>
      </c>
      <c r="AQ262" s="329">
        <v>550</v>
      </c>
      <c r="AR262" s="329">
        <v>510</v>
      </c>
      <c r="AS262" s="329"/>
      <c r="AT262" s="329" t="s">
        <v>258</v>
      </c>
      <c r="AU262" s="329" t="s">
        <v>283</v>
      </c>
      <c r="AV262" s="331" t="s">
        <v>292</v>
      </c>
      <c r="AW262" s="329"/>
      <c r="AX262" s="329"/>
      <c r="AY262" s="329"/>
      <c r="AZ262" s="329"/>
      <c r="BA262" s="329"/>
      <c r="BB262" s="329"/>
      <c r="BC262" s="329"/>
      <c r="BD262" s="329"/>
      <c r="BE262" s="329" t="s">
        <v>257</v>
      </c>
      <c r="BF262" s="329" t="s">
        <v>834</v>
      </c>
      <c r="BG262" s="329"/>
      <c r="BH262" s="329"/>
      <c r="BI262" s="329"/>
      <c r="BJ262" s="329"/>
      <c r="BK262" s="329">
        <v>20400</v>
      </c>
      <c r="BL262" s="329"/>
      <c r="BM262" s="331" t="s">
        <v>278</v>
      </c>
      <c r="BN262" s="329" t="s">
        <v>922</v>
      </c>
      <c r="BO262" s="333">
        <v>43754</v>
      </c>
      <c r="BP262" s="329"/>
      <c r="BQ262" s="329"/>
      <c r="BR262" s="329"/>
      <c r="BS262" s="329"/>
      <c r="BT262" s="329"/>
      <c r="BU262" s="331" t="s">
        <v>261</v>
      </c>
      <c r="BV262" s="329"/>
      <c r="BW262" s="329"/>
      <c r="BX262" s="329"/>
      <c r="BY262" s="331" t="s">
        <v>3758</v>
      </c>
      <c r="BZ262" s="331" t="s">
        <v>3759</v>
      </c>
      <c r="CA262" s="331" t="s">
        <v>3760</v>
      </c>
      <c r="CB262" s="331" t="s">
        <v>292</v>
      </c>
      <c r="CC262" s="331" t="s">
        <v>3761</v>
      </c>
    </row>
    <row r="263" spans="1:81" x14ac:dyDescent="0.25">
      <c r="A263" s="329">
        <v>198623</v>
      </c>
      <c r="B263" s="331" t="s">
        <v>3774</v>
      </c>
      <c r="C263" s="329">
        <v>35332</v>
      </c>
      <c r="D263" s="331" t="s">
        <v>3775</v>
      </c>
      <c r="E263" s="331" t="s">
        <v>326</v>
      </c>
      <c r="F263" s="331" t="s">
        <v>3776</v>
      </c>
      <c r="G263" s="331" t="s">
        <v>3777</v>
      </c>
      <c r="H263" s="331" t="s">
        <v>3778</v>
      </c>
      <c r="I263" s="331" t="s">
        <v>3779</v>
      </c>
      <c r="J263" s="331" t="s">
        <v>187</v>
      </c>
      <c r="K263" s="331" t="s">
        <v>3780</v>
      </c>
      <c r="L263" s="329"/>
      <c r="M263" s="329">
        <v>6</v>
      </c>
      <c r="N263" s="329">
        <v>0</v>
      </c>
      <c r="O263" s="329">
        <v>3.82</v>
      </c>
      <c r="P263" s="329"/>
      <c r="Q263" s="333">
        <v>43748.544444444444</v>
      </c>
      <c r="R263" s="329"/>
      <c r="S263" s="333">
        <v>43753</v>
      </c>
      <c r="T263" s="329">
        <v>55</v>
      </c>
      <c r="U263" s="333">
        <v>43753</v>
      </c>
      <c r="V263" s="333">
        <v>44109</v>
      </c>
      <c r="W263" s="329" t="b">
        <v>1</v>
      </c>
      <c r="X263" s="331" t="s">
        <v>22</v>
      </c>
      <c r="Y263" s="329">
        <v>429</v>
      </c>
      <c r="Z263" s="331" t="s">
        <v>23</v>
      </c>
      <c r="AA263" s="331" t="s">
        <v>919</v>
      </c>
      <c r="AB263" s="331" t="s">
        <v>920</v>
      </c>
      <c r="AC263" s="331" t="s">
        <v>264</v>
      </c>
      <c r="AD263" s="331" t="s">
        <v>24</v>
      </c>
      <c r="AE263" s="329">
        <v>221</v>
      </c>
      <c r="AF263" s="331" t="s">
        <v>254</v>
      </c>
      <c r="AG263" s="329"/>
      <c r="AH263" s="329">
        <v>17</v>
      </c>
      <c r="AI263" s="331" t="s">
        <v>280</v>
      </c>
      <c r="AJ263" s="331" t="s">
        <v>281</v>
      </c>
      <c r="AK263" s="331" t="s">
        <v>300</v>
      </c>
      <c r="AL263" s="331" t="s">
        <v>300</v>
      </c>
      <c r="AM263" s="331" t="s">
        <v>274</v>
      </c>
      <c r="AN263" s="331" t="s">
        <v>290</v>
      </c>
      <c r="AO263" s="331" t="s">
        <v>299</v>
      </c>
      <c r="AP263" s="329"/>
      <c r="AQ263" s="329"/>
      <c r="AR263" s="329"/>
      <c r="AS263" s="329"/>
      <c r="AT263" s="329" t="s">
        <v>303</v>
      </c>
      <c r="AU263" s="329" t="s">
        <v>256</v>
      </c>
      <c r="AV263" s="331" t="s">
        <v>187</v>
      </c>
      <c r="AW263" s="329"/>
      <c r="AX263" s="329"/>
      <c r="AY263" s="329"/>
      <c r="AZ263" s="329"/>
      <c r="BA263" s="329"/>
      <c r="BB263" s="329"/>
      <c r="BC263" s="329"/>
      <c r="BD263" s="329"/>
      <c r="BE263" s="329" t="s">
        <v>257</v>
      </c>
      <c r="BF263" s="329" t="s">
        <v>834</v>
      </c>
      <c r="BG263" s="329"/>
      <c r="BH263" s="329"/>
      <c r="BI263" s="329"/>
      <c r="BJ263" s="329"/>
      <c r="BK263" s="329">
        <v>20400</v>
      </c>
      <c r="BL263" s="329"/>
      <c r="BM263" s="331" t="s">
        <v>278</v>
      </c>
      <c r="BN263" s="329" t="s">
        <v>922</v>
      </c>
      <c r="BO263" s="333">
        <v>43754</v>
      </c>
      <c r="BP263" s="329"/>
      <c r="BQ263" s="329"/>
      <c r="BR263" s="329"/>
      <c r="BS263" s="329"/>
      <c r="BT263" s="329"/>
      <c r="BU263" s="331" t="s">
        <v>261</v>
      </c>
      <c r="BV263" s="329"/>
      <c r="BW263" s="329"/>
      <c r="BX263" s="329"/>
      <c r="BY263" s="331" t="s">
        <v>3781</v>
      </c>
      <c r="BZ263" s="331" t="s">
        <v>3782</v>
      </c>
      <c r="CA263" s="331" t="s">
        <v>3783</v>
      </c>
      <c r="CB263" s="331" t="s">
        <v>187</v>
      </c>
      <c r="CC263" s="331" t="s">
        <v>3780</v>
      </c>
    </row>
    <row r="264" spans="1:81" x14ac:dyDescent="0.25">
      <c r="A264" s="329">
        <v>197549</v>
      </c>
      <c r="B264" s="331" t="s">
        <v>3804</v>
      </c>
      <c r="C264" s="329">
        <v>34901</v>
      </c>
      <c r="D264" s="331" t="s">
        <v>3805</v>
      </c>
      <c r="E264" s="331" t="s">
        <v>3806</v>
      </c>
      <c r="F264" s="331" t="s">
        <v>3807</v>
      </c>
      <c r="G264" s="331" t="s">
        <v>3808</v>
      </c>
      <c r="H264" s="331" t="s">
        <v>3809</v>
      </c>
      <c r="I264" s="331" t="s">
        <v>3810</v>
      </c>
      <c r="J264" s="331" t="s">
        <v>251</v>
      </c>
      <c r="K264" s="331" t="s">
        <v>3811</v>
      </c>
      <c r="L264" s="329"/>
      <c r="M264" s="329">
        <v>6</v>
      </c>
      <c r="N264" s="329">
        <v>0</v>
      </c>
      <c r="O264" s="329">
        <v>3.7957999999999998</v>
      </c>
      <c r="P264" s="329"/>
      <c r="Q264" s="333">
        <v>43719.618750000001</v>
      </c>
      <c r="R264" s="329"/>
      <c r="S264" s="333">
        <v>43753</v>
      </c>
      <c r="T264" s="329">
        <v>55</v>
      </c>
      <c r="U264" s="333">
        <v>43753</v>
      </c>
      <c r="V264" s="333">
        <v>44109</v>
      </c>
      <c r="W264" s="329" t="b">
        <v>1</v>
      </c>
      <c r="X264" s="331" t="s">
        <v>22</v>
      </c>
      <c r="Y264" s="329">
        <v>726</v>
      </c>
      <c r="Z264" s="331" t="s">
        <v>25</v>
      </c>
      <c r="AA264" s="331" t="s">
        <v>919</v>
      </c>
      <c r="AB264" s="331" t="s">
        <v>920</v>
      </c>
      <c r="AC264" s="331" t="s">
        <v>264</v>
      </c>
      <c r="AD264" s="331" t="s">
        <v>24</v>
      </c>
      <c r="AE264" s="329">
        <v>221</v>
      </c>
      <c r="AF264" s="331" t="s">
        <v>254</v>
      </c>
      <c r="AG264" s="329"/>
      <c r="AH264" s="329">
        <v>17</v>
      </c>
      <c r="AI264" s="331" t="s">
        <v>280</v>
      </c>
      <c r="AJ264" s="331" t="s">
        <v>281</v>
      </c>
      <c r="AK264" s="331" t="s">
        <v>272</v>
      </c>
      <c r="AL264" s="331" t="s">
        <v>287</v>
      </c>
      <c r="AM264" s="331" t="s">
        <v>275</v>
      </c>
      <c r="AN264" s="331" t="s">
        <v>287</v>
      </c>
      <c r="AO264" s="331" t="s">
        <v>287</v>
      </c>
      <c r="AP264" s="331" t="s">
        <v>405</v>
      </c>
      <c r="AQ264" s="329">
        <v>610</v>
      </c>
      <c r="AR264" s="329">
        <v>630</v>
      </c>
      <c r="AS264" s="329"/>
      <c r="AT264" s="329" t="s">
        <v>398</v>
      </c>
      <c r="AU264" s="329" t="s">
        <v>283</v>
      </c>
      <c r="AV264" s="331" t="s">
        <v>251</v>
      </c>
      <c r="AW264" s="329"/>
      <c r="AX264" s="329"/>
      <c r="AY264" s="329"/>
      <c r="AZ264" s="329"/>
      <c r="BA264" s="329"/>
      <c r="BB264" s="329"/>
      <c r="BC264" s="329"/>
      <c r="BD264" s="329"/>
      <c r="BE264" s="329" t="s">
        <v>257</v>
      </c>
      <c r="BF264" s="329" t="s">
        <v>834</v>
      </c>
      <c r="BG264" s="329"/>
      <c r="BH264" s="329"/>
      <c r="BI264" s="329"/>
      <c r="BJ264" s="329"/>
      <c r="BK264" s="329">
        <v>20400</v>
      </c>
      <c r="BL264" s="329"/>
      <c r="BM264" s="331" t="s">
        <v>278</v>
      </c>
      <c r="BN264" s="329" t="s">
        <v>922</v>
      </c>
      <c r="BO264" s="333">
        <v>43754</v>
      </c>
      <c r="BP264" s="329"/>
      <c r="BQ264" s="329"/>
      <c r="BR264" s="329"/>
      <c r="BS264" s="329"/>
      <c r="BT264" s="329"/>
      <c r="BU264" s="331" t="s">
        <v>261</v>
      </c>
      <c r="BV264" s="329"/>
      <c r="BW264" s="329"/>
      <c r="BX264" s="329"/>
      <c r="BY264" s="331" t="s">
        <v>3812</v>
      </c>
      <c r="BZ264" s="331" t="s">
        <v>3813</v>
      </c>
      <c r="CA264" s="331" t="s">
        <v>3814</v>
      </c>
      <c r="CB264" s="331" t="s">
        <v>251</v>
      </c>
      <c r="CC264" s="331" t="s">
        <v>3811</v>
      </c>
    </row>
    <row r="265" spans="1:81" x14ac:dyDescent="0.25">
      <c r="A265" s="329">
        <v>193206</v>
      </c>
      <c r="B265" s="331" t="s">
        <v>3815</v>
      </c>
      <c r="C265" s="329">
        <v>33790</v>
      </c>
      <c r="D265" s="331" t="s">
        <v>3816</v>
      </c>
      <c r="E265" s="331" t="s">
        <v>3817</v>
      </c>
      <c r="F265" s="331" t="s">
        <v>3818</v>
      </c>
      <c r="G265" s="331" t="s">
        <v>3819</v>
      </c>
      <c r="H265" s="331" t="s">
        <v>3820</v>
      </c>
      <c r="I265" s="331" t="s">
        <v>3821</v>
      </c>
      <c r="J265" s="331" t="s">
        <v>392</v>
      </c>
      <c r="K265" s="331" t="s">
        <v>3822</v>
      </c>
      <c r="L265" s="329"/>
      <c r="M265" s="329">
        <v>6</v>
      </c>
      <c r="N265" s="329">
        <v>0</v>
      </c>
      <c r="O265" s="329">
        <v>3.6</v>
      </c>
      <c r="P265" s="329"/>
      <c r="Q265" s="333">
        <v>43627.463888888888</v>
      </c>
      <c r="R265" s="329"/>
      <c r="S265" s="333">
        <v>43753</v>
      </c>
      <c r="T265" s="329">
        <v>55</v>
      </c>
      <c r="U265" s="333">
        <v>43753</v>
      </c>
      <c r="V265" s="333">
        <v>44109</v>
      </c>
      <c r="W265" s="329" t="b">
        <v>1</v>
      </c>
      <c r="X265" s="331" t="s">
        <v>22</v>
      </c>
      <c r="Y265" s="329">
        <v>726</v>
      </c>
      <c r="Z265" s="331" t="s">
        <v>23</v>
      </c>
      <c r="AA265" s="331" t="s">
        <v>919</v>
      </c>
      <c r="AB265" s="331" t="s">
        <v>920</v>
      </c>
      <c r="AC265" s="331" t="s">
        <v>720</v>
      </c>
      <c r="AD265" s="331" t="s">
        <v>24</v>
      </c>
      <c r="AE265" s="329">
        <v>221</v>
      </c>
      <c r="AF265" s="331" t="s">
        <v>254</v>
      </c>
      <c r="AG265" s="329"/>
      <c r="AH265" s="329">
        <v>17</v>
      </c>
      <c r="AI265" s="331" t="s">
        <v>280</v>
      </c>
      <c r="AJ265" s="331" t="s">
        <v>281</v>
      </c>
      <c r="AK265" s="331" t="s">
        <v>274</v>
      </c>
      <c r="AL265" s="331" t="s">
        <v>290</v>
      </c>
      <c r="AM265" s="331" t="s">
        <v>287</v>
      </c>
      <c r="AN265" s="331" t="s">
        <v>275</v>
      </c>
      <c r="AO265" s="331" t="s">
        <v>272</v>
      </c>
      <c r="AP265" s="329"/>
      <c r="AQ265" s="329"/>
      <c r="AR265" s="329"/>
      <c r="AS265" s="329"/>
      <c r="AT265" s="329" t="s">
        <v>303</v>
      </c>
      <c r="AU265" s="329" t="s">
        <v>256</v>
      </c>
      <c r="AV265" s="331" t="s">
        <v>392</v>
      </c>
      <c r="AW265" s="329"/>
      <c r="AX265" s="329"/>
      <c r="AY265" s="329"/>
      <c r="AZ265" s="329"/>
      <c r="BA265" s="329"/>
      <c r="BB265" s="329"/>
      <c r="BC265" s="329"/>
      <c r="BD265" s="329"/>
      <c r="BE265" s="329" t="s">
        <v>257</v>
      </c>
      <c r="BF265" s="329" t="s">
        <v>834</v>
      </c>
      <c r="BG265" s="329"/>
      <c r="BH265" s="329"/>
      <c r="BI265" s="329"/>
      <c r="BJ265" s="329"/>
      <c r="BK265" s="329">
        <v>20400</v>
      </c>
      <c r="BL265" s="329"/>
      <c r="BM265" s="331" t="s">
        <v>278</v>
      </c>
      <c r="BN265" s="329" t="s">
        <v>922</v>
      </c>
      <c r="BO265" s="333">
        <v>43754</v>
      </c>
      <c r="BP265" s="329"/>
      <c r="BQ265" s="329"/>
      <c r="BR265" s="329"/>
      <c r="BS265" s="329"/>
      <c r="BT265" s="329"/>
      <c r="BU265" s="331" t="s">
        <v>261</v>
      </c>
      <c r="BV265" s="329"/>
      <c r="BW265" s="329"/>
      <c r="BX265" s="329"/>
      <c r="BY265" s="331" t="s">
        <v>3823</v>
      </c>
      <c r="BZ265" s="331" t="s">
        <v>3824</v>
      </c>
      <c r="CA265" s="331" t="s">
        <v>3825</v>
      </c>
      <c r="CB265" s="331" t="s">
        <v>392</v>
      </c>
      <c r="CC265" s="331" t="s">
        <v>3826</v>
      </c>
    </row>
    <row r="266" spans="1:81" x14ac:dyDescent="0.25">
      <c r="A266" s="329">
        <v>197751</v>
      </c>
      <c r="B266" s="331" t="s">
        <v>3827</v>
      </c>
      <c r="C266" s="329">
        <v>34978</v>
      </c>
      <c r="D266" s="331" t="s">
        <v>3828</v>
      </c>
      <c r="E266" s="331" t="s">
        <v>3829</v>
      </c>
      <c r="F266" s="331" t="s">
        <v>3830</v>
      </c>
      <c r="G266" s="331" t="s">
        <v>3831</v>
      </c>
      <c r="H266" s="331" t="s">
        <v>3832</v>
      </c>
      <c r="I266" s="331" t="s">
        <v>381</v>
      </c>
      <c r="J266" s="331" t="s">
        <v>292</v>
      </c>
      <c r="K266" s="331" t="s">
        <v>3833</v>
      </c>
      <c r="L266" s="329"/>
      <c r="M266" s="329">
        <v>6</v>
      </c>
      <c r="N266" s="329">
        <v>0</v>
      </c>
      <c r="O266" s="329">
        <v>3.23</v>
      </c>
      <c r="P266" s="329"/>
      <c r="Q266" s="333">
        <v>43695.565972222219</v>
      </c>
      <c r="R266" s="329"/>
      <c r="S266" s="333">
        <v>43753</v>
      </c>
      <c r="T266" s="329">
        <v>55</v>
      </c>
      <c r="U266" s="333">
        <v>43753</v>
      </c>
      <c r="V266" s="333">
        <v>44109</v>
      </c>
      <c r="W266" s="329" t="b">
        <v>1</v>
      </c>
      <c r="X266" s="331" t="s">
        <v>187</v>
      </c>
      <c r="Y266" s="329">
        <v>718</v>
      </c>
      <c r="Z266" s="331" t="s">
        <v>23</v>
      </c>
      <c r="AA266" s="331" t="s">
        <v>919</v>
      </c>
      <c r="AB266" s="331" t="s">
        <v>920</v>
      </c>
      <c r="AC266" s="331" t="s">
        <v>311</v>
      </c>
      <c r="AD266" s="331" t="s">
        <v>24</v>
      </c>
      <c r="AE266" s="329">
        <v>221</v>
      </c>
      <c r="AF266" s="331" t="s">
        <v>254</v>
      </c>
      <c r="AG266" s="329"/>
      <c r="AH266" s="329">
        <v>17</v>
      </c>
      <c r="AI266" s="331" t="s">
        <v>280</v>
      </c>
      <c r="AJ266" s="331" t="s">
        <v>281</v>
      </c>
      <c r="AK266" s="329"/>
      <c r="AL266" s="329"/>
      <c r="AM266" s="329"/>
      <c r="AN266" s="329"/>
      <c r="AO266" s="329"/>
      <c r="AP266" s="331" t="s">
        <v>517</v>
      </c>
      <c r="AQ266" s="329">
        <v>780</v>
      </c>
      <c r="AR266" s="329">
        <v>570</v>
      </c>
      <c r="AS266" s="329"/>
      <c r="AT266" s="329" t="s">
        <v>303</v>
      </c>
      <c r="AU266" s="329" t="s">
        <v>283</v>
      </c>
      <c r="AV266" s="331" t="s">
        <v>292</v>
      </c>
      <c r="AW266" s="329"/>
      <c r="AX266" s="329"/>
      <c r="AY266" s="329"/>
      <c r="AZ266" s="329"/>
      <c r="BA266" s="329"/>
      <c r="BB266" s="329"/>
      <c r="BC266" s="329"/>
      <c r="BD266" s="329"/>
      <c r="BE266" s="329" t="s">
        <v>257</v>
      </c>
      <c r="BF266" s="329" t="s">
        <v>834</v>
      </c>
      <c r="BG266" s="329"/>
      <c r="BH266" s="329"/>
      <c r="BI266" s="329"/>
      <c r="BJ266" s="329"/>
      <c r="BK266" s="329">
        <v>20400</v>
      </c>
      <c r="BL266" s="329"/>
      <c r="BM266" s="331" t="s">
        <v>278</v>
      </c>
      <c r="BN266" s="329" t="s">
        <v>922</v>
      </c>
      <c r="BO266" s="333">
        <v>43754</v>
      </c>
      <c r="BP266" s="329"/>
      <c r="BQ266" s="329"/>
      <c r="BR266" s="329"/>
      <c r="BS266" s="329"/>
      <c r="BT266" s="329"/>
      <c r="BU266" s="331" t="s">
        <v>261</v>
      </c>
      <c r="BV266" s="329"/>
      <c r="BW266" s="329"/>
      <c r="BX266" s="329"/>
      <c r="BY266" s="331" t="s">
        <v>3834</v>
      </c>
      <c r="BZ266" s="331" t="s">
        <v>3835</v>
      </c>
      <c r="CA266" s="331" t="s">
        <v>1957</v>
      </c>
      <c r="CB266" s="331" t="s">
        <v>298</v>
      </c>
      <c r="CC266" s="331" t="s">
        <v>1958</v>
      </c>
    </row>
    <row r="267" spans="1:81" x14ac:dyDescent="0.25">
      <c r="A267" s="329">
        <v>197955</v>
      </c>
      <c r="B267" s="331" t="s">
        <v>3836</v>
      </c>
      <c r="C267" s="329">
        <v>35037</v>
      </c>
      <c r="D267" s="331" t="s">
        <v>3828</v>
      </c>
      <c r="E267" s="331" t="s">
        <v>535</v>
      </c>
      <c r="F267" s="331" t="s">
        <v>3837</v>
      </c>
      <c r="G267" s="331" t="s">
        <v>3838</v>
      </c>
      <c r="H267" s="331" t="s">
        <v>3839</v>
      </c>
      <c r="I267" s="331" t="s">
        <v>879</v>
      </c>
      <c r="J267" s="331" t="s">
        <v>297</v>
      </c>
      <c r="K267" s="331" t="s">
        <v>3278</v>
      </c>
      <c r="L267" s="329"/>
      <c r="M267" s="329">
        <v>6</v>
      </c>
      <c r="N267" s="329">
        <v>0</v>
      </c>
      <c r="O267" s="329">
        <v>4</v>
      </c>
      <c r="P267" s="329"/>
      <c r="Q267" s="333">
        <v>43712.729861111111</v>
      </c>
      <c r="R267" s="329"/>
      <c r="S267" s="333">
        <v>43753</v>
      </c>
      <c r="T267" s="329">
        <v>55</v>
      </c>
      <c r="U267" s="333">
        <v>43753</v>
      </c>
      <c r="V267" s="333">
        <v>44109</v>
      </c>
      <c r="W267" s="329" t="b">
        <v>1</v>
      </c>
      <c r="X267" s="331" t="s">
        <v>905</v>
      </c>
      <c r="Y267" s="329">
        <v>747</v>
      </c>
      <c r="Z267" s="331" t="s">
        <v>23</v>
      </c>
      <c r="AA267" s="331" t="s">
        <v>919</v>
      </c>
      <c r="AB267" s="331" t="s">
        <v>920</v>
      </c>
      <c r="AC267" s="331" t="s">
        <v>921</v>
      </c>
      <c r="AD267" s="331" t="s">
        <v>24</v>
      </c>
      <c r="AE267" s="329">
        <v>221</v>
      </c>
      <c r="AF267" s="331" t="s">
        <v>254</v>
      </c>
      <c r="AG267" s="329"/>
      <c r="AH267" s="329">
        <v>17</v>
      </c>
      <c r="AI267" s="331" t="s">
        <v>280</v>
      </c>
      <c r="AJ267" s="331" t="s">
        <v>281</v>
      </c>
      <c r="AK267" s="331" t="s">
        <v>351</v>
      </c>
      <c r="AL267" s="331" t="s">
        <v>285</v>
      </c>
      <c r="AM267" s="331" t="s">
        <v>366</v>
      </c>
      <c r="AN267" s="331" t="s">
        <v>366</v>
      </c>
      <c r="AO267" s="331" t="s">
        <v>289</v>
      </c>
      <c r="AP267" s="329"/>
      <c r="AQ267" s="329"/>
      <c r="AR267" s="329"/>
      <c r="AS267" s="329"/>
      <c r="AT267" s="329" t="s">
        <v>385</v>
      </c>
      <c r="AU267" s="329" t="s">
        <v>283</v>
      </c>
      <c r="AV267" s="331" t="s">
        <v>297</v>
      </c>
      <c r="AW267" s="329"/>
      <c r="AX267" s="329"/>
      <c r="AY267" s="329"/>
      <c r="AZ267" s="329"/>
      <c r="BA267" s="329"/>
      <c r="BB267" s="329"/>
      <c r="BC267" s="329"/>
      <c r="BD267" s="329"/>
      <c r="BE267" s="329" t="s">
        <v>257</v>
      </c>
      <c r="BF267" s="329" t="s">
        <v>834</v>
      </c>
      <c r="BG267" s="329"/>
      <c r="BH267" s="329"/>
      <c r="BI267" s="329"/>
      <c r="BJ267" s="329"/>
      <c r="BK267" s="329">
        <v>20400</v>
      </c>
      <c r="BL267" s="329"/>
      <c r="BM267" s="331" t="s">
        <v>278</v>
      </c>
      <c r="BN267" s="329" t="s">
        <v>922</v>
      </c>
      <c r="BO267" s="333">
        <v>43754</v>
      </c>
      <c r="BP267" s="329"/>
      <c r="BQ267" s="329"/>
      <c r="BR267" s="329"/>
      <c r="BS267" s="329"/>
      <c r="BT267" s="329"/>
      <c r="BU267" s="331" t="s">
        <v>261</v>
      </c>
      <c r="BV267" s="329"/>
      <c r="BW267" s="329"/>
      <c r="BX267" s="329"/>
      <c r="BY267" s="331" t="s">
        <v>3840</v>
      </c>
      <c r="BZ267" s="331" t="s">
        <v>3841</v>
      </c>
      <c r="CA267" s="331" t="s">
        <v>3842</v>
      </c>
      <c r="CB267" s="331" t="s">
        <v>297</v>
      </c>
      <c r="CC267" s="331" t="s">
        <v>3843</v>
      </c>
    </row>
    <row r="268" spans="1:81" x14ac:dyDescent="0.25">
      <c r="A268" s="329">
        <v>193741</v>
      </c>
      <c r="B268" s="331" t="s">
        <v>3844</v>
      </c>
      <c r="C268" s="329">
        <v>33972</v>
      </c>
      <c r="D268" s="331" t="s">
        <v>3845</v>
      </c>
      <c r="E268" s="331" t="s">
        <v>3846</v>
      </c>
      <c r="F268" s="331" t="s">
        <v>3847</v>
      </c>
      <c r="G268" s="331" t="s">
        <v>3848</v>
      </c>
      <c r="H268" s="331" t="s">
        <v>3849</v>
      </c>
      <c r="I268" s="331" t="s">
        <v>3850</v>
      </c>
      <c r="J268" s="331" t="s">
        <v>393</v>
      </c>
      <c r="K268" s="331" t="s">
        <v>3851</v>
      </c>
      <c r="L268" s="329"/>
      <c r="M268" s="329">
        <v>6</v>
      </c>
      <c r="N268" s="329">
        <v>0</v>
      </c>
      <c r="O268" s="329">
        <v>3.4</v>
      </c>
      <c r="P268" s="329"/>
      <c r="Q268" s="333">
        <v>43630.916666666664</v>
      </c>
      <c r="R268" s="329"/>
      <c r="S268" s="333">
        <v>43753</v>
      </c>
      <c r="T268" s="329">
        <v>55</v>
      </c>
      <c r="U268" s="333">
        <v>43753</v>
      </c>
      <c r="V268" s="333">
        <v>44109</v>
      </c>
      <c r="W268" s="329" t="b">
        <v>1</v>
      </c>
      <c r="X268" s="331" t="s">
        <v>905</v>
      </c>
      <c r="Y268" s="329">
        <v>747</v>
      </c>
      <c r="Z268" s="331" t="s">
        <v>23</v>
      </c>
      <c r="AA268" s="331" t="s">
        <v>919</v>
      </c>
      <c r="AB268" s="331" t="s">
        <v>920</v>
      </c>
      <c r="AC268" s="331" t="s">
        <v>1276</v>
      </c>
      <c r="AD268" s="331" t="s">
        <v>24</v>
      </c>
      <c r="AE268" s="329">
        <v>221</v>
      </c>
      <c r="AF268" s="331" t="s">
        <v>254</v>
      </c>
      <c r="AG268" s="329"/>
      <c r="AH268" s="329">
        <v>17</v>
      </c>
      <c r="AI268" s="331" t="s">
        <v>280</v>
      </c>
      <c r="AJ268" s="331" t="s">
        <v>281</v>
      </c>
      <c r="AK268" s="331" t="s">
        <v>275</v>
      </c>
      <c r="AL268" s="331" t="s">
        <v>275</v>
      </c>
      <c r="AM268" s="331" t="s">
        <v>274</v>
      </c>
      <c r="AN268" s="331" t="s">
        <v>299</v>
      </c>
      <c r="AO268" s="331" t="s">
        <v>274</v>
      </c>
      <c r="AP268" s="329"/>
      <c r="AQ268" s="329"/>
      <c r="AR268" s="329"/>
      <c r="AS268" s="329"/>
      <c r="AT268" s="329" t="s">
        <v>355</v>
      </c>
      <c r="AU268" s="329" t="s">
        <v>283</v>
      </c>
      <c r="AV268" s="331" t="s">
        <v>393</v>
      </c>
      <c r="AW268" s="329"/>
      <c r="AX268" s="329"/>
      <c r="AY268" s="329"/>
      <c r="AZ268" s="329"/>
      <c r="BA268" s="329"/>
      <c r="BB268" s="329"/>
      <c r="BC268" s="329"/>
      <c r="BD268" s="329"/>
      <c r="BE268" s="329" t="s">
        <v>257</v>
      </c>
      <c r="BF268" s="329" t="s">
        <v>834</v>
      </c>
      <c r="BG268" s="329"/>
      <c r="BH268" s="329"/>
      <c r="BI268" s="329"/>
      <c r="BJ268" s="329"/>
      <c r="BK268" s="329">
        <v>20400</v>
      </c>
      <c r="BL268" s="329"/>
      <c r="BM268" s="331" t="s">
        <v>278</v>
      </c>
      <c r="BN268" s="329" t="s">
        <v>922</v>
      </c>
      <c r="BO268" s="333">
        <v>43754</v>
      </c>
      <c r="BP268" s="329"/>
      <c r="BQ268" s="329"/>
      <c r="BR268" s="329"/>
      <c r="BS268" s="329"/>
      <c r="BT268" s="329"/>
      <c r="BU268" s="331" t="s">
        <v>261</v>
      </c>
      <c r="BV268" s="329"/>
      <c r="BW268" s="329"/>
      <c r="BX268" s="329"/>
      <c r="BY268" s="331" t="s">
        <v>3852</v>
      </c>
      <c r="BZ268" s="331" t="s">
        <v>3853</v>
      </c>
      <c r="CA268" s="331" t="s">
        <v>3854</v>
      </c>
      <c r="CB268" s="331" t="s">
        <v>393</v>
      </c>
      <c r="CC268" s="331" t="s">
        <v>3855</v>
      </c>
    </row>
    <row r="269" spans="1:81" x14ac:dyDescent="0.25">
      <c r="A269" s="329">
        <v>195299</v>
      </c>
      <c r="B269" s="331" t="s">
        <v>3856</v>
      </c>
      <c r="C269" s="329">
        <v>34285</v>
      </c>
      <c r="D269" s="331" t="s">
        <v>3857</v>
      </c>
      <c r="E269" s="331" t="s">
        <v>3858</v>
      </c>
      <c r="F269" s="331" t="s">
        <v>3859</v>
      </c>
      <c r="G269" s="331" t="s">
        <v>3860</v>
      </c>
      <c r="H269" s="331" t="s">
        <v>5531</v>
      </c>
      <c r="I269" s="331" t="s">
        <v>749</v>
      </c>
      <c r="J269" s="331" t="s">
        <v>378</v>
      </c>
      <c r="K269" s="331" t="s">
        <v>3861</v>
      </c>
      <c r="L269" s="329"/>
      <c r="M269" s="329">
        <v>6</v>
      </c>
      <c r="N269" s="329">
        <v>0</v>
      </c>
      <c r="O269" s="329">
        <v>4</v>
      </c>
      <c r="P269" s="329"/>
      <c r="Q269" s="333">
        <v>43641.4375</v>
      </c>
      <c r="R269" s="329"/>
      <c r="S269" s="333">
        <v>43753</v>
      </c>
      <c r="T269" s="329">
        <v>55</v>
      </c>
      <c r="U269" s="333">
        <v>43753</v>
      </c>
      <c r="V269" s="333">
        <v>44109</v>
      </c>
      <c r="W269" s="329" t="b">
        <v>1</v>
      </c>
      <c r="X269" s="331" t="s">
        <v>22</v>
      </c>
      <c r="Y269" s="329">
        <v>429</v>
      </c>
      <c r="Z269" s="331" t="s">
        <v>23</v>
      </c>
      <c r="AA269" s="331" t="s">
        <v>919</v>
      </c>
      <c r="AB269" s="331" t="s">
        <v>920</v>
      </c>
      <c r="AC269" s="331" t="s">
        <v>1097</v>
      </c>
      <c r="AD269" s="331" t="s">
        <v>24</v>
      </c>
      <c r="AE269" s="329">
        <v>221</v>
      </c>
      <c r="AF269" s="331" t="s">
        <v>254</v>
      </c>
      <c r="AG269" s="329"/>
      <c r="AH269" s="329">
        <v>17</v>
      </c>
      <c r="AI269" s="331" t="s">
        <v>280</v>
      </c>
      <c r="AJ269" s="331" t="s">
        <v>281</v>
      </c>
      <c r="AK269" s="331" t="s">
        <v>285</v>
      </c>
      <c r="AL269" s="331" t="s">
        <v>285</v>
      </c>
      <c r="AM269" s="331" t="s">
        <v>347</v>
      </c>
      <c r="AN269" s="331" t="s">
        <v>348</v>
      </c>
      <c r="AO269" s="331" t="s">
        <v>274</v>
      </c>
      <c r="AP269" s="329"/>
      <c r="AQ269" s="329"/>
      <c r="AR269" s="329"/>
      <c r="AS269" s="329"/>
      <c r="AT269" s="329" t="s">
        <v>2581</v>
      </c>
      <c r="AU269" s="329" t="s">
        <v>283</v>
      </c>
      <c r="AV269" s="331" t="s">
        <v>378</v>
      </c>
      <c r="AW269" s="329"/>
      <c r="AX269" s="329"/>
      <c r="AY269" s="329"/>
      <c r="AZ269" s="329"/>
      <c r="BA269" s="329"/>
      <c r="BB269" s="329"/>
      <c r="BC269" s="329"/>
      <c r="BD269" s="329"/>
      <c r="BE269" s="329" t="s">
        <v>257</v>
      </c>
      <c r="BF269" s="329" t="s">
        <v>834</v>
      </c>
      <c r="BG269" s="329"/>
      <c r="BH269" s="329"/>
      <c r="BI269" s="329"/>
      <c r="BJ269" s="329"/>
      <c r="BK269" s="329">
        <v>20400</v>
      </c>
      <c r="BL269" s="329"/>
      <c r="BM269" s="331" t="s">
        <v>278</v>
      </c>
      <c r="BN269" s="329" t="s">
        <v>922</v>
      </c>
      <c r="BO269" s="333">
        <v>43754</v>
      </c>
      <c r="BP269" s="329"/>
      <c r="BQ269" s="329"/>
      <c r="BR269" s="329"/>
      <c r="BS269" s="335">
        <v>43656</v>
      </c>
      <c r="BT269" s="329"/>
      <c r="BU269" s="331" t="s">
        <v>261</v>
      </c>
      <c r="BV269" s="329"/>
      <c r="BW269" s="329"/>
      <c r="BX269" s="329"/>
      <c r="BY269" s="331" t="s">
        <v>3862</v>
      </c>
      <c r="BZ269" s="331" t="s">
        <v>3863</v>
      </c>
      <c r="CA269" s="329"/>
      <c r="CB269" s="331" t="s">
        <v>558</v>
      </c>
      <c r="CC269" s="331" t="s">
        <v>304</v>
      </c>
    </row>
    <row r="270" spans="1:81" x14ac:dyDescent="0.25">
      <c r="A270" s="329">
        <v>198263</v>
      </c>
      <c r="B270" s="331" t="s">
        <v>3864</v>
      </c>
      <c r="C270" s="329">
        <v>35177</v>
      </c>
      <c r="D270" s="331" t="s">
        <v>3865</v>
      </c>
      <c r="E270" s="331" t="s">
        <v>478</v>
      </c>
      <c r="F270" s="331" t="s">
        <v>3866</v>
      </c>
      <c r="G270" s="331" t="s">
        <v>3867</v>
      </c>
      <c r="H270" s="331" t="s">
        <v>3868</v>
      </c>
      <c r="I270" s="331" t="s">
        <v>3869</v>
      </c>
      <c r="J270" s="331" t="s">
        <v>392</v>
      </c>
      <c r="K270" s="331" t="s">
        <v>3125</v>
      </c>
      <c r="L270" s="329"/>
      <c r="M270" s="329">
        <v>6</v>
      </c>
      <c r="N270" s="329">
        <v>0</v>
      </c>
      <c r="O270" s="329">
        <v>2.82</v>
      </c>
      <c r="P270" s="329"/>
      <c r="Q270" s="333">
        <v>43704.760416666664</v>
      </c>
      <c r="R270" s="329"/>
      <c r="S270" s="333">
        <v>43753</v>
      </c>
      <c r="T270" s="329">
        <v>55</v>
      </c>
      <c r="U270" s="333">
        <v>43753</v>
      </c>
      <c r="V270" s="333">
        <v>44109</v>
      </c>
      <c r="W270" s="329" t="b">
        <v>1</v>
      </c>
      <c r="X270" s="331" t="s">
        <v>22</v>
      </c>
      <c r="Y270" s="329">
        <v>429</v>
      </c>
      <c r="Z270" s="331" t="s">
        <v>23</v>
      </c>
      <c r="AA270" s="331" t="s">
        <v>919</v>
      </c>
      <c r="AB270" s="331" t="s">
        <v>920</v>
      </c>
      <c r="AC270" s="331" t="s">
        <v>3077</v>
      </c>
      <c r="AD270" s="331" t="s">
        <v>24</v>
      </c>
      <c r="AE270" s="329">
        <v>221</v>
      </c>
      <c r="AF270" s="331" t="s">
        <v>254</v>
      </c>
      <c r="AG270" s="329"/>
      <c r="AH270" s="329">
        <v>17</v>
      </c>
      <c r="AI270" s="331" t="s">
        <v>280</v>
      </c>
      <c r="AJ270" s="331" t="s">
        <v>281</v>
      </c>
      <c r="AK270" s="329"/>
      <c r="AL270" s="329"/>
      <c r="AM270" s="329"/>
      <c r="AN270" s="329"/>
      <c r="AO270" s="329"/>
      <c r="AP270" s="331" t="s">
        <v>461</v>
      </c>
      <c r="AQ270" s="329">
        <v>520</v>
      </c>
      <c r="AR270" s="329">
        <v>490</v>
      </c>
      <c r="AS270" s="329"/>
      <c r="AT270" s="329" t="s">
        <v>315</v>
      </c>
      <c r="AU270" s="329" t="s">
        <v>283</v>
      </c>
      <c r="AV270" s="331" t="s">
        <v>392</v>
      </c>
      <c r="AW270" s="329"/>
      <c r="AX270" s="329"/>
      <c r="AY270" s="329"/>
      <c r="AZ270" s="329"/>
      <c r="BA270" s="329"/>
      <c r="BB270" s="329"/>
      <c r="BC270" s="329"/>
      <c r="BD270" s="329"/>
      <c r="BE270" s="329" t="s">
        <v>257</v>
      </c>
      <c r="BF270" s="329" t="s">
        <v>841</v>
      </c>
      <c r="BG270" s="329"/>
      <c r="BH270" s="329"/>
      <c r="BI270" s="329"/>
      <c r="BJ270" s="329"/>
      <c r="BK270" s="329">
        <v>9000</v>
      </c>
      <c r="BL270" s="329"/>
      <c r="BM270" s="331" t="s">
        <v>189</v>
      </c>
      <c r="BN270" s="329" t="s">
        <v>922</v>
      </c>
      <c r="BO270" s="333">
        <v>43754</v>
      </c>
      <c r="BP270" s="329"/>
      <c r="BQ270" s="329"/>
      <c r="BR270" s="329"/>
      <c r="BS270" s="329"/>
      <c r="BT270" s="329"/>
      <c r="BU270" s="331" t="s">
        <v>261</v>
      </c>
      <c r="BV270" s="329"/>
      <c r="BW270" s="329"/>
      <c r="BX270" s="329"/>
      <c r="BY270" s="331" t="s">
        <v>3122</v>
      </c>
      <c r="BZ270" s="331" t="s">
        <v>3123</v>
      </c>
      <c r="CA270" s="331" t="s">
        <v>3124</v>
      </c>
      <c r="CB270" s="331" t="s">
        <v>392</v>
      </c>
      <c r="CC270" s="331" t="s">
        <v>3125</v>
      </c>
    </row>
    <row r="271" spans="1:81" x14ac:dyDescent="0.25">
      <c r="A271" s="329">
        <v>196108</v>
      </c>
      <c r="B271" s="331" t="s">
        <v>3870</v>
      </c>
      <c r="C271" s="329">
        <v>34505</v>
      </c>
      <c r="D271" s="331" t="s">
        <v>3871</v>
      </c>
      <c r="E271" s="331" t="s">
        <v>516</v>
      </c>
      <c r="F271" s="331" t="s">
        <v>3872</v>
      </c>
      <c r="G271" s="331" t="s">
        <v>3873</v>
      </c>
      <c r="H271" s="331" t="s">
        <v>3874</v>
      </c>
      <c r="I271" s="331" t="s">
        <v>3875</v>
      </c>
      <c r="J271" s="331" t="s">
        <v>284</v>
      </c>
      <c r="K271" s="331" t="s">
        <v>3876</v>
      </c>
      <c r="L271" s="329"/>
      <c r="M271" s="329">
        <v>6</v>
      </c>
      <c r="N271" s="329">
        <v>0</v>
      </c>
      <c r="O271" s="329">
        <v>3.09</v>
      </c>
      <c r="P271" s="329"/>
      <c r="Q271" s="333">
        <v>43631.618055555555</v>
      </c>
      <c r="R271" s="329"/>
      <c r="S271" s="333">
        <v>43753</v>
      </c>
      <c r="T271" s="329">
        <v>55</v>
      </c>
      <c r="U271" s="333">
        <v>43753</v>
      </c>
      <c r="V271" s="333">
        <v>44109</v>
      </c>
      <c r="W271" s="329" t="b">
        <v>1</v>
      </c>
      <c r="X271" s="331" t="s">
        <v>905</v>
      </c>
      <c r="Y271" s="329">
        <v>747</v>
      </c>
      <c r="Z271" s="331" t="s">
        <v>23</v>
      </c>
      <c r="AA271" s="331" t="s">
        <v>919</v>
      </c>
      <c r="AB271" s="331" t="s">
        <v>920</v>
      </c>
      <c r="AC271" s="331" t="s">
        <v>264</v>
      </c>
      <c r="AD271" s="331" t="s">
        <v>24</v>
      </c>
      <c r="AE271" s="329">
        <v>221</v>
      </c>
      <c r="AF271" s="331" t="s">
        <v>254</v>
      </c>
      <c r="AG271" s="329"/>
      <c r="AH271" s="329">
        <v>17</v>
      </c>
      <c r="AI271" s="331" t="s">
        <v>280</v>
      </c>
      <c r="AJ271" s="331" t="s">
        <v>281</v>
      </c>
      <c r="AK271" s="329"/>
      <c r="AL271" s="329"/>
      <c r="AM271" s="329"/>
      <c r="AN271" s="329"/>
      <c r="AO271" s="329"/>
      <c r="AP271" s="331" t="s">
        <v>719</v>
      </c>
      <c r="AQ271" s="329">
        <v>430</v>
      </c>
      <c r="AR271" s="329">
        <v>510</v>
      </c>
      <c r="AS271" s="329"/>
      <c r="AT271" s="329" t="s">
        <v>266</v>
      </c>
      <c r="AU271" s="329" t="s">
        <v>283</v>
      </c>
      <c r="AV271" s="331" t="s">
        <v>284</v>
      </c>
      <c r="AW271" s="329"/>
      <c r="AX271" s="329"/>
      <c r="AY271" s="329"/>
      <c r="AZ271" s="329"/>
      <c r="BA271" s="329"/>
      <c r="BB271" s="329"/>
      <c r="BC271" s="329"/>
      <c r="BD271" s="329"/>
      <c r="BE271" s="329"/>
      <c r="BF271" s="329"/>
      <c r="BG271" s="329"/>
      <c r="BH271" s="329"/>
      <c r="BI271" s="329"/>
      <c r="BJ271" s="329"/>
      <c r="BK271" s="329">
        <v>0</v>
      </c>
      <c r="BL271" s="329"/>
      <c r="BM271" s="331" t="s">
        <v>267</v>
      </c>
      <c r="BN271" s="329" t="s">
        <v>922</v>
      </c>
      <c r="BO271" s="333">
        <v>43754</v>
      </c>
      <c r="BP271" s="329"/>
      <c r="BQ271" s="329"/>
      <c r="BR271" s="329"/>
      <c r="BS271" s="329"/>
      <c r="BT271" s="329"/>
      <c r="BU271" s="331" t="s">
        <v>261</v>
      </c>
      <c r="BV271" s="329"/>
      <c r="BW271" s="329"/>
      <c r="BX271" s="329"/>
      <c r="BY271" s="331" t="s">
        <v>3877</v>
      </c>
      <c r="BZ271" s="331" t="s">
        <v>3878</v>
      </c>
      <c r="CA271" s="331" t="s">
        <v>3879</v>
      </c>
      <c r="CB271" s="331" t="s">
        <v>284</v>
      </c>
      <c r="CC271" s="331" t="s">
        <v>3876</v>
      </c>
    </row>
    <row r="272" spans="1:81" x14ac:dyDescent="0.25">
      <c r="A272" s="329">
        <v>198212</v>
      </c>
      <c r="B272" s="331" t="s">
        <v>3880</v>
      </c>
      <c r="C272" s="329">
        <v>35159</v>
      </c>
      <c r="D272" s="331" t="s">
        <v>3881</v>
      </c>
      <c r="E272" s="331" t="s">
        <v>3882</v>
      </c>
      <c r="F272" s="331" t="s">
        <v>3883</v>
      </c>
      <c r="G272" s="331" t="s">
        <v>3884</v>
      </c>
      <c r="H272" s="331" t="s">
        <v>3885</v>
      </c>
      <c r="I272" s="331" t="s">
        <v>799</v>
      </c>
      <c r="J272" s="331" t="s">
        <v>21</v>
      </c>
      <c r="K272" s="331" t="s">
        <v>586</v>
      </c>
      <c r="L272" s="329"/>
      <c r="M272" s="329">
        <v>6</v>
      </c>
      <c r="N272" s="329">
        <v>0</v>
      </c>
      <c r="O272" s="329">
        <v>3.4</v>
      </c>
      <c r="P272" s="329"/>
      <c r="Q272" s="333">
        <v>43737.794444444444</v>
      </c>
      <c r="R272" s="329"/>
      <c r="S272" s="333">
        <v>43753</v>
      </c>
      <c r="T272" s="329">
        <v>55</v>
      </c>
      <c r="U272" s="333">
        <v>43753</v>
      </c>
      <c r="V272" s="333">
        <v>44109</v>
      </c>
      <c r="W272" s="329" t="b">
        <v>1</v>
      </c>
      <c r="X272" s="331" t="s">
        <v>906</v>
      </c>
      <c r="Y272" s="329">
        <v>748</v>
      </c>
      <c r="Z272" s="331" t="s">
        <v>23</v>
      </c>
      <c r="AA272" s="331" t="s">
        <v>919</v>
      </c>
      <c r="AB272" s="331" t="s">
        <v>920</v>
      </c>
      <c r="AC272" s="331" t="s">
        <v>700</v>
      </c>
      <c r="AD272" s="331" t="s">
        <v>24</v>
      </c>
      <c r="AE272" s="329">
        <v>221</v>
      </c>
      <c r="AF272" s="331" t="s">
        <v>254</v>
      </c>
      <c r="AG272" s="329"/>
      <c r="AH272" s="329">
        <v>17</v>
      </c>
      <c r="AI272" s="331" t="s">
        <v>280</v>
      </c>
      <c r="AJ272" s="331" t="s">
        <v>281</v>
      </c>
      <c r="AK272" s="329"/>
      <c r="AL272" s="329"/>
      <c r="AM272" s="329"/>
      <c r="AN272" s="329"/>
      <c r="AO272" s="329"/>
      <c r="AP272" s="329"/>
      <c r="AQ272" s="329"/>
      <c r="AR272" s="329"/>
      <c r="AS272" s="329"/>
      <c r="AT272" s="329" t="s">
        <v>258</v>
      </c>
      <c r="AU272" s="329" t="s">
        <v>277</v>
      </c>
      <c r="AV272" s="331" t="s">
        <v>21</v>
      </c>
      <c r="AW272" s="329"/>
      <c r="AX272" s="329"/>
      <c r="AY272" s="329"/>
      <c r="AZ272" s="329"/>
      <c r="BA272" s="329"/>
      <c r="BB272" s="329"/>
      <c r="BC272" s="329"/>
      <c r="BD272" s="329"/>
      <c r="BE272" s="329"/>
      <c r="BF272" s="329"/>
      <c r="BG272" s="329"/>
      <c r="BH272" s="329"/>
      <c r="BI272" s="329" t="s">
        <v>334</v>
      </c>
      <c r="BJ272" s="329" t="s">
        <v>831</v>
      </c>
      <c r="BK272" s="329">
        <v>36000</v>
      </c>
      <c r="BL272" s="329"/>
      <c r="BM272" s="331" t="s">
        <v>323</v>
      </c>
      <c r="BN272" s="329" t="s">
        <v>922</v>
      </c>
      <c r="BO272" s="333">
        <v>43754</v>
      </c>
      <c r="BP272" s="329"/>
      <c r="BQ272" s="329"/>
      <c r="BR272" s="329"/>
      <c r="BS272" s="329"/>
      <c r="BT272" s="329"/>
      <c r="BU272" s="331" t="s">
        <v>261</v>
      </c>
      <c r="BV272" s="329"/>
      <c r="BW272" s="329"/>
      <c r="BX272" s="329"/>
      <c r="BY272" s="331" t="s">
        <v>3886</v>
      </c>
      <c r="BZ272" s="331" t="s">
        <v>3887</v>
      </c>
      <c r="CA272" s="331" t="s">
        <v>799</v>
      </c>
      <c r="CB272" s="331" t="s">
        <v>21</v>
      </c>
      <c r="CC272" s="331" t="s">
        <v>3888</v>
      </c>
    </row>
    <row r="273" spans="1:81" x14ac:dyDescent="0.25">
      <c r="A273" s="329">
        <v>195156</v>
      </c>
      <c r="B273" s="331" t="s">
        <v>3889</v>
      </c>
      <c r="C273" s="329">
        <v>34254</v>
      </c>
      <c r="D273" s="331" t="s">
        <v>3890</v>
      </c>
      <c r="E273" s="331" t="s">
        <v>750</v>
      </c>
      <c r="F273" s="331" t="s">
        <v>3891</v>
      </c>
      <c r="G273" s="331" t="s">
        <v>3892</v>
      </c>
      <c r="H273" s="331" t="s">
        <v>3893</v>
      </c>
      <c r="I273" s="331" t="s">
        <v>3894</v>
      </c>
      <c r="J273" s="331" t="s">
        <v>292</v>
      </c>
      <c r="K273" s="331" t="s">
        <v>3895</v>
      </c>
      <c r="L273" s="329"/>
      <c r="M273" s="329">
        <v>6</v>
      </c>
      <c r="N273" s="329">
        <v>0</v>
      </c>
      <c r="O273" s="329">
        <v>3.5049999999999999</v>
      </c>
      <c r="P273" s="329"/>
      <c r="Q273" s="333">
        <v>43649.322916666664</v>
      </c>
      <c r="R273" s="329"/>
      <c r="S273" s="333">
        <v>43753</v>
      </c>
      <c r="T273" s="329">
        <v>55</v>
      </c>
      <c r="U273" s="333">
        <v>43753</v>
      </c>
      <c r="V273" s="333">
        <v>44109</v>
      </c>
      <c r="W273" s="329" t="b">
        <v>1</v>
      </c>
      <c r="X273" s="331" t="s">
        <v>22</v>
      </c>
      <c r="Y273" s="329">
        <v>726</v>
      </c>
      <c r="Z273" s="331" t="s">
        <v>23</v>
      </c>
      <c r="AA273" s="331" t="s">
        <v>919</v>
      </c>
      <c r="AB273" s="331" t="s">
        <v>920</v>
      </c>
      <c r="AC273" s="331" t="s">
        <v>1097</v>
      </c>
      <c r="AD273" s="331" t="s">
        <v>24</v>
      </c>
      <c r="AE273" s="329">
        <v>221</v>
      </c>
      <c r="AF273" s="331" t="s">
        <v>254</v>
      </c>
      <c r="AG273" s="329"/>
      <c r="AH273" s="329">
        <v>17</v>
      </c>
      <c r="AI273" s="331" t="s">
        <v>280</v>
      </c>
      <c r="AJ273" s="331" t="s">
        <v>281</v>
      </c>
      <c r="AK273" s="329"/>
      <c r="AL273" s="329"/>
      <c r="AM273" s="329"/>
      <c r="AN273" s="329"/>
      <c r="AO273" s="329"/>
      <c r="AP273" s="331" t="s">
        <v>481</v>
      </c>
      <c r="AQ273" s="329">
        <v>680</v>
      </c>
      <c r="AR273" s="329">
        <v>640</v>
      </c>
      <c r="AS273" s="329"/>
      <c r="AT273" s="329" t="s">
        <v>349</v>
      </c>
      <c r="AU273" s="329" t="s">
        <v>283</v>
      </c>
      <c r="AV273" s="331" t="s">
        <v>292</v>
      </c>
      <c r="AW273" s="329"/>
      <c r="AX273" s="329"/>
      <c r="AY273" s="329"/>
      <c r="AZ273" s="329"/>
      <c r="BA273" s="329"/>
      <c r="BB273" s="329"/>
      <c r="BC273" s="329"/>
      <c r="BD273" s="329"/>
      <c r="BE273" s="329" t="s">
        <v>257</v>
      </c>
      <c r="BF273" s="329" t="s">
        <v>834</v>
      </c>
      <c r="BG273" s="329"/>
      <c r="BH273" s="329"/>
      <c r="BI273" s="329"/>
      <c r="BJ273" s="329"/>
      <c r="BK273" s="329">
        <v>20400</v>
      </c>
      <c r="BL273" s="329"/>
      <c r="BM273" s="331" t="s">
        <v>278</v>
      </c>
      <c r="BN273" s="329" t="s">
        <v>922</v>
      </c>
      <c r="BO273" s="333">
        <v>43754</v>
      </c>
      <c r="BP273" s="329"/>
      <c r="BQ273" s="329"/>
      <c r="BR273" s="329"/>
      <c r="BS273" s="329"/>
      <c r="BT273" s="329"/>
      <c r="BU273" s="331" t="s">
        <v>261</v>
      </c>
      <c r="BV273" s="329"/>
      <c r="BW273" s="329"/>
      <c r="BX273" s="329"/>
      <c r="BY273" s="331" t="s">
        <v>3896</v>
      </c>
      <c r="BZ273" s="331" t="s">
        <v>3897</v>
      </c>
      <c r="CA273" s="331" t="s">
        <v>3898</v>
      </c>
      <c r="CB273" s="331" t="s">
        <v>292</v>
      </c>
      <c r="CC273" s="331" t="s">
        <v>3899</v>
      </c>
    </row>
    <row r="274" spans="1:81" x14ac:dyDescent="0.25">
      <c r="A274" s="329">
        <v>196222</v>
      </c>
      <c r="B274" s="331" t="s">
        <v>3900</v>
      </c>
      <c r="C274" s="329">
        <v>34558</v>
      </c>
      <c r="D274" s="331" t="s">
        <v>697</v>
      </c>
      <c r="E274" s="331" t="s">
        <v>3901</v>
      </c>
      <c r="F274" s="331" t="s">
        <v>3902</v>
      </c>
      <c r="G274" s="331" t="s">
        <v>3903</v>
      </c>
      <c r="H274" s="331" t="s">
        <v>3904</v>
      </c>
      <c r="I274" s="331" t="s">
        <v>5287</v>
      </c>
      <c r="J274" s="331" t="s">
        <v>430</v>
      </c>
      <c r="K274" s="331" t="s">
        <v>5288</v>
      </c>
      <c r="L274" s="329"/>
      <c r="M274" s="329">
        <v>6</v>
      </c>
      <c r="N274" s="329">
        <v>0</v>
      </c>
      <c r="O274" s="329">
        <v>2.746</v>
      </c>
      <c r="P274" s="329"/>
      <c r="Q274" s="333">
        <v>43697.9375</v>
      </c>
      <c r="R274" s="329"/>
      <c r="S274" s="333">
        <v>43753</v>
      </c>
      <c r="T274" s="329">
        <v>55</v>
      </c>
      <c r="U274" s="333">
        <v>43753</v>
      </c>
      <c r="V274" s="333">
        <v>44109</v>
      </c>
      <c r="W274" s="329" t="b">
        <v>1</v>
      </c>
      <c r="X274" s="331" t="s">
        <v>187</v>
      </c>
      <c r="Y274" s="329">
        <v>718</v>
      </c>
      <c r="Z274" s="331" t="s">
        <v>23</v>
      </c>
      <c r="AA274" s="331" t="s">
        <v>919</v>
      </c>
      <c r="AB274" s="331" t="s">
        <v>920</v>
      </c>
      <c r="AC274" s="331" t="s">
        <v>3905</v>
      </c>
      <c r="AD274" s="331" t="s">
        <v>24</v>
      </c>
      <c r="AE274" s="329">
        <v>221</v>
      </c>
      <c r="AF274" s="331" t="s">
        <v>254</v>
      </c>
      <c r="AG274" s="329"/>
      <c r="AH274" s="329">
        <v>17</v>
      </c>
      <c r="AI274" s="331" t="s">
        <v>280</v>
      </c>
      <c r="AJ274" s="331" t="s">
        <v>281</v>
      </c>
      <c r="AK274" s="329"/>
      <c r="AL274" s="329"/>
      <c r="AM274" s="329"/>
      <c r="AN274" s="329"/>
      <c r="AO274" s="329"/>
      <c r="AP274" s="329"/>
      <c r="AQ274" s="329"/>
      <c r="AR274" s="329"/>
      <c r="AS274" s="329"/>
      <c r="AT274" s="329" t="s">
        <v>258</v>
      </c>
      <c r="AU274" s="329" t="s">
        <v>256</v>
      </c>
      <c r="AV274" s="331" t="s">
        <v>430</v>
      </c>
      <c r="AW274" s="329"/>
      <c r="AX274" s="329"/>
      <c r="AY274" s="329"/>
      <c r="AZ274" s="329"/>
      <c r="BA274" s="329"/>
      <c r="BB274" s="329"/>
      <c r="BC274" s="329"/>
      <c r="BD274" s="329"/>
      <c r="BE274" s="329"/>
      <c r="BF274" s="329"/>
      <c r="BG274" s="329"/>
      <c r="BH274" s="329"/>
      <c r="BI274" s="329"/>
      <c r="BJ274" s="329"/>
      <c r="BK274" s="329">
        <v>0</v>
      </c>
      <c r="BL274" s="329"/>
      <c r="BM274" s="331" t="s">
        <v>28</v>
      </c>
      <c r="BN274" s="329" t="s">
        <v>922</v>
      </c>
      <c r="BO274" s="333">
        <v>43754</v>
      </c>
      <c r="BP274" s="329"/>
      <c r="BQ274" s="329"/>
      <c r="BR274" s="329"/>
      <c r="BS274" s="329"/>
      <c r="BT274" s="329"/>
      <c r="BU274" s="331" t="s">
        <v>261</v>
      </c>
      <c r="BV274" s="329"/>
      <c r="BW274" s="329"/>
      <c r="BX274" s="329"/>
      <c r="BY274" s="331" t="s">
        <v>3906</v>
      </c>
      <c r="BZ274" s="331" t="s">
        <v>3907</v>
      </c>
      <c r="CA274" s="331" t="s">
        <v>429</v>
      </c>
      <c r="CB274" s="331" t="s">
        <v>430</v>
      </c>
      <c r="CC274" s="331" t="s">
        <v>747</v>
      </c>
    </row>
    <row r="275" spans="1:81" x14ac:dyDescent="0.25">
      <c r="A275" s="329">
        <v>198355</v>
      </c>
      <c r="B275" s="331" t="s">
        <v>3908</v>
      </c>
      <c r="C275" s="329">
        <v>35239</v>
      </c>
      <c r="D275" s="331" t="s">
        <v>884</v>
      </c>
      <c r="E275" s="331" t="s">
        <v>317</v>
      </c>
      <c r="F275" s="331" t="s">
        <v>3909</v>
      </c>
      <c r="G275" s="331" t="s">
        <v>3910</v>
      </c>
      <c r="H275" s="331" t="s">
        <v>3911</v>
      </c>
      <c r="I275" s="331" t="s">
        <v>3912</v>
      </c>
      <c r="J275" s="331" t="s">
        <v>396</v>
      </c>
      <c r="K275" s="331" t="s">
        <v>3913</v>
      </c>
      <c r="L275" s="329"/>
      <c r="M275" s="329">
        <v>6</v>
      </c>
      <c r="N275" s="329">
        <v>0</v>
      </c>
      <c r="O275" s="329">
        <v>3.9523999999999999</v>
      </c>
      <c r="P275" s="329"/>
      <c r="Q275" s="333">
        <v>43698.746527777781</v>
      </c>
      <c r="R275" s="329"/>
      <c r="S275" s="333">
        <v>43753</v>
      </c>
      <c r="T275" s="329">
        <v>55</v>
      </c>
      <c r="U275" s="333">
        <v>43753</v>
      </c>
      <c r="V275" s="333">
        <v>44109</v>
      </c>
      <c r="W275" s="329" t="b">
        <v>1</v>
      </c>
      <c r="X275" s="331" t="s">
        <v>22</v>
      </c>
      <c r="Y275" s="329">
        <v>726</v>
      </c>
      <c r="Z275" s="331" t="s">
        <v>23</v>
      </c>
      <c r="AA275" s="331" t="s">
        <v>919</v>
      </c>
      <c r="AB275" s="331" t="s">
        <v>920</v>
      </c>
      <c r="AC275" s="331" t="s">
        <v>1085</v>
      </c>
      <c r="AD275" s="331" t="s">
        <v>24</v>
      </c>
      <c r="AE275" s="329">
        <v>221</v>
      </c>
      <c r="AF275" s="331" t="s">
        <v>254</v>
      </c>
      <c r="AG275" s="329"/>
      <c r="AH275" s="329">
        <v>17</v>
      </c>
      <c r="AI275" s="331" t="s">
        <v>280</v>
      </c>
      <c r="AJ275" s="331" t="s">
        <v>281</v>
      </c>
      <c r="AK275" s="331" t="s">
        <v>331</v>
      </c>
      <c r="AL275" s="331" t="s">
        <v>331</v>
      </c>
      <c r="AM275" s="331" t="s">
        <v>363</v>
      </c>
      <c r="AN275" s="331" t="s">
        <v>274</v>
      </c>
      <c r="AO275" s="331" t="s">
        <v>386</v>
      </c>
      <c r="AP275" s="329"/>
      <c r="AQ275" s="329"/>
      <c r="AR275" s="329"/>
      <c r="AS275" s="329"/>
      <c r="AT275" s="329" t="s">
        <v>338</v>
      </c>
      <c r="AU275" s="329" t="s">
        <v>256</v>
      </c>
      <c r="AV275" s="331" t="s">
        <v>396</v>
      </c>
      <c r="AW275" s="329"/>
      <c r="AX275" s="329"/>
      <c r="AY275" s="329"/>
      <c r="AZ275" s="329"/>
      <c r="BA275" s="329"/>
      <c r="BB275" s="329"/>
      <c r="BC275" s="329"/>
      <c r="BD275" s="329"/>
      <c r="BE275" s="329" t="s">
        <v>257</v>
      </c>
      <c r="BF275" s="329" t="s">
        <v>834</v>
      </c>
      <c r="BG275" s="329"/>
      <c r="BH275" s="329"/>
      <c r="BI275" s="329"/>
      <c r="BJ275" s="329"/>
      <c r="BK275" s="329">
        <v>20400</v>
      </c>
      <c r="BL275" s="329"/>
      <c r="BM275" s="331" t="s">
        <v>278</v>
      </c>
      <c r="BN275" s="329" t="s">
        <v>922</v>
      </c>
      <c r="BO275" s="333">
        <v>43754</v>
      </c>
      <c r="BP275" s="329"/>
      <c r="BQ275" s="329"/>
      <c r="BR275" s="329"/>
      <c r="BS275" s="329"/>
      <c r="BT275" s="329"/>
      <c r="BU275" s="331" t="s">
        <v>261</v>
      </c>
      <c r="BV275" s="329"/>
      <c r="BW275" s="329"/>
      <c r="BX275" s="329"/>
      <c r="BY275" s="331" t="s">
        <v>3914</v>
      </c>
      <c r="BZ275" s="331" t="s">
        <v>3915</v>
      </c>
      <c r="CA275" s="329"/>
      <c r="CB275" s="331" t="s">
        <v>558</v>
      </c>
      <c r="CC275" s="331" t="s">
        <v>304</v>
      </c>
    </row>
    <row r="276" spans="1:81" x14ac:dyDescent="0.25">
      <c r="A276" s="329">
        <v>196426</v>
      </c>
      <c r="B276" s="331" t="s">
        <v>3916</v>
      </c>
      <c r="C276" s="329">
        <v>34644</v>
      </c>
      <c r="D276" s="331" t="s">
        <v>3917</v>
      </c>
      <c r="E276" s="331" t="s">
        <v>343</v>
      </c>
      <c r="F276" s="331" t="s">
        <v>3918</v>
      </c>
      <c r="G276" s="331" t="s">
        <v>3919</v>
      </c>
      <c r="H276" s="331" t="s">
        <v>3920</v>
      </c>
      <c r="I276" s="331" t="s">
        <v>3921</v>
      </c>
      <c r="J276" s="331" t="s">
        <v>344</v>
      </c>
      <c r="K276" s="331" t="s">
        <v>3922</v>
      </c>
      <c r="L276" s="329"/>
      <c r="M276" s="329">
        <v>6</v>
      </c>
      <c r="N276" s="329">
        <v>0</v>
      </c>
      <c r="O276" s="329">
        <v>3.57</v>
      </c>
      <c r="P276" s="329"/>
      <c r="Q276" s="333">
        <v>43702.5</v>
      </c>
      <c r="R276" s="329"/>
      <c r="S276" s="333">
        <v>43753</v>
      </c>
      <c r="T276" s="329">
        <v>55</v>
      </c>
      <c r="U276" s="333">
        <v>43753</v>
      </c>
      <c r="V276" s="333">
        <v>44109</v>
      </c>
      <c r="W276" s="329" t="b">
        <v>1</v>
      </c>
      <c r="X276" s="331" t="s">
        <v>22</v>
      </c>
      <c r="Y276" s="329">
        <v>726</v>
      </c>
      <c r="Z276" s="331" t="s">
        <v>23</v>
      </c>
      <c r="AA276" s="331" t="s">
        <v>919</v>
      </c>
      <c r="AB276" s="331" t="s">
        <v>920</v>
      </c>
      <c r="AC276" s="331" t="s">
        <v>1405</v>
      </c>
      <c r="AD276" s="331" t="s">
        <v>24</v>
      </c>
      <c r="AE276" s="329">
        <v>221</v>
      </c>
      <c r="AF276" s="331" t="s">
        <v>254</v>
      </c>
      <c r="AG276" s="329"/>
      <c r="AH276" s="329">
        <v>17</v>
      </c>
      <c r="AI276" s="331" t="s">
        <v>280</v>
      </c>
      <c r="AJ276" s="331" t="s">
        <v>281</v>
      </c>
      <c r="AK276" s="329"/>
      <c r="AL276" s="329"/>
      <c r="AM276" s="329"/>
      <c r="AN276" s="329"/>
      <c r="AO276" s="329"/>
      <c r="AP276" s="329"/>
      <c r="AQ276" s="329"/>
      <c r="AR276" s="329"/>
      <c r="AS276" s="329"/>
      <c r="AT276" s="329" t="s">
        <v>258</v>
      </c>
      <c r="AU276" s="329" t="s">
        <v>963</v>
      </c>
      <c r="AV276" s="331" t="s">
        <v>344</v>
      </c>
      <c r="AW276" s="329"/>
      <c r="AX276" s="329"/>
      <c r="AY276" s="329"/>
      <c r="AZ276" s="329"/>
      <c r="BA276" s="329"/>
      <c r="BB276" s="329"/>
      <c r="BC276" s="329"/>
      <c r="BD276" s="329"/>
      <c r="BE276" s="329"/>
      <c r="BF276" s="329"/>
      <c r="BG276" s="329"/>
      <c r="BH276" s="329"/>
      <c r="BI276" s="329"/>
      <c r="BJ276" s="329"/>
      <c r="BK276" s="329">
        <v>0</v>
      </c>
      <c r="BL276" s="329"/>
      <c r="BM276" s="331" t="s">
        <v>267</v>
      </c>
      <c r="BN276" s="329" t="s">
        <v>922</v>
      </c>
      <c r="BO276" s="333">
        <v>43754</v>
      </c>
      <c r="BP276" s="329"/>
      <c r="BQ276" s="329"/>
      <c r="BR276" s="329"/>
      <c r="BS276" s="329"/>
      <c r="BT276" s="329"/>
      <c r="BU276" s="331" t="s">
        <v>261</v>
      </c>
      <c r="BV276" s="329"/>
      <c r="BW276" s="329"/>
      <c r="BX276" s="329"/>
      <c r="BY276" s="331" t="s">
        <v>3923</v>
      </c>
      <c r="BZ276" s="331" t="s">
        <v>3924</v>
      </c>
      <c r="CA276" s="331" t="s">
        <v>3925</v>
      </c>
      <c r="CB276" s="331" t="s">
        <v>344</v>
      </c>
      <c r="CC276" s="331" t="s">
        <v>3926</v>
      </c>
    </row>
    <row r="277" spans="1:81" x14ac:dyDescent="0.25">
      <c r="A277" s="329">
        <v>195084</v>
      </c>
      <c r="B277" s="331" t="s">
        <v>3927</v>
      </c>
      <c r="C277" s="329">
        <v>34229</v>
      </c>
      <c r="D277" s="331" t="s">
        <v>3928</v>
      </c>
      <c r="E277" s="331" t="s">
        <v>806</v>
      </c>
      <c r="F277" s="331" t="s">
        <v>3929</v>
      </c>
      <c r="G277" s="331" t="s">
        <v>3930</v>
      </c>
      <c r="H277" s="331" t="s">
        <v>3931</v>
      </c>
      <c r="I277" s="331" t="s">
        <v>3932</v>
      </c>
      <c r="J277" s="331" t="s">
        <v>288</v>
      </c>
      <c r="K277" s="331" t="s">
        <v>3933</v>
      </c>
      <c r="L277" s="329"/>
      <c r="M277" s="329">
        <v>6</v>
      </c>
      <c r="N277" s="329">
        <v>0</v>
      </c>
      <c r="O277" s="329">
        <v>2.8094999999999999</v>
      </c>
      <c r="P277" s="329"/>
      <c r="Q277" s="333">
        <v>43639.9375</v>
      </c>
      <c r="R277" s="329"/>
      <c r="S277" s="333">
        <v>43753</v>
      </c>
      <c r="T277" s="329">
        <v>55</v>
      </c>
      <c r="U277" s="333">
        <v>43753</v>
      </c>
      <c r="V277" s="333">
        <v>44109</v>
      </c>
      <c r="W277" s="329" t="b">
        <v>1</v>
      </c>
      <c r="X277" s="331" t="s">
        <v>187</v>
      </c>
      <c r="Y277" s="329">
        <v>718</v>
      </c>
      <c r="Z277" s="331" t="s">
        <v>23</v>
      </c>
      <c r="AA277" s="331" t="s">
        <v>919</v>
      </c>
      <c r="AB277" s="331" t="s">
        <v>920</v>
      </c>
      <c r="AC277" s="331" t="s">
        <v>1688</v>
      </c>
      <c r="AD277" s="331" t="s">
        <v>24</v>
      </c>
      <c r="AE277" s="329">
        <v>221</v>
      </c>
      <c r="AF277" s="331" t="s">
        <v>254</v>
      </c>
      <c r="AG277" s="329"/>
      <c r="AH277" s="329">
        <v>17</v>
      </c>
      <c r="AI277" s="331" t="s">
        <v>280</v>
      </c>
      <c r="AJ277" s="331" t="s">
        <v>281</v>
      </c>
      <c r="AK277" s="331" t="s">
        <v>331</v>
      </c>
      <c r="AL277" s="331" t="s">
        <v>329</v>
      </c>
      <c r="AM277" s="331" t="s">
        <v>299</v>
      </c>
      <c r="AN277" s="331" t="s">
        <v>331</v>
      </c>
      <c r="AO277" s="331" t="s">
        <v>300</v>
      </c>
      <c r="AP277" s="329"/>
      <c r="AQ277" s="329"/>
      <c r="AR277" s="329"/>
      <c r="AS277" s="329"/>
      <c r="AT277" s="329" t="s">
        <v>382</v>
      </c>
      <c r="AU277" s="329" t="s">
        <v>283</v>
      </c>
      <c r="AV277" s="331" t="s">
        <v>288</v>
      </c>
      <c r="AW277" s="329"/>
      <c r="AX277" s="329"/>
      <c r="AY277" s="329"/>
      <c r="AZ277" s="329"/>
      <c r="BA277" s="329"/>
      <c r="BB277" s="329"/>
      <c r="BC277" s="329"/>
      <c r="BD277" s="329"/>
      <c r="BE277" s="329" t="s">
        <v>257</v>
      </c>
      <c r="BF277" s="329" t="s">
        <v>841</v>
      </c>
      <c r="BG277" s="329"/>
      <c r="BH277" s="329"/>
      <c r="BI277" s="329"/>
      <c r="BJ277" s="329"/>
      <c r="BK277" s="329">
        <v>9000</v>
      </c>
      <c r="BL277" s="329"/>
      <c r="BM277" s="331" t="s">
        <v>189</v>
      </c>
      <c r="BN277" s="329" t="s">
        <v>922</v>
      </c>
      <c r="BO277" s="333">
        <v>43754</v>
      </c>
      <c r="BP277" s="329"/>
      <c r="BQ277" s="329"/>
      <c r="BR277" s="329"/>
      <c r="BS277" s="329"/>
      <c r="BT277" s="329"/>
      <c r="BU277" s="331" t="s">
        <v>261</v>
      </c>
      <c r="BV277" s="329"/>
      <c r="BW277" s="329"/>
      <c r="BX277" s="329"/>
      <c r="BY277" s="331" t="s">
        <v>3934</v>
      </c>
      <c r="BZ277" s="331" t="s">
        <v>3935</v>
      </c>
      <c r="CA277" s="331" t="s">
        <v>3936</v>
      </c>
      <c r="CB277" s="331" t="s">
        <v>288</v>
      </c>
      <c r="CC277" s="331" t="s">
        <v>3937</v>
      </c>
    </row>
    <row r="278" spans="1:81" x14ac:dyDescent="0.25">
      <c r="A278" s="329">
        <v>196010</v>
      </c>
      <c r="B278" s="331" t="s">
        <v>3938</v>
      </c>
      <c r="C278" s="329">
        <v>34467</v>
      </c>
      <c r="D278" s="331" t="s">
        <v>827</v>
      </c>
      <c r="E278" s="331" t="s">
        <v>3939</v>
      </c>
      <c r="F278" s="331" t="s">
        <v>3940</v>
      </c>
      <c r="G278" s="331" t="s">
        <v>3941</v>
      </c>
      <c r="H278" s="331" t="s">
        <v>3942</v>
      </c>
      <c r="I278" s="331" t="s">
        <v>3943</v>
      </c>
      <c r="J278" s="331" t="s">
        <v>306</v>
      </c>
      <c r="K278" s="331" t="s">
        <v>3944</v>
      </c>
      <c r="L278" s="329"/>
      <c r="M278" s="329">
        <v>6</v>
      </c>
      <c r="N278" s="329">
        <v>0</v>
      </c>
      <c r="O278" s="329">
        <v>3.5</v>
      </c>
      <c r="P278" s="329"/>
      <c r="Q278" s="333">
        <v>43591.729166666664</v>
      </c>
      <c r="R278" s="329"/>
      <c r="S278" s="333">
        <v>43753</v>
      </c>
      <c r="T278" s="329">
        <v>55</v>
      </c>
      <c r="U278" s="333">
        <v>43753</v>
      </c>
      <c r="V278" s="333">
        <v>44109</v>
      </c>
      <c r="W278" s="329" t="b">
        <v>1</v>
      </c>
      <c r="X278" s="331" t="s">
        <v>187</v>
      </c>
      <c r="Y278" s="329">
        <v>718</v>
      </c>
      <c r="Z278" s="331" t="s">
        <v>23</v>
      </c>
      <c r="AA278" s="331" t="s">
        <v>919</v>
      </c>
      <c r="AB278" s="331" t="s">
        <v>920</v>
      </c>
      <c r="AC278" s="331" t="s">
        <v>2744</v>
      </c>
      <c r="AD278" s="331" t="s">
        <v>24</v>
      </c>
      <c r="AE278" s="329">
        <v>221</v>
      </c>
      <c r="AF278" s="331" t="s">
        <v>254</v>
      </c>
      <c r="AG278" s="329"/>
      <c r="AH278" s="329">
        <v>17</v>
      </c>
      <c r="AI278" s="331" t="s">
        <v>280</v>
      </c>
      <c r="AJ278" s="331" t="s">
        <v>281</v>
      </c>
      <c r="AK278" s="331" t="s">
        <v>347</v>
      </c>
      <c r="AL278" s="331" t="s">
        <v>285</v>
      </c>
      <c r="AM278" s="331" t="s">
        <v>275</v>
      </c>
      <c r="AN278" s="331" t="s">
        <v>287</v>
      </c>
      <c r="AO278" s="331" t="s">
        <v>351</v>
      </c>
      <c r="AP278" s="329"/>
      <c r="AQ278" s="329"/>
      <c r="AR278" s="329"/>
      <c r="AS278" s="329"/>
      <c r="AT278" s="329" t="s">
        <v>319</v>
      </c>
      <c r="AU278" s="329" t="s">
        <v>256</v>
      </c>
      <c r="AV278" s="331" t="s">
        <v>306</v>
      </c>
      <c r="AW278" s="329"/>
      <c r="AX278" s="329"/>
      <c r="AY278" s="329"/>
      <c r="AZ278" s="329"/>
      <c r="BA278" s="329"/>
      <c r="BB278" s="329"/>
      <c r="BC278" s="329"/>
      <c r="BD278" s="329"/>
      <c r="BE278" s="329" t="s">
        <v>257</v>
      </c>
      <c r="BF278" s="329" t="s">
        <v>834</v>
      </c>
      <c r="BG278" s="329"/>
      <c r="BH278" s="329"/>
      <c r="BI278" s="329"/>
      <c r="BJ278" s="329"/>
      <c r="BK278" s="329">
        <v>20400</v>
      </c>
      <c r="BL278" s="329"/>
      <c r="BM278" s="331" t="s">
        <v>278</v>
      </c>
      <c r="BN278" s="329" t="s">
        <v>922</v>
      </c>
      <c r="BO278" s="333">
        <v>43754</v>
      </c>
      <c r="BP278" s="329"/>
      <c r="BQ278" s="329"/>
      <c r="BR278" s="329"/>
      <c r="BS278" s="329"/>
      <c r="BT278" s="329"/>
      <c r="BU278" s="331" t="s">
        <v>261</v>
      </c>
      <c r="BV278" s="329"/>
      <c r="BW278" s="329"/>
      <c r="BX278" s="329"/>
      <c r="BY278" s="331" t="s">
        <v>3945</v>
      </c>
      <c r="BZ278" s="331" t="s">
        <v>3946</v>
      </c>
      <c r="CA278" s="331" t="s">
        <v>3947</v>
      </c>
      <c r="CB278" s="331" t="s">
        <v>306</v>
      </c>
      <c r="CC278" s="331" t="s">
        <v>3948</v>
      </c>
    </row>
    <row r="279" spans="1:81" x14ac:dyDescent="0.25">
      <c r="A279" s="329">
        <v>197997</v>
      </c>
      <c r="B279" s="331" t="s">
        <v>3960</v>
      </c>
      <c r="C279" s="329">
        <v>35057</v>
      </c>
      <c r="D279" s="331" t="s">
        <v>3961</v>
      </c>
      <c r="E279" s="331" t="s">
        <v>502</v>
      </c>
      <c r="F279" s="331" t="s">
        <v>3962</v>
      </c>
      <c r="G279" s="331" t="s">
        <v>3963</v>
      </c>
      <c r="H279" s="331" t="s">
        <v>3964</v>
      </c>
      <c r="I279" s="331" t="s">
        <v>1943</v>
      </c>
      <c r="J279" s="331" t="s">
        <v>292</v>
      </c>
      <c r="K279" s="331" t="s">
        <v>3965</v>
      </c>
      <c r="L279" s="329"/>
      <c r="M279" s="329">
        <v>6</v>
      </c>
      <c r="N279" s="329">
        <v>0</v>
      </c>
      <c r="O279" s="329">
        <v>3.6789999999999998</v>
      </c>
      <c r="P279" s="329"/>
      <c r="Q279" s="333">
        <v>43627.642430555556</v>
      </c>
      <c r="R279" s="329"/>
      <c r="S279" s="333">
        <v>43753</v>
      </c>
      <c r="T279" s="329">
        <v>55</v>
      </c>
      <c r="U279" s="333">
        <v>43753</v>
      </c>
      <c r="V279" s="333">
        <v>44109</v>
      </c>
      <c r="W279" s="329" t="b">
        <v>1</v>
      </c>
      <c r="X279" s="331" t="s">
        <v>187</v>
      </c>
      <c r="Y279" s="329">
        <v>718</v>
      </c>
      <c r="Z279" s="331" t="s">
        <v>23</v>
      </c>
      <c r="AA279" s="331" t="s">
        <v>919</v>
      </c>
      <c r="AB279" s="331" t="s">
        <v>920</v>
      </c>
      <c r="AC279" s="331" t="s">
        <v>1670</v>
      </c>
      <c r="AD279" s="331" t="s">
        <v>24</v>
      </c>
      <c r="AE279" s="329">
        <v>221</v>
      </c>
      <c r="AF279" s="331" t="s">
        <v>254</v>
      </c>
      <c r="AG279" s="329"/>
      <c r="AH279" s="329">
        <v>17</v>
      </c>
      <c r="AI279" s="331" t="s">
        <v>280</v>
      </c>
      <c r="AJ279" s="331" t="s">
        <v>281</v>
      </c>
      <c r="AK279" s="329"/>
      <c r="AL279" s="329"/>
      <c r="AM279" s="329"/>
      <c r="AN279" s="329"/>
      <c r="AO279" s="329"/>
      <c r="AP279" s="331" t="s">
        <v>457</v>
      </c>
      <c r="AQ279" s="329">
        <v>510</v>
      </c>
      <c r="AR279" s="329">
        <v>570</v>
      </c>
      <c r="AS279" s="329"/>
      <c r="AT279" s="329" t="s">
        <v>312</v>
      </c>
      <c r="AU279" s="329" t="s">
        <v>256</v>
      </c>
      <c r="AV279" s="331" t="s">
        <v>292</v>
      </c>
      <c r="AW279" s="329"/>
      <c r="AX279" s="329"/>
      <c r="AY279" s="329"/>
      <c r="AZ279" s="329"/>
      <c r="BA279" s="329"/>
      <c r="BB279" s="329"/>
      <c r="BC279" s="329"/>
      <c r="BD279" s="329"/>
      <c r="BE279" s="329" t="s">
        <v>257</v>
      </c>
      <c r="BF279" s="329" t="s">
        <v>836</v>
      </c>
      <c r="BG279" s="329"/>
      <c r="BH279" s="329"/>
      <c r="BI279" s="329"/>
      <c r="BJ279" s="329"/>
      <c r="BK279" s="329">
        <v>18000</v>
      </c>
      <c r="BL279" s="329"/>
      <c r="BM279" s="331" t="s">
        <v>310</v>
      </c>
      <c r="BN279" s="329" t="s">
        <v>922</v>
      </c>
      <c r="BO279" s="333">
        <v>43754</v>
      </c>
      <c r="BP279" s="329"/>
      <c r="BQ279" s="329"/>
      <c r="BR279" s="329"/>
      <c r="BS279" s="329"/>
      <c r="BT279" s="329"/>
      <c r="BU279" s="331" t="s">
        <v>261</v>
      </c>
      <c r="BV279" s="329"/>
      <c r="BW279" s="329"/>
      <c r="BX279" s="329"/>
      <c r="BY279" s="331" t="s">
        <v>3966</v>
      </c>
      <c r="BZ279" s="331" t="s">
        <v>3967</v>
      </c>
      <c r="CA279" s="331" t="s">
        <v>3968</v>
      </c>
      <c r="CB279" s="331" t="s">
        <v>292</v>
      </c>
      <c r="CC279" s="331" t="s">
        <v>3969</v>
      </c>
    </row>
    <row r="280" spans="1:81" x14ac:dyDescent="0.25">
      <c r="A280" s="329">
        <v>198105</v>
      </c>
      <c r="B280" s="331" t="s">
        <v>3970</v>
      </c>
      <c r="C280" s="329">
        <v>35094</v>
      </c>
      <c r="D280" s="331" t="s">
        <v>3971</v>
      </c>
      <c r="E280" s="331" t="s">
        <v>750</v>
      </c>
      <c r="F280" s="331" t="s">
        <v>3972</v>
      </c>
      <c r="G280" s="331" t="s">
        <v>3973</v>
      </c>
      <c r="H280" s="331" t="s">
        <v>3974</v>
      </c>
      <c r="I280" s="331" t="s">
        <v>3975</v>
      </c>
      <c r="J280" s="331" t="s">
        <v>393</v>
      </c>
      <c r="K280" s="331" t="s">
        <v>3976</v>
      </c>
      <c r="L280" s="329"/>
      <c r="M280" s="329">
        <v>6</v>
      </c>
      <c r="N280" s="329">
        <v>0</v>
      </c>
      <c r="O280" s="329">
        <v>3.1259999999999999</v>
      </c>
      <c r="P280" s="329"/>
      <c r="Q280" s="333">
        <v>43692.364583333336</v>
      </c>
      <c r="R280" s="329"/>
      <c r="S280" s="333">
        <v>43753</v>
      </c>
      <c r="T280" s="329">
        <v>55</v>
      </c>
      <c r="U280" s="333">
        <v>43753</v>
      </c>
      <c r="V280" s="333">
        <v>44109</v>
      </c>
      <c r="W280" s="329" t="b">
        <v>1</v>
      </c>
      <c r="X280" s="331" t="s">
        <v>22</v>
      </c>
      <c r="Y280" s="329">
        <v>429</v>
      </c>
      <c r="Z280" s="331" t="s">
        <v>23</v>
      </c>
      <c r="AA280" s="331" t="s">
        <v>919</v>
      </c>
      <c r="AB280" s="331" t="s">
        <v>920</v>
      </c>
      <c r="AC280" s="331" t="s">
        <v>468</v>
      </c>
      <c r="AD280" s="331" t="s">
        <v>24</v>
      </c>
      <c r="AE280" s="329">
        <v>221</v>
      </c>
      <c r="AF280" s="331" t="s">
        <v>254</v>
      </c>
      <c r="AG280" s="329"/>
      <c r="AH280" s="329">
        <v>17</v>
      </c>
      <c r="AI280" s="331" t="s">
        <v>280</v>
      </c>
      <c r="AJ280" s="331" t="s">
        <v>281</v>
      </c>
      <c r="AK280" s="331" t="s">
        <v>331</v>
      </c>
      <c r="AL280" s="331" t="s">
        <v>328</v>
      </c>
      <c r="AM280" s="331" t="s">
        <v>328</v>
      </c>
      <c r="AN280" s="331" t="s">
        <v>299</v>
      </c>
      <c r="AO280" s="331" t="s">
        <v>301</v>
      </c>
      <c r="AP280" s="329"/>
      <c r="AQ280" s="329"/>
      <c r="AR280" s="329"/>
      <c r="AS280" s="329"/>
      <c r="AT280" s="329" t="s">
        <v>266</v>
      </c>
      <c r="AU280" s="329" t="s">
        <v>579</v>
      </c>
      <c r="AV280" s="331" t="s">
        <v>393</v>
      </c>
      <c r="AW280" s="329"/>
      <c r="AX280" s="329"/>
      <c r="AY280" s="329"/>
      <c r="AZ280" s="329"/>
      <c r="BA280" s="329"/>
      <c r="BB280" s="329"/>
      <c r="BC280" s="329"/>
      <c r="BD280" s="329"/>
      <c r="BE280" s="329" t="s">
        <v>257</v>
      </c>
      <c r="BF280" s="329" t="s">
        <v>830</v>
      </c>
      <c r="BG280" s="329"/>
      <c r="BH280" s="329"/>
      <c r="BI280" s="329"/>
      <c r="BJ280" s="329"/>
      <c r="BK280" s="329">
        <v>12000</v>
      </c>
      <c r="BL280" s="329"/>
      <c r="BM280" s="331" t="s">
        <v>26</v>
      </c>
      <c r="BN280" s="329" t="s">
        <v>922</v>
      </c>
      <c r="BO280" s="333">
        <v>43754</v>
      </c>
      <c r="BP280" s="329"/>
      <c r="BQ280" s="329"/>
      <c r="BR280" s="329"/>
      <c r="BS280" s="329"/>
      <c r="BT280" s="329"/>
      <c r="BU280" s="331" t="s">
        <v>261</v>
      </c>
      <c r="BV280" s="329"/>
      <c r="BW280" s="329"/>
      <c r="BX280" s="329"/>
      <c r="BY280" s="331" t="s">
        <v>3956</v>
      </c>
      <c r="BZ280" s="331" t="s">
        <v>3957</v>
      </c>
      <c r="CA280" s="331" t="s">
        <v>3958</v>
      </c>
      <c r="CB280" s="331" t="s">
        <v>393</v>
      </c>
      <c r="CC280" s="331" t="s">
        <v>3959</v>
      </c>
    </row>
    <row r="281" spans="1:81" x14ac:dyDescent="0.25">
      <c r="A281" s="329">
        <v>192176</v>
      </c>
      <c r="B281" s="331" t="s">
        <v>3994</v>
      </c>
      <c r="C281" s="329">
        <v>33603</v>
      </c>
      <c r="D281" s="331" t="s">
        <v>3995</v>
      </c>
      <c r="E281" s="331" t="s">
        <v>3996</v>
      </c>
      <c r="F281" s="331" t="s">
        <v>3997</v>
      </c>
      <c r="G281" s="331" t="s">
        <v>3998</v>
      </c>
      <c r="H281" s="331" t="s">
        <v>3999</v>
      </c>
      <c r="I281" s="331" t="s">
        <v>4000</v>
      </c>
      <c r="J281" s="331" t="s">
        <v>581</v>
      </c>
      <c r="K281" s="331" t="s">
        <v>4001</v>
      </c>
      <c r="L281" s="329"/>
      <c r="M281" s="329">
        <v>6</v>
      </c>
      <c r="N281" s="329">
        <v>0</v>
      </c>
      <c r="O281" s="329">
        <v>3.9762</v>
      </c>
      <c r="P281" s="329"/>
      <c r="Q281" s="333">
        <v>43597.835416666669</v>
      </c>
      <c r="R281" s="329"/>
      <c r="S281" s="333">
        <v>43753</v>
      </c>
      <c r="T281" s="329">
        <v>55</v>
      </c>
      <c r="U281" s="333">
        <v>43753</v>
      </c>
      <c r="V281" s="333">
        <v>44109</v>
      </c>
      <c r="W281" s="329" t="b">
        <v>1</v>
      </c>
      <c r="X281" s="331" t="s">
        <v>187</v>
      </c>
      <c r="Y281" s="329">
        <v>718</v>
      </c>
      <c r="Z281" s="331" t="s">
        <v>23</v>
      </c>
      <c r="AA281" s="331" t="s">
        <v>919</v>
      </c>
      <c r="AB281" s="331" t="s">
        <v>920</v>
      </c>
      <c r="AC281" s="331" t="s">
        <v>264</v>
      </c>
      <c r="AD281" s="331" t="s">
        <v>24</v>
      </c>
      <c r="AE281" s="329">
        <v>221</v>
      </c>
      <c r="AF281" s="331" t="s">
        <v>254</v>
      </c>
      <c r="AG281" s="329"/>
      <c r="AH281" s="329">
        <v>17</v>
      </c>
      <c r="AI281" s="331" t="s">
        <v>280</v>
      </c>
      <c r="AJ281" s="331" t="s">
        <v>281</v>
      </c>
      <c r="AK281" s="331" t="s">
        <v>275</v>
      </c>
      <c r="AL281" s="331" t="s">
        <v>290</v>
      </c>
      <c r="AM281" s="331" t="s">
        <v>287</v>
      </c>
      <c r="AN281" s="331" t="s">
        <v>299</v>
      </c>
      <c r="AO281" s="331" t="s">
        <v>289</v>
      </c>
      <c r="AP281" s="329"/>
      <c r="AQ281" s="329"/>
      <c r="AR281" s="329"/>
      <c r="AS281" s="329"/>
      <c r="AT281" s="329" t="s">
        <v>379</v>
      </c>
      <c r="AU281" s="329" t="s">
        <v>283</v>
      </c>
      <c r="AV281" s="331" t="s">
        <v>581</v>
      </c>
      <c r="AW281" s="329"/>
      <c r="AX281" s="329"/>
      <c r="AY281" s="329"/>
      <c r="AZ281" s="329"/>
      <c r="BA281" s="329"/>
      <c r="BB281" s="329"/>
      <c r="BC281" s="329"/>
      <c r="BD281" s="329"/>
      <c r="BE281" s="329" t="s">
        <v>257</v>
      </c>
      <c r="BF281" s="329" t="s">
        <v>834</v>
      </c>
      <c r="BG281" s="329"/>
      <c r="BH281" s="329"/>
      <c r="BI281" s="329"/>
      <c r="BJ281" s="329"/>
      <c r="BK281" s="329">
        <v>20400</v>
      </c>
      <c r="BL281" s="329"/>
      <c r="BM281" s="331" t="s">
        <v>278</v>
      </c>
      <c r="BN281" s="329" t="s">
        <v>922</v>
      </c>
      <c r="BO281" s="333">
        <v>43754</v>
      </c>
      <c r="BP281" s="329"/>
      <c r="BQ281" s="329"/>
      <c r="BR281" s="329"/>
      <c r="BS281" s="329"/>
      <c r="BT281" s="329"/>
      <c r="BU281" s="331" t="s">
        <v>261</v>
      </c>
      <c r="BV281" s="329"/>
      <c r="BW281" s="329"/>
      <c r="BX281" s="329"/>
      <c r="BY281" s="331" t="s">
        <v>4002</v>
      </c>
      <c r="BZ281" s="331" t="s">
        <v>4003</v>
      </c>
      <c r="CA281" s="331" t="s">
        <v>4004</v>
      </c>
      <c r="CB281" s="331" t="s">
        <v>581</v>
      </c>
      <c r="CC281" s="331" t="s">
        <v>4001</v>
      </c>
    </row>
    <row r="282" spans="1:81" x14ac:dyDescent="0.25">
      <c r="A282" s="329">
        <v>197476</v>
      </c>
      <c r="B282" s="331" t="s">
        <v>4005</v>
      </c>
      <c r="C282" s="329">
        <v>34886</v>
      </c>
      <c r="D282" s="331" t="s">
        <v>4006</v>
      </c>
      <c r="E282" s="331" t="s">
        <v>570</v>
      </c>
      <c r="F282" s="331" t="s">
        <v>4007</v>
      </c>
      <c r="G282" s="331" t="s">
        <v>4008</v>
      </c>
      <c r="H282" s="331" t="s">
        <v>4009</v>
      </c>
      <c r="I282" s="331" t="s">
        <v>4010</v>
      </c>
      <c r="J282" s="331" t="s">
        <v>251</v>
      </c>
      <c r="K282" s="331" t="s">
        <v>4011</v>
      </c>
      <c r="L282" s="329"/>
      <c r="M282" s="329">
        <v>6</v>
      </c>
      <c r="N282" s="329">
        <v>0</v>
      </c>
      <c r="O282" s="329">
        <v>1.63</v>
      </c>
      <c r="P282" s="329"/>
      <c r="Q282" s="333">
        <v>43657.652777777781</v>
      </c>
      <c r="R282" s="329"/>
      <c r="S282" s="333">
        <v>43753</v>
      </c>
      <c r="T282" s="329">
        <v>55</v>
      </c>
      <c r="U282" s="333">
        <v>43753</v>
      </c>
      <c r="V282" s="333">
        <v>44109</v>
      </c>
      <c r="W282" s="329" t="b">
        <v>1</v>
      </c>
      <c r="X282" s="331" t="s">
        <v>187</v>
      </c>
      <c r="Y282" s="329">
        <v>718</v>
      </c>
      <c r="Z282" s="331" t="s">
        <v>23</v>
      </c>
      <c r="AA282" s="331" t="s">
        <v>919</v>
      </c>
      <c r="AB282" s="331" t="s">
        <v>920</v>
      </c>
      <c r="AC282" s="331" t="s">
        <v>468</v>
      </c>
      <c r="AD282" s="331" t="s">
        <v>24</v>
      </c>
      <c r="AE282" s="329">
        <v>221</v>
      </c>
      <c r="AF282" s="331" t="s">
        <v>254</v>
      </c>
      <c r="AG282" s="329"/>
      <c r="AH282" s="329">
        <v>17</v>
      </c>
      <c r="AI282" s="331" t="s">
        <v>280</v>
      </c>
      <c r="AJ282" s="331" t="s">
        <v>281</v>
      </c>
      <c r="AK282" s="329"/>
      <c r="AL282" s="329"/>
      <c r="AM282" s="329"/>
      <c r="AN282" s="329"/>
      <c r="AO282" s="329"/>
      <c r="AP282" s="331" t="s">
        <v>534</v>
      </c>
      <c r="AQ282" s="329">
        <v>660</v>
      </c>
      <c r="AR282" s="329">
        <v>610</v>
      </c>
      <c r="AS282" s="329"/>
      <c r="AT282" s="329" t="s">
        <v>460</v>
      </c>
      <c r="AU282" s="329" t="s">
        <v>256</v>
      </c>
      <c r="AV282" s="331" t="s">
        <v>251</v>
      </c>
      <c r="AW282" s="329"/>
      <c r="AX282" s="329"/>
      <c r="AY282" s="329"/>
      <c r="AZ282" s="329"/>
      <c r="BA282" s="329"/>
      <c r="BB282" s="329"/>
      <c r="BC282" s="329"/>
      <c r="BD282" s="329"/>
      <c r="BE282" s="329"/>
      <c r="BF282" s="329"/>
      <c r="BG282" s="329"/>
      <c r="BH282" s="329"/>
      <c r="BI282" s="329"/>
      <c r="BJ282" s="329"/>
      <c r="BK282" s="329">
        <v>0</v>
      </c>
      <c r="BL282" s="329"/>
      <c r="BM282" s="331" t="s">
        <v>28</v>
      </c>
      <c r="BN282" s="329" t="s">
        <v>922</v>
      </c>
      <c r="BO282" s="333">
        <v>43754</v>
      </c>
      <c r="BP282" s="329"/>
      <c r="BQ282" s="329"/>
      <c r="BR282" s="329"/>
      <c r="BS282" s="329"/>
      <c r="BT282" s="329"/>
      <c r="BU282" s="331" t="s">
        <v>261</v>
      </c>
      <c r="BV282" s="329"/>
      <c r="BW282" s="329"/>
      <c r="BX282" s="329"/>
      <c r="BY282" s="331" t="s">
        <v>4012</v>
      </c>
      <c r="BZ282" s="331" t="s">
        <v>4013</v>
      </c>
      <c r="CA282" s="331" t="s">
        <v>4014</v>
      </c>
      <c r="CB282" s="331" t="s">
        <v>251</v>
      </c>
      <c r="CC282" s="331" t="s">
        <v>4011</v>
      </c>
    </row>
    <row r="283" spans="1:81" x14ac:dyDescent="0.25">
      <c r="A283" s="329">
        <v>196792</v>
      </c>
      <c r="B283" s="331" t="s">
        <v>4015</v>
      </c>
      <c r="C283" s="329">
        <v>34741</v>
      </c>
      <c r="D283" s="331" t="s">
        <v>4016</v>
      </c>
      <c r="E283" s="331" t="s">
        <v>4017</v>
      </c>
      <c r="F283" s="331" t="s">
        <v>4018</v>
      </c>
      <c r="G283" s="331" t="s">
        <v>4019</v>
      </c>
      <c r="H283" s="331" t="s">
        <v>4020</v>
      </c>
      <c r="I283" s="331" t="s">
        <v>428</v>
      </c>
      <c r="J283" s="331" t="s">
        <v>392</v>
      </c>
      <c r="K283" s="331" t="s">
        <v>4021</v>
      </c>
      <c r="L283" s="329"/>
      <c r="M283" s="329">
        <v>6</v>
      </c>
      <c r="N283" s="329">
        <v>0</v>
      </c>
      <c r="O283" s="329">
        <v>3.9</v>
      </c>
      <c r="P283" s="329"/>
      <c r="Q283" s="333">
        <v>43706.673611111109</v>
      </c>
      <c r="R283" s="329"/>
      <c r="S283" s="333">
        <v>43753</v>
      </c>
      <c r="T283" s="329">
        <v>55</v>
      </c>
      <c r="U283" s="333">
        <v>43753</v>
      </c>
      <c r="V283" s="333">
        <v>44109</v>
      </c>
      <c r="W283" s="329" t="b">
        <v>1</v>
      </c>
      <c r="X283" s="331" t="s">
        <v>22</v>
      </c>
      <c r="Y283" s="329">
        <v>429</v>
      </c>
      <c r="Z283" s="331" t="s">
        <v>25</v>
      </c>
      <c r="AA283" s="331" t="s">
        <v>919</v>
      </c>
      <c r="AB283" s="331" t="s">
        <v>920</v>
      </c>
      <c r="AC283" s="331" t="s">
        <v>1818</v>
      </c>
      <c r="AD283" s="331" t="s">
        <v>24</v>
      </c>
      <c r="AE283" s="329">
        <v>221</v>
      </c>
      <c r="AF283" s="331" t="s">
        <v>254</v>
      </c>
      <c r="AG283" s="329"/>
      <c r="AH283" s="329">
        <v>17</v>
      </c>
      <c r="AI283" s="331" t="s">
        <v>280</v>
      </c>
      <c r="AJ283" s="331" t="s">
        <v>281</v>
      </c>
      <c r="AK283" s="329"/>
      <c r="AL283" s="329"/>
      <c r="AM283" s="329"/>
      <c r="AN283" s="329"/>
      <c r="AO283" s="329"/>
      <c r="AP283" s="331" t="s">
        <v>2160</v>
      </c>
      <c r="AQ283" s="329">
        <v>670</v>
      </c>
      <c r="AR283" s="329">
        <v>620</v>
      </c>
      <c r="AS283" s="329"/>
      <c r="AT283" s="329" t="s">
        <v>276</v>
      </c>
      <c r="AU283" s="329" t="s">
        <v>283</v>
      </c>
      <c r="AV283" s="331" t="s">
        <v>392</v>
      </c>
      <c r="AW283" s="329"/>
      <c r="AX283" s="329"/>
      <c r="AY283" s="329"/>
      <c r="AZ283" s="329"/>
      <c r="BA283" s="329"/>
      <c r="BB283" s="329"/>
      <c r="BC283" s="329"/>
      <c r="BD283" s="329"/>
      <c r="BE283" s="329" t="s">
        <v>257</v>
      </c>
      <c r="BF283" s="329" t="s">
        <v>834</v>
      </c>
      <c r="BG283" s="329"/>
      <c r="BH283" s="329"/>
      <c r="BI283" s="329"/>
      <c r="BJ283" s="329"/>
      <c r="BK283" s="329">
        <v>20400</v>
      </c>
      <c r="BL283" s="329"/>
      <c r="BM283" s="331" t="s">
        <v>278</v>
      </c>
      <c r="BN283" s="329" t="s">
        <v>922</v>
      </c>
      <c r="BO283" s="333">
        <v>43754</v>
      </c>
      <c r="BP283" s="329"/>
      <c r="BQ283" s="329"/>
      <c r="BR283" s="329"/>
      <c r="BS283" s="329"/>
      <c r="BT283" s="329"/>
      <c r="BU283" s="331" t="s">
        <v>261</v>
      </c>
      <c r="BV283" s="329"/>
      <c r="BW283" s="329"/>
      <c r="BX283" s="329"/>
      <c r="BY283" s="331" t="s">
        <v>4022</v>
      </c>
      <c r="BZ283" s="331" t="s">
        <v>2875</v>
      </c>
      <c r="CA283" s="331" t="s">
        <v>4023</v>
      </c>
      <c r="CB283" s="331" t="s">
        <v>392</v>
      </c>
      <c r="CC283" s="331" t="s">
        <v>4024</v>
      </c>
    </row>
    <row r="284" spans="1:81" x14ac:dyDescent="0.25">
      <c r="A284" s="329">
        <v>197800</v>
      </c>
      <c r="B284" s="331" t="s">
        <v>4034</v>
      </c>
      <c r="C284" s="329">
        <v>34996</v>
      </c>
      <c r="D284" s="331" t="s">
        <v>373</v>
      </c>
      <c r="E284" s="331" t="s">
        <v>4035</v>
      </c>
      <c r="F284" s="331" t="s">
        <v>4036</v>
      </c>
      <c r="G284" s="331" t="s">
        <v>4037</v>
      </c>
      <c r="H284" s="331" t="s">
        <v>4038</v>
      </c>
      <c r="I284" s="331" t="s">
        <v>564</v>
      </c>
      <c r="J284" s="331" t="s">
        <v>292</v>
      </c>
      <c r="K284" s="331" t="s">
        <v>4039</v>
      </c>
      <c r="L284" s="329"/>
      <c r="M284" s="329">
        <v>6</v>
      </c>
      <c r="N284" s="329">
        <v>0</v>
      </c>
      <c r="O284" s="329">
        <v>3.72</v>
      </c>
      <c r="P284" s="329"/>
      <c r="Q284" s="333">
        <v>43725.770833333336</v>
      </c>
      <c r="R284" s="329"/>
      <c r="S284" s="333">
        <v>43753</v>
      </c>
      <c r="T284" s="329">
        <v>55</v>
      </c>
      <c r="U284" s="333">
        <v>43753</v>
      </c>
      <c r="V284" s="333">
        <v>44109</v>
      </c>
      <c r="W284" s="329" t="b">
        <v>1</v>
      </c>
      <c r="X284" s="331" t="s">
        <v>22</v>
      </c>
      <c r="Y284" s="329">
        <v>726</v>
      </c>
      <c r="Z284" s="331" t="s">
        <v>25</v>
      </c>
      <c r="AA284" s="331" t="s">
        <v>919</v>
      </c>
      <c r="AB284" s="331" t="s">
        <v>920</v>
      </c>
      <c r="AC284" s="331" t="s">
        <v>972</v>
      </c>
      <c r="AD284" s="331" t="s">
        <v>24</v>
      </c>
      <c r="AE284" s="329">
        <v>221</v>
      </c>
      <c r="AF284" s="331" t="s">
        <v>254</v>
      </c>
      <c r="AG284" s="329"/>
      <c r="AH284" s="329">
        <v>17</v>
      </c>
      <c r="AI284" s="331" t="s">
        <v>280</v>
      </c>
      <c r="AJ284" s="331" t="s">
        <v>281</v>
      </c>
      <c r="AK284" s="329"/>
      <c r="AL284" s="329"/>
      <c r="AM284" s="329"/>
      <c r="AN284" s="329"/>
      <c r="AO284" s="329"/>
      <c r="AP284" s="331" t="s">
        <v>491</v>
      </c>
      <c r="AQ284" s="329">
        <v>480</v>
      </c>
      <c r="AR284" s="329">
        <v>520</v>
      </c>
      <c r="AS284" s="329"/>
      <c r="AT284" s="329" t="s">
        <v>833</v>
      </c>
      <c r="AU284" s="329" t="s">
        <v>256</v>
      </c>
      <c r="AV284" s="331" t="s">
        <v>292</v>
      </c>
      <c r="AW284" s="329"/>
      <c r="AX284" s="329"/>
      <c r="AY284" s="329"/>
      <c r="AZ284" s="329"/>
      <c r="BA284" s="329"/>
      <c r="BB284" s="329"/>
      <c r="BC284" s="329"/>
      <c r="BD284" s="329"/>
      <c r="BE284" s="329" t="s">
        <v>257</v>
      </c>
      <c r="BF284" s="329" t="s">
        <v>836</v>
      </c>
      <c r="BG284" s="329"/>
      <c r="BH284" s="329"/>
      <c r="BI284" s="329"/>
      <c r="BJ284" s="329"/>
      <c r="BK284" s="329">
        <v>18000</v>
      </c>
      <c r="BL284" s="329"/>
      <c r="BM284" s="331" t="s">
        <v>310</v>
      </c>
      <c r="BN284" s="329" t="s">
        <v>922</v>
      </c>
      <c r="BO284" s="333">
        <v>43754</v>
      </c>
      <c r="BP284" s="329"/>
      <c r="BQ284" s="329"/>
      <c r="BR284" s="329"/>
      <c r="BS284" s="329"/>
      <c r="BT284" s="329"/>
      <c r="BU284" s="331" t="s">
        <v>261</v>
      </c>
      <c r="BV284" s="329"/>
      <c r="BW284" s="329"/>
      <c r="BX284" s="329"/>
      <c r="BY284" s="331" t="s">
        <v>4040</v>
      </c>
      <c r="BZ284" s="331" t="s">
        <v>4041</v>
      </c>
      <c r="CA284" s="331" t="s">
        <v>3493</v>
      </c>
      <c r="CB284" s="331" t="s">
        <v>292</v>
      </c>
      <c r="CC284" s="331" t="s">
        <v>4039</v>
      </c>
    </row>
    <row r="285" spans="1:81" x14ac:dyDescent="0.25">
      <c r="A285" s="329">
        <v>196275</v>
      </c>
      <c r="B285" s="331" t="s">
        <v>4042</v>
      </c>
      <c r="C285" s="329">
        <v>34589</v>
      </c>
      <c r="D285" s="331" t="s">
        <v>373</v>
      </c>
      <c r="E285" s="331" t="s">
        <v>4043</v>
      </c>
      <c r="F285" s="331" t="s">
        <v>4044</v>
      </c>
      <c r="G285" s="331" t="s">
        <v>4045</v>
      </c>
      <c r="H285" s="331" t="s">
        <v>4046</v>
      </c>
      <c r="I285" s="331" t="s">
        <v>4047</v>
      </c>
      <c r="J285" s="331" t="s">
        <v>396</v>
      </c>
      <c r="K285" s="331" t="s">
        <v>4048</v>
      </c>
      <c r="L285" s="329"/>
      <c r="M285" s="329">
        <v>6</v>
      </c>
      <c r="N285" s="329">
        <v>0</v>
      </c>
      <c r="O285" s="329">
        <v>2.875</v>
      </c>
      <c r="P285" s="329"/>
      <c r="Q285" s="333">
        <v>43636.548611111109</v>
      </c>
      <c r="R285" s="329"/>
      <c r="S285" s="333">
        <v>43753</v>
      </c>
      <c r="T285" s="329">
        <v>55</v>
      </c>
      <c r="U285" s="333">
        <v>43753</v>
      </c>
      <c r="V285" s="333">
        <v>44109</v>
      </c>
      <c r="W285" s="329" t="b">
        <v>1</v>
      </c>
      <c r="X285" s="331" t="s">
        <v>22</v>
      </c>
      <c r="Y285" s="329">
        <v>726</v>
      </c>
      <c r="Z285" s="331" t="s">
        <v>23</v>
      </c>
      <c r="AA285" s="331" t="s">
        <v>919</v>
      </c>
      <c r="AB285" s="331" t="s">
        <v>920</v>
      </c>
      <c r="AC285" s="331" t="s">
        <v>1064</v>
      </c>
      <c r="AD285" s="331" t="s">
        <v>24</v>
      </c>
      <c r="AE285" s="329">
        <v>221</v>
      </c>
      <c r="AF285" s="331" t="s">
        <v>254</v>
      </c>
      <c r="AG285" s="329"/>
      <c r="AH285" s="329">
        <v>17</v>
      </c>
      <c r="AI285" s="331" t="s">
        <v>280</v>
      </c>
      <c r="AJ285" s="331" t="s">
        <v>281</v>
      </c>
      <c r="AK285" s="331" t="s">
        <v>359</v>
      </c>
      <c r="AL285" s="331" t="s">
        <v>2316</v>
      </c>
      <c r="AM285" s="331" t="s">
        <v>329</v>
      </c>
      <c r="AN285" s="331" t="s">
        <v>386</v>
      </c>
      <c r="AO285" s="331" t="s">
        <v>329</v>
      </c>
      <c r="AP285" s="329"/>
      <c r="AQ285" s="329"/>
      <c r="AR285" s="329"/>
      <c r="AS285" s="329"/>
      <c r="AT285" s="329" t="s">
        <v>844</v>
      </c>
      <c r="AU285" s="329" t="s">
        <v>256</v>
      </c>
      <c r="AV285" s="331" t="s">
        <v>396</v>
      </c>
      <c r="AW285" s="329"/>
      <c r="AX285" s="329"/>
      <c r="AY285" s="329"/>
      <c r="AZ285" s="329"/>
      <c r="BA285" s="329"/>
      <c r="BB285" s="329"/>
      <c r="BC285" s="329"/>
      <c r="BD285" s="329"/>
      <c r="BE285" s="329"/>
      <c r="BF285" s="329"/>
      <c r="BG285" s="329"/>
      <c r="BH285" s="329"/>
      <c r="BI285" s="329"/>
      <c r="BJ285" s="329"/>
      <c r="BK285" s="329">
        <v>0</v>
      </c>
      <c r="BL285" s="329"/>
      <c r="BM285" s="331" t="s">
        <v>323</v>
      </c>
      <c r="BN285" s="329" t="s">
        <v>922</v>
      </c>
      <c r="BO285" s="333">
        <v>43754</v>
      </c>
      <c r="BP285" s="329"/>
      <c r="BQ285" s="329"/>
      <c r="BR285" s="329"/>
      <c r="BS285" s="329"/>
      <c r="BT285" s="329"/>
      <c r="BU285" s="331" t="s">
        <v>261</v>
      </c>
      <c r="BV285" s="329"/>
      <c r="BW285" s="329"/>
      <c r="BX285" s="329"/>
      <c r="BY285" s="331" t="s">
        <v>4049</v>
      </c>
      <c r="BZ285" s="331" t="s">
        <v>4050</v>
      </c>
      <c r="CA285" s="331" t="s">
        <v>4051</v>
      </c>
      <c r="CB285" s="331" t="s">
        <v>396</v>
      </c>
      <c r="CC285" s="331" t="s">
        <v>4052</v>
      </c>
    </row>
    <row r="286" spans="1:81" x14ac:dyDescent="0.25">
      <c r="A286" s="329">
        <v>195666</v>
      </c>
      <c r="B286" s="331" t="s">
        <v>4053</v>
      </c>
      <c r="C286" s="329">
        <v>34383</v>
      </c>
      <c r="D286" s="331" t="s">
        <v>472</v>
      </c>
      <c r="E286" s="331" t="s">
        <v>507</v>
      </c>
      <c r="F286" s="331" t="s">
        <v>4054</v>
      </c>
      <c r="G286" s="331" t="s">
        <v>4055</v>
      </c>
      <c r="H286" s="331" t="s">
        <v>4056</v>
      </c>
      <c r="I286" s="331" t="s">
        <v>4057</v>
      </c>
      <c r="J286" s="331" t="s">
        <v>307</v>
      </c>
      <c r="K286" s="331" t="s">
        <v>4058</v>
      </c>
      <c r="L286" s="329"/>
      <c r="M286" s="329">
        <v>6</v>
      </c>
      <c r="N286" s="329">
        <v>0</v>
      </c>
      <c r="O286" s="329">
        <v>3.2</v>
      </c>
      <c r="P286" s="329"/>
      <c r="Q286" s="333">
        <v>43582.729166666664</v>
      </c>
      <c r="R286" s="329"/>
      <c r="S286" s="333">
        <v>43753</v>
      </c>
      <c r="T286" s="329">
        <v>55</v>
      </c>
      <c r="U286" s="333">
        <v>43753</v>
      </c>
      <c r="V286" s="333">
        <v>44109</v>
      </c>
      <c r="W286" s="329" t="b">
        <v>1</v>
      </c>
      <c r="X286" s="331" t="s">
        <v>905</v>
      </c>
      <c r="Y286" s="329">
        <v>747</v>
      </c>
      <c r="Z286" s="331" t="s">
        <v>23</v>
      </c>
      <c r="AA286" s="331" t="s">
        <v>919</v>
      </c>
      <c r="AB286" s="331" t="s">
        <v>920</v>
      </c>
      <c r="AC286" s="331" t="s">
        <v>2182</v>
      </c>
      <c r="AD286" s="331" t="s">
        <v>24</v>
      </c>
      <c r="AE286" s="329">
        <v>221</v>
      </c>
      <c r="AF286" s="331" t="s">
        <v>254</v>
      </c>
      <c r="AG286" s="329"/>
      <c r="AH286" s="329">
        <v>17</v>
      </c>
      <c r="AI286" s="331" t="s">
        <v>280</v>
      </c>
      <c r="AJ286" s="331" t="s">
        <v>281</v>
      </c>
      <c r="AK286" s="331" t="s">
        <v>275</v>
      </c>
      <c r="AL286" s="331" t="s">
        <v>275</v>
      </c>
      <c r="AM286" s="331" t="s">
        <v>300</v>
      </c>
      <c r="AN286" s="331" t="s">
        <v>290</v>
      </c>
      <c r="AO286" s="331" t="s">
        <v>272</v>
      </c>
      <c r="AP286" s="329"/>
      <c r="AQ286" s="329"/>
      <c r="AR286" s="329"/>
      <c r="AS286" s="329"/>
      <c r="AT286" s="329" t="s">
        <v>309</v>
      </c>
      <c r="AU286" s="329" t="s">
        <v>283</v>
      </c>
      <c r="AV286" s="331" t="s">
        <v>307</v>
      </c>
      <c r="AW286" s="329"/>
      <c r="AX286" s="329"/>
      <c r="AY286" s="329"/>
      <c r="AZ286" s="329"/>
      <c r="BA286" s="329"/>
      <c r="BB286" s="329"/>
      <c r="BC286" s="329"/>
      <c r="BD286" s="329"/>
      <c r="BE286" s="329" t="s">
        <v>257</v>
      </c>
      <c r="BF286" s="329" t="s">
        <v>838</v>
      </c>
      <c r="BG286" s="329"/>
      <c r="BH286" s="329"/>
      <c r="BI286" s="329"/>
      <c r="BJ286" s="329"/>
      <c r="BK286" s="329">
        <v>15600</v>
      </c>
      <c r="BL286" s="329"/>
      <c r="BM286" s="331" t="s">
        <v>259</v>
      </c>
      <c r="BN286" s="329" t="s">
        <v>922</v>
      </c>
      <c r="BO286" s="333">
        <v>43754</v>
      </c>
      <c r="BP286" s="329"/>
      <c r="BQ286" s="329"/>
      <c r="BR286" s="329"/>
      <c r="BS286" s="329"/>
      <c r="BT286" s="329"/>
      <c r="BU286" s="331" t="s">
        <v>261</v>
      </c>
      <c r="BV286" s="329"/>
      <c r="BW286" s="329"/>
      <c r="BX286" s="329"/>
      <c r="BY286" s="331" t="s">
        <v>4059</v>
      </c>
      <c r="BZ286" s="331" t="s">
        <v>4060</v>
      </c>
      <c r="CA286" s="331" t="s">
        <v>4061</v>
      </c>
      <c r="CB286" s="331" t="s">
        <v>307</v>
      </c>
      <c r="CC286" s="331" t="s">
        <v>4058</v>
      </c>
    </row>
    <row r="287" spans="1:81" x14ac:dyDescent="0.25">
      <c r="A287" s="329">
        <v>194321</v>
      </c>
      <c r="B287" s="331" t="s">
        <v>4062</v>
      </c>
      <c r="C287" s="329">
        <v>34082</v>
      </c>
      <c r="D287" s="331" t="s">
        <v>4063</v>
      </c>
      <c r="E287" s="331" t="s">
        <v>4064</v>
      </c>
      <c r="F287" s="331" t="s">
        <v>4065</v>
      </c>
      <c r="G287" s="331" t="s">
        <v>4066</v>
      </c>
      <c r="H287" s="331" t="s">
        <v>4067</v>
      </c>
      <c r="I287" s="331" t="s">
        <v>886</v>
      </c>
      <c r="J287" s="331" t="s">
        <v>21</v>
      </c>
      <c r="K287" s="331" t="s">
        <v>4068</v>
      </c>
      <c r="L287" s="329"/>
      <c r="M287" s="329">
        <v>6</v>
      </c>
      <c r="N287" s="329">
        <v>0</v>
      </c>
      <c r="O287" s="329">
        <v>3.9590000000000001</v>
      </c>
      <c r="P287" s="329"/>
      <c r="Q287" s="333">
        <v>43633.798611111109</v>
      </c>
      <c r="R287" s="329"/>
      <c r="S287" s="333">
        <v>43753</v>
      </c>
      <c r="T287" s="329">
        <v>55</v>
      </c>
      <c r="U287" s="333">
        <v>43753</v>
      </c>
      <c r="V287" s="333">
        <v>44109</v>
      </c>
      <c r="W287" s="329" t="b">
        <v>1</v>
      </c>
      <c r="X287" s="331" t="s">
        <v>906</v>
      </c>
      <c r="Y287" s="329">
        <v>748</v>
      </c>
      <c r="Z287" s="331" t="s">
        <v>25</v>
      </c>
      <c r="AA287" s="331" t="s">
        <v>919</v>
      </c>
      <c r="AB287" s="331" t="s">
        <v>920</v>
      </c>
      <c r="AC287" s="331" t="s">
        <v>1153</v>
      </c>
      <c r="AD287" s="331" t="s">
        <v>24</v>
      </c>
      <c r="AE287" s="329">
        <v>221</v>
      </c>
      <c r="AF287" s="331" t="s">
        <v>254</v>
      </c>
      <c r="AG287" s="329"/>
      <c r="AH287" s="329">
        <v>17</v>
      </c>
      <c r="AI287" s="331" t="s">
        <v>280</v>
      </c>
      <c r="AJ287" s="331" t="s">
        <v>281</v>
      </c>
      <c r="AK287" s="331" t="s">
        <v>299</v>
      </c>
      <c r="AL287" s="331" t="s">
        <v>328</v>
      </c>
      <c r="AM287" s="331" t="s">
        <v>300</v>
      </c>
      <c r="AN287" s="331" t="s">
        <v>363</v>
      </c>
      <c r="AO287" s="331" t="s">
        <v>290</v>
      </c>
      <c r="AP287" s="329"/>
      <c r="AQ287" s="329"/>
      <c r="AR287" s="329"/>
      <c r="AS287" s="329"/>
      <c r="AT287" s="329" t="s">
        <v>319</v>
      </c>
      <c r="AU287" s="329" t="s">
        <v>283</v>
      </c>
      <c r="AV287" s="331" t="s">
        <v>21</v>
      </c>
      <c r="AW287" s="329"/>
      <c r="AX287" s="329"/>
      <c r="AY287" s="329"/>
      <c r="AZ287" s="329"/>
      <c r="BA287" s="329"/>
      <c r="BB287" s="329"/>
      <c r="BC287" s="329"/>
      <c r="BD287" s="329"/>
      <c r="BE287" s="329" t="s">
        <v>257</v>
      </c>
      <c r="BF287" s="329" t="s">
        <v>834</v>
      </c>
      <c r="BG287" s="329"/>
      <c r="BH287" s="329" t="s">
        <v>258</v>
      </c>
      <c r="BI287" s="329" t="s">
        <v>334</v>
      </c>
      <c r="BJ287" s="329" t="s">
        <v>831</v>
      </c>
      <c r="BK287" s="329">
        <v>56400</v>
      </c>
      <c r="BL287" s="329"/>
      <c r="BM287" s="331" t="s">
        <v>278</v>
      </c>
      <c r="BN287" s="329" t="s">
        <v>922</v>
      </c>
      <c r="BO287" s="333">
        <v>43754</v>
      </c>
      <c r="BP287" s="329"/>
      <c r="BQ287" s="329"/>
      <c r="BR287" s="329"/>
      <c r="BS287" s="329"/>
      <c r="BT287" s="329"/>
      <c r="BU287" s="331" t="s">
        <v>261</v>
      </c>
      <c r="BV287" s="329"/>
      <c r="BW287" s="329"/>
      <c r="BX287" s="329"/>
      <c r="BY287" s="331" t="s">
        <v>4069</v>
      </c>
      <c r="BZ287" s="331" t="s">
        <v>4070</v>
      </c>
      <c r="CA287" s="331" t="s">
        <v>886</v>
      </c>
      <c r="CB287" s="331" t="s">
        <v>21</v>
      </c>
      <c r="CC287" s="331" t="s">
        <v>4071</v>
      </c>
    </row>
    <row r="288" spans="1:81" x14ac:dyDescent="0.25">
      <c r="A288" s="329">
        <v>198391</v>
      </c>
      <c r="B288" s="331" t="s">
        <v>4072</v>
      </c>
      <c r="C288" s="329">
        <v>35263</v>
      </c>
      <c r="D288" s="331" t="s">
        <v>4073</v>
      </c>
      <c r="E288" s="331" t="s">
        <v>442</v>
      </c>
      <c r="F288" s="331" t="s">
        <v>4074</v>
      </c>
      <c r="G288" s="331" t="s">
        <v>4075</v>
      </c>
      <c r="H288" s="331" t="s">
        <v>4076</v>
      </c>
      <c r="I288" s="331" t="s">
        <v>447</v>
      </c>
      <c r="J288" s="331" t="s">
        <v>297</v>
      </c>
      <c r="K288" s="331" t="s">
        <v>4077</v>
      </c>
      <c r="L288" s="329"/>
      <c r="M288" s="329">
        <v>6</v>
      </c>
      <c r="N288" s="329">
        <v>0</v>
      </c>
      <c r="O288" s="329">
        <v>2.9615</v>
      </c>
      <c r="P288" s="329"/>
      <c r="Q288" s="333">
        <v>43700.809027777781</v>
      </c>
      <c r="R288" s="329"/>
      <c r="S288" s="333">
        <v>43753</v>
      </c>
      <c r="T288" s="329">
        <v>55</v>
      </c>
      <c r="U288" s="333">
        <v>43753</v>
      </c>
      <c r="V288" s="333">
        <v>44109</v>
      </c>
      <c r="W288" s="329" t="b">
        <v>1</v>
      </c>
      <c r="X288" s="331" t="s">
        <v>22</v>
      </c>
      <c r="Y288" s="329">
        <v>726</v>
      </c>
      <c r="Z288" s="331" t="s">
        <v>23</v>
      </c>
      <c r="AA288" s="331" t="s">
        <v>919</v>
      </c>
      <c r="AB288" s="331" t="s">
        <v>920</v>
      </c>
      <c r="AC288" s="331" t="s">
        <v>2088</v>
      </c>
      <c r="AD288" s="331" t="s">
        <v>24</v>
      </c>
      <c r="AE288" s="329">
        <v>221</v>
      </c>
      <c r="AF288" s="331" t="s">
        <v>254</v>
      </c>
      <c r="AG288" s="329"/>
      <c r="AH288" s="329">
        <v>17</v>
      </c>
      <c r="AI288" s="331" t="s">
        <v>280</v>
      </c>
      <c r="AJ288" s="331" t="s">
        <v>281</v>
      </c>
      <c r="AK288" s="329"/>
      <c r="AL288" s="329"/>
      <c r="AM288" s="329"/>
      <c r="AN288" s="329"/>
      <c r="AO288" s="329"/>
      <c r="AP288" s="329"/>
      <c r="AQ288" s="329"/>
      <c r="AR288" s="329"/>
      <c r="AS288" s="329"/>
      <c r="AT288" s="329" t="s">
        <v>258</v>
      </c>
      <c r="AU288" s="329" t="s">
        <v>256</v>
      </c>
      <c r="AV288" s="331" t="s">
        <v>297</v>
      </c>
      <c r="AW288" s="329"/>
      <c r="AX288" s="329"/>
      <c r="AY288" s="329"/>
      <c r="AZ288" s="329"/>
      <c r="BA288" s="329"/>
      <c r="BB288" s="329"/>
      <c r="BC288" s="329"/>
      <c r="BD288" s="329"/>
      <c r="BE288" s="329"/>
      <c r="BF288" s="329"/>
      <c r="BG288" s="329"/>
      <c r="BH288" s="329"/>
      <c r="BI288" s="329"/>
      <c r="BJ288" s="329"/>
      <c r="BK288" s="329">
        <v>0</v>
      </c>
      <c r="BL288" s="329"/>
      <c r="BM288" s="331" t="s">
        <v>28</v>
      </c>
      <c r="BN288" s="329" t="s">
        <v>922</v>
      </c>
      <c r="BO288" s="333">
        <v>43754</v>
      </c>
      <c r="BP288" s="329"/>
      <c r="BQ288" s="329"/>
      <c r="BR288" s="329"/>
      <c r="BS288" s="329"/>
      <c r="BT288" s="329"/>
      <c r="BU288" s="331" t="s">
        <v>261</v>
      </c>
      <c r="BV288" s="329"/>
      <c r="BW288" s="329"/>
      <c r="BX288" s="329"/>
      <c r="BY288" s="331" t="s">
        <v>4078</v>
      </c>
      <c r="BZ288" s="331" t="s">
        <v>4079</v>
      </c>
      <c r="CA288" s="331" t="s">
        <v>447</v>
      </c>
      <c r="CB288" s="331" t="s">
        <v>297</v>
      </c>
      <c r="CC288" s="331" t="s">
        <v>4077</v>
      </c>
    </row>
    <row r="289" spans="1:81" x14ac:dyDescent="0.25">
      <c r="A289" s="329">
        <v>197755</v>
      </c>
      <c r="B289" s="331" t="s">
        <v>4080</v>
      </c>
      <c r="C289" s="329">
        <v>34981</v>
      </c>
      <c r="D289" s="331" t="s">
        <v>4081</v>
      </c>
      <c r="E289" s="331" t="s">
        <v>507</v>
      </c>
      <c r="F289" s="331" t="s">
        <v>4082</v>
      </c>
      <c r="G289" s="331" t="s">
        <v>4083</v>
      </c>
      <c r="H289" s="331" t="s">
        <v>4084</v>
      </c>
      <c r="I289" s="331" t="s">
        <v>4085</v>
      </c>
      <c r="J289" s="331" t="s">
        <v>284</v>
      </c>
      <c r="K289" s="331" t="s">
        <v>4086</v>
      </c>
      <c r="L289" s="329"/>
      <c r="M289" s="329">
        <v>6</v>
      </c>
      <c r="N289" s="329">
        <v>0</v>
      </c>
      <c r="O289" s="329">
        <v>3.92</v>
      </c>
      <c r="P289" s="329"/>
      <c r="Q289" s="333">
        <v>43631.725694444445</v>
      </c>
      <c r="R289" s="329"/>
      <c r="S289" s="333">
        <v>43753</v>
      </c>
      <c r="T289" s="329">
        <v>55</v>
      </c>
      <c r="U289" s="333">
        <v>43753</v>
      </c>
      <c r="V289" s="333">
        <v>44109</v>
      </c>
      <c r="W289" s="329" t="b">
        <v>1</v>
      </c>
      <c r="X289" s="331" t="s">
        <v>22</v>
      </c>
      <c r="Y289" s="329">
        <v>429</v>
      </c>
      <c r="Z289" s="331" t="s">
        <v>23</v>
      </c>
      <c r="AA289" s="331" t="s">
        <v>919</v>
      </c>
      <c r="AB289" s="331" t="s">
        <v>920</v>
      </c>
      <c r="AC289" s="331" t="s">
        <v>1011</v>
      </c>
      <c r="AD289" s="331" t="s">
        <v>24</v>
      </c>
      <c r="AE289" s="329">
        <v>221</v>
      </c>
      <c r="AF289" s="331" t="s">
        <v>254</v>
      </c>
      <c r="AG289" s="329"/>
      <c r="AH289" s="329">
        <v>17</v>
      </c>
      <c r="AI289" s="331" t="s">
        <v>280</v>
      </c>
      <c r="AJ289" s="331" t="s">
        <v>281</v>
      </c>
      <c r="AK289" s="329"/>
      <c r="AL289" s="329"/>
      <c r="AM289" s="329"/>
      <c r="AN289" s="329"/>
      <c r="AO289" s="329"/>
      <c r="AP289" s="331" t="s">
        <v>740</v>
      </c>
      <c r="AQ289" s="329">
        <v>490</v>
      </c>
      <c r="AR289" s="329">
        <v>480</v>
      </c>
      <c r="AS289" s="329"/>
      <c r="AT289" s="329" t="s">
        <v>394</v>
      </c>
      <c r="AU289" s="329" t="s">
        <v>256</v>
      </c>
      <c r="AV289" s="331" t="s">
        <v>284</v>
      </c>
      <c r="AW289" s="329"/>
      <c r="AX289" s="329"/>
      <c r="AY289" s="329"/>
      <c r="AZ289" s="329"/>
      <c r="BA289" s="329"/>
      <c r="BB289" s="329"/>
      <c r="BC289" s="329"/>
      <c r="BD289" s="329"/>
      <c r="BE289" s="329" t="s">
        <v>257</v>
      </c>
      <c r="BF289" s="329" t="s">
        <v>834</v>
      </c>
      <c r="BG289" s="329"/>
      <c r="BH289" s="329"/>
      <c r="BI289" s="329"/>
      <c r="BJ289" s="329"/>
      <c r="BK289" s="329">
        <v>20400</v>
      </c>
      <c r="BL289" s="329"/>
      <c r="BM289" s="331" t="s">
        <v>278</v>
      </c>
      <c r="BN289" s="329" t="s">
        <v>922</v>
      </c>
      <c r="BO289" s="333">
        <v>43754</v>
      </c>
      <c r="BP289" s="329"/>
      <c r="BQ289" s="329"/>
      <c r="BR289" s="329"/>
      <c r="BS289" s="329"/>
      <c r="BT289" s="329"/>
      <c r="BU289" s="331" t="s">
        <v>261</v>
      </c>
      <c r="BV289" s="329"/>
      <c r="BW289" s="329"/>
      <c r="BX289" s="329"/>
      <c r="BY289" s="331" t="s">
        <v>4087</v>
      </c>
      <c r="BZ289" s="331" t="s">
        <v>4088</v>
      </c>
      <c r="CA289" s="331" t="s">
        <v>4089</v>
      </c>
      <c r="CB289" s="331" t="s">
        <v>284</v>
      </c>
      <c r="CC289" s="331" t="s">
        <v>4086</v>
      </c>
    </row>
    <row r="290" spans="1:81" x14ac:dyDescent="0.25">
      <c r="A290" s="329">
        <v>197532</v>
      </c>
      <c r="B290" s="331" t="s">
        <v>4090</v>
      </c>
      <c r="C290" s="329">
        <v>34899</v>
      </c>
      <c r="D290" s="331" t="s">
        <v>4091</v>
      </c>
      <c r="E290" s="331" t="s">
        <v>907</v>
      </c>
      <c r="F290" s="331" t="s">
        <v>4092</v>
      </c>
      <c r="G290" s="331" t="s">
        <v>4093</v>
      </c>
      <c r="H290" s="331" t="s">
        <v>4094</v>
      </c>
      <c r="I290" s="331" t="s">
        <v>4095</v>
      </c>
      <c r="J290" s="331" t="s">
        <v>378</v>
      </c>
      <c r="K290" s="331" t="s">
        <v>2630</v>
      </c>
      <c r="L290" s="329"/>
      <c r="M290" s="329">
        <v>6</v>
      </c>
      <c r="N290" s="329">
        <v>0</v>
      </c>
      <c r="O290" s="329">
        <v>3.61</v>
      </c>
      <c r="P290" s="329"/>
      <c r="Q290" s="333">
        <v>43719.234027777777</v>
      </c>
      <c r="R290" s="329"/>
      <c r="S290" s="333">
        <v>43753</v>
      </c>
      <c r="T290" s="329">
        <v>55</v>
      </c>
      <c r="U290" s="333">
        <v>43753</v>
      </c>
      <c r="V290" s="333">
        <v>44109</v>
      </c>
      <c r="W290" s="329" t="b">
        <v>1</v>
      </c>
      <c r="X290" s="331" t="s">
        <v>187</v>
      </c>
      <c r="Y290" s="329">
        <v>718</v>
      </c>
      <c r="Z290" s="331" t="s">
        <v>25</v>
      </c>
      <c r="AA290" s="331" t="s">
        <v>919</v>
      </c>
      <c r="AB290" s="331" t="s">
        <v>920</v>
      </c>
      <c r="AC290" s="331" t="s">
        <v>720</v>
      </c>
      <c r="AD290" s="331" t="s">
        <v>24</v>
      </c>
      <c r="AE290" s="329">
        <v>221</v>
      </c>
      <c r="AF290" s="331" t="s">
        <v>254</v>
      </c>
      <c r="AG290" s="329"/>
      <c r="AH290" s="329">
        <v>17</v>
      </c>
      <c r="AI290" s="331" t="s">
        <v>280</v>
      </c>
      <c r="AJ290" s="331" t="s">
        <v>281</v>
      </c>
      <c r="AK290" s="331" t="s">
        <v>290</v>
      </c>
      <c r="AL290" s="331" t="s">
        <v>301</v>
      </c>
      <c r="AM290" s="331" t="s">
        <v>290</v>
      </c>
      <c r="AN290" s="331" t="s">
        <v>290</v>
      </c>
      <c r="AO290" s="331" t="s">
        <v>301</v>
      </c>
      <c r="AP290" s="329"/>
      <c r="AQ290" s="329"/>
      <c r="AR290" s="329"/>
      <c r="AS290" s="329"/>
      <c r="AT290" s="329" t="s">
        <v>833</v>
      </c>
      <c r="AU290" s="329" t="s">
        <v>567</v>
      </c>
      <c r="AV290" s="331" t="s">
        <v>378</v>
      </c>
      <c r="AW290" s="329"/>
      <c r="AX290" s="329"/>
      <c r="AY290" s="329"/>
      <c r="AZ290" s="329"/>
      <c r="BA290" s="329"/>
      <c r="BB290" s="329"/>
      <c r="BC290" s="329"/>
      <c r="BD290" s="329"/>
      <c r="BE290" s="329" t="s">
        <v>257</v>
      </c>
      <c r="BF290" s="329" t="s">
        <v>834</v>
      </c>
      <c r="BG290" s="329"/>
      <c r="BH290" s="329"/>
      <c r="BI290" s="329"/>
      <c r="BJ290" s="329"/>
      <c r="BK290" s="329">
        <v>20400</v>
      </c>
      <c r="BL290" s="329"/>
      <c r="BM290" s="331" t="s">
        <v>278</v>
      </c>
      <c r="BN290" s="329" t="s">
        <v>922</v>
      </c>
      <c r="BO290" s="333">
        <v>43754</v>
      </c>
      <c r="BP290" s="329"/>
      <c r="BQ290" s="329"/>
      <c r="BR290" s="329"/>
      <c r="BS290" s="329"/>
      <c r="BT290" s="329"/>
      <c r="BU290" s="331" t="s">
        <v>261</v>
      </c>
      <c r="BV290" s="329"/>
      <c r="BW290" s="329"/>
      <c r="BX290" s="329"/>
      <c r="BY290" s="331" t="s">
        <v>2627</v>
      </c>
      <c r="BZ290" s="331" t="s">
        <v>2628</v>
      </c>
      <c r="CA290" s="331" t="s">
        <v>2629</v>
      </c>
      <c r="CB290" s="331" t="s">
        <v>378</v>
      </c>
      <c r="CC290" s="331" t="s">
        <v>2630</v>
      </c>
    </row>
    <row r="291" spans="1:81" x14ac:dyDescent="0.25">
      <c r="A291" s="329">
        <v>196271</v>
      </c>
      <c r="B291" s="331" t="s">
        <v>4096</v>
      </c>
      <c r="C291" s="329">
        <v>34588</v>
      </c>
      <c r="D291" s="331" t="s">
        <v>899</v>
      </c>
      <c r="E291" s="331" t="s">
        <v>880</v>
      </c>
      <c r="F291" s="331" t="s">
        <v>4097</v>
      </c>
      <c r="G291" s="331" t="s">
        <v>4098</v>
      </c>
      <c r="H291" s="331" t="s">
        <v>4099</v>
      </c>
      <c r="I291" s="331" t="s">
        <v>4100</v>
      </c>
      <c r="J291" s="331" t="s">
        <v>307</v>
      </c>
      <c r="K291" s="331" t="s">
        <v>4101</v>
      </c>
      <c r="L291" s="329"/>
      <c r="M291" s="329">
        <v>6</v>
      </c>
      <c r="N291" s="329">
        <v>0</v>
      </c>
      <c r="O291" s="329">
        <v>2.14</v>
      </c>
      <c r="P291" s="329"/>
      <c r="Q291" s="333">
        <v>43630.496527777781</v>
      </c>
      <c r="R291" s="329"/>
      <c r="S291" s="333">
        <v>43753</v>
      </c>
      <c r="T291" s="329">
        <v>55</v>
      </c>
      <c r="U291" s="333">
        <v>43753</v>
      </c>
      <c r="V291" s="333">
        <v>44109</v>
      </c>
      <c r="W291" s="329" t="b">
        <v>1</v>
      </c>
      <c r="X291" s="331" t="s">
        <v>22</v>
      </c>
      <c r="Y291" s="329">
        <v>429</v>
      </c>
      <c r="Z291" s="331" t="s">
        <v>23</v>
      </c>
      <c r="AA291" s="331" t="s">
        <v>919</v>
      </c>
      <c r="AB291" s="331" t="s">
        <v>920</v>
      </c>
      <c r="AC291" s="331" t="s">
        <v>1658</v>
      </c>
      <c r="AD291" s="331" t="s">
        <v>24</v>
      </c>
      <c r="AE291" s="329">
        <v>221</v>
      </c>
      <c r="AF291" s="331" t="s">
        <v>254</v>
      </c>
      <c r="AG291" s="329"/>
      <c r="AH291" s="329">
        <v>17</v>
      </c>
      <c r="AI291" s="331" t="s">
        <v>280</v>
      </c>
      <c r="AJ291" s="331" t="s">
        <v>281</v>
      </c>
      <c r="AK291" s="329"/>
      <c r="AL291" s="329"/>
      <c r="AM291" s="329"/>
      <c r="AN291" s="329"/>
      <c r="AO291" s="329"/>
      <c r="AP291" s="331" t="s">
        <v>476</v>
      </c>
      <c r="AQ291" s="329">
        <v>480</v>
      </c>
      <c r="AR291" s="329">
        <v>480</v>
      </c>
      <c r="AS291" s="329"/>
      <c r="AT291" s="329" t="s">
        <v>861</v>
      </c>
      <c r="AU291" s="329" t="s">
        <v>283</v>
      </c>
      <c r="AV291" s="331" t="s">
        <v>307</v>
      </c>
      <c r="AW291" s="329"/>
      <c r="AX291" s="329"/>
      <c r="AY291" s="329"/>
      <c r="AZ291" s="329"/>
      <c r="BA291" s="329"/>
      <c r="BB291" s="329"/>
      <c r="BC291" s="329"/>
      <c r="BD291" s="329"/>
      <c r="BE291" s="329"/>
      <c r="BF291" s="329"/>
      <c r="BG291" s="329"/>
      <c r="BH291" s="329"/>
      <c r="BI291" s="329"/>
      <c r="BJ291" s="329"/>
      <c r="BK291" s="329">
        <v>0</v>
      </c>
      <c r="BL291" s="329"/>
      <c r="BM291" s="331" t="s">
        <v>323</v>
      </c>
      <c r="BN291" s="329" t="s">
        <v>922</v>
      </c>
      <c r="BO291" s="333">
        <v>43754</v>
      </c>
      <c r="BP291" s="329"/>
      <c r="BQ291" s="329"/>
      <c r="BR291" s="329"/>
      <c r="BS291" s="329"/>
      <c r="BT291" s="329"/>
      <c r="BU291" s="331" t="s">
        <v>261</v>
      </c>
      <c r="BV291" s="329"/>
      <c r="BW291" s="329"/>
      <c r="BX291" s="329"/>
      <c r="BY291" s="331" t="s">
        <v>4102</v>
      </c>
      <c r="BZ291" s="331" t="s">
        <v>4103</v>
      </c>
      <c r="CA291" s="331" t="s">
        <v>816</v>
      </c>
      <c r="CB291" s="331" t="s">
        <v>307</v>
      </c>
      <c r="CC291" s="331" t="s">
        <v>4104</v>
      </c>
    </row>
    <row r="292" spans="1:81" x14ac:dyDescent="0.25">
      <c r="A292" s="329">
        <v>197450</v>
      </c>
      <c r="B292" s="331" t="s">
        <v>4105</v>
      </c>
      <c r="C292" s="329">
        <v>34877</v>
      </c>
      <c r="D292" s="331" t="s">
        <v>4106</v>
      </c>
      <c r="E292" s="331" t="s">
        <v>788</v>
      </c>
      <c r="F292" s="331" t="s">
        <v>4107</v>
      </c>
      <c r="G292" s="331" t="s">
        <v>4108</v>
      </c>
      <c r="H292" s="331" t="s">
        <v>4109</v>
      </c>
      <c r="I292" s="331" t="s">
        <v>4110</v>
      </c>
      <c r="J292" s="331" t="s">
        <v>292</v>
      </c>
      <c r="K292" s="331" t="s">
        <v>4111</v>
      </c>
      <c r="L292" s="329"/>
      <c r="M292" s="329">
        <v>6</v>
      </c>
      <c r="N292" s="329">
        <v>0</v>
      </c>
      <c r="O292" s="329">
        <v>3.4119999999999999</v>
      </c>
      <c r="P292" s="329"/>
      <c r="Q292" s="333">
        <v>43717.784722222219</v>
      </c>
      <c r="R292" s="329"/>
      <c r="S292" s="333">
        <v>43753</v>
      </c>
      <c r="T292" s="329">
        <v>55</v>
      </c>
      <c r="U292" s="333">
        <v>43753</v>
      </c>
      <c r="V292" s="333">
        <v>44109</v>
      </c>
      <c r="W292" s="329" t="b">
        <v>1</v>
      </c>
      <c r="X292" s="331" t="s">
        <v>22</v>
      </c>
      <c r="Y292" s="329">
        <v>726</v>
      </c>
      <c r="Z292" s="331" t="s">
        <v>23</v>
      </c>
      <c r="AA292" s="331" t="s">
        <v>919</v>
      </c>
      <c r="AB292" s="331" t="s">
        <v>920</v>
      </c>
      <c r="AC292" s="331" t="s">
        <v>1446</v>
      </c>
      <c r="AD292" s="331" t="s">
        <v>24</v>
      </c>
      <c r="AE292" s="329">
        <v>221</v>
      </c>
      <c r="AF292" s="331" t="s">
        <v>254</v>
      </c>
      <c r="AG292" s="329"/>
      <c r="AH292" s="329">
        <v>17</v>
      </c>
      <c r="AI292" s="331" t="s">
        <v>280</v>
      </c>
      <c r="AJ292" s="331" t="s">
        <v>281</v>
      </c>
      <c r="AK292" s="331" t="s">
        <v>287</v>
      </c>
      <c r="AL292" s="331" t="s">
        <v>286</v>
      </c>
      <c r="AM292" s="331" t="s">
        <v>300</v>
      </c>
      <c r="AN292" s="331" t="s">
        <v>351</v>
      </c>
      <c r="AO292" s="331" t="s">
        <v>272</v>
      </c>
      <c r="AP292" s="329"/>
      <c r="AQ292" s="329"/>
      <c r="AR292" s="329"/>
      <c r="AS292" s="329"/>
      <c r="AT292" s="329" t="s">
        <v>312</v>
      </c>
      <c r="AU292" s="329" t="s">
        <v>963</v>
      </c>
      <c r="AV292" s="331" t="s">
        <v>292</v>
      </c>
      <c r="AW292" s="329"/>
      <c r="AX292" s="329"/>
      <c r="AY292" s="329"/>
      <c r="AZ292" s="329"/>
      <c r="BA292" s="329"/>
      <c r="BB292" s="329"/>
      <c r="BC292" s="329"/>
      <c r="BD292" s="329"/>
      <c r="BE292" s="329" t="s">
        <v>257</v>
      </c>
      <c r="BF292" s="329" t="s">
        <v>834</v>
      </c>
      <c r="BG292" s="329"/>
      <c r="BH292" s="329"/>
      <c r="BI292" s="329"/>
      <c r="BJ292" s="329"/>
      <c r="BK292" s="329">
        <v>20400</v>
      </c>
      <c r="BL292" s="329"/>
      <c r="BM292" s="331" t="s">
        <v>278</v>
      </c>
      <c r="BN292" s="329" t="s">
        <v>922</v>
      </c>
      <c r="BO292" s="333">
        <v>43754</v>
      </c>
      <c r="BP292" s="329"/>
      <c r="BQ292" s="329"/>
      <c r="BR292" s="329"/>
      <c r="BS292" s="329"/>
      <c r="BT292" s="329"/>
      <c r="BU292" s="331" t="s">
        <v>261</v>
      </c>
      <c r="BV292" s="329"/>
      <c r="BW292" s="329"/>
      <c r="BX292" s="329"/>
      <c r="BY292" s="331" t="s">
        <v>4112</v>
      </c>
      <c r="BZ292" s="331" t="s">
        <v>4113</v>
      </c>
      <c r="CA292" s="331" t="s">
        <v>4114</v>
      </c>
      <c r="CB292" s="331" t="s">
        <v>292</v>
      </c>
      <c r="CC292" s="331" t="s">
        <v>4111</v>
      </c>
    </row>
    <row r="293" spans="1:81" x14ac:dyDescent="0.25">
      <c r="A293" s="329">
        <v>196332</v>
      </c>
      <c r="B293" s="331" t="s">
        <v>4115</v>
      </c>
      <c r="C293" s="329">
        <v>34612</v>
      </c>
      <c r="D293" s="331" t="s">
        <v>4116</v>
      </c>
      <c r="E293" s="331" t="s">
        <v>373</v>
      </c>
      <c r="F293" s="331" t="s">
        <v>4117</v>
      </c>
      <c r="G293" s="331" t="s">
        <v>4118</v>
      </c>
      <c r="H293" s="331" t="s">
        <v>4119</v>
      </c>
      <c r="I293" s="331" t="s">
        <v>3030</v>
      </c>
      <c r="J293" s="331" t="s">
        <v>297</v>
      </c>
      <c r="K293" s="331" t="s">
        <v>4120</v>
      </c>
      <c r="L293" s="329"/>
      <c r="M293" s="329">
        <v>6</v>
      </c>
      <c r="N293" s="329">
        <v>0</v>
      </c>
      <c r="O293" s="329">
        <v>2.444</v>
      </c>
      <c r="P293" s="329"/>
      <c r="Q293" s="333">
        <v>43668.475127314814</v>
      </c>
      <c r="R293" s="329"/>
      <c r="S293" s="333">
        <v>43753</v>
      </c>
      <c r="T293" s="329">
        <v>55</v>
      </c>
      <c r="U293" s="333">
        <v>43753</v>
      </c>
      <c r="V293" s="333">
        <v>44109</v>
      </c>
      <c r="W293" s="329" t="b">
        <v>1</v>
      </c>
      <c r="X293" s="331" t="s">
        <v>187</v>
      </c>
      <c r="Y293" s="329">
        <v>718</v>
      </c>
      <c r="Z293" s="331" t="s">
        <v>23</v>
      </c>
      <c r="AA293" s="331" t="s">
        <v>919</v>
      </c>
      <c r="AB293" s="331" t="s">
        <v>920</v>
      </c>
      <c r="AC293" s="331" t="s">
        <v>364</v>
      </c>
      <c r="AD293" s="331" t="s">
        <v>24</v>
      </c>
      <c r="AE293" s="329">
        <v>221</v>
      </c>
      <c r="AF293" s="331" t="s">
        <v>254</v>
      </c>
      <c r="AG293" s="329"/>
      <c r="AH293" s="329">
        <v>17</v>
      </c>
      <c r="AI293" s="331" t="s">
        <v>280</v>
      </c>
      <c r="AJ293" s="331" t="s">
        <v>281</v>
      </c>
      <c r="AK293" s="331" t="s">
        <v>301</v>
      </c>
      <c r="AL293" s="331" t="s">
        <v>290</v>
      </c>
      <c r="AM293" s="331" t="s">
        <v>301</v>
      </c>
      <c r="AN293" s="331" t="s">
        <v>290</v>
      </c>
      <c r="AO293" s="331" t="s">
        <v>330</v>
      </c>
      <c r="AP293" s="329"/>
      <c r="AQ293" s="329"/>
      <c r="AR293" s="329"/>
      <c r="AS293" s="329"/>
      <c r="AT293" s="329" t="s">
        <v>845</v>
      </c>
      <c r="AU293" s="329" t="s">
        <v>283</v>
      </c>
      <c r="AV293" s="331" t="s">
        <v>297</v>
      </c>
      <c r="AW293" s="329"/>
      <c r="AX293" s="329"/>
      <c r="AY293" s="329"/>
      <c r="AZ293" s="329"/>
      <c r="BA293" s="329"/>
      <c r="BB293" s="329"/>
      <c r="BC293" s="329"/>
      <c r="BD293" s="329"/>
      <c r="BE293" s="329" t="s">
        <v>257</v>
      </c>
      <c r="BF293" s="329" t="s">
        <v>841</v>
      </c>
      <c r="BG293" s="329"/>
      <c r="BH293" s="329"/>
      <c r="BI293" s="329"/>
      <c r="BJ293" s="329"/>
      <c r="BK293" s="329">
        <v>9000</v>
      </c>
      <c r="BL293" s="329"/>
      <c r="BM293" s="331" t="s">
        <v>189</v>
      </c>
      <c r="BN293" s="329" t="s">
        <v>922</v>
      </c>
      <c r="BO293" s="333">
        <v>43754</v>
      </c>
      <c r="BP293" s="329"/>
      <c r="BQ293" s="329"/>
      <c r="BR293" s="329"/>
      <c r="BS293" s="329"/>
      <c r="BT293" s="329"/>
      <c r="BU293" s="331" t="s">
        <v>261</v>
      </c>
      <c r="BV293" s="329"/>
      <c r="BW293" s="329"/>
      <c r="BX293" s="329"/>
      <c r="BY293" s="331" t="s">
        <v>4121</v>
      </c>
      <c r="BZ293" s="331" t="s">
        <v>4122</v>
      </c>
      <c r="CA293" s="331" t="s">
        <v>1968</v>
      </c>
      <c r="CB293" s="331" t="s">
        <v>297</v>
      </c>
      <c r="CC293" s="331" t="s">
        <v>4123</v>
      </c>
    </row>
    <row r="294" spans="1:81" x14ac:dyDescent="0.25">
      <c r="A294" s="329">
        <v>195937</v>
      </c>
      <c r="B294" s="331" t="s">
        <v>4124</v>
      </c>
      <c r="C294" s="329">
        <v>34438</v>
      </c>
      <c r="D294" s="331" t="s">
        <v>4125</v>
      </c>
      <c r="E294" s="331" t="s">
        <v>4126</v>
      </c>
      <c r="F294" s="331" t="s">
        <v>4127</v>
      </c>
      <c r="G294" s="331" t="s">
        <v>4128</v>
      </c>
      <c r="H294" s="331" t="s">
        <v>4129</v>
      </c>
      <c r="I294" s="331" t="s">
        <v>4130</v>
      </c>
      <c r="J294" s="331" t="s">
        <v>306</v>
      </c>
      <c r="K294" s="331" t="s">
        <v>4131</v>
      </c>
      <c r="L294" s="329"/>
      <c r="M294" s="329">
        <v>6</v>
      </c>
      <c r="N294" s="329">
        <v>0</v>
      </c>
      <c r="O294" s="329">
        <v>3.6429</v>
      </c>
      <c r="P294" s="329"/>
      <c r="Q294" s="333">
        <v>43677.958333333336</v>
      </c>
      <c r="R294" s="329"/>
      <c r="S294" s="333">
        <v>43753</v>
      </c>
      <c r="T294" s="329">
        <v>55</v>
      </c>
      <c r="U294" s="333">
        <v>43753</v>
      </c>
      <c r="V294" s="333">
        <v>44109</v>
      </c>
      <c r="W294" s="329" t="b">
        <v>1</v>
      </c>
      <c r="X294" s="331" t="s">
        <v>22</v>
      </c>
      <c r="Y294" s="329">
        <v>726</v>
      </c>
      <c r="Z294" s="331" t="s">
        <v>23</v>
      </c>
      <c r="AA294" s="331" t="s">
        <v>919</v>
      </c>
      <c r="AB294" s="331" t="s">
        <v>920</v>
      </c>
      <c r="AC294" s="331" t="s">
        <v>346</v>
      </c>
      <c r="AD294" s="331" t="s">
        <v>24</v>
      </c>
      <c r="AE294" s="329">
        <v>221</v>
      </c>
      <c r="AF294" s="331" t="s">
        <v>254</v>
      </c>
      <c r="AG294" s="329"/>
      <c r="AH294" s="329">
        <v>17</v>
      </c>
      <c r="AI294" s="331" t="s">
        <v>280</v>
      </c>
      <c r="AJ294" s="331" t="s">
        <v>281</v>
      </c>
      <c r="AK294" s="331" t="s">
        <v>289</v>
      </c>
      <c r="AL294" s="331" t="s">
        <v>274</v>
      </c>
      <c r="AM294" s="331" t="s">
        <v>301</v>
      </c>
      <c r="AN294" s="331" t="s">
        <v>285</v>
      </c>
      <c r="AO294" s="331" t="s">
        <v>275</v>
      </c>
      <c r="AP294" s="329"/>
      <c r="AQ294" s="329"/>
      <c r="AR294" s="329"/>
      <c r="AS294" s="329"/>
      <c r="AT294" s="329" t="s">
        <v>312</v>
      </c>
      <c r="AU294" s="329" t="s">
        <v>283</v>
      </c>
      <c r="AV294" s="331" t="s">
        <v>306</v>
      </c>
      <c r="AW294" s="329"/>
      <c r="AX294" s="329"/>
      <c r="AY294" s="329"/>
      <c r="AZ294" s="329"/>
      <c r="BA294" s="329"/>
      <c r="BB294" s="329"/>
      <c r="BC294" s="329"/>
      <c r="BD294" s="329"/>
      <c r="BE294" s="329" t="s">
        <v>257</v>
      </c>
      <c r="BF294" s="329" t="s">
        <v>834</v>
      </c>
      <c r="BG294" s="329"/>
      <c r="BH294" s="329"/>
      <c r="BI294" s="329"/>
      <c r="BJ294" s="329"/>
      <c r="BK294" s="329">
        <v>20400</v>
      </c>
      <c r="BL294" s="329"/>
      <c r="BM294" s="331" t="s">
        <v>278</v>
      </c>
      <c r="BN294" s="329" t="s">
        <v>922</v>
      </c>
      <c r="BO294" s="333">
        <v>43754</v>
      </c>
      <c r="BP294" s="329"/>
      <c r="BQ294" s="329"/>
      <c r="BR294" s="329"/>
      <c r="BS294" s="329"/>
      <c r="BT294" s="329"/>
      <c r="BU294" s="331" t="s">
        <v>261</v>
      </c>
      <c r="BV294" s="329"/>
      <c r="BW294" s="329"/>
      <c r="BX294" s="329"/>
      <c r="BY294" s="331" t="s">
        <v>4132</v>
      </c>
      <c r="BZ294" s="331" t="s">
        <v>4133</v>
      </c>
      <c r="CA294" s="331" t="s">
        <v>4134</v>
      </c>
      <c r="CB294" s="331" t="s">
        <v>306</v>
      </c>
      <c r="CC294" s="331" t="s">
        <v>4131</v>
      </c>
    </row>
    <row r="295" spans="1:81" x14ac:dyDescent="0.25">
      <c r="A295" s="329">
        <v>195424</v>
      </c>
      <c r="B295" s="331" t="s">
        <v>1244</v>
      </c>
      <c r="C295" s="329">
        <v>34332</v>
      </c>
      <c r="D295" s="331" t="s">
        <v>1245</v>
      </c>
      <c r="E295" s="331" t="s">
        <v>1246</v>
      </c>
      <c r="F295" s="331" t="s">
        <v>1247</v>
      </c>
      <c r="G295" s="331" t="s">
        <v>1248</v>
      </c>
      <c r="H295" s="331" t="s">
        <v>1249</v>
      </c>
      <c r="I295" s="331" t="s">
        <v>1250</v>
      </c>
      <c r="J295" s="331" t="s">
        <v>823</v>
      </c>
      <c r="K295" s="331" t="s">
        <v>1251</v>
      </c>
      <c r="L295" s="329"/>
      <c r="M295" s="329">
        <v>6</v>
      </c>
      <c r="N295" s="329">
        <v>0</v>
      </c>
      <c r="O295" s="329">
        <v>3.4582999999999999</v>
      </c>
      <c r="P295" s="329"/>
      <c r="Q295" s="333">
        <v>43629.423611111109</v>
      </c>
      <c r="R295" s="329"/>
      <c r="S295" s="333">
        <v>43753</v>
      </c>
      <c r="T295" s="329">
        <v>55</v>
      </c>
      <c r="U295" s="333">
        <v>43753</v>
      </c>
      <c r="V295" s="333">
        <v>44109</v>
      </c>
      <c r="W295" s="329" t="b">
        <v>1</v>
      </c>
      <c r="X295" s="331" t="s">
        <v>22</v>
      </c>
      <c r="Y295" s="329">
        <v>726</v>
      </c>
      <c r="Z295" s="331" t="s">
        <v>25</v>
      </c>
      <c r="AA295" s="331" t="s">
        <v>919</v>
      </c>
      <c r="AB295" s="331" t="s">
        <v>920</v>
      </c>
      <c r="AC295" s="331" t="s">
        <v>1252</v>
      </c>
      <c r="AD295" s="331" t="s">
        <v>592</v>
      </c>
      <c r="AE295" s="329">
        <v>222</v>
      </c>
      <c r="AF295" s="331" t="s">
        <v>254</v>
      </c>
      <c r="AG295" s="329"/>
      <c r="AH295" s="329">
        <v>17</v>
      </c>
      <c r="AI295" s="331" t="s">
        <v>280</v>
      </c>
      <c r="AJ295" s="331" t="s">
        <v>281</v>
      </c>
      <c r="AK295" s="329"/>
      <c r="AL295" s="329"/>
      <c r="AM295" s="329"/>
      <c r="AN295" s="329"/>
      <c r="AO295" s="329"/>
      <c r="AP295" s="331" t="s">
        <v>308</v>
      </c>
      <c r="AQ295" s="329">
        <v>580</v>
      </c>
      <c r="AR295" s="329">
        <v>590</v>
      </c>
      <c r="AS295" s="329"/>
      <c r="AT295" s="329" t="s">
        <v>319</v>
      </c>
      <c r="AU295" s="329" t="s">
        <v>256</v>
      </c>
      <c r="AV295" s="331" t="s">
        <v>823</v>
      </c>
      <c r="AW295" s="329"/>
      <c r="AX295" s="329"/>
      <c r="AY295" s="329"/>
      <c r="AZ295" s="329"/>
      <c r="BA295" s="329"/>
      <c r="BB295" s="329"/>
      <c r="BC295" s="329"/>
      <c r="BD295" s="329"/>
      <c r="BE295" s="329" t="s">
        <v>257</v>
      </c>
      <c r="BF295" s="329" t="s">
        <v>837</v>
      </c>
      <c r="BG295" s="329"/>
      <c r="BH295" s="329"/>
      <c r="BI295" s="329"/>
      <c r="BJ295" s="329"/>
      <c r="BK295" s="329">
        <v>15000</v>
      </c>
      <c r="BL295" s="329"/>
      <c r="BM295" s="331" t="s">
        <v>295</v>
      </c>
      <c r="BN295" s="329" t="s">
        <v>922</v>
      </c>
      <c r="BO295" s="333">
        <v>43754</v>
      </c>
      <c r="BP295" s="329"/>
      <c r="BQ295" s="329"/>
      <c r="BR295" s="329"/>
      <c r="BS295" s="329"/>
      <c r="BT295" s="329"/>
      <c r="BU295" s="331" t="s">
        <v>261</v>
      </c>
      <c r="BV295" s="329"/>
      <c r="BW295" s="329"/>
      <c r="BX295" s="329"/>
      <c r="BY295" s="331" t="s">
        <v>1253</v>
      </c>
      <c r="BZ295" s="331" t="s">
        <v>1254</v>
      </c>
      <c r="CA295" s="331" t="s">
        <v>1255</v>
      </c>
      <c r="CB295" s="331" t="s">
        <v>823</v>
      </c>
      <c r="CC295" s="331" t="s">
        <v>1256</v>
      </c>
    </row>
    <row r="296" spans="1:81" x14ac:dyDescent="0.25">
      <c r="A296" s="329">
        <v>192446</v>
      </c>
      <c r="B296" s="331" t="s">
        <v>2836</v>
      </c>
      <c r="C296" s="329">
        <v>33653</v>
      </c>
      <c r="D296" s="331" t="s">
        <v>2837</v>
      </c>
      <c r="E296" s="331" t="s">
        <v>504</v>
      </c>
      <c r="F296" s="331" t="s">
        <v>2838</v>
      </c>
      <c r="G296" s="331" t="s">
        <v>2839</v>
      </c>
      <c r="H296" s="331" t="s">
        <v>2840</v>
      </c>
      <c r="I296" s="331" t="s">
        <v>2841</v>
      </c>
      <c r="J296" s="331" t="s">
        <v>307</v>
      </c>
      <c r="K296" s="331" t="s">
        <v>2842</v>
      </c>
      <c r="L296" s="329"/>
      <c r="M296" s="329">
        <v>6</v>
      </c>
      <c r="N296" s="329">
        <v>0</v>
      </c>
      <c r="O296" s="329">
        <v>2.82</v>
      </c>
      <c r="P296" s="329"/>
      <c r="Q296" s="333">
        <v>43592.295138888891</v>
      </c>
      <c r="R296" s="329"/>
      <c r="S296" s="333">
        <v>43753</v>
      </c>
      <c r="T296" s="329">
        <v>55</v>
      </c>
      <c r="U296" s="333">
        <v>43753</v>
      </c>
      <c r="V296" s="333">
        <v>44109</v>
      </c>
      <c r="W296" s="329" t="b">
        <v>1</v>
      </c>
      <c r="X296" s="331" t="s">
        <v>22</v>
      </c>
      <c r="Y296" s="329">
        <v>726</v>
      </c>
      <c r="Z296" s="331" t="s">
        <v>23</v>
      </c>
      <c r="AA296" s="331" t="s">
        <v>919</v>
      </c>
      <c r="AB296" s="331" t="s">
        <v>920</v>
      </c>
      <c r="AC296" s="331" t="s">
        <v>1329</v>
      </c>
      <c r="AD296" s="331" t="s">
        <v>592</v>
      </c>
      <c r="AE296" s="329">
        <v>222</v>
      </c>
      <c r="AF296" s="331" t="s">
        <v>254</v>
      </c>
      <c r="AG296" s="329"/>
      <c r="AH296" s="329">
        <v>17</v>
      </c>
      <c r="AI296" s="331" t="s">
        <v>280</v>
      </c>
      <c r="AJ296" s="331" t="s">
        <v>281</v>
      </c>
      <c r="AK296" s="331" t="s">
        <v>331</v>
      </c>
      <c r="AL296" s="331" t="s">
        <v>299</v>
      </c>
      <c r="AM296" s="331" t="s">
        <v>301</v>
      </c>
      <c r="AN296" s="331" t="s">
        <v>363</v>
      </c>
      <c r="AO296" s="331" t="s">
        <v>331</v>
      </c>
      <c r="AP296" s="329"/>
      <c r="AQ296" s="329"/>
      <c r="AR296" s="329"/>
      <c r="AS296" s="329"/>
      <c r="AT296" s="329" t="s">
        <v>382</v>
      </c>
      <c r="AU296" s="329" t="s">
        <v>256</v>
      </c>
      <c r="AV296" s="331" t="s">
        <v>307</v>
      </c>
      <c r="AW296" s="329"/>
      <c r="AX296" s="329"/>
      <c r="AY296" s="329"/>
      <c r="AZ296" s="329"/>
      <c r="BA296" s="329"/>
      <c r="BB296" s="329"/>
      <c r="BC296" s="329"/>
      <c r="BD296" s="329"/>
      <c r="BE296" s="329"/>
      <c r="BF296" s="329"/>
      <c r="BG296" s="329"/>
      <c r="BH296" s="329"/>
      <c r="BI296" s="329"/>
      <c r="BJ296" s="329"/>
      <c r="BK296" s="329">
        <v>0</v>
      </c>
      <c r="BL296" s="329"/>
      <c r="BM296" s="331" t="s">
        <v>267</v>
      </c>
      <c r="BN296" s="329" t="s">
        <v>922</v>
      </c>
      <c r="BO296" s="333">
        <v>43754</v>
      </c>
      <c r="BP296" s="329"/>
      <c r="BQ296" s="329"/>
      <c r="BR296" s="329"/>
      <c r="BS296" s="329"/>
      <c r="BT296" s="329"/>
      <c r="BU296" s="331" t="s">
        <v>261</v>
      </c>
      <c r="BV296" s="329"/>
      <c r="BW296" s="329"/>
      <c r="BX296" s="329"/>
      <c r="BY296" s="331" t="s">
        <v>2843</v>
      </c>
      <c r="BZ296" s="331" t="s">
        <v>2844</v>
      </c>
      <c r="CA296" s="331" t="s">
        <v>2845</v>
      </c>
      <c r="CB296" s="331" t="s">
        <v>307</v>
      </c>
      <c r="CC296" s="331" t="s">
        <v>2846</v>
      </c>
    </row>
    <row r="297" spans="1:81" x14ac:dyDescent="0.25">
      <c r="A297" s="329">
        <v>194399</v>
      </c>
      <c r="B297" s="331" t="s">
        <v>3562</v>
      </c>
      <c r="C297" s="329">
        <v>34115</v>
      </c>
      <c r="D297" s="331" t="s">
        <v>3563</v>
      </c>
      <c r="E297" s="331" t="s">
        <v>3564</v>
      </c>
      <c r="F297" s="331" t="s">
        <v>3565</v>
      </c>
      <c r="G297" s="331" t="s">
        <v>3566</v>
      </c>
      <c r="H297" s="331" t="s">
        <v>3567</v>
      </c>
      <c r="I297" s="331" t="s">
        <v>3568</v>
      </c>
      <c r="J297" s="331" t="s">
        <v>263</v>
      </c>
      <c r="K297" s="331" t="s">
        <v>3569</v>
      </c>
      <c r="L297" s="329"/>
      <c r="M297" s="329">
        <v>6</v>
      </c>
      <c r="N297" s="329">
        <v>0</v>
      </c>
      <c r="O297" s="329">
        <v>3.3130000000000002</v>
      </c>
      <c r="P297" s="329"/>
      <c r="Q297" s="333">
        <v>43630.729861111111</v>
      </c>
      <c r="R297" s="329"/>
      <c r="S297" s="333">
        <v>43753</v>
      </c>
      <c r="T297" s="329">
        <v>55</v>
      </c>
      <c r="U297" s="333">
        <v>43753</v>
      </c>
      <c r="V297" s="333">
        <v>44109</v>
      </c>
      <c r="W297" s="329" t="b">
        <v>1</v>
      </c>
      <c r="X297" s="331" t="s">
        <v>187</v>
      </c>
      <c r="Y297" s="329">
        <v>718</v>
      </c>
      <c r="Z297" s="331" t="s">
        <v>25</v>
      </c>
      <c r="AA297" s="331" t="s">
        <v>919</v>
      </c>
      <c r="AB297" s="331" t="s">
        <v>920</v>
      </c>
      <c r="AC297" s="331" t="s">
        <v>1252</v>
      </c>
      <c r="AD297" s="331" t="s">
        <v>592</v>
      </c>
      <c r="AE297" s="329">
        <v>222</v>
      </c>
      <c r="AF297" s="331" t="s">
        <v>254</v>
      </c>
      <c r="AG297" s="329"/>
      <c r="AH297" s="329">
        <v>17</v>
      </c>
      <c r="AI297" s="331" t="s">
        <v>280</v>
      </c>
      <c r="AJ297" s="331" t="s">
        <v>281</v>
      </c>
      <c r="AK297" s="329"/>
      <c r="AL297" s="329"/>
      <c r="AM297" s="329"/>
      <c r="AN297" s="329"/>
      <c r="AO297" s="329"/>
      <c r="AP297" s="331" t="s">
        <v>955</v>
      </c>
      <c r="AQ297" s="329">
        <v>400</v>
      </c>
      <c r="AR297" s="329">
        <v>430</v>
      </c>
      <c r="AS297" s="329"/>
      <c r="AT297" s="329" t="s">
        <v>431</v>
      </c>
      <c r="AU297" s="329" t="s">
        <v>256</v>
      </c>
      <c r="AV297" s="331" t="s">
        <v>263</v>
      </c>
      <c r="AW297" s="329"/>
      <c r="AX297" s="329"/>
      <c r="AY297" s="329"/>
      <c r="AZ297" s="329"/>
      <c r="BA297" s="329"/>
      <c r="BB297" s="329"/>
      <c r="BC297" s="329"/>
      <c r="BD297" s="329"/>
      <c r="BE297" s="329" t="s">
        <v>257</v>
      </c>
      <c r="BF297" s="329" t="s">
        <v>838</v>
      </c>
      <c r="BG297" s="329"/>
      <c r="BH297" s="329" t="s">
        <v>258</v>
      </c>
      <c r="BI297" s="329"/>
      <c r="BJ297" s="329"/>
      <c r="BK297" s="329">
        <v>15600</v>
      </c>
      <c r="BL297" s="329"/>
      <c r="BM297" s="331" t="s">
        <v>259</v>
      </c>
      <c r="BN297" s="329" t="s">
        <v>922</v>
      </c>
      <c r="BO297" s="333">
        <v>43754</v>
      </c>
      <c r="BP297" s="329"/>
      <c r="BQ297" s="329"/>
      <c r="BR297" s="329"/>
      <c r="BS297" s="329"/>
      <c r="BT297" s="329"/>
      <c r="BU297" s="331" t="s">
        <v>261</v>
      </c>
      <c r="BV297" s="329"/>
      <c r="BW297" s="329"/>
      <c r="BX297" s="329"/>
      <c r="BY297" s="331" t="s">
        <v>3570</v>
      </c>
      <c r="BZ297" s="331" t="s">
        <v>3571</v>
      </c>
      <c r="CA297" s="331" t="s">
        <v>574</v>
      </c>
      <c r="CB297" s="331" t="s">
        <v>263</v>
      </c>
      <c r="CC297" s="331" t="s">
        <v>3572</v>
      </c>
    </row>
    <row r="298" spans="1:81" x14ac:dyDescent="0.25">
      <c r="A298" s="329">
        <v>197336</v>
      </c>
      <c r="B298" s="331" t="s">
        <v>3949</v>
      </c>
      <c r="C298" s="329">
        <v>34852</v>
      </c>
      <c r="D298" s="331" t="s">
        <v>3950</v>
      </c>
      <c r="E298" s="331" t="s">
        <v>985</v>
      </c>
      <c r="F298" s="331" t="s">
        <v>3951</v>
      </c>
      <c r="G298" s="331" t="s">
        <v>3952</v>
      </c>
      <c r="H298" s="331" t="s">
        <v>3953</v>
      </c>
      <c r="I298" s="331" t="s">
        <v>3954</v>
      </c>
      <c r="J298" s="331" t="s">
        <v>393</v>
      </c>
      <c r="K298" s="331" t="s">
        <v>3955</v>
      </c>
      <c r="L298" s="329"/>
      <c r="M298" s="329">
        <v>6</v>
      </c>
      <c r="N298" s="329">
        <v>0</v>
      </c>
      <c r="O298" s="329">
        <v>2.75</v>
      </c>
      <c r="P298" s="329"/>
      <c r="Q298" s="333">
        <v>43715.3125</v>
      </c>
      <c r="R298" s="329"/>
      <c r="S298" s="333">
        <v>43753</v>
      </c>
      <c r="T298" s="329">
        <v>55</v>
      </c>
      <c r="U298" s="333">
        <v>43753</v>
      </c>
      <c r="V298" s="333">
        <v>44109</v>
      </c>
      <c r="W298" s="329" t="b">
        <v>1</v>
      </c>
      <c r="X298" s="331" t="s">
        <v>22</v>
      </c>
      <c r="Y298" s="329">
        <v>726</v>
      </c>
      <c r="Z298" s="331" t="s">
        <v>23</v>
      </c>
      <c r="AA298" s="331" t="s">
        <v>919</v>
      </c>
      <c r="AB298" s="331" t="s">
        <v>920</v>
      </c>
      <c r="AC298" s="331" t="s">
        <v>1405</v>
      </c>
      <c r="AD298" s="331" t="s">
        <v>592</v>
      </c>
      <c r="AE298" s="329">
        <v>222</v>
      </c>
      <c r="AF298" s="331" t="s">
        <v>254</v>
      </c>
      <c r="AG298" s="329"/>
      <c r="AH298" s="329">
        <v>17</v>
      </c>
      <c r="AI298" s="331" t="s">
        <v>280</v>
      </c>
      <c r="AJ298" s="331" t="s">
        <v>281</v>
      </c>
      <c r="AK298" s="331" t="s">
        <v>300</v>
      </c>
      <c r="AL298" s="331" t="s">
        <v>300</v>
      </c>
      <c r="AM298" s="331" t="s">
        <v>328</v>
      </c>
      <c r="AN298" s="331" t="s">
        <v>274</v>
      </c>
      <c r="AO298" s="331" t="s">
        <v>289</v>
      </c>
      <c r="AP298" s="329"/>
      <c r="AQ298" s="329"/>
      <c r="AR298" s="329"/>
      <c r="AS298" s="329"/>
      <c r="AT298" s="329" t="s">
        <v>365</v>
      </c>
      <c r="AU298" s="329" t="s">
        <v>567</v>
      </c>
      <c r="AV298" s="331" t="s">
        <v>393</v>
      </c>
      <c r="AW298" s="329"/>
      <c r="AX298" s="329"/>
      <c r="AY298" s="329"/>
      <c r="AZ298" s="329"/>
      <c r="BA298" s="329"/>
      <c r="BB298" s="329"/>
      <c r="BC298" s="329"/>
      <c r="BD298" s="329"/>
      <c r="BE298" s="329" t="s">
        <v>257</v>
      </c>
      <c r="BF298" s="329" t="s">
        <v>837</v>
      </c>
      <c r="BG298" s="329"/>
      <c r="BH298" s="329"/>
      <c r="BI298" s="329"/>
      <c r="BJ298" s="329"/>
      <c r="BK298" s="329">
        <v>15000</v>
      </c>
      <c r="BL298" s="329"/>
      <c r="BM298" s="331" t="s">
        <v>295</v>
      </c>
      <c r="BN298" s="329" t="s">
        <v>922</v>
      </c>
      <c r="BO298" s="333">
        <v>43754</v>
      </c>
      <c r="BP298" s="329"/>
      <c r="BQ298" s="329"/>
      <c r="BR298" s="329"/>
      <c r="BS298" s="329"/>
      <c r="BT298" s="329"/>
      <c r="BU298" s="331" t="s">
        <v>261</v>
      </c>
      <c r="BV298" s="329"/>
      <c r="BW298" s="329"/>
      <c r="BX298" s="329"/>
      <c r="BY298" s="331" t="s">
        <v>3956</v>
      </c>
      <c r="BZ298" s="331" t="s">
        <v>3957</v>
      </c>
      <c r="CA298" s="331" t="s">
        <v>3958</v>
      </c>
      <c r="CB298" s="331" t="s">
        <v>393</v>
      </c>
      <c r="CC298" s="331" t="s">
        <v>3959</v>
      </c>
    </row>
    <row r="299" spans="1:81" x14ac:dyDescent="0.25">
      <c r="A299" s="329">
        <v>191923</v>
      </c>
      <c r="B299" s="331" t="s">
        <v>4025</v>
      </c>
      <c r="C299" s="329">
        <v>33559</v>
      </c>
      <c r="D299" s="331" t="s">
        <v>373</v>
      </c>
      <c r="E299" s="331" t="s">
        <v>4026</v>
      </c>
      <c r="F299" s="331" t="s">
        <v>4027</v>
      </c>
      <c r="G299" s="331" t="s">
        <v>4028</v>
      </c>
      <c r="H299" s="331" t="s">
        <v>4029</v>
      </c>
      <c r="I299" s="331" t="s">
        <v>455</v>
      </c>
      <c r="J299" s="331" t="s">
        <v>321</v>
      </c>
      <c r="K299" s="331" t="s">
        <v>4030</v>
      </c>
      <c r="L299" s="329"/>
      <c r="M299" s="329">
        <v>6</v>
      </c>
      <c r="N299" s="329">
        <v>0</v>
      </c>
      <c r="O299" s="329">
        <v>3.2</v>
      </c>
      <c r="P299" s="329"/>
      <c r="Q299" s="333">
        <v>43586.829861111109</v>
      </c>
      <c r="R299" s="329"/>
      <c r="S299" s="333">
        <v>43753</v>
      </c>
      <c r="T299" s="329">
        <v>55</v>
      </c>
      <c r="U299" s="333">
        <v>43753</v>
      </c>
      <c r="V299" s="333">
        <v>44109</v>
      </c>
      <c r="W299" s="329" t="b">
        <v>1</v>
      </c>
      <c r="X299" s="331" t="s">
        <v>187</v>
      </c>
      <c r="Y299" s="329">
        <v>718</v>
      </c>
      <c r="Z299" s="331" t="s">
        <v>25</v>
      </c>
      <c r="AA299" s="331" t="s">
        <v>919</v>
      </c>
      <c r="AB299" s="331" t="s">
        <v>920</v>
      </c>
      <c r="AC299" s="331" t="s">
        <v>1218</v>
      </c>
      <c r="AD299" s="331" t="s">
        <v>592</v>
      </c>
      <c r="AE299" s="329">
        <v>222</v>
      </c>
      <c r="AF299" s="331" t="s">
        <v>254</v>
      </c>
      <c r="AG299" s="329"/>
      <c r="AH299" s="329">
        <v>17</v>
      </c>
      <c r="AI299" s="331" t="s">
        <v>280</v>
      </c>
      <c r="AJ299" s="331" t="s">
        <v>281</v>
      </c>
      <c r="AK299" s="331" t="s">
        <v>289</v>
      </c>
      <c r="AL299" s="331" t="s">
        <v>289</v>
      </c>
      <c r="AM299" s="331" t="s">
        <v>301</v>
      </c>
      <c r="AN299" s="331" t="s">
        <v>347</v>
      </c>
      <c r="AO299" s="331" t="s">
        <v>289</v>
      </c>
      <c r="AP299" s="329"/>
      <c r="AQ299" s="329"/>
      <c r="AR299" s="329"/>
      <c r="AS299" s="329"/>
      <c r="AT299" s="329" t="s">
        <v>355</v>
      </c>
      <c r="AU299" s="329" t="s">
        <v>256</v>
      </c>
      <c r="AV299" s="331" t="s">
        <v>321</v>
      </c>
      <c r="AW299" s="329"/>
      <c r="AX299" s="329"/>
      <c r="AY299" s="329"/>
      <c r="AZ299" s="329"/>
      <c r="BA299" s="329"/>
      <c r="BB299" s="329"/>
      <c r="BC299" s="329"/>
      <c r="BD299" s="329"/>
      <c r="BE299" s="329" t="s">
        <v>257</v>
      </c>
      <c r="BF299" s="329" t="s">
        <v>836</v>
      </c>
      <c r="BG299" s="329"/>
      <c r="BH299" s="329"/>
      <c r="BI299" s="329"/>
      <c r="BJ299" s="329"/>
      <c r="BK299" s="329">
        <v>18000</v>
      </c>
      <c r="BL299" s="329"/>
      <c r="BM299" s="331" t="s">
        <v>310</v>
      </c>
      <c r="BN299" s="329" t="s">
        <v>922</v>
      </c>
      <c r="BO299" s="333">
        <v>43754</v>
      </c>
      <c r="BP299" s="329"/>
      <c r="BQ299" s="329"/>
      <c r="BR299" s="329"/>
      <c r="BS299" s="329"/>
      <c r="BT299" s="329"/>
      <c r="BU299" s="331" t="s">
        <v>261</v>
      </c>
      <c r="BV299" s="329"/>
      <c r="BW299" s="329"/>
      <c r="BX299" s="329"/>
      <c r="BY299" s="331" t="s">
        <v>4031</v>
      </c>
      <c r="BZ299" s="331" t="s">
        <v>4032</v>
      </c>
      <c r="CA299" s="331" t="s">
        <v>4033</v>
      </c>
      <c r="CB299" s="331" t="s">
        <v>321</v>
      </c>
      <c r="CC299" s="331" t="s">
        <v>4030</v>
      </c>
    </row>
    <row r="300" spans="1:81" x14ac:dyDescent="0.25">
      <c r="A300" s="329">
        <v>196078</v>
      </c>
      <c r="B300" s="331" t="s">
        <v>1057</v>
      </c>
      <c r="C300" s="329">
        <v>34492</v>
      </c>
      <c r="D300" s="331" t="s">
        <v>1058</v>
      </c>
      <c r="E300" s="331" t="s">
        <v>570</v>
      </c>
      <c r="F300" s="331" t="s">
        <v>1059</v>
      </c>
      <c r="G300" s="331" t="s">
        <v>1060</v>
      </c>
      <c r="H300" s="331" t="s">
        <v>1061</v>
      </c>
      <c r="I300" s="331" t="s">
        <v>1062</v>
      </c>
      <c r="J300" s="331" t="s">
        <v>20</v>
      </c>
      <c r="K300" s="331" t="s">
        <v>1063</v>
      </c>
      <c r="L300" s="329"/>
      <c r="M300" s="329">
        <v>6</v>
      </c>
      <c r="N300" s="329">
        <v>0</v>
      </c>
      <c r="O300" s="329">
        <v>3.68</v>
      </c>
      <c r="P300" s="329"/>
      <c r="Q300" s="333">
        <v>43647.729803240742</v>
      </c>
      <c r="R300" s="329"/>
      <c r="S300" s="333">
        <v>43749</v>
      </c>
      <c r="T300" s="329">
        <v>55</v>
      </c>
      <c r="U300" s="333">
        <v>43749</v>
      </c>
      <c r="V300" s="333">
        <v>44109</v>
      </c>
      <c r="W300" s="329" t="b">
        <v>1</v>
      </c>
      <c r="X300" s="331" t="s">
        <v>22</v>
      </c>
      <c r="Y300" s="329">
        <v>726</v>
      </c>
      <c r="Z300" s="331" t="s">
        <v>23</v>
      </c>
      <c r="AA300" s="331" t="s">
        <v>919</v>
      </c>
      <c r="AB300" s="331" t="s">
        <v>920</v>
      </c>
      <c r="AC300" s="331" t="s">
        <v>1064</v>
      </c>
      <c r="AD300" s="331" t="s">
        <v>24</v>
      </c>
      <c r="AE300" s="329">
        <v>221</v>
      </c>
      <c r="AF300" s="331" t="s">
        <v>254</v>
      </c>
      <c r="AG300" s="329"/>
      <c r="AH300" s="329">
        <v>17</v>
      </c>
      <c r="AI300" s="331" t="s">
        <v>280</v>
      </c>
      <c r="AJ300" s="331" t="s">
        <v>281</v>
      </c>
      <c r="AK300" s="329"/>
      <c r="AL300" s="329"/>
      <c r="AM300" s="329"/>
      <c r="AN300" s="329"/>
      <c r="AO300" s="329"/>
      <c r="AP300" s="331" t="s">
        <v>461</v>
      </c>
      <c r="AQ300" s="329">
        <v>470</v>
      </c>
      <c r="AR300" s="329">
        <v>540</v>
      </c>
      <c r="AS300" s="329"/>
      <c r="AT300" s="329" t="s">
        <v>833</v>
      </c>
      <c r="AU300" s="329" t="s">
        <v>256</v>
      </c>
      <c r="AV300" s="331" t="s">
        <v>20</v>
      </c>
      <c r="AW300" s="329"/>
      <c r="AX300" s="329"/>
      <c r="AY300" s="329"/>
      <c r="AZ300" s="329"/>
      <c r="BA300" s="329"/>
      <c r="BB300" s="329"/>
      <c r="BC300" s="329"/>
      <c r="BD300" s="329"/>
      <c r="BE300" s="329" t="s">
        <v>257</v>
      </c>
      <c r="BF300" s="329" t="s">
        <v>837</v>
      </c>
      <c r="BG300" s="329"/>
      <c r="BH300" s="329"/>
      <c r="BI300" s="329"/>
      <c r="BJ300" s="329"/>
      <c r="BK300" s="329">
        <v>15000</v>
      </c>
      <c r="BL300" s="329"/>
      <c r="BM300" s="331" t="s">
        <v>295</v>
      </c>
      <c r="BN300" s="329" t="s">
        <v>922</v>
      </c>
      <c r="BO300" s="333">
        <v>43753</v>
      </c>
      <c r="BP300" s="329"/>
      <c r="BQ300" s="329"/>
      <c r="BR300" s="329"/>
      <c r="BS300" s="329"/>
      <c r="BT300" s="329"/>
      <c r="BU300" s="331" t="s">
        <v>261</v>
      </c>
      <c r="BV300" s="329"/>
      <c r="BW300" s="329"/>
      <c r="BX300" s="329"/>
      <c r="BY300" s="331" t="s">
        <v>1065</v>
      </c>
      <c r="BZ300" s="331" t="s">
        <v>1066</v>
      </c>
      <c r="CA300" s="331" t="s">
        <v>1067</v>
      </c>
      <c r="CB300" s="331" t="s">
        <v>20</v>
      </c>
      <c r="CC300" s="331" t="s">
        <v>1068</v>
      </c>
    </row>
    <row r="301" spans="1:81" x14ac:dyDescent="0.25">
      <c r="A301" s="329">
        <v>196584</v>
      </c>
      <c r="B301" s="331" t="s">
        <v>1079</v>
      </c>
      <c r="C301" s="329">
        <v>34696</v>
      </c>
      <c r="D301" s="331" t="s">
        <v>1058</v>
      </c>
      <c r="E301" s="331" t="s">
        <v>448</v>
      </c>
      <c r="F301" s="331" t="s">
        <v>1080</v>
      </c>
      <c r="G301" s="331" t="s">
        <v>1081</v>
      </c>
      <c r="H301" s="331" t="s">
        <v>1082</v>
      </c>
      <c r="I301" s="331" t="s">
        <v>1083</v>
      </c>
      <c r="J301" s="331" t="s">
        <v>251</v>
      </c>
      <c r="K301" s="331" t="s">
        <v>1084</v>
      </c>
      <c r="L301" s="329"/>
      <c r="M301" s="329">
        <v>6</v>
      </c>
      <c r="N301" s="329">
        <v>0</v>
      </c>
      <c r="O301" s="329">
        <v>3.1840000000000002</v>
      </c>
      <c r="P301" s="329"/>
      <c r="Q301" s="333">
        <v>43704.600694444445</v>
      </c>
      <c r="R301" s="329"/>
      <c r="S301" s="333">
        <v>43749</v>
      </c>
      <c r="T301" s="329">
        <v>55</v>
      </c>
      <c r="U301" s="333">
        <v>43749</v>
      </c>
      <c r="V301" s="333">
        <v>44109</v>
      </c>
      <c r="W301" s="329" t="b">
        <v>1</v>
      </c>
      <c r="X301" s="331" t="s">
        <v>187</v>
      </c>
      <c r="Y301" s="329">
        <v>718</v>
      </c>
      <c r="Z301" s="331" t="s">
        <v>23</v>
      </c>
      <c r="AA301" s="331" t="s">
        <v>919</v>
      </c>
      <c r="AB301" s="331" t="s">
        <v>920</v>
      </c>
      <c r="AC301" s="331" t="s">
        <v>1085</v>
      </c>
      <c r="AD301" s="331" t="s">
        <v>24</v>
      </c>
      <c r="AE301" s="329">
        <v>221</v>
      </c>
      <c r="AF301" s="331" t="s">
        <v>254</v>
      </c>
      <c r="AG301" s="329"/>
      <c r="AH301" s="329">
        <v>17</v>
      </c>
      <c r="AI301" s="331" t="s">
        <v>280</v>
      </c>
      <c r="AJ301" s="331" t="s">
        <v>281</v>
      </c>
      <c r="AK301" s="329"/>
      <c r="AL301" s="329"/>
      <c r="AM301" s="329"/>
      <c r="AN301" s="329"/>
      <c r="AO301" s="329"/>
      <c r="AP301" s="331" t="s">
        <v>499</v>
      </c>
      <c r="AQ301" s="329">
        <v>510</v>
      </c>
      <c r="AR301" s="329">
        <v>510</v>
      </c>
      <c r="AS301" s="329"/>
      <c r="AT301" s="329" t="s">
        <v>842</v>
      </c>
      <c r="AU301" s="329" t="s">
        <v>256</v>
      </c>
      <c r="AV301" s="331" t="s">
        <v>251</v>
      </c>
      <c r="AW301" s="329"/>
      <c r="AX301" s="329"/>
      <c r="AY301" s="329"/>
      <c r="AZ301" s="329"/>
      <c r="BA301" s="329"/>
      <c r="BB301" s="329"/>
      <c r="BC301" s="329"/>
      <c r="BD301" s="329"/>
      <c r="BE301" s="329" t="s">
        <v>257</v>
      </c>
      <c r="BF301" s="329" t="s">
        <v>841</v>
      </c>
      <c r="BG301" s="329"/>
      <c r="BH301" s="329"/>
      <c r="BI301" s="329"/>
      <c r="BJ301" s="329"/>
      <c r="BK301" s="329">
        <v>9000</v>
      </c>
      <c r="BL301" s="329"/>
      <c r="BM301" s="331" t="s">
        <v>189</v>
      </c>
      <c r="BN301" s="329" t="s">
        <v>922</v>
      </c>
      <c r="BO301" s="333">
        <v>43753</v>
      </c>
      <c r="BP301" s="329"/>
      <c r="BQ301" s="329"/>
      <c r="BR301" s="329"/>
      <c r="BS301" s="329"/>
      <c r="BT301" s="329"/>
      <c r="BU301" s="331" t="s">
        <v>261</v>
      </c>
      <c r="BV301" s="329"/>
      <c r="BW301" s="329"/>
      <c r="BX301" s="329"/>
      <c r="BY301" s="331" t="s">
        <v>1086</v>
      </c>
      <c r="BZ301" s="331" t="s">
        <v>1087</v>
      </c>
      <c r="CA301" s="331" t="s">
        <v>1088</v>
      </c>
      <c r="CB301" s="331" t="s">
        <v>251</v>
      </c>
      <c r="CC301" s="331" t="s">
        <v>1089</v>
      </c>
    </row>
    <row r="302" spans="1:81" x14ac:dyDescent="0.25">
      <c r="A302" s="329">
        <v>195889</v>
      </c>
      <c r="B302" s="331" t="s">
        <v>1102</v>
      </c>
      <c r="C302" s="329">
        <v>34420</v>
      </c>
      <c r="D302" s="331" t="s">
        <v>1103</v>
      </c>
      <c r="E302" s="331" t="s">
        <v>1104</v>
      </c>
      <c r="F302" s="331" t="s">
        <v>1105</v>
      </c>
      <c r="G302" s="331" t="s">
        <v>4163</v>
      </c>
      <c r="H302" s="331" t="s">
        <v>1106</v>
      </c>
      <c r="I302" s="331" t="s">
        <v>819</v>
      </c>
      <c r="J302" s="331" t="s">
        <v>21</v>
      </c>
      <c r="K302" s="331" t="s">
        <v>820</v>
      </c>
      <c r="L302" s="329"/>
      <c r="M302" s="329">
        <v>6</v>
      </c>
      <c r="N302" s="329">
        <v>0</v>
      </c>
      <c r="O302" s="329">
        <v>2.86</v>
      </c>
      <c r="P302" s="329"/>
      <c r="Q302" s="333">
        <v>43545.384027777778</v>
      </c>
      <c r="R302" s="329"/>
      <c r="S302" s="333">
        <v>43749</v>
      </c>
      <c r="T302" s="329">
        <v>55</v>
      </c>
      <c r="U302" s="333">
        <v>43749</v>
      </c>
      <c r="V302" s="333">
        <v>44109</v>
      </c>
      <c r="W302" s="329" t="b">
        <v>1</v>
      </c>
      <c r="X302" s="331" t="s">
        <v>906</v>
      </c>
      <c r="Y302" s="329">
        <v>748</v>
      </c>
      <c r="Z302" s="331" t="s">
        <v>23</v>
      </c>
      <c r="AA302" s="331" t="s">
        <v>919</v>
      </c>
      <c r="AB302" s="331" t="s">
        <v>920</v>
      </c>
      <c r="AC302" s="331" t="s">
        <v>1107</v>
      </c>
      <c r="AD302" s="331" t="s">
        <v>24</v>
      </c>
      <c r="AE302" s="329">
        <v>221</v>
      </c>
      <c r="AF302" s="331" t="s">
        <v>254</v>
      </c>
      <c r="AG302" s="329"/>
      <c r="AH302" s="329">
        <v>17</v>
      </c>
      <c r="AI302" s="331" t="s">
        <v>280</v>
      </c>
      <c r="AJ302" s="331" t="s">
        <v>281</v>
      </c>
      <c r="AK302" s="331" t="s">
        <v>351</v>
      </c>
      <c r="AL302" s="331" t="s">
        <v>273</v>
      </c>
      <c r="AM302" s="331" t="s">
        <v>272</v>
      </c>
      <c r="AN302" s="331" t="s">
        <v>273</v>
      </c>
      <c r="AO302" s="331" t="s">
        <v>273</v>
      </c>
      <c r="AP302" s="329"/>
      <c r="AQ302" s="329"/>
      <c r="AR302" s="329"/>
      <c r="AS302" s="329"/>
      <c r="AT302" s="329" t="s">
        <v>258</v>
      </c>
      <c r="AU302" s="329" t="s">
        <v>283</v>
      </c>
      <c r="AV302" s="331" t="s">
        <v>21</v>
      </c>
      <c r="AW302" s="329"/>
      <c r="AX302" s="329"/>
      <c r="AY302" s="329"/>
      <c r="AZ302" s="329"/>
      <c r="BA302" s="329"/>
      <c r="BB302" s="329"/>
      <c r="BC302" s="329"/>
      <c r="BD302" s="329"/>
      <c r="BE302" s="329" t="s">
        <v>257</v>
      </c>
      <c r="BF302" s="329" t="s">
        <v>841</v>
      </c>
      <c r="BG302" s="329"/>
      <c r="BH302" s="329"/>
      <c r="BI302" s="329" t="s">
        <v>334</v>
      </c>
      <c r="BJ302" s="329" t="s">
        <v>831</v>
      </c>
      <c r="BK302" s="329">
        <v>45000</v>
      </c>
      <c r="BL302" s="329"/>
      <c r="BM302" s="331" t="s">
        <v>189</v>
      </c>
      <c r="BN302" s="329" t="s">
        <v>922</v>
      </c>
      <c r="BO302" s="333">
        <v>43753</v>
      </c>
      <c r="BP302" s="329"/>
      <c r="BQ302" s="329"/>
      <c r="BR302" s="329"/>
      <c r="BS302" s="329"/>
      <c r="BT302" s="329"/>
      <c r="BU302" s="331" t="s">
        <v>261</v>
      </c>
      <c r="BV302" s="329"/>
      <c r="BW302" s="329"/>
      <c r="BX302" s="329"/>
      <c r="BY302" s="331" t="s">
        <v>551</v>
      </c>
      <c r="BZ302" s="331" t="s">
        <v>552</v>
      </c>
      <c r="CA302" s="331" t="s">
        <v>553</v>
      </c>
      <c r="CB302" s="331" t="s">
        <v>21</v>
      </c>
      <c r="CC302" s="331" t="s">
        <v>554</v>
      </c>
    </row>
    <row r="303" spans="1:81" x14ac:dyDescent="0.25">
      <c r="A303" s="329">
        <v>197513</v>
      </c>
      <c r="B303" s="331" t="s">
        <v>1119</v>
      </c>
      <c r="C303" s="329">
        <v>34895</v>
      </c>
      <c r="D303" s="331" t="s">
        <v>1120</v>
      </c>
      <c r="E303" s="331" t="s">
        <v>1121</v>
      </c>
      <c r="F303" s="331" t="s">
        <v>1122</v>
      </c>
      <c r="G303" s="331" t="s">
        <v>1123</v>
      </c>
      <c r="H303" s="331" t="s">
        <v>1124</v>
      </c>
      <c r="I303" s="331" t="s">
        <v>532</v>
      </c>
      <c r="J303" s="331" t="s">
        <v>360</v>
      </c>
      <c r="K303" s="331" t="s">
        <v>585</v>
      </c>
      <c r="L303" s="329"/>
      <c r="M303" s="329">
        <v>6</v>
      </c>
      <c r="N303" s="329">
        <v>0</v>
      </c>
      <c r="O303" s="329">
        <v>3.3</v>
      </c>
      <c r="P303" s="329"/>
      <c r="Q303" s="333">
        <v>43668.729861111111</v>
      </c>
      <c r="R303" s="329"/>
      <c r="S303" s="333">
        <v>43749</v>
      </c>
      <c r="T303" s="329">
        <v>55</v>
      </c>
      <c r="U303" s="333">
        <v>43749</v>
      </c>
      <c r="V303" s="333">
        <v>44109</v>
      </c>
      <c r="W303" s="329" t="b">
        <v>1</v>
      </c>
      <c r="X303" s="331" t="s">
        <v>22</v>
      </c>
      <c r="Y303" s="329">
        <v>429</v>
      </c>
      <c r="Z303" s="331" t="s">
        <v>23</v>
      </c>
      <c r="AA303" s="331" t="s">
        <v>919</v>
      </c>
      <c r="AB303" s="331" t="s">
        <v>920</v>
      </c>
      <c r="AC303" s="331" t="s">
        <v>1064</v>
      </c>
      <c r="AD303" s="331" t="s">
        <v>24</v>
      </c>
      <c r="AE303" s="329">
        <v>221</v>
      </c>
      <c r="AF303" s="331" t="s">
        <v>254</v>
      </c>
      <c r="AG303" s="329"/>
      <c r="AH303" s="329">
        <v>17</v>
      </c>
      <c r="AI303" s="331" t="s">
        <v>280</v>
      </c>
      <c r="AJ303" s="331" t="s">
        <v>281</v>
      </c>
      <c r="AK303" s="329"/>
      <c r="AL303" s="329"/>
      <c r="AM303" s="329"/>
      <c r="AN303" s="329"/>
      <c r="AO303" s="329"/>
      <c r="AP303" s="331" t="s">
        <v>457</v>
      </c>
      <c r="AQ303" s="329">
        <v>540</v>
      </c>
      <c r="AR303" s="329">
        <v>640</v>
      </c>
      <c r="AS303" s="329"/>
      <c r="AT303" s="329" t="s">
        <v>355</v>
      </c>
      <c r="AU303" s="329" t="s">
        <v>567</v>
      </c>
      <c r="AV303" s="331" t="s">
        <v>360</v>
      </c>
      <c r="AW303" s="329"/>
      <c r="AX303" s="329"/>
      <c r="AY303" s="329"/>
      <c r="AZ303" s="329"/>
      <c r="BA303" s="329"/>
      <c r="BB303" s="329"/>
      <c r="BC303" s="329"/>
      <c r="BD303" s="329"/>
      <c r="BE303" s="329" t="s">
        <v>257</v>
      </c>
      <c r="BF303" s="329" t="s">
        <v>836</v>
      </c>
      <c r="BG303" s="329"/>
      <c r="BH303" s="329"/>
      <c r="BI303" s="329"/>
      <c r="BJ303" s="329"/>
      <c r="BK303" s="329">
        <v>18000</v>
      </c>
      <c r="BL303" s="329"/>
      <c r="BM303" s="331" t="s">
        <v>310</v>
      </c>
      <c r="BN303" s="329" t="s">
        <v>922</v>
      </c>
      <c r="BO303" s="333">
        <v>43753</v>
      </c>
      <c r="BP303" s="329"/>
      <c r="BQ303" s="329"/>
      <c r="BR303" s="329"/>
      <c r="BS303" s="329"/>
      <c r="BT303" s="329"/>
      <c r="BU303" s="331" t="s">
        <v>261</v>
      </c>
      <c r="BV303" s="329"/>
      <c r="BW303" s="329"/>
      <c r="BX303" s="329"/>
      <c r="BY303" s="331" t="s">
        <v>1125</v>
      </c>
      <c r="BZ303" s="331" t="s">
        <v>1126</v>
      </c>
      <c r="CA303" s="331" t="s">
        <v>1127</v>
      </c>
      <c r="CB303" s="331" t="s">
        <v>360</v>
      </c>
      <c r="CC303" s="331" t="s">
        <v>1128</v>
      </c>
    </row>
    <row r="304" spans="1:81" x14ac:dyDescent="0.25">
      <c r="A304" s="329">
        <v>194358</v>
      </c>
      <c r="B304" s="331" t="s">
        <v>1129</v>
      </c>
      <c r="C304" s="329">
        <v>34099</v>
      </c>
      <c r="D304" s="331" t="s">
        <v>1130</v>
      </c>
      <c r="E304" s="331" t="s">
        <v>781</v>
      </c>
      <c r="F304" s="331" t="s">
        <v>1131</v>
      </c>
      <c r="G304" s="331" t="s">
        <v>1132</v>
      </c>
      <c r="H304" s="331" t="s">
        <v>1133</v>
      </c>
      <c r="I304" s="331" t="s">
        <v>1134</v>
      </c>
      <c r="J304" s="331" t="s">
        <v>714</v>
      </c>
      <c r="K304" s="331" t="s">
        <v>1135</v>
      </c>
      <c r="L304" s="329"/>
      <c r="M304" s="329">
        <v>6</v>
      </c>
      <c r="N304" s="329">
        <v>0</v>
      </c>
      <c r="O304" s="329">
        <v>3.1659999999999999</v>
      </c>
      <c r="P304" s="329"/>
      <c r="Q304" s="333">
        <v>43622.694444444445</v>
      </c>
      <c r="R304" s="329"/>
      <c r="S304" s="333">
        <v>43749</v>
      </c>
      <c r="T304" s="329">
        <v>55</v>
      </c>
      <c r="U304" s="333">
        <v>43749</v>
      </c>
      <c r="V304" s="333">
        <v>44109</v>
      </c>
      <c r="W304" s="329" t="b">
        <v>1</v>
      </c>
      <c r="X304" s="331" t="s">
        <v>22</v>
      </c>
      <c r="Y304" s="329">
        <v>429</v>
      </c>
      <c r="Z304" s="331" t="s">
        <v>23</v>
      </c>
      <c r="AA304" s="331" t="s">
        <v>919</v>
      </c>
      <c r="AB304" s="331" t="s">
        <v>920</v>
      </c>
      <c r="AC304" s="331" t="s">
        <v>1064</v>
      </c>
      <c r="AD304" s="331" t="s">
        <v>24</v>
      </c>
      <c r="AE304" s="329">
        <v>221</v>
      </c>
      <c r="AF304" s="331" t="s">
        <v>254</v>
      </c>
      <c r="AG304" s="329"/>
      <c r="AH304" s="329">
        <v>17</v>
      </c>
      <c r="AI304" s="331" t="s">
        <v>280</v>
      </c>
      <c r="AJ304" s="331" t="s">
        <v>281</v>
      </c>
      <c r="AK304" s="331" t="s">
        <v>275</v>
      </c>
      <c r="AL304" s="331" t="s">
        <v>300</v>
      </c>
      <c r="AM304" s="331" t="s">
        <v>331</v>
      </c>
      <c r="AN304" s="331" t="s">
        <v>275</v>
      </c>
      <c r="AO304" s="331" t="s">
        <v>347</v>
      </c>
      <c r="AP304" s="329"/>
      <c r="AQ304" s="329"/>
      <c r="AR304" s="329"/>
      <c r="AS304" s="329"/>
      <c r="AT304" s="329" t="s">
        <v>309</v>
      </c>
      <c r="AU304" s="329" t="s">
        <v>256</v>
      </c>
      <c r="AV304" s="331" t="s">
        <v>714</v>
      </c>
      <c r="AW304" s="329"/>
      <c r="AX304" s="329"/>
      <c r="AY304" s="329"/>
      <c r="AZ304" s="329"/>
      <c r="BA304" s="329"/>
      <c r="BB304" s="329"/>
      <c r="BC304" s="329"/>
      <c r="BD304" s="329"/>
      <c r="BE304" s="329" t="s">
        <v>257</v>
      </c>
      <c r="BF304" s="329" t="s">
        <v>838</v>
      </c>
      <c r="BG304" s="329"/>
      <c r="BH304" s="329"/>
      <c r="BI304" s="329"/>
      <c r="BJ304" s="329"/>
      <c r="BK304" s="329">
        <v>15600</v>
      </c>
      <c r="BL304" s="329"/>
      <c r="BM304" s="331" t="s">
        <v>259</v>
      </c>
      <c r="BN304" s="329" t="s">
        <v>922</v>
      </c>
      <c r="BO304" s="333">
        <v>43753</v>
      </c>
      <c r="BP304" s="329"/>
      <c r="BQ304" s="329"/>
      <c r="BR304" s="329"/>
      <c r="BS304" s="329"/>
      <c r="BT304" s="329"/>
      <c r="BU304" s="331" t="s">
        <v>261</v>
      </c>
      <c r="BV304" s="329"/>
      <c r="BW304" s="329"/>
      <c r="BX304" s="329"/>
      <c r="BY304" s="331" t="s">
        <v>1136</v>
      </c>
      <c r="BZ304" s="331" t="s">
        <v>1137</v>
      </c>
      <c r="CA304" s="331" t="s">
        <v>1138</v>
      </c>
      <c r="CB304" s="331" t="s">
        <v>714</v>
      </c>
      <c r="CC304" s="331" t="s">
        <v>1135</v>
      </c>
    </row>
    <row r="305" spans="1:81" x14ac:dyDescent="0.25">
      <c r="A305" s="329">
        <v>196477</v>
      </c>
      <c r="B305" s="331" t="s">
        <v>1139</v>
      </c>
      <c r="C305" s="329">
        <v>34657</v>
      </c>
      <c r="D305" s="331" t="s">
        <v>1140</v>
      </c>
      <c r="E305" s="331" t="s">
        <v>1141</v>
      </c>
      <c r="F305" s="331" t="s">
        <v>1142</v>
      </c>
      <c r="G305" s="331" t="s">
        <v>1143</v>
      </c>
      <c r="H305" s="331" t="s">
        <v>1144</v>
      </c>
      <c r="I305" s="331" t="s">
        <v>1145</v>
      </c>
      <c r="J305" s="331" t="s">
        <v>714</v>
      </c>
      <c r="K305" s="331" t="s">
        <v>1146</v>
      </c>
      <c r="L305" s="329"/>
      <c r="M305" s="329">
        <v>6</v>
      </c>
      <c r="N305" s="329">
        <v>0</v>
      </c>
      <c r="O305" s="329">
        <v>4</v>
      </c>
      <c r="P305" s="329"/>
      <c r="Q305" s="333">
        <v>43660.378472222219</v>
      </c>
      <c r="R305" s="329"/>
      <c r="S305" s="333">
        <v>43749</v>
      </c>
      <c r="T305" s="329">
        <v>55</v>
      </c>
      <c r="U305" s="333">
        <v>43749</v>
      </c>
      <c r="V305" s="333">
        <v>44109</v>
      </c>
      <c r="W305" s="329" t="b">
        <v>1</v>
      </c>
      <c r="X305" s="331" t="s">
        <v>22</v>
      </c>
      <c r="Y305" s="329">
        <v>429</v>
      </c>
      <c r="Z305" s="331" t="s">
        <v>336</v>
      </c>
      <c r="AA305" s="331" t="s">
        <v>919</v>
      </c>
      <c r="AB305" s="331" t="s">
        <v>920</v>
      </c>
      <c r="AC305" s="331" t="s">
        <v>1097</v>
      </c>
      <c r="AD305" s="331" t="s">
        <v>24</v>
      </c>
      <c r="AE305" s="329">
        <v>221</v>
      </c>
      <c r="AF305" s="331" t="s">
        <v>254</v>
      </c>
      <c r="AG305" s="329"/>
      <c r="AH305" s="329">
        <v>17</v>
      </c>
      <c r="AI305" s="331" t="s">
        <v>280</v>
      </c>
      <c r="AJ305" s="331" t="s">
        <v>281</v>
      </c>
      <c r="AK305" s="331" t="s">
        <v>274</v>
      </c>
      <c r="AL305" s="331" t="s">
        <v>272</v>
      </c>
      <c r="AM305" s="331" t="s">
        <v>274</v>
      </c>
      <c r="AN305" s="331" t="s">
        <v>300</v>
      </c>
      <c r="AO305" s="331" t="s">
        <v>300</v>
      </c>
      <c r="AP305" s="329"/>
      <c r="AQ305" s="329"/>
      <c r="AR305" s="329"/>
      <c r="AS305" s="329"/>
      <c r="AT305" s="329" t="s">
        <v>398</v>
      </c>
      <c r="AU305" s="329" t="s">
        <v>283</v>
      </c>
      <c r="AV305" s="331" t="s">
        <v>823</v>
      </c>
      <c r="AW305" s="329"/>
      <c r="AX305" s="329"/>
      <c r="AY305" s="329"/>
      <c r="AZ305" s="329"/>
      <c r="BA305" s="329"/>
      <c r="BB305" s="329"/>
      <c r="BC305" s="329"/>
      <c r="BD305" s="329"/>
      <c r="BE305" s="329" t="s">
        <v>257</v>
      </c>
      <c r="BF305" s="329" t="s">
        <v>834</v>
      </c>
      <c r="BG305" s="329"/>
      <c r="BH305" s="329"/>
      <c r="BI305" s="329"/>
      <c r="BJ305" s="329"/>
      <c r="BK305" s="329">
        <v>20400</v>
      </c>
      <c r="BL305" s="329"/>
      <c r="BM305" s="331" t="s">
        <v>278</v>
      </c>
      <c r="BN305" s="329" t="s">
        <v>922</v>
      </c>
      <c r="BO305" s="333">
        <v>43753</v>
      </c>
      <c r="BP305" s="329"/>
      <c r="BQ305" s="329"/>
      <c r="BR305" s="329"/>
      <c r="BS305" s="329"/>
      <c r="BT305" s="329"/>
      <c r="BU305" s="331" t="s">
        <v>261</v>
      </c>
      <c r="BV305" s="329"/>
      <c r="BW305" s="329"/>
      <c r="BX305" s="329"/>
      <c r="BY305" s="331" t="s">
        <v>914</v>
      </c>
      <c r="BZ305" s="331" t="s">
        <v>915</v>
      </c>
      <c r="CA305" s="329"/>
      <c r="CB305" s="331" t="s">
        <v>558</v>
      </c>
      <c r="CC305" s="331" t="s">
        <v>304</v>
      </c>
    </row>
    <row r="306" spans="1:81" x14ac:dyDescent="0.25">
      <c r="A306" s="329">
        <v>194313</v>
      </c>
      <c r="B306" s="331" t="s">
        <v>1147</v>
      </c>
      <c r="C306" s="329">
        <v>34080</v>
      </c>
      <c r="D306" s="331" t="s">
        <v>1148</v>
      </c>
      <c r="E306" s="331" t="s">
        <v>1149</v>
      </c>
      <c r="F306" s="331" t="s">
        <v>1150</v>
      </c>
      <c r="G306" s="331" t="s">
        <v>1151</v>
      </c>
      <c r="H306" s="331" t="s">
        <v>1152</v>
      </c>
      <c r="I306" s="331" t="s">
        <v>521</v>
      </c>
      <c r="J306" s="331" t="s">
        <v>21</v>
      </c>
      <c r="K306" s="331" t="s">
        <v>583</v>
      </c>
      <c r="L306" s="329"/>
      <c r="M306" s="329">
        <v>6</v>
      </c>
      <c r="N306" s="329">
        <v>0</v>
      </c>
      <c r="O306" s="329">
        <v>3.56</v>
      </c>
      <c r="P306" s="329"/>
      <c r="Q306" s="333">
        <v>43632.545300925929</v>
      </c>
      <c r="R306" s="329"/>
      <c r="S306" s="333">
        <v>43749</v>
      </c>
      <c r="T306" s="329">
        <v>55</v>
      </c>
      <c r="U306" s="333">
        <v>43749</v>
      </c>
      <c r="V306" s="333">
        <v>44109</v>
      </c>
      <c r="W306" s="329" t="b">
        <v>1</v>
      </c>
      <c r="X306" s="331" t="s">
        <v>906</v>
      </c>
      <c r="Y306" s="329">
        <v>748</v>
      </c>
      <c r="Z306" s="331" t="s">
        <v>23</v>
      </c>
      <c r="AA306" s="331" t="s">
        <v>919</v>
      </c>
      <c r="AB306" s="331" t="s">
        <v>920</v>
      </c>
      <c r="AC306" s="331" t="s">
        <v>1153</v>
      </c>
      <c r="AD306" s="331" t="s">
        <v>24</v>
      </c>
      <c r="AE306" s="329">
        <v>221</v>
      </c>
      <c r="AF306" s="331" t="s">
        <v>254</v>
      </c>
      <c r="AG306" s="329"/>
      <c r="AH306" s="329">
        <v>17</v>
      </c>
      <c r="AI306" s="331" t="s">
        <v>280</v>
      </c>
      <c r="AJ306" s="331" t="s">
        <v>281</v>
      </c>
      <c r="AK306" s="331" t="s">
        <v>287</v>
      </c>
      <c r="AL306" s="331" t="s">
        <v>275</v>
      </c>
      <c r="AM306" s="331" t="s">
        <v>274</v>
      </c>
      <c r="AN306" s="331" t="s">
        <v>286</v>
      </c>
      <c r="AO306" s="331" t="s">
        <v>347</v>
      </c>
      <c r="AP306" s="329"/>
      <c r="AQ306" s="329"/>
      <c r="AR306" s="329"/>
      <c r="AS306" s="329"/>
      <c r="AT306" s="329" t="s">
        <v>379</v>
      </c>
      <c r="AU306" s="329" t="s">
        <v>283</v>
      </c>
      <c r="AV306" s="331" t="s">
        <v>21</v>
      </c>
      <c r="AW306" s="329"/>
      <c r="AX306" s="329"/>
      <c r="AY306" s="329"/>
      <c r="AZ306" s="329"/>
      <c r="BA306" s="329"/>
      <c r="BB306" s="329"/>
      <c r="BC306" s="329"/>
      <c r="BD306" s="329"/>
      <c r="BE306" s="329" t="s">
        <v>257</v>
      </c>
      <c r="BF306" s="329" t="s">
        <v>834</v>
      </c>
      <c r="BG306" s="329"/>
      <c r="BH306" s="329"/>
      <c r="BI306" s="329" t="s">
        <v>334</v>
      </c>
      <c r="BJ306" s="329" t="s">
        <v>831</v>
      </c>
      <c r="BK306" s="329">
        <v>56400</v>
      </c>
      <c r="BL306" s="329"/>
      <c r="BM306" s="331" t="s">
        <v>278</v>
      </c>
      <c r="BN306" s="329" t="s">
        <v>922</v>
      </c>
      <c r="BO306" s="333">
        <v>43753</v>
      </c>
      <c r="BP306" s="329"/>
      <c r="BQ306" s="329"/>
      <c r="BR306" s="329"/>
      <c r="BS306" s="329"/>
      <c r="BT306" s="329"/>
      <c r="BU306" s="331" t="s">
        <v>261</v>
      </c>
      <c r="BV306" s="329"/>
      <c r="BW306" s="329"/>
      <c r="BX306" s="329"/>
      <c r="BY306" s="331" t="s">
        <v>1154</v>
      </c>
      <c r="BZ306" s="331" t="s">
        <v>1155</v>
      </c>
      <c r="CA306" s="331" t="s">
        <v>521</v>
      </c>
      <c r="CB306" s="331" t="s">
        <v>21</v>
      </c>
      <c r="CC306" s="331" t="s">
        <v>583</v>
      </c>
    </row>
    <row r="307" spans="1:81" s="91" customFormat="1" x14ac:dyDescent="0.25">
      <c r="A307" s="329">
        <v>193925</v>
      </c>
      <c r="B307" s="331" t="s">
        <v>1156</v>
      </c>
      <c r="C307" s="329">
        <v>35316</v>
      </c>
      <c r="D307" s="331" t="s">
        <v>482</v>
      </c>
      <c r="E307" s="331" t="s">
        <v>1157</v>
      </c>
      <c r="F307" s="331" t="s">
        <v>1158</v>
      </c>
      <c r="G307" s="331" t="s">
        <v>1159</v>
      </c>
      <c r="H307" s="331" t="s">
        <v>1160</v>
      </c>
      <c r="I307" s="331" t="s">
        <v>1161</v>
      </c>
      <c r="J307" s="331" t="s">
        <v>354</v>
      </c>
      <c r="K307" s="331" t="s">
        <v>1162</v>
      </c>
      <c r="L307" s="329"/>
      <c r="M307" s="329">
        <v>6</v>
      </c>
      <c r="N307" s="329">
        <v>0</v>
      </c>
      <c r="O307" s="329">
        <v>4</v>
      </c>
      <c r="P307" s="329"/>
      <c r="Q307" s="333">
        <v>43633.620138888888</v>
      </c>
      <c r="R307" s="329"/>
      <c r="S307" s="333">
        <v>43749</v>
      </c>
      <c r="T307" s="329">
        <v>55</v>
      </c>
      <c r="U307" s="333">
        <v>43749</v>
      </c>
      <c r="V307" s="333">
        <v>44109</v>
      </c>
      <c r="W307" s="329" t="b">
        <v>1</v>
      </c>
      <c r="X307" s="331" t="s">
        <v>187</v>
      </c>
      <c r="Y307" s="329">
        <v>718</v>
      </c>
      <c r="Z307" s="331" t="s">
        <v>25</v>
      </c>
      <c r="AA307" s="331" t="s">
        <v>919</v>
      </c>
      <c r="AB307" s="331" t="s">
        <v>920</v>
      </c>
      <c r="AC307" s="331" t="s">
        <v>264</v>
      </c>
      <c r="AD307" s="331" t="s">
        <v>24</v>
      </c>
      <c r="AE307" s="329">
        <v>221</v>
      </c>
      <c r="AF307" s="331" t="s">
        <v>254</v>
      </c>
      <c r="AG307" s="329"/>
      <c r="AH307" s="329">
        <v>17</v>
      </c>
      <c r="AI307" s="331" t="s">
        <v>280</v>
      </c>
      <c r="AJ307" s="331" t="s">
        <v>281</v>
      </c>
      <c r="AK307" s="329"/>
      <c r="AL307" s="329"/>
      <c r="AM307" s="329"/>
      <c r="AN307" s="329"/>
      <c r="AO307" s="329"/>
      <c r="AP307" s="329"/>
      <c r="AQ307" s="329"/>
      <c r="AR307" s="329"/>
      <c r="AS307" s="329"/>
      <c r="AT307" s="329" t="s">
        <v>258</v>
      </c>
      <c r="AU307" s="329" t="s">
        <v>256</v>
      </c>
      <c r="AV307" s="331" t="s">
        <v>354</v>
      </c>
      <c r="AW307" s="329"/>
      <c r="AX307" s="329"/>
      <c r="AY307" s="329"/>
      <c r="AZ307" s="329"/>
      <c r="BA307" s="329"/>
      <c r="BB307" s="329"/>
      <c r="BC307" s="329"/>
      <c r="BD307" s="329"/>
      <c r="BE307" s="329" t="s">
        <v>257</v>
      </c>
      <c r="BF307" s="329" t="s">
        <v>834</v>
      </c>
      <c r="BG307" s="329"/>
      <c r="BH307" s="329"/>
      <c r="BI307" s="329"/>
      <c r="BJ307" s="329"/>
      <c r="BK307" s="329">
        <v>20400</v>
      </c>
      <c r="BL307" s="329"/>
      <c r="BM307" s="331" t="s">
        <v>278</v>
      </c>
      <c r="BN307" s="329" t="s">
        <v>922</v>
      </c>
      <c r="BO307" s="333">
        <v>43753</v>
      </c>
      <c r="BP307" s="329"/>
      <c r="BQ307" s="329"/>
      <c r="BR307" s="329"/>
      <c r="BS307" s="329"/>
      <c r="BT307" s="329"/>
      <c r="BU307" s="331" t="s">
        <v>261</v>
      </c>
      <c r="BV307" s="329"/>
      <c r="BW307" s="329"/>
      <c r="BX307" s="329"/>
      <c r="BY307" s="331" t="s">
        <v>1163</v>
      </c>
      <c r="BZ307" s="331" t="s">
        <v>1164</v>
      </c>
      <c r="CA307" s="331" t="s">
        <v>1165</v>
      </c>
      <c r="CB307" s="331" t="s">
        <v>354</v>
      </c>
      <c r="CC307" s="331" t="s">
        <v>1166</v>
      </c>
    </row>
    <row r="308" spans="1:81" x14ac:dyDescent="0.25">
      <c r="A308" s="329">
        <v>194132</v>
      </c>
      <c r="B308" s="331" t="s">
        <v>1167</v>
      </c>
      <c r="C308" s="329">
        <v>34042</v>
      </c>
      <c r="D308" s="331" t="s">
        <v>1168</v>
      </c>
      <c r="E308" s="331" t="s">
        <v>317</v>
      </c>
      <c r="F308" s="331" t="s">
        <v>1169</v>
      </c>
      <c r="G308" s="331" t="s">
        <v>1170</v>
      </c>
      <c r="H308" s="331" t="s">
        <v>1171</v>
      </c>
      <c r="I308" s="331" t="s">
        <v>757</v>
      </c>
      <c r="J308" s="331" t="s">
        <v>298</v>
      </c>
      <c r="K308" s="331" t="s">
        <v>1172</v>
      </c>
      <c r="L308" s="329"/>
      <c r="M308" s="329">
        <v>6</v>
      </c>
      <c r="N308" s="329">
        <v>0</v>
      </c>
      <c r="O308" s="329">
        <v>3.81</v>
      </c>
      <c r="P308" s="329"/>
      <c r="Q308" s="333">
        <v>43633.868055555555</v>
      </c>
      <c r="R308" s="329"/>
      <c r="S308" s="333">
        <v>43749</v>
      </c>
      <c r="T308" s="329">
        <v>55</v>
      </c>
      <c r="U308" s="333">
        <v>43749</v>
      </c>
      <c r="V308" s="333">
        <v>44109</v>
      </c>
      <c r="W308" s="329" t="b">
        <v>1</v>
      </c>
      <c r="X308" s="331" t="s">
        <v>22</v>
      </c>
      <c r="Y308" s="329">
        <v>429</v>
      </c>
      <c r="Z308" s="331" t="s">
        <v>23</v>
      </c>
      <c r="AA308" s="331" t="s">
        <v>919</v>
      </c>
      <c r="AB308" s="331" t="s">
        <v>920</v>
      </c>
      <c r="AC308" s="331" t="s">
        <v>264</v>
      </c>
      <c r="AD308" s="331" t="s">
        <v>24</v>
      </c>
      <c r="AE308" s="329">
        <v>221</v>
      </c>
      <c r="AF308" s="331" t="s">
        <v>254</v>
      </c>
      <c r="AG308" s="329"/>
      <c r="AH308" s="329">
        <v>17</v>
      </c>
      <c r="AI308" s="331" t="s">
        <v>280</v>
      </c>
      <c r="AJ308" s="331" t="s">
        <v>281</v>
      </c>
      <c r="AK308" s="329"/>
      <c r="AL308" s="329"/>
      <c r="AM308" s="329"/>
      <c r="AN308" s="329"/>
      <c r="AO308" s="329"/>
      <c r="AP308" s="329"/>
      <c r="AQ308" s="329"/>
      <c r="AR308" s="329"/>
      <c r="AS308" s="329"/>
      <c r="AT308" s="329" t="s">
        <v>258</v>
      </c>
      <c r="AU308" s="329" t="s">
        <v>283</v>
      </c>
      <c r="AV308" s="331" t="s">
        <v>298</v>
      </c>
      <c r="AW308" s="329"/>
      <c r="AX308" s="329"/>
      <c r="AY308" s="329"/>
      <c r="AZ308" s="329"/>
      <c r="BA308" s="329"/>
      <c r="BB308" s="329"/>
      <c r="BC308" s="329"/>
      <c r="BD308" s="329"/>
      <c r="BE308" s="329" t="s">
        <v>257</v>
      </c>
      <c r="BF308" s="329" t="s">
        <v>837</v>
      </c>
      <c r="BG308" s="329"/>
      <c r="BH308" s="329"/>
      <c r="BI308" s="329"/>
      <c r="BJ308" s="329"/>
      <c r="BK308" s="329">
        <v>15000</v>
      </c>
      <c r="BL308" s="329"/>
      <c r="BM308" s="331" t="s">
        <v>295</v>
      </c>
      <c r="BN308" s="329" t="s">
        <v>922</v>
      </c>
      <c r="BO308" s="333">
        <v>43753</v>
      </c>
      <c r="BP308" s="329"/>
      <c r="BQ308" s="329"/>
      <c r="BR308" s="329"/>
      <c r="BS308" s="329"/>
      <c r="BT308" s="329"/>
      <c r="BU308" s="331" t="s">
        <v>261</v>
      </c>
      <c r="BV308" s="329"/>
      <c r="BW308" s="329"/>
      <c r="BX308" s="329"/>
      <c r="BY308" s="331" t="s">
        <v>1173</v>
      </c>
      <c r="BZ308" s="331" t="s">
        <v>1174</v>
      </c>
      <c r="CA308" s="331" t="s">
        <v>1175</v>
      </c>
      <c r="CB308" s="331" t="s">
        <v>298</v>
      </c>
      <c r="CC308" s="331" t="s">
        <v>1176</v>
      </c>
    </row>
    <row r="309" spans="1:81" x14ac:dyDescent="0.25">
      <c r="A309" s="329">
        <v>194388</v>
      </c>
      <c r="B309" s="331" t="s">
        <v>1177</v>
      </c>
      <c r="C309" s="329">
        <v>34110</v>
      </c>
      <c r="D309" s="331" t="s">
        <v>1178</v>
      </c>
      <c r="E309" s="331" t="s">
        <v>550</v>
      </c>
      <c r="F309" s="331" t="s">
        <v>1179</v>
      </c>
      <c r="G309" s="331" t="s">
        <v>1180</v>
      </c>
      <c r="H309" s="331" t="s">
        <v>1181</v>
      </c>
      <c r="I309" s="331" t="s">
        <v>1182</v>
      </c>
      <c r="J309" s="331" t="s">
        <v>354</v>
      </c>
      <c r="K309" s="331" t="s">
        <v>1183</v>
      </c>
      <c r="L309" s="329"/>
      <c r="M309" s="329">
        <v>6</v>
      </c>
      <c r="N309" s="329">
        <v>0</v>
      </c>
      <c r="O309" s="329">
        <v>3.6</v>
      </c>
      <c r="P309" s="329"/>
      <c r="Q309" s="333">
        <v>43634.503472222219</v>
      </c>
      <c r="R309" s="329"/>
      <c r="S309" s="333">
        <v>43749</v>
      </c>
      <c r="T309" s="329">
        <v>55</v>
      </c>
      <c r="U309" s="333">
        <v>43749</v>
      </c>
      <c r="V309" s="333">
        <v>44109</v>
      </c>
      <c r="W309" s="329" t="b">
        <v>1</v>
      </c>
      <c r="X309" s="331" t="s">
        <v>22</v>
      </c>
      <c r="Y309" s="329">
        <v>726</v>
      </c>
      <c r="Z309" s="331" t="s">
        <v>25</v>
      </c>
      <c r="AA309" s="331" t="s">
        <v>919</v>
      </c>
      <c r="AB309" s="331" t="s">
        <v>920</v>
      </c>
      <c r="AC309" s="331" t="s">
        <v>1184</v>
      </c>
      <c r="AD309" s="331" t="s">
        <v>24</v>
      </c>
      <c r="AE309" s="329">
        <v>221</v>
      </c>
      <c r="AF309" s="331" t="s">
        <v>254</v>
      </c>
      <c r="AG309" s="329"/>
      <c r="AH309" s="329">
        <v>17</v>
      </c>
      <c r="AI309" s="331" t="s">
        <v>280</v>
      </c>
      <c r="AJ309" s="331" t="s">
        <v>281</v>
      </c>
      <c r="AK309" s="331" t="s">
        <v>299</v>
      </c>
      <c r="AL309" s="331" t="s">
        <v>301</v>
      </c>
      <c r="AM309" s="331" t="s">
        <v>330</v>
      </c>
      <c r="AN309" s="331" t="s">
        <v>274</v>
      </c>
      <c r="AO309" s="331" t="s">
        <v>299</v>
      </c>
      <c r="AP309" s="331" t="s">
        <v>476</v>
      </c>
      <c r="AQ309" s="329">
        <v>440</v>
      </c>
      <c r="AR309" s="329">
        <v>520</v>
      </c>
      <c r="AS309" s="329"/>
      <c r="AT309" s="329" t="s">
        <v>309</v>
      </c>
      <c r="AU309" s="329" t="s">
        <v>283</v>
      </c>
      <c r="AV309" s="331" t="s">
        <v>354</v>
      </c>
      <c r="AW309" s="329"/>
      <c r="AX309" s="329"/>
      <c r="AY309" s="329"/>
      <c r="AZ309" s="329"/>
      <c r="BA309" s="329"/>
      <c r="BB309" s="329"/>
      <c r="BC309" s="329"/>
      <c r="BD309" s="329"/>
      <c r="BE309" s="329" t="s">
        <v>257</v>
      </c>
      <c r="BF309" s="329" t="s">
        <v>836</v>
      </c>
      <c r="BG309" s="329"/>
      <c r="BH309" s="329"/>
      <c r="BI309" s="329"/>
      <c r="BJ309" s="329"/>
      <c r="BK309" s="329">
        <v>18000</v>
      </c>
      <c r="BL309" s="329"/>
      <c r="BM309" s="331" t="s">
        <v>310</v>
      </c>
      <c r="BN309" s="329" t="s">
        <v>922</v>
      </c>
      <c r="BO309" s="333">
        <v>43753</v>
      </c>
      <c r="BP309" s="329"/>
      <c r="BQ309" s="329"/>
      <c r="BR309" s="329"/>
      <c r="BS309" s="329"/>
      <c r="BT309" s="329"/>
      <c r="BU309" s="331" t="s">
        <v>261</v>
      </c>
      <c r="BV309" s="329"/>
      <c r="BW309" s="329"/>
      <c r="BX309" s="329"/>
      <c r="BY309" s="331" t="s">
        <v>1185</v>
      </c>
      <c r="BZ309" s="331" t="s">
        <v>1186</v>
      </c>
      <c r="CA309" s="331" t="s">
        <v>1187</v>
      </c>
      <c r="CB309" s="331" t="s">
        <v>354</v>
      </c>
      <c r="CC309" s="331" t="s">
        <v>1188</v>
      </c>
    </row>
    <row r="310" spans="1:81" x14ac:dyDescent="0.25">
      <c r="A310" s="329">
        <v>194962</v>
      </c>
      <c r="B310" s="331" t="s">
        <v>1189</v>
      </c>
      <c r="C310" s="329">
        <v>34202</v>
      </c>
      <c r="D310" s="331" t="s">
        <v>1190</v>
      </c>
      <c r="E310" s="331" t="s">
        <v>1191</v>
      </c>
      <c r="F310" s="331" t="s">
        <v>1192</v>
      </c>
      <c r="G310" s="331" t="s">
        <v>1193</v>
      </c>
      <c r="H310" s="331" t="s">
        <v>1194</v>
      </c>
      <c r="I310" s="331" t="s">
        <v>932</v>
      </c>
      <c r="J310" s="331" t="s">
        <v>298</v>
      </c>
      <c r="K310" s="331" t="s">
        <v>1195</v>
      </c>
      <c r="L310" s="329"/>
      <c r="M310" s="329">
        <v>6</v>
      </c>
      <c r="N310" s="329">
        <v>0</v>
      </c>
      <c r="O310" s="329">
        <v>3.3</v>
      </c>
      <c r="P310" s="329"/>
      <c r="Q310" s="333">
        <v>43630.729861111111</v>
      </c>
      <c r="R310" s="329"/>
      <c r="S310" s="333">
        <v>43749</v>
      </c>
      <c r="T310" s="329">
        <v>55</v>
      </c>
      <c r="U310" s="333">
        <v>43749</v>
      </c>
      <c r="V310" s="333">
        <v>44109</v>
      </c>
      <c r="W310" s="329" t="b">
        <v>1</v>
      </c>
      <c r="X310" s="331" t="s">
        <v>905</v>
      </c>
      <c r="Y310" s="329">
        <v>747</v>
      </c>
      <c r="Z310" s="331" t="s">
        <v>25</v>
      </c>
      <c r="AA310" s="331" t="s">
        <v>919</v>
      </c>
      <c r="AB310" s="331" t="s">
        <v>920</v>
      </c>
      <c r="AC310" s="331" t="s">
        <v>972</v>
      </c>
      <c r="AD310" s="331" t="s">
        <v>24</v>
      </c>
      <c r="AE310" s="329">
        <v>221</v>
      </c>
      <c r="AF310" s="331" t="s">
        <v>254</v>
      </c>
      <c r="AG310" s="329"/>
      <c r="AH310" s="329">
        <v>17</v>
      </c>
      <c r="AI310" s="331" t="s">
        <v>280</v>
      </c>
      <c r="AJ310" s="331" t="s">
        <v>281</v>
      </c>
      <c r="AK310" s="329"/>
      <c r="AL310" s="329"/>
      <c r="AM310" s="329"/>
      <c r="AN310" s="329"/>
      <c r="AO310" s="329"/>
      <c r="AP310" s="331" t="s">
        <v>494</v>
      </c>
      <c r="AQ310" s="329">
        <v>480</v>
      </c>
      <c r="AR310" s="329">
        <v>470</v>
      </c>
      <c r="AS310" s="329"/>
      <c r="AT310" s="329" t="s">
        <v>466</v>
      </c>
      <c r="AU310" s="329" t="s">
        <v>283</v>
      </c>
      <c r="AV310" s="331" t="s">
        <v>298</v>
      </c>
      <c r="AW310" s="329"/>
      <c r="AX310" s="329"/>
      <c r="AY310" s="329"/>
      <c r="AZ310" s="329"/>
      <c r="BA310" s="329"/>
      <c r="BB310" s="329"/>
      <c r="BC310" s="329"/>
      <c r="BD310" s="329"/>
      <c r="BE310" s="329" t="s">
        <v>257</v>
      </c>
      <c r="BF310" s="329" t="s">
        <v>830</v>
      </c>
      <c r="BG310" s="329"/>
      <c r="BH310" s="329"/>
      <c r="BI310" s="329"/>
      <c r="BJ310" s="329"/>
      <c r="BK310" s="329">
        <v>12000</v>
      </c>
      <c r="BL310" s="329"/>
      <c r="BM310" s="331" t="s">
        <v>26</v>
      </c>
      <c r="BN310" s="329" t="s">
        <v>922</v>
      </c>
      <c r="BO310" s="333">
        <v>43753</v>
      </c>
      <c r="BP310" s="329"/>
      <c r="BQ310" s="329"/>
      <c r="BR310" s="329"/>
      <c r="BS310" s="329"/>
      <c r="BT310" s="329"/>
      <c r="BU310" s="331" t="s">
        <v>261</v>
      </c>
      <c r="BV310" s="329"/>
      <c r="BW310" s="329"/>
      <c r="BX310" s="329"/>
      <c r="BY310" s="331" t="s">
        <v>1196</v>
      </c>
      <c r="BZ310" s="331" t="s">
        <v>1197</v>
      </c>
      <c r="CA310" s="331" t="s">
        <v>936</v>
      </c>
      <c r="CB310" s="331" t="s">
        <v>298</v>
      </c>
      <c r="CC310" s="331" t="s">
        <v>1198</v>
      </c>
    </row>
    <row r="311" spans="1:81" x14ac:dyDescent="0.25">
      <c r="A311" s="329">
        <v>196701</v>
      </c>
      <c r="B311" s="331" t="s">
        <v>1199</v>
      </c>
      <c r="C311" s="329">
        <v>34712</v>
      </c>
      <c r="D311" s="331" t="s">
        <v>1200</v>
      </c>
      <c r="E311" s="331" t="s">
        <v>1201</v>
      </c>
      <c r="F311" s="331" t="s">
        <v>1202</v>
      </c>
      <c r="G311" s="331" t="s">
        <v>1203</v>
      </c>
      <c r="H311" s="331" t="s">
        <v>1204</v>
      </c>
      <c r="I311" s="331" t="s">
        <v>1205</v>
      </c>
      <c r="J311" s="331" t="s">
        <v>279</v>
      </c>
      <c r="K311" s="331" t="s">
        <v>1206</v>
      </c>
      <c r="L311" s="329"/>
      <c r="M311" s="329">
        <v>6</v>
      </c>
      <c r="N311" s="329">
        <v>0</v>
      </c>
      <c r="O311" s="329">
        <v>3.72</v>
      </c>
      <c r="P311" s="329"/>
      <c r="Q311" s="333">
        <v>43705.493067129632</v>
      </c>
      <c r="R311" s="329"/>
      <c r="S311" s="333">
        <v>43749</v>
      </c>
      <c r="T311" s="329">
        <v>55</v>
      </c>
      <c r="U311" s="333">
        <v>43749</v>
      </c>
      <c r="V311" s="333">
        <v>44109</v>
      </c>
      <c r="W311" s="329" t="b">
        <v>1</v>
      </c>
      <c r="X311" s="331" t="s">
        <v>22</v>
      </c>
      <c r="Y311" s="329">
        <v>726</v>
      </c>
      <c r="Z311" s="331" t="s">
        <v>25</v>
      </c>
      <c r="AA311" s="331" t="s">
        <v>919</v>
      </c>
      <c r="AB311" s="331" t="s">
        <v>920</v>
      </c>
      <c r="AC311" s="331" t="s">
        <v>1207</v>
      </c>
      <c r="AD311" s="331" t="s">
        <v>24</v>
      </c>
      <c r="AE311" s="329">
        <v>221</v>
      </c>
      <c r="AF311" s="331" t="s">
        <v>254</v>
      </c>
      <c r="AG311" s="329"/>
      <c r="AH311" s="329">
        <v>17</v>
      </c>
      <c r="AI311" s="331" t="s">
        <v>280</v>
      </c>
      <c r="AJ311" s="331" t="s">
        <v>281</v>
      </c>
      <c r="AK311" s="331" t="s">
        <v>289</v>
      </c>
      <c r="AL311" s="331" t="s">
        <v>275</v>
      </c>
      <c r="AM311" s="331" t="s">
        <v>290</v>
      </c>
      <c r="AN311" s="331" t="s">
        <v>422</v>
      </c>
      <c r="AO311" s="331" t="s">
        <v>274</v>
      </c>
      <c r="AP311" s="329"/>
      <c r="AQ311" s="329"/>
      <c r="AR311" s="329"/>
      <c r="AS311" s="329"/>
      <c r="AT311" s="329" t="s">
        <v>291</v>
      </c>
      <c r="AU311" s="329" t="s">
        <v>283</v>
      </c>
      <c r="AV311" s="331" t="s">
        <v>279</v>
      </c>
      <c r="AW311" s="329"/>
      <c r="AX311" s="329"/>
      <c r="AY311" s="329"/>
      <c r="AZ311" s="329"/>
      <c r="BA311" s="329"/>
      <c r="BB311" s="329"/>
      <c r="BC311" s="329"/>
      <c r="BD311" s="329"/>
      <c r="BE311" s="329" t="s">
        <v>257</v>
      </c>
      <c r="BF311" s="329" t="s">
        <v>836</v>
      </c>
      <c r="BG311" s="329"/>
      <c r="BH311" s="329"/>
      <c r="BI311" s="329"/>
      <c r="BJ311" s="329"/>
      <c r="BK311" s="329">
        <v>18000</v>
      </c>
      <c r="BL311" s="329"/>
      <c r="BM311" s="331" t="s">
        <v>310</v>
      </c>
      <c r="BN311" s="329" t="s">
        <v>922</v>
      </c>
      <c r="BO311" s="333">
        <v>43753</v>
      </c>
      <c r="BP311" s="329"/>
      <c r="BQ311" s="329"/>
      <c r="BR311" s="329"/>
      <c r="BS311" s="329"/>
      <c r="BT311" s="329"/>
      <c r="BU311" s="331" t="s">
        <v>261</v>
      </c>
      <c r="BV311" s="329"/>
      <c r="BW311" s="329"/>
      <c r="BX311" s="329"/>
      <c r="BY311" s="331" t="s">
        <v>1208</v>
      </c>
      <c r="BZ311" s="331" t="s">
        <v>1209</v>
      </c>
      <c r="CA311" s="331" t="s">
        <v>1210</v>
      </c>
      <c r="CB311" s="331" t="s">
        <v>20</v>
      </c>
      <c r="CC311" s="331" t="s">
        <v>1211</v>
      </c>
    </row>
    <row r="312" spans="1:81" x14ac:dyDescent="0.25">
      <c r="A312" s="329">
        <v>198122</v>
      </c>
      <c r="B312" s="331" t="s">
        <v>1223</v>
      </c>
      <c r="C312" s="329">
        <v>35102</v>
      </c>
      <c r="D312" s="331" t="s">
        <v>1224</v>
      </c>
      <c r="E312" s="331" t="s">
        <v>1225</v>
      </c>
      <c r="F312" s="331" t="s">
        <v>1226</v>
      </c>
      <c r="G312" s="331" t="s">
        <v>1227</v>
      </c>
      <c r="H312" s="331" t="s">
        <v>1228</v>
      </c>
      <c r="I312" s="331" t="s">
        <v>1229</v>
      </c>
      <c r="J312" s="331" t="s">
        <v>396</v>
      </c>
      <c r="K312" s="331" t="s">
        <v>1230</v>
      </c>
      <c r="L312" s="329"/>
      <c r="M312" s="329">
        <v>6</v>
      </c>
      <c r="N312" s="329">
        <v>0</v>
      </c>
      <c r="O312" s="329">
        <v>3.5</v>
      </c>
      <c r="P312" s="329"/>
      <c r="Q312" s="333">
        <v>43721.364907407406</v>
      </c>
      <c r="R312" s="329"/>
      <c r="S312" s="333">
        <v>43749</v>
      </c>
      <c r="T312" s="329">
        <v>55</v>
      </c>
      <c r="U312" s="333">
        <v>43749</v>
      </c>
      <c r="V312" s="333">
        <v>44109</v>
      </c>
      <c r="W312" s="329" t="b">
        <v>1</v>
      </c>
      <c r="X312" s="331" t="s">
        <v>905</v>
      </c>
      <c r="Y312" s="329">
        <v>747</v>
      </c>
      <c r="Z312" s="331" t="s">
        <v>23</v>
      </c>
      <c r="AA312" s="331" t="s">
        <v>919</v>
      </c>
      <c r="AB312" s="331" t="s">
        <v>920</v>
      </c>
      <c r="AC312" s="331" t="s">
        <v>346</v>
      </c>
      <c r="AD312" s="331" t="s">
        <v>24</v>
      </c>
      <c r="AE312" s="329">
        <v>221</v>
      </c>
      <c r="AF312" s="331" t="s">
        <v>254</v>
      </c>
      <c r="AG312" s="329"/>
      <c r="AH312" s="329">
        <v>17</v>
      </c>
      <c r="AI312" s="331" t="s">
        <v>280</v>
      </c>
      <c r="AJ312" s="331" t="s">
        <v>281</v>
      </c>
      <c r="AK312" s="329"/>
      <c r="AL312" s="329"/>
      <c r="AM312" s="329"/>
      <c r="AN312" s="329"/>
      <c r="AO312" s="329"/>
      <c r="AP312" s="331" t="s">
        <v>265</v>
      </c>
      <c r="AQ312" s="329">
        <v>560</v>
      </c>
      <c r="AR312" s="329">
        <v>520</v>
      </c>
      <c r="AS312" s="329"/>
      <c r="AT312" s="329" t="s">
        <v>353</v>
      </c>
      <c r="AU312" s="329" t="s">
        <v>283</v>
      </c>
      <c r="AV312" s="331" t="s">
        <v>396</v>
      </c>
      <c r="AW312" s="329"/>
      <c r="AX312" s="329"/>
      <c r="AY312" s="329"/>
      <c r="AZ312" s="329"/>
      <c r="BA312" s="329"/>
      <c r="BB312" s="329"/>
      <c r="BC312" s="329"/>
      <c r="BD312" s="329"/>
      <c r="BE312" s="329" t="s">
        <v>257</v>
      </c>
      <c r="BF312" s="329" t="s">
        <v>830</v>
      </c>
      <c r="BG312" s="329"/>
      <c r="BH312" s="329"/>
      <c r="BI312" s="329"/>
      <c r="BJ312" s="329"/>
      <c r="BK312" s="329">
        <v>12000</v>
      </c>
      <c r="BL312" s="329"/>
      <c r="BM312" s="331" t="s">
        <v>26</v>
      </c>
      <c r="BN312" s="329" t="s">
        <v>922</v>
      </c>
      <c r="BO312" s="333">
        <v>43753</v>
      </c>
      <c r="BP312" s="329"/>
      <c r="BQ312" s="329"/>
      <c r="BR312" s="329"/>
      <c r="BS312" s="329"/>
      <c r="BT312" s="329"/>
      <c r="BU312" s="331" t="s">
        <v>261</v>
      </c>
      <c r="BV312" s="329"/>
      <c r="BW312" s="329"/>
      <c r="BX312" s="329"/>
      <c r="BY312" s="331" t="s">
        <v>1231</v>
      </c>
      <c r="BZ312" s="331" t="s">
        <v>1232</v>
      </c>
      <c r="CA312" s="331" t="s">
        <v>1233</v>
      </c>
      <c r="CB312" s="331" t="s">
        <v>396</v>
      </c>
      <c r="CC312" s="331" t="s">
        <v>1230</v>
      </c>
    </row>
    <row r="313" spans="1:81" x14ac:dyDescent="0.25">
      <c r="A313" s="329">
        <v>198078</v>
      </c>
      <c r="B313" s="331" t="s">
        <v>1234</v>
      </c>
      <c r="C313" s="329">
        <v>35083</v>
      </c>
      <c r="D313" s="331" t="s">
        <v>184</v>
      </c>
      <c r="E313" s="331" t="s">
        <v>1235</v>
      </c>
      <c r="F313" s="331" t="s">
        <v>1236</v>
      </c>
      <c r="G313" s="331" t="s">
        <v>1237</v>
      </c>
      <c r="H313" s="331" t="s">
        <v>1238</v>
      </c>
      <c r="I313" s="331" t="s">
        <v>1239</v>
      </c>
      <c r="J313" s="331" t="s">
        <v>360</v>
      </c>
      <c r="K313" s="331" t="s">
        <v>1240</v>
      </c>
      <c r="L313" s="329"/>
      <c r="M313" s="329">
        <v>6</v>
      </c>
      <c r="N313" s="329">
        <v>0</v>
      </c>
      <c r="O313" s="329">
        <v>3.4</v>
      </c>
      <c r="P313" s="329"/>
      <c r="Q313" s="333">
        <v>43629.5625</v>
      </c>
      <c r="R313" s="329"/>
      <c r="S313" s="333">
        <v>43749</v>
      </c>
      <c r="T313" s="329">
        <v>55</v>
      </c>
      <c r="U313" s="333">
        <v>43749</v>
      </c>
      <c r="V313" s="333">
        <v>44109</v>
      </c>
      <c r="W313" s="329" t="b">
        <v>1</v>
      </c>
      <c r="X313" s="331" t="s">
        <v>905</v>
      </c>
      <c r="Y313" s="329">
        <v>747</v>
      </c>
      <c r="Z313" s="331" t="s">
        <v>23</v>
      </c>
      <c r="AA313" s="331" t="s">
        <v>919</v>
      </c>
      <c r="AB313" s="331" t="s">
        <v>920</v>
      </c>
      <c r="AC313" s="331" t="s">
        <v>1011</v>
      </c>
      <c r="AD313" s="331" t="s">
        <v>24</v>
      </c>
      <c r="AE313" s="329">
        <v>221</v>
      </c>
      <c r="AF313" s="331" t="s">
        <v>254</v>
      </c>
      <c r="AG313" s="329"/>
      <c r="AH313" s="329">
        <v>17</v>
      </c>
      <c r="AI313" s="331" t="s">
        <v>280</v>
      </c>
      <c r="AJ313" s="331" t="s">
        <v>281</v>
      </c>
      <c r="AK313" s="329"/>
      <c r="AL313" s="329"/>
      <c r="AM313" s="329"/>
      <c r="AN313" s="329"/>
      <c r="AO313" s="329"/>
      <c r="AP313" s="329"/>
      <c r="AQ313" s="329"/>
      <c r="AR313" s="329"/>
      <c r="AS313" s="329"/>
      <c r="AT313" s="329" t="s">
        <v>258</v>
      </c>
      <c r="AU313" s="329" t="s">
        <v>283</v>
      </c>
      <c r="AV313" s="331" t="s">
        <v>360</v>
      </c>
      <c r="AW313" s="329"/>
      <c r="AX313" s="329"/>
      <c r="AY313" s="329"/>
      <c r="AZ313" s="329"/>
      <c r="BA313" s="329"/>
      <c r="BB313" s="329"/>
      <c r="BC313" s="329"/>
      <c r="BD313" s="329"/>
      <c r="BE313" s="329"/>
      <c r="BF313" s="329"/>
      <c r="BG313" s="329"/>
      <c r="BH313" s="329"/>
      <c r="BI313" s="329"/>
      <c r="BJ313" s="329"/>
      <c r="BK313" s="329">
        <v>0</v>
      </c>
      <c r="BL313" s="329"/>
      <c r="BM313" s="331" t="s">
        <v>267</v>
      </c>
      <c r="BN313" s="329" t="s">
        <v>922</v>
      </c>
      <c r="BO313" s="333">
        <v>43753</v>
      </c>
      <c r="BP313" s="329"/>
      <c r="BQ313" s="329"/>
      <c r="BR313" s="329"/>
      <c r="BS313" s="329"/>
      <c r="BT313" s="329"/>
      <c r="BU313" s="331" t="s">
        <v>261</v>
      </c>
      <c r="BV313" s="329"/>
      <c r="BW313" s="329"/>
      <c r="BX313" s="329"/>
      <c r="BY313" s="331" t="s">
        <v>1241</v>
      </c>
      <c r="BZ313" s="331" t="s">
        <v>1242</v>
      </c>
      <c r="CA313" s="331" t="s">
        <v>1243</v>
      </c>
      <c r="CB313" s="331" t="s">
        <v>360</v>
      </c>
      <c r="CC313" s="331" t="s">
        <v>1240</v>
      </c>
    </row>
    <row r="314" spans="1:81" x14ac:dyDescent="0.25">
      <c r="A314" s="329">
        <v>195798</v>
      </c>
      <c r="B314" s="331" t="s">
        <v>1257</v>
      </c>
      <c r="C314" s="329">
        <v>34405</v>
      </c>
      <c r="D314" s="331" t="s">
        <v>1258</v>
      </c>
      <c r="E314" s="331" t="s">
        <v>320</v>
      </c>
      <c r="F314" s="331" t="s">
        <v>1259</v>
      </c>
      <c r="G314" s="331" t="s">
        <v>1260</v>
      </c>
      <c r="H314" s="331" t="s">
        <v>1261</v>
      </c>
      <c r="I314" s="331" t="s">
        <v>1262</v>
      </c>
      <c r="J314" s="331" t="s">
        <v>360</v>
      </c>
      <c r="K314" s="331" t="s">
        <v>1263</v>
      </c>
      <c r="L314" s="329"/>
      <c r="M314" s="329">
        <v>6</v>
      </c>
      <c r="N314" s="329">
        <v>0</v>
      </c>
      <c r="O314" s="329">
        <v>3.7</v>
      </c>
      <c r="P314" s="329"/>
      <c r="Q314" s="333">
        <v>43599.552083333336</v>
      </c>
      <c r="R314" s="329"/>
      <c r="S314" s="333">
        <v>43749</v>
      </c>
      <c r="T314" s="329">
        <v>55</v>
      </c>
      <c r="U314" s="333">
        <v>43749</v>
      </c>
      <c r="V314" s="333">
        <v>44109</v>
      </c>
      <c r="W314" s="329" t="b">
        <v>1</v>
      </c>
      <c r="X314" s="331" t="s">
        <v>905</v>
      </c>
      <c r="Y314" s="329">
        <v>747</v>
      </c>
      <c r="Z314" s="331" t="s">
        <v>23</v>
      </c>
      <c r="AA314" s="331" t="s">
        <v>919</v>
      </c>
      <c r="AB314" s="331" t="s">
        <v>920</v>
      </c>
      <c r="AC314" s="331" t="s">
        <v>1264</v>
      </c>
      <c r="AD314" s="331" t="s">
        <v>24</v>
      </c>
      <c r="AE314" s="329">
        <v>221</v>
      </c>
      <c r="AF314" s="331" t="s">
        <v>254</v>
      </c>
      <c r="AG314" s="329"/>
      <c r="AH314" s="329">
        <v>17</v>
      </c>
      <c r="AI314" s="331" t="s">
        <v>280</v>
      </c>
      <c r="AJ314" s="331" t="s">
        <v>281</v>
      </c>
      <c r="AK314" s="329"/>
      <c r="AL314" s="329"/>
      <c r="AM314" s="329"/>
      <c r="AN314" s="329"/>
      <c r="AO314" s="329"/>
      <c r="AP314" s="331" t="s">
        <v>282</v>
      </c>
      <c r="AQ314" s="329">
        <v>570</v>
      </c>
      <c r="AR314" s="329">
        <v>630</v>
      </c>
      <c r="AS314" s="329"/>
      <c r="AT314" s="329" t="s">
        <v>312</v>
      </c>
      <c r="AU314" s="329" t="s">
        <v>283</v>
      </c>
      <c r="AV314" s="331" t="s">
        <v>360</v>
      </c>
      <c r="AW314" s="329"/>
      <c r="AX314" s="329"/>
      <c r="AY314" s="329"/>
      <c r="AZ314" s="329"/>
      <c r="BA314" s="329"/>
      <c r="BB314" s="329"/>
      <c r="BC314" s="329"/>
      <c r="BD314" s="329"/>
      <c r="BE314" s="329" t="s">
        <v>257</v>
      </c>
      <c r="BF314" s="329" t="s">
        <v>834</v>
      </c>
      <c r="BG314" s="329"/>
      <c r="BH314" s="329"/>
      <c r="BI314" s="329"/>
      <c r="BJ314" s="329"/>
      <c r="BK314" s="329">
        <v>20400</v>
      </c>
      <c r="BL314" s="329"/>
      <c r="BM314" s="331" t="s">
        <v>278</v>
      </c>
      <c r="BN314" s="329" t="s">
        <v>922</v>
      </c>
      <c r="BO314" s="333">
        <v>43753</v>
      </c>
      <c r="BP314" s="329"/>
      <c r="BQ314" s="329"/>
      <c r="BR314" s="329"/>
      <c r="BS314" s="329"/>
      <c r="BT314" s="329"/>
      <c r="BU314" s="331" t="s">
        <v>261</v>
      </c>
      <c r="BV314" s="329"/>
      <c r="BW314" s="329"/>
      <c r="BX314" s="329"/>
      <c r="BY314" s="331" t="s">
        <v>1265</v>
      </c>
      <c r="BZ314" s="331" t="s">
        <v>1266</v>
      </c>
      <c r="CA314" s="331" t="s">
        <v>1267</v>
      </c>
      <c r="CB314" s="331" t="s">
        <v>360</v>
      </c>
      <c r="CC314" s="331" t="s">
        <v>1268</v>
      </c>
    </row>
    <row r="315" spans="1:81" x14ac:dyDescent="0.25">
      <c r="A315" s="329">
        <v>196703</v>
      </c>
      <c r="B315" s="331" t="s">
        <v>1269</v>
      </c>
      <c r="C315" s="329">
        <v>34713</v>
      </c>
      <c r="D315" s="331" t="s">
        <v>1270</v>
      </c>
      <c r="E315" s="331" t="s">
        <v>1271</v>
      </c>
      <c r="F315" s="331" t="s">
        <v>1272</v>
      </c>
      <c r="G315" s="331" t="s">
        <v>1273</v>
      </c>
      <c r="H315" s="331" t="s">
        <v>1274</v>
      </c>
      <c r="I315" s="331" t="s">
        <v>497</v>
      </c>
      <c r="J315" s="331" t="s">
        <v>378</v>
      </c>
      <c r="K315" s="331" t="s">
        <v>1275</v>
      </c>
      <c r="L315" s="329"/>
      <c r="M315" s="329">
        <v>6</v>
      </c>
      <c r="N315" s="329">
        <v>0</v>
      </c>
      <c r="O315" s="329">
        <v>2.77</v>
      </c>
      <c r="P315" s="329"/>
      <c r="Q315" s="333">
        <v>43677.604166666664</v>
      </c>
      <c r="R315" s="329"/>
      <c r="S315" s="333">
        <v>43749</v>
      </c>
      <c r="T315" s="329">
        <v>55</v>
      </c>
      <c r="U315" s="333">
        <v>43749</v>
      </c>
      <c r="V315" s="333">
        <v>44109</v>
      </c>
      <c r="W315" s="329" t="b">
        <v>1</v>
      </c>
      <c r="X315" s="331" t="s">
        <v>22</v>
      </c>
      <c r="Y315" s="329">
        <v>429</v>
      </c>
      <c r="Z315" s="331" t="s">
        <v>23</v>
      </c>
      <c r="AA315" s="331" t="s">
        <v>919</v>
      </c>
      <c r="AB315" s="331" t="s">
        <v>920</v>
      </c>
      <c r="AC315" s="331" t="s">
        <v>1276</v>
      </c>
      <c r="AD315" s="331" t="s">
        <v>24</v>
      </c>
      <c r="AE315" s="329">
        <v>221</v>
      </c>
      <c r="AF315" s="331" t="s">
        <v>254</v>
      </c>
      <c r="AG315" s="329"/>
      <c r="AH315" s="329">
        <v>17</v>
      </c>
      <c r="AI315" s="331" t="s">
        <v>280</v>
      </c>
      <c r="AJ315" s="331" t="s">
        <v>281</v>
      </c>
      <c r="AK315" s="331" t="s">
        <v>299</v>
      </c>
      <c r="AL315" s="331" t="s">
        <v>331</v>
      </c>
      <c r="AM315" s="331" t="s">
        <v>330</v>
      </c>
      <c r="AN315" s="331" t="s">
        <v>300</v>
      </c>
      <c r="AO315" s="331" t="s">
        <v>300</v>
      </c>
      <c r="AP315" s="329"/>
      <c r="AQ315" s="329"/>
      <c r="AR315" s="329"/>
      <c r="AS315" s="329"/>
      <c r="AT315" s="329" t="s">
        <v>315</v>
      </c>
      <c r="AU315" s="329" t="s">
        <v>283</v>
      </c>
      <c r="AV315" s="331" t="s">
        <v>378</v>
      </c>
      <c r="AW315" s="329"/>
      <c r="AX315" s="329"/>
      <c r="AY315" s="329"/>
      <c r="AZ315" s="329"/>
      <c r="BA315" s="329"/>
      <c r="BB315" s="329"/>
      <c r="BC315" s="329"/>
      <c r="BD315" s="329"/>
      <c r="BE315" s="329"/>
      <c r="BF315" s="329"/>
      <c r="BG315" s="329"/>
      <c r="BH315" s="329"/>
      <c r="BI315" s="329"/>
      <c r="BJ315" s="329"/>
      <c r="BK315" s="329">
        <v>0</v>
      </c>
      <c r="BL315" s="329"/>
      <c r="BM315" s="331" t="s">
        <v>27</v>
      </c>
      <c r="BN315" s="329" t="s">
        <v>922</v>
      </c>
      <c r="BO315" s="333">
        <v>43753</v>
      </c>
      <c r="BP315" s="329"/>
      <c r="BQ315" s="329"/>
      <c r="BR315" s="329"/>
      <c r="BS315" s="329"/>
      <c r="BT315" s="329"/>
      <c r="BU315" s="331" t="s">
        <v>261</v>
      </c>
      <c r="BV315" s="329"/>
      <c r="BW315" s="329"/>
      <c r="BX315" s="329"/>
      <c r="BY315" s="331" t="s">
        <v>1277</v>
      </c>
      <c r="BZ315" s="331" t="s">
        <v>1278</v>
      </c>
      <c r="CA315" s="331" t="s">
        <v>1279</v>
      </c>
      <c r="CB315" s="331" t="s">
        <v>378</v>
      </c>
      <c r="CC315" s="331" t="s">
        <v>1280</v>
      </c>
    </row>
    <row r="316" spans="1:81" x14ac:dyDescent="0.25">
      <c r="A316" s="329">
        <v>198364</v>
      </c>
      <c r="B316" s="331" t="s">
        <v>1303</v>
      </c>
      <c r="C316" s="329">
        <v>35246</v>
      </c>
      <c r="D316" s="331" t="s">
        <v>1304</v>
      </c>
      <c r="E316" s="331" t="s">
        <v>1305</v>
      </c>
      <c r="F316" s="331" t="s">
        <v>1306</v>
      </c>
      <c r="G316" s="331" t="s">
        <v>1307</v>
      </c>
      <c r="H316" s="331" t="s">
        <v>1308</v>
      </c>
      <c r="I316" s="331" t="s">
        <v>932</v>
      </c>
      <c r="J316" s="331" t="s">
        <v>298</v>
      </c>
      <c r="K316" s="331" t="s">
        <v>933</v>
      </c>
      <c r="L316" s="329"/>
      <c r="M316" s="329">
        <v>6</v>
      </c>
      <c r="N316" s="329">
        <v>0</v>
      </c>
      <c r="O316" s="329">
        <v>3.78</v>
      </c>
      <c r="P316" s="329"/>
      <c r="Q316" s="333">
        <v>43739.878472222219</v>
      </c>
      <c r="R316" s="329"/>
      <c r="S316" s="333">
        <v>43749</v>
      </c>
      <c r="T316" s="329">
        <v>55</v>
      </c>
      <c r="U316" s="333">
        <v>43749</v>
      </c>
      <c r="V316" s="333">
        <v>44109</v>
      </c>
      <c r="W316" s="329" t="b">
        <v>1</v>
      </c>
      <c r="X316" s="331" t="s">
        <v>22</v>
      </c>
      <c r="Y316" s="329">
        <v>429</v>
      </c>
      <c r="Z316" s="331" t="s">
        <v>23</v>
      </c>
      <c r="AA316" s="331" t="s">
        <v>919</v>
      </c>
      <c r="AB316" s="331" t="s">
        <v>920</v>
      </c>
      <c r="AC316" s="331" t="s">
        <v>372</v>
      </c>
      <c r="AD316" s="331" t="s">
        <v>24</v>
      </c>
      <c r="AE316" s="329">
        <v>221</v>
      </c>
      <c r="AF316" s="331" t="s">
        <v>254</v>
      </c>
      <c r="AG316" s="329"/>
      <c r="AH316" s="329">
        <v>17</v>
      </c>
      <c r="AI316" s="331" t="s">
        <v>280</v>
      </c>
      <c r="AJ316" s="331" t="s">
        <v>281</v>
      </c>
      <c r="AK316" s="329"/>
      <c r="AL316" s="329"/>
      <c r="AM316" s="329"/>
      <c r="AN316" s="329"/>
      <c r="AO316" s="329"/>
      <c r="AP316" s="329"/>
      <c r="AQ316" s="329"/>
      <c r="AR316" s="329"/>
      <c r="AS316" s="329"/>
      <c r="AT316" s="329" t="s">
        <v>258</v>
      </c>
      <c r="AU316" s="329" t="s">
        <v>283</v>
      </c>
      <c r="AV316" s="331" t="s">
        <v>298</v>
      </c>
      <c r="AW316" s="329"/>
      <c r="AX316" s="329"/>
      <c r="AY316" s="329"/>
      <c r="AZ316" s="329"/>
      <c r="BA316" s="329"/>
      <c r="BB316" s="329"/>
      <c r="BC316" s="329"/>
      <c r="BD316" s="329"/>
      <c r="BE316" s="329" t="s">
        <v>257</v>
      </c>
      <c r="BF316" s="329" t="s">
        <v>834</v>
      </c>
      <c r="BG316" s="329"/>
      <c r="BH316" s="329"/>
      <c r="BI316" s="329"/>
      <c r="BJ316" s="329"/>
      <c r="BK316" s="329">
        <v>20400</v>
      </c>
      <c r="BL316" s="329"/>
      <c r="BM316" s="331" t="s">
        <v>278</v>
      </c>
      <c r="BN316" s="329" t="s">
        <v>922</v>
      </c>
      <c r="BO316" s="333">
        <v>43753</v>
      </c>
      <c r="BP316" s="329"/>
      <c r="BQ316" s="329"/>
      <c r="BR316" s="329"/>
      <c r="BS316" s="329"/>
      <c r="BT316" s="329"/>
      <c r="BU316" s="331" t="s">
        <v>261</v>
      </c>
      <c r="BV316" s="329"/>
      <c r="BW316" s="329"/>
      <c r="BX316" s="329"/>
      <c r="BY316" s="331" t="s">
        <v>934</v>
      </c>
      <c r="BZ316" s="331" t="s">
        <v>935</v>
      </c>
      <c r="CA316" s="331" t="s">
        <v>936</v>
      </c>
      <c r="CB316" s="331" t="s">
        <v>298</v>
      </c>
      <c r="CC316" s="331" t="s">
        <v>937</v>
      </c>
    </row>
    <row r="317" spans="1:81" x14ac:dyDescent="0.25">
      <c r="A317" s="329">
        <v>195877</v>
      </c>
      <c r="B317" s="331" t="s">
        <v>1319</v>
      </c>
      <c r="C317" s="329">
        <v>34417</v>
      </c>
      <c r="D317" s="331" t="s">
        <v>1310</v>
      </c>
      <c r="E317" s="331" t="s">
        <v>1320</v>
      </c>
      <c r="F317" s="331" t="s">
        <v>1321</v>
      </c>
      <c r="G317" s="331" t="s">
        <v>1322</v>
      </c>
      <c r="H317" s="331" t="s">
        <v>1323</v>
      </c>
      <c r="I317" s="331" t="s">
        <v>1314</v>
      </c>
      <c r="J317" s="331" t="s">
        <v>449</v>
      </c>
      <c r="K317" s="331" t="s">
        <v>1315</v>
      </c>
      <c r="L317" s="329"/>
      <c r="M317" s="329">
        <v>6</v>
      </c>
      <c r="N317" s="329">
        <v>0</v>
      </c>
      <c r="O317" s="329">
        <v>3.5476000000000001</v>
      </c>
      <c r="P317" s="329"/>
      <c r="Q317" s="333">
        <v>43630.729861111111</v>
      </c>
      <c r="R317" s="329"/>
      <c r="S317" s="333">
        <v>43749</v>
      </c>
      <c r="T317" s="329">
        <v>55</v>
      </c>
      <c r="U317" s="333">
        <v>43749</v>
      </c>
      <c r="V317" s="333">
        <v>44109</v>
      </c>
      <c r="W317" s="329" t="b">
        <v>1</v>
      </c>
      <c r="X317" s="331" t="s">
        <v>187</v>
      </c>
      <c r="Y317" s="329">
        <v>718</v>
      </c>
      <c r="Z317" s="331" t="s">
        <v>25</v>
      </c>
      <c r="AA317" s="331" t="s">
        <v>919</v>
      </c>
      <c r="AB317" s="331" t="s">
        <v>920</v>
      </c>
      <c r="AC317" s="331" t="s">
        <v>1252</v>
      </c>
      <c r="AD317" s="331" t="s">
        <v>24</v>
      </c>
      <c r="AE317" s="329">
        <v>221</v>
      </c>
      <c r="AF317" s="331" t="s">
        <v>254</v>
      </c>
      <c r="AG317" s="329"/>
      <c r="AH317" s="329">
        <v>17</v>
      </c>
      <c r="AI317" s="331" t="s">
        <v>280</v>
      </c>
      <c r="AJ317" s="331" t="s">
        <v>281</v>
      </c>
      <c r="AK317" s="331" t="s">
        <v>328</v>
      </c>
      <c r="AL317" s="331" t="s">
        <v>359</v>
      </c>
      <c r="AM317" s="331" t="s">
        <v>299</v>
      </c>
      <c r="AN317" s="331" t="s">
        <v>330</v>
      </c>
      <c r="AO317" s="331" t="s">
        <v>301</v>
      </c>
      <c r="AP317" s="329"/>
      <c r="AQ317" s="329"/>
      <c r="AR317" s="329"/>
      <c r="AS317" s="329"/>
      <c r="AT317" s="329" t="s">
        <v>400</v>
      </c>
      <c r="AU317" s="329" t="s">
        <v>283</v>
      </c>
      <c r="AV317" s="331" t="s">
        <v>449</v>
      </c>
      <c r="AW317" s="329"/>
      <c r="AX317" s="329"/>
      <c r="AY317" s="329"/>
      <c r="AZ317" s="329"/>
      <c r="BA317" s="329"/>
      <c r="BB317" s="329"/>
      <c r="BC317" s="329"/>
      <c r="BD317" s="329"/>
      <c r="BE317" s="329" t="s">
        <v>257</v>
      </c>
      <c r="BF317" s="329" t="s">
        <v>838</v>
      </c>
      <c r="BG317" s="329"/>
      <c r="BH317" s="329"/>
      <c r="BI317" s="329"/>
      <c r="BJ317" s="329"/>
      <c r="BK317" s="329">
        <v>15600</v>
      </c>
      <c r="BL317" s="329"/>
      <c r="BM317" s="331" t="s">
        <v>259</v>
      </c>
      <c r="BN317" s="329" t="s">
        <v>922</v>
      </c>
      <c r="BO317" s="333">
        <v>43753</v>
      </c>
      <c r="BP317" s="329"/>
      <c r="BQ317" s="329"/>
      <c r="BR317" s="329"/>
      <c r="BS317" s="329"/>
      <c r="BT317" s="329"/>
      <c r="BU317" s="331" t="s">
        <v>261</v>
      </c>
      <c r="BV317" s="329"/>
      <c r="BW317" s="329"/>
      <c r="BX317" s="329"/>
      <c r="BY317" s="331" t="s">
        <v>1316</v>
      </c>
      <c r="BZ317" s="331" t="s">
        <v>1317</v>
      </c>
      <c r="CA317" s="331" t="s">
        <v>1318</v>
      </c>
      <c r="CB317" s="331" t="s">
        <v>449</v>
      </c>
      <c r="CC317" s="331" t="s">
        <v>1315</v>
      </c>
    </row>
    <row r="318" spans="1:81" x14ac:dyDescent="0.25">
      <c r="A318" s="329">
        <v>192381</v>
      </c>
      <c r="B318" s="331" t="s">
        <v>1324</v>
      </c>
      <c r="C318" s="329">
        <v>33635</v>
      </c>
      <c r="D318" s="331" t="s">
        <v>487</v>
      </c>
      <c r="E318" s="331" t="s">
        <v>502</v>
      </c>
      <c r="F318" s="331" t="s">
        <v>870</v>
      </c>
      <c r="G318" s="331" t="s">
        <v>1325</v>
      </c>
      <c r="H318" s="331" t="s">
        <v>1326</v>
      </c>
      <c r="I318" s="331" t="s">
        <v>1327</v>
      </c>
      <c r="J318" s="331" t="s">
        <v>354</v>
      </c>
      <c r="K318" s="331" t="s">
        <v>1328</v>
      </c>
      <c r="L318" s="329"/>
      <c r="M318" s="329">
        <v>6</v>
      </c>
      <c r="N318" s="329">
        <v>0</v>
      </c>
      <c r="O318" s="329">
        <v>4</v>
      </c>
      <c r="P318" s="329"/>
      <c r="Q318" s="333">
        <v>43601.711805555555</v>
      </c>
      <c r="R318" s="329"/>
      <c r="S318" s="333">
        <v>43749</v>
      </c>
      <c r="T318" s="329">
        <v>55</v>
      </c>
      <c r="U318" s="333">
        <v>43749</v>
      </c>
      <c r="V318" s="333">
        <v>44109</v>
      </c>
      <c r="W318" s="329" t="b">
        <v>1</v>
      </c>
      <c r="X318" s="331" t="s">
        <v>22</v>
      </c>
      <c r="Y318" s="329">
        <v>429</v>
      </c>
      <c r="Z318" s="331" t="s">
        <v>23</v>
      </c>
      <c r="AA318" s="331" t="s">
        <v>919</v>
      </c>
      <c r="AB318" s="331" t="s">
        <v>920</v>
      </c>
      <c r="AC318" s="331" t="s">
        <v>1329</v>
      </c>
      <c r="AD318" s="331" t="s">
        <v>24</v>
      </c>
      <c r="AE318" s="329">
        <v>221</v>
      </c>
      <c r="AF318" s="331" t="s">
        <v>254</v>
      </c>
      <c r="AG318" s="329"/>
      <c r="AH318" s="329">
        <v>17</v>
      </c>
      <c r="AI318" s="331" t="s">
        <v>280</v>
      </c>
      <c r="AJ318" s="331" t="s">
        <v>281</v>
      </c>
      <c r="AK318" s="331" t="s">
        <v>289</v>
      </c>
      <c r="AL318" s="331" t="s">
        <v>274</v>
      </c>
      <c r="AM318" s="331" t="s">
        <v>289</v>
      </c>
      <c r="AN318" s="331" t="s">
        <v>287</v>
      </c>
      <c r="AO318" s="331" t="s">
        <v>289</v>
      </c>
      <c r="AP318" s="331" t="s">
        <v>361</v>
      </c>
      <c r="AQ318" s="329">
        <v>620</v>
      </c>
      <c r="AR318" s="329">
        <v>630</v>
      </c>
      <c r="AS318" s="329"/>
      <c r="AT318" s="329" t="s">
        <v>276</v>
      </c>
      <c r="AU318" s="329" t="s">
        <v>283</v>
      </c>
      <c r="AV318" s="331" t="s">
        <v>354</v>
      </c>
      <c r="AW318" s="329"/>
      <c r="AX318" s="329"/>
      <c r="AY318" s="329"/>
      <c r="AZ318" s="329"/>
      <c r="BA318" s="329"/>
      <c r="BB318" s="329"/>
      <c r="BC318" s="329"/>
      <c r="BD318" s="329"/>
      <c r="BE318" s="329" t="s">
        <v>257</v>
      </c>
      <c r="BF318" s="329" t="s">
        <v>834</v>
      </c>
      <c r="BG318" s="329"/>
      <c r="BH318" s="329"/>
      <c r="BI318" s="329"/>
      <c r="BJ318" s="329"/>
      <c r="BK318" s="329">
        <v>20400</v>
      </c>
      <c r="BL318" s="329"/>
      <c r="BM318" s="331" t="s">
        <v>278</v>
      </c>
      <c r="BN318" s="329" t="s">
        <v>922</v>
      </c>
      <c r="BO318" s="333">
        <v>43753</v>
      </c>
      <c r="BP318" s="329"/>
      <c r="BQ318" s="329"/>
      <c r="BR318" s="329"/>
      <c r="BS318" s="329"/>
      <c r="BT318" s="329"/>
      <c r="BU318" s="331" t="s">
        <v>261</v>
      </c>
      <c r="BV318" s="329"/>
      <c r="BW318" s="329"/>
      <c r="BX318" s="329"/>
      <c r="BY318" s="331" t="s">
        <v>1330</v>
      </c>
      <c r="BZ318" s="331" t="s">
        <v>1331</v>
      </c>
      <c r="CA318" s="331" t="s">
        <v>1332</v>
      </c>
      <c r="CB318" s="331" t="s">
        <v>354</v>
      </c>
      <c r="CC318" s="331" t="s">
        <v>1333</v>
      </c>
    </row>
    <row r="319" spans="1:81" x14ac:dyDescent="0.25">
      <c r="A319" s="329">
        <v>196288</v>
      </c>
      <c r="B319" s="331" t="s">
        <v>1344</v>
      </c>
      <c r="C319" s="329">
        <v>34596</v>
      </c>
      <c r="D319" s="331" t="s">
        <v>1345</v>
      </c>
      <c r="E319" s="331" t="s">
        <v>380</v>
      </c>
      <c r="F319" s="331" t="s">
        <v>1346</v>
      </c>
      <c r="G319" s="331" t="s">
        <v>1347</v>
      </c>
      <c r="H319" s="331" t="s">
        <v>5373</v>
      </c>
      <c r="I319" s="331" t="s">
        <v>1348</v>
      </c>
      <c r="J319" s="331" t="s">
        <v>449</v>
      </c>
      <c r="K319" s="331" t="s">
        <v>1349</v>
      </c>
      <c r="L319" s="329"/>
      <c r="M319" s="329">
        <v>6</v>
      </c>
      <c r="N319" s="329">
        <v>0</v>
      </c>
      <c r="O319" s="329">
        <v>3.4651000000000001</v>
      </c>
      <c r="P319" s="329"/>
      <c r="Q319" s="333">
        <v>43699.708333333336</v>
      </c>
      <c r="R319" s="329"/>
      <c r="S319" s="333">
        <v>43749</v>
      </c>
      <c r="T319" s="329">
        <v>55</v>
      </c>
      <c r="U319" s="333">
        <v>43749</v>
      </c>
      <c r="V319" s="333">
        <v>44109</v>
      </c>
      <c r="W319" s="329" t="b">
        <v>1</v>
      </c>
      <c r="X319" s="331" t="s">
        <v>22</v>
      </c>
      <c r="Y319" s="329">
        <v>726</v>
      </c>
      <c r="Z319" s="331" t="s">
        <v>23</v>
      </c>
      <c r="AA319" s="331" t="s">
        <v>919</v>
      </c>
      <c r="AB319" s="331" t="s">
        <v>920</v>
      </c>
      <c r="AC319" s="331" t="s">
        <v>1011</v>
      </c>
      <c r="AD319" s="331" t="s">
        <v>24</v>
      </c>
      <c r="AE319" s="329">
        <v>221</v>
      </c>
      <c r="AF319" s="331" t="s">
        <v>254</v>
      </c>
      <c r="AG319" s="329"/>
      <c r="AH319" s="329">
        <v>17</v>
      </c>
      <c r="AI319" s="331" t="s">
        <v>280</v>
      </c>
      <c r="AJ319" s="331" t="s">
        <v>281</v>
      </c>
      <c r="AK319" s="331" t="s">
        <v>359</v>
      </c>
      <c r="AL319" s="331" t="s">
        <v>418</v>
      </c>
      <c r="AM319" s="331" t="s">
        <v>386</v>
      </c>
      <c r="AN319" s="331" t="s">
        <v>359</v>
      </c>
      <c r="AO319" s="331" t="s">
        <v>416</v>
      </c>
      <c r="AP319" s="329"/>
      <c r="AQ319" s="329"/>
      <c r="AR319" s="329"/>
      <c r="AS319" s="329"/>
      <c r="AT319" s="329" t="s">
        <v>332</v>
      </c>
      <c r="AU319" s="329" t="s">
        <v>256</v>
      </c>
      <c r="AV319" s="331" t="s">
        <v>449</v>
      </c>
      <c r="AW319" s="329"/>
      <c r="AX319" s="329"/>
      <c r="AY319" s="329"/>
      <c r="AZ319" s="329"/>
      <c r="BA319" s="329"/>
      <c r="BB319" s="329"/>
      <c r="BC319" s="329"/>
      <c r="BD319" s="329"/>
      <c r="BE319" s="329"/>
      <c r="BF319" s="329"/>
      <c r="BG319" s="329"/>
      <c r="BH319" s="329"/>
      <c r="BI319" s="329"/>
      <c r="BJ319" s="329"/>
      <c r="BK319" s="329">
        <v>0</v>
      </c>
      <c r="BL319" s="329"/>
      <c r="BM319" s="331" t="s">
        <v>267</v>
      </c>
      <c r="BN319" s="329" t="s">
        <v>922</v>
      </c>
      <c r="BO319" s="333">
        <v>43753</v>
      </c>
      <c r="BP319" s="329"/>
      <c r="BQ319" s="329"/>
      <c r="BR319" s="329"/>
      <c r="BS319" s="329"/>
      <c r="BT319" s="329"/>
      <c r="BU319" s="331" t="s">
        <v>261</v>
      </c>
      <c r="BV319" s="329"/>
      <c r="BW319" s="329"/>
      <c r="BX319" s="329"/>
      <c r="BY319" s="331" t="s">
        <v>1350</v>
      </c>
      <c r="BZ319" s="331" t="s">
        <v>1351</v>
      </c>
      <c r="CA319" s="331" t="s">
        <v>1352</v>
      </c>
      <c r="CB319" s="331" t="s">
        <v>449</v>
      </c>
      <c r="CC319" s="331" t="s">
        <v>1349</v>
      </c>
    </row>
    <row r="320" spans="1:81" x14ac:dyDescent="0.25">
      <c r="A320" s="329">
        <v>197980</v>
      </c>
      <c r="B320" s="331" t="s">
        <v>1353</v>
      </c>
      <c r="C320" s="329">
        <v>35051</v>
      </c>
      <c r="D320" s="331" t="s">
        <v>1354</v>
      </c>
      <c r="E320" s="331" t="s">
        <v>1355</v>
      </c>
      <c r="F320" s="331" t="s">
        <v>1356</v>
      </c>
      <c r="G320" s="331" t="s">
        <v>1357</v>
      </c>
      <c r="H320" s="331" t="s">
        <v>1358</v>
      </c>
      <c r="I320" s="331" t="s">
        <v>1359</v>
      </c>
      <c r="J320" s="331" t="s">
        <v>360</v>
      </c>
      <c r="K320" s="331" t="s">
        <v>1360</v>
      </c>
      <c r="L320" s="329"/>
      <c r="M320" s="329">
        <v>6</v>
      </c>
      <c r="N320" s="329">
        <v>0</v>
      </c>
      <c r="O320" s="329">
        <v>4</v>
      </c>
      <c r="P320" s="329"/>
      <c r="Q320" s="333">
        <v>43584.666666666664</v>
      </c>
      <c r="R320" s="329"/>
      <c r="S320" s="333">
        <v>43749</v>
      </c>
      <c r="T320" s="329">
        <v>55</v>
      </c>
      <c r="U320" s="333">
        <v>43749</v>
      </c>
      <c r="V320" s="333">
        <v>44109</v>
      </c>
      <c r="W320" s="329" t="b">
        <v>1</v>
      </c>
      <c r="X320" s="331" t="s">
        <v>187</v>
      </c>
      <c r="Y320" s="329">
        <v>718</v>
      </c>
      <c r="Z320" s="331" t="s">
        <v>23</v>
      </c>
      <c r="AA320" s="331" t="s">
        <v>919</v>
      </c>
      <c r="AB320" s="331" t="s">
        <v>920</v>
      </c>
      <c r="AC320" s="331" t="s">
        <v>1361</v>
      </c>
      <c r="AD320" s="331" t="s">
        <v>24</v>
      </c>
      <c r="AE320" s="329">
        <v>221</v>
      </c>
      <c r="AF320" s="331" t="s">
        <v>254</v>
      </c>
      <c r="AG320" s="329"/>
      <c r="AH320" s="329">
        <v>17</v>
      </c>
      <c r="AI320" s="331" t="s">
        <v>280</v>
      </c>
      <c r="AJ320" s="331" t="s">
        <v>281</v>
      </c>
      <c r="AK320" s="329"/>
      <c r="AL320" s="329"/>
      <c r="AM320" s="329"/>
      <c r="AN320" s="329"/>
      <c r="AO320" s="329"/>
      <c r="AP320" s="331" t="s">
        <v>760</v>
      </c>
      <c r="AQ320" s="329">
        <v>680</v>
      </c>
      <c r="AR320" s="329">
        <v>660</v>
      </c>
      <c r="AS320" s="329"/>
      <c r="AT320" s="329" t="s">
        <v>352</v>
      </c>
      <c r="AU320" s="329" t="s">
        <v>256</v>
      </c>
      <c r="AV320" s="331" t="s">
        <v>360</v>
      </c>
      <c r="AW320" s="329"/>
      <c r="AX320" s="329"/>
      <c r="AY320" s="329"/>
      <c r="AZ320" s="329"/>
      <c r="BA320" s="329"/>
      <c r="BB320" s="329"/>
      <c r="BC320" s="329"/>
      <c r="BD320" s="329"/>
      <c r="BE320" s="329" t="s">
        <v>257</v>
      </c>
      <c r="BF320" s="329" t="s">
        <v>834</v>
      </c>
      <c r="BG320" s="329"/>
      <c r="BH320" s="329"/>
      <c r="BI320" s="329"/>
      <c r="BJ320" s="329"/>
      <c r="BK320" s="329">
        <v>20400</v>
      </c>
      <c r="BL320" s="329"/>
      <c r="BM320" s="331" t="s">
        <v>278</v>
      </c>
      <c r="BN320" s="329" t="s">
        <v>922</v>
      </c>
      <c r="BO320" s="333">
        <v>43753</v>
      </c>
      <c r="BP320" s="329"/>
      <c r="BQ320" s="329"/>
      <c r="BR320" s="329"/>
      <c r="BS320" s="329"/>
      <c r="BT320" s="329"/>
      <c r="BU320" s="331" t="s">
        <v>261</v>
      </c>
      <c r="BV320" s="329"/>
      <c r="BW320" s="329"/>
      <c r="BX320" s="329"/>
      <c r="BY320" s="331" t="s">
        <v>1362</v>
      </c>
      <c r="BZ320" s="331" t="s">
        <v>1363</v>
      </c>
      <c r="CA320" s="331" t="s">
        <v>1364</v>
      </c>
      <c r="CB320" s="331" t="s">
        <v>360</v>
      </c>
      <c r="CC320" s="331" t="s">
        <v>1365</v>
      </c>
    </row>
    <row r="321" spans="1:81" x14ac:dyDescent="0.25">
      <c r="A321" s="329">
        <v>192880</v>
      </c>
      <c r="B321" s="331" t="s">
        <v>1366</v>
      </c>
      <c r="C321" s="329">
        <v>33709</v>
      </c>
      <c r="D321" s="331" t="s">
        <v>1354</v>
      </c>
      <c r="E321" s="331" t="s">
        <v>1367</v>
      </c>
      <c r="F321" s="331" t="s">
        <v>1368</v>
      </c>
      <c r="G321" s="331" t="s">
        <v>1369</v>
      </c>
      <c r="H321" s="331" t="s">
        <v>1370</v>
      </c>
      <c r="I321" s="331" t="s">
        <v>440</v>
      </c>
      <c r="J321" s="331" t="s">
        <v>441</v>
      </c>
      <c r="K321" s="331" t="s">
        <v>1371</v>
      </c>
      <c r="L321" s="329"/>
      <c r="M321" s="329">
        <v>6</v>
      </c>
      <c r="N321" s="329">
        <v>0</v>
      </c>
      <c r="O321" s="329">
        <v>4</v>
      </c>
      <c r="P321" s="329"/>
      <c r="Q321" s="333">
        <v>43622.777777777781</v>
      </c>
      <c r="R321" s="329"/>
      <c r="S321" s="333">
        <v>43749</v>
      </c>
      <c r="T321" s="329">
        <v>55</v>
      </c>
      <c r="U321" s="333">
        <v>43749</v>
      </c>
      <c r="V321" s="333">
        <v>44109</v>
      </c>
      <c r="W321" s="329" t="b">
        <v>1</v>
      </c>
      <c r="X321" s="331" t="s">
        <v>22</v>
      </c>
      <c r="Y321" s="329">
        <v>726</v>
      </c>
      <c r="Z321" s="331" t="s">
        <v>23</v>
      </c>
      <c r="AA321" s="331" t="s">
        <v>919</v>
      </c>
      <c r="AB321" s="331" t="s">
        <v>920</v>
      </c>
      <c r="AC321" s="331" t="s">
        <v>1372</v>
      </c>
      <c r="AD321" s="331" t="s">
        <v>24</v>
      </c>
      <c r="AE321" s="329">
        <v>221</v>
      </c>
      <c r="AF321" s="331" t="s">
        <v>254</v>
      </c>
      <c r="AG321" s="329"/>
      <c r="AH321" s="329">
        <v>17</v>
      </c>
      <c r="AI321" s="331" t="s">
        <v>280</v>
      </c>
      <c r="AJ321" s="331" t="s">
        <v>281</v>
      </c>
      <c r="AK321" s="331" t="s">
        <v>274</v>
      </c>
      <c r="AL321" s="331" t="s">
        <v>272</v>
      </c>
      <c r="AM321" s="331" t="s">
        <v>290</v>
      </c>
      <c r="AN321" s="331" t="s">
        <v>289</v>
      </c>
      <c r="AO321" s="331" t="s">
        <v>274</v>
      </c>
      <c r="AP321" s="329"/>
      <c r="AQ321" s="329"/>
      <c r="AR321" s="329"/>
      <c r="AS321" s="329"/>
      <c r="AT321" s="329" t="s">
        <v>398</v>
      </c>
      <c r="AU321" s="329" t="s">
        <v>567</v>
      </c>
      <c r="AV321" s="331" t="s">
        <v>441</v>
      </c>
      <c r="AW321" s="329"/>
      <c r="AX321" s="329"/>
      <c r="AY321" s="329"/>
      <c r="AZ321" s="329"/>
      <c r="BA321" s="329"/>
      <c r="BB321" s="329"/>
      <c r="BC321" s="329"/>
      <c r="BD321" s="329"/>
      <c r="BE321" s="329" t="s">
        <v>257</v>
      </c>
      <c r="BF321" s="329" t="s">
        <v>834</v>
      </c>
      <c r="BG321" s="329"/>
      <c r="BH321" s="329" t="s">
        <v>258</v>
      </c>
      <c r="BI321" s="329"/>
      <c r="BJ321" s="329"/>
      <c r="BK321" s="329">
        <v>20400</v>
      </c>
      <c r="BL321" s="329"/>
      <c r="BM321" s="331" t="s">
        <v>278</v>
      </c>
      <c r="BN321" s="329" t="s">
        <v>922</v>
      </c>
      <c r="BO321" s="333">
        <v>43753</v>
      </c>
      <c r="BP321" s="329"/>
      <c r="BQ321" s="329"/>
      <c r="BR321" s="329"/>
      <c r="BS321" s="329"/>
      <c r="BT321" s="329"/>
      <c r="BU321" s="331" t="s">
        <v>261</v>
      </c>
      <c r="BV321" s="329"/>
      <c r="BW321" s="329"/>
      <c r="BX321" s="329"/>
      <c r="BY321" s="331" t="s">
        <v>1373</v>
      </c>
      <c r="BZ321" s="331" t="s">
        <v>1374</v>
      </c>
      <c r="CA321" s="331" t="s">
        <v>1375</v>
      </c>
      <c r="CB321" s="331" t="s">
        <v>441</v>
      </c>
      <c r="CC321" s="331" t="s">
        <v>1376</v>
      </c>
    </row>
    <row r="322" spans="1:81" x14ac:dyDescent="0.25">
      <c r="A322" s="329">
        <v>195960</v>
      </c>
      <c r="B322" s="331" t="s">
        <v>1377</v>
      </c>
      <c r="C322" s="329">
        <v>34446</v>
      </c>
      <c r="D322" s="331" t="s">
        <v>1378</v>
      </c>
      <c r="E322" s="331" t="s">
        <v>1379</v>
      </c>
      <c r="F322" s="331" t="s">
        <v>1380</v>
      </c>
      <c r="G322" s="331" t="s">
        <v>1381</v>
      </c>
      <c r="H322" s="331" t="s">
        <v>1382</v>
      </c>
      <c r="I322" s="331" t="s">
        <v>1383</v>
      </c>
      <c r="J322" s="331" t="s">
        <v>496</v>
      </c>
      <c r="K322" s="331" t="s">
        <v>1384</v>
      </c>
      <c r="L322" s="329"/>
      <c r="M322" s="329">
        <v>6</v>
      </c>
      <c r="N322" s="329">
        <v>0</v>
      </c>
      <c r="O322" s="329">
        <v>3.21</v>
      </c>
      <c r="P322" s="329"/>
      <c r="Q322" s="333">
        <v>43655.729861111111</v>
      </c>
      <c r="R322" s="329"/>
      <c r="S322" s="333">
        <v>43749</v>
      </c>
      <c r="T322" s="329">
        <v>55</v>
      </c>
      <c r="U322" s="333">
        <v>43749</v>
      </c>
      <c r="V322" s="333">
        <v>44109</v>
      </c>
      <c r="W322" s="329" t="b">
        <v>1</v>
      </c>
      <c r="X322" s="331" t="s">
        <v>22</v>
      </c>
      <c r="Y322" s="329">
        <v>429</v>
      </c>
      <c r="Z322" s="331" t="s">
        <v>23</v>
      </c>
      <c r="AA322" s="331" t="s">
        <v>919</v>
      </c>
      <c r="AB322" s="331" t="s">
        <v>920</v>
      </c>
      <c r="AC322" s="331" t="s">
        <v>1011</v>
      </c>
      <c r="AD322" s="331" t="s">
        <v>24</v>
      </c>
      <c r="AE322" s="329">
        <v>221</v>
      </c>
      <c r="AF322" s="331" t="s">
        <v>254</v>
      </c>
      <c r="AG322" s="329"/>
      <c r="AH322" s="329">
        <v>17</v>
      </c>
      <c r="AI322" s="331" t="s">
        <v>280</v>
      </c>
      <c r="AJ322" s="331" t="s">
        <v>281</v>
      </c>
      <c r="AK322" s="329"/>
      <c r="AL322" s="329"/>
      <c r="AM322" s="329"/>
      <c r="AN322" s="329"/>
      <c r="AO322" s="329"/>
      <c r="AP322" s="329"/>
      <c r="AQ322" s="329"/>
      <c r="AR322" s="329"/>
      <c r="AS322" s="329"/>
      <c r="AT322" s="329" t="s">
        <v>258</v>
      </c>
      <c r="AU322" s="329" t="s">
        <v>256</v>
      </c>
      <c r="AV322" s="331" t="s">
        <v>496</v>
      </c>
      <c r="AW322" s="329"/>
      <c r="AX322" s="329"/>
      <c r="AY322" s="329"/>
      <c r="AZ322" s="329"/>
      <c r="BA322" s="329"/>
      <c r="BB322" s="329"/>
      <c r="BC322" s="329"/>
      <c r="BD322" s="329"/>
      <c r="BE322" s="329"/>
      <c r="BF322" s="329"/>
      <c r="BG322" s="329"/>
      <c r="BH322" s="329"/>
      <c r="BI322" s="329"/>
      <c r="BJ322" s="329"/>
      <c r="BK322" s="329">
        <v>0</v>
      </c>
      <c r="BL322" s="329"/>
      <c r="BM322" s="331" t="s">
        <v>27</v>
      </c>
      <c r="BN322" s="329" t="s">
        <v>922</v>
      </c>
      <c r="BO322" s="333">
        <v>43753</v>
      </c>
      <c r="BP322" s="329"/>
      <c r="BQ322" s="329"/>
      <c r="BR322" s="329"/>
      <c r="BS322" s="329"/>
      <c r="BT322" s="329"/>
      <c r="BU322" s="331" t="s">
        <v>261</v>
      </c>
      <c r="BV322" s="329"/>
      <c r="BW322" s="329"/>
      <c r="BX322" s="329"/>
      <c r="BY322" s="331" t="s">
        <v>1385</v>
      </c>
      <c r="BZ322" s="331" t="s">
        <v>1386</v>
      </c>
      <c r="CA322" s="331" t="s">
        <v>1383</v>
      </c>
      <c r="CB322" s="331" t="s">
        <v>496</v>
      </c>
      <c r="CC322" s="331" t="s">
        <v>1384</v>
      </c>
    </row>
    <row r="323" spans="1:81" x14ac:dyDescent="0.25">
      <c r="A323" s="329">
        <v>198284</v>
      </c>
      <c r="B323" s="331" t="s">
        <v>1387</v>
      </c>
      <c r="C323" s="329">
        <v>35197</v>
      </c>
      <c r="D323" s="331" t="s">
        <v>1388</v>
      </c>
      <c r="E323" s="331" t="s">
        <v>1389</v>
      </c>
      <c r="F323" s="331" t="s">
        <v>1390</v>
      </c>
      <c r="G323" s="331" t="s">
        <v>1391</v>
      </c>
      <c r="H323" s="331" t="s">
        <v>4217</v>
      </c>
      <c r="I323" s="331" t="s">
        <v>1392</v>
      </c>
      <c r="J323" s="331" t="s">
        <v>376</v>
      </c>
      <c r="K323" s="331" t="s">
        <v>1393</v>
      </c>
      <c r="L323" s="329"/>
      <c r="M323" s="329">
        <v>6</v>
      </c>
      <c r="N323" s="329">
        <v>0</v>
      </c>
      <c r="O323" s="329">
        <v>3.52</v>
      </c>
      <c r="P323" s="329"/>
      <c r="Q323" s="333">
        <v>43738.743055555555</v>
      </c>
      <c r="R323" s="329"/>
      <c r="S323" s="333">
        <v>43749</v>
      </c>
      <c r="T323" s="329">
        <v>55</v>
      </c>
      <c r="U323" s="333">
        <v>43749</v>
      </c>
      <c r="V323" s="333">
        <v>44109</v>
      </c>
      <c r="W323" s="329" t="b">
        <v>1</v>
      </c>
      <c r="X323" s="331" t="s">
        <v>22</v>
      </c>
      <c r="Y323" s="329">
        <v>726</v>
      </c>
      <c r="Z323" s="331" t="s">
        <v>23</v>
      </c>
      <c r="AA323" s="331" t="s">
        <v>919</v>
      </c>
      <c r="AB323" s="331" t="s">
        <v>920</v>
      </c>
      <c r="AC323" s="331" t="s">
        <v>264</v>
      </c>
      <c r="AD323" s="331" t="s">
        <v>24</v>
      </c>
      <c r="AE323" s="329">
        <v>221</v>
      </c>
      <c r="AF323" s="331" t="s">
        <v>254</v>
      </c>
      <c r="AG323" s="329"/>
      <c r="AH323" s="329">
        <v>17</v>
      </c>
      <c r="AI323" s="331" t="s">
        <v>280</v>
      </c>
      <c r="AJ323" s="331" t="s">
        <v>281</v>
      </c>
      <c r="AK323" s="331" t="s">
        <v>347</v>
      </c>
      <c r="AL323" s="331" t="s">
        <v>287</v>
      </c>
      <c r="AM323" s="331" t="s">
        <v>287</v>
      </c>
      <c r="AN323" s="331" t="s">
        <v>351</v>
      </c>
      <c r="AO323" s="331" t="s">
        <v>351</v>
      </c>
      <c r="AP323" s="329"/>
      <c r="AQ323" s="329"/>
      <c r="AR323" s="329"/>
      <c r="AS323" s="329"/>
      <c r="AT323" s="329" t="s">
        <v>379</v>
      </c>
      <c r="AU323" s="329" t="s">
        <v>283</v>
      </c>
      <c r="AV323" s="331" t="s">
        <v>376</v>
      </c>
      <c r="AW323" s="329"/>
      <c r="AX323" s="329"/>
      <c r="AY323" s="329"/>
      <c r="AZ323" s="329"/>
      <c r="BA323" s="329"/>
      <c r="BB323" s="329"/>
      <c r="BC323" s="329"/>
      <c r="BD323" s="329"/>
      <c r="BE323" s="329" t="s">
        <v>257</v>
      </c>
      <c r="BF323" s="329" t="s">
        <v>834</v>
      </c>
      <c r="BG323" s="329"/>
      <c r="BH323" s="329"/>
      <c r="BI323" s="329"/>
      <c r="BJ323" s="329"/>
      <c r="BK323" s="329">
        <v>20400</v>
      </c>
      <c r="BL323" s="329"/>
      <c r="BM323" s="331" t="s">
        <v>278</v>
      </c>
      <c r="BN323" s="329" t="s">
        <v>922</v>
      </c>
      <c r="BO323" s="333">
        <v>43753</v>
      </c>
      <c r="BP323" s="329"/>
      <c r="BQ323" s="329"/>
      <c r="BR323" s="329"/>
      <c r="BS323" s="329"/>
      <c r="BT323" s="329"/>
      <c r="BU323" s="331" t="s">
        <v>261</v>
      </c>
      <c r="BV323" s="329"/>
      <c r="BW323" s="329"/>
      <c r="BX323" s="329"/>
      <c r="BY323" s="331" t="s">
        <v>1394</v>
      </c>
      <c r="BZ323" s="331" t="s">
        <v>1395</v>
      </c>
      <c r="CA323" s="331" t="s">
        <v>1396</v>
      </c>
      <c r="CB323" s="331" t="s">
        <v>376</v>
      </c>
      <c r="CC323" s="331" t="s">
        <v>1393</v>
      </c>
    </row>
    <row r="324" spans="1:81" x14ac:dyDescent="0.25">
      <c r="A324" s="329">
        <v>196728</v>
      </c>
      <c r="B324" s="331" t="s">
        <v>1397</v>
      </c>
      <c r="C324" s="329">
        <v>34721</v>
      </c>
      <c r="D324" s="331" t="s">
        <v>1398</v>
      </c>
      <c r="E324" s="331" t="s">
        <v>1399</v>
      </c>
      <c r="F324" s="331" t="s">
        <v>1400</v>
      </c>
      <c r="G324" s="331" t="s">
        <v>1401</v>
      </c>
      <c r="H324" s="331" t="s">
        <v>1402</v>
      </c>
      <c r="I324" s="331" t="s">
        <v>1403</v>
      </c>
      <c r="J324" s="331" t="s">
        <v>441</v>
      </c>
      <c r="K324" s="331" t="s">
        <v>1404</v>
      </c>
      <c r="L324" s="329"/>
      <c r="M324" s="329">
        <v>6</v>
      </c>
      <c r="N324" s="329">
        <v>0</v>
      </c>
      <c r="O324" s="329">
        <v>3.5415999999999999</v>
      </c>
      <c r="P324" s="329"/>
      <c r="Q324" s="333">
        <v>43705.70140046296</v>
      </c>
      <c r="R324" s="329"/>
      <c r="S324" s="333">
        <v>43749</v>
      </c>
      <c r="T324" s="329">
        <v>55</v>
      </c>
      <c r="U324" s="333">
        <v>43749</v>
      </c>
      <c r="V324" s="333">
        <v>44109</v>
      </c>
      <c r="W324" s="329" t="b">
        <v>1</v>
      </c>
      <c r="X324" s="331" t="s">
        <v>187</v>
      </c>
      <c r="Y324" s="329">
        <v>718</v>
      </c>
      <c r="Z324" s="331" t="s">
        <v>23</v>
      </c>
      <c r="AA324" s="331" t="s">
        <v>919</v>
      </c>
      <c r="AB324" s="331" t="s">
        <v>920</v>
      </c>
      <c r="AC324" s="331" t="s">
        <v>1405</v>
      </c>
      <c r="AD324" s="331" t="s">
        <v>24</v>
      </c>
      <c r="AE324" s="329">
        <v>221</v>
      </c>
      <c r="AF324" s="331" t="s">
        <v>254</v>
      </c>
      <c r="AG324" s="329"/>
      <c r="AH324" s="329">
        <v>17</v>
      </c>
      <c r="AI324" s="331" t="s">
        <v>280</v>
      </c>
      <c r="AJ324" s="331" t="s">
        <v>281</v>
      </c>
      <c r="AK324" s="331" t="s">
        <v>300</v>
      </c>
      <c r="AL324" s="329"/>
      <c r="AM324" s="329"/>
      <c r="AN324" s="329"/>
      <c r="AO324" s="329"/>
      <c r="AP324" s="329"/>
      <c r="AQ324" s="329"/>
      <c r="AR324" s="329"/>
      <c r="AS324" s="329"/>
      <c r="AT324" s="329" t="s">
        <v>394</v>
      </c>
      <c r="AU324" s="329" t="s">
        <v>283</v>
      </c>
      <c r="AV324" s="331" t="s">
        <v>441</v>
      </c>
      <c r="AW324" s="329"/>
      <c r="AX324" s="329"/>
      <c r="AY324" s="329"/>
      <c r="AZ324" s="329"/>
      <c r="BA324" s="329"/>
      <c r="BB324" s="329"/>
      <c r="BC324" s="329"/>
      <c r="BD324" s="329"/>
      <c r="BE324" s="329" t="s">
        <v>257</v>
      </c>
      <c r="BF324" s="329" t="s">
        <v>838</v>
      </c>
      <c r="BG324" s="329"/>
      <c r="BH324" s="329"/>
      <c r="BI324" s="329"/>
      <c r="BJ324" s="329"/>
      <c r="BK324" s="329">
        <v>15600</v>
      </c>
      <c r="BL324" s="329"/>
      <c r="BM324" s="331" t="s">
        <v>259</v>
      </c>
      <c r="BN324" s="329" t="s">
        <v>922</v>
      </c>
      <c r="BO324" s="333">
        <v>43753</v>
      </c>
      <c r="BP324" s="329"/>
      <c r="BQ324" s="329"/>
      <c r="BR324" s="329"/>
      <c r="BS324" s="329"/>
      <c r="BT324" s="329"/>
      <c r="BU324" s="331" t="s">
        <v>261</v>
      </c>
      <c r="BV324" s="329"/>
      <c r="BW324" s="329"/>
      <c r="BX324" s="329"/>
      <c r="BY324" s="331" t="s">
        <v>1406</v>
      </c>
      <c r="BZ324" s="331" t="s">
        <v>1407</v>
      </c>
      <c r="CA324" s="331" t="s">
        <v>1408</v>
      </c>
      <c r="CB324" s="331" t="s">
        <v>441</v>
      </c>
      <c r="CC324" s="331" t="s">
        <v>1409</v>
      </c>
    </row>
    <row r="325" spans="1:81" x14ac:dyDescent="0.25">
      <c r="A325" s="329">
        <v>196069</v>
      </c>
      <c r="B325" s="331" t="s">
        <v>1410</v>
      </c>
      <c r="C325" s="329">
        <v>34486</v>
      </c>
      <c r="D325" s="331" t="s">
        <v>1411</v>
      </c>
      <c r="E325" s="331" t="s">
        <v>1412</v>
      </c>
      <c r="F325" s="331" t="s">
        <v>1413</v>
      </c>
      <c r="G325" s="331" t="s">
        <v>1414</v>
      </c>
      <c r="H325" s="331" t="s">
        <v>1415</v>
      </c>
      <c r="I325" s="331" t="s">
        <v>1416</v>
      </c>
      <c r="J325" s="331" t="s">
        <v>449</v>
      </c>
      <c r="K325" s="331" t="s">
        <v>990</v>
      </c>
      <c r="L325" s="329"/>
      <c r="M325" s="329">
        <v>6</v>
      </c>
      <c r="N325" s="329">
        <v>0</v>
      </c>
      <c r="O325" s="329">
        <v>3.27</v>
      </c>
      <c r="P325" s="329"/>
      <c r="Q325" s="333">
        <v>43627.729861111111</v>
      </c>
      <c r="R325" s="329"/>
      <c r="S325" s="333">
        <v>43749</v>
      </c>
      <c r="T325" s="329">
        <v>55</v>
      </c>
      <c r="U325" s="333">
        <v>43749</v>
      </c>
      <c r="V325" s="333">
        <v>44109</v>
      </c>
      <c r="W325" s="329" t="b">
        <v>1</v>
      </c>
      <c r="X325" s="331" t="s">
        <v>22</v>
      </c>
      <c r="Y325" s="329">
        <v>429</v>
      </c>
      <c r="Z325" s="331" t="s">
        <v>25</v>
      </c>
      <c r="AA325" s="331" t="s">
        <v>919</v>
      </c>
      <c r="AB325" s="331" t="s">
        <v>920</v>
      </c>
      <c r="AC325" s="331" t="s">
        <v>1252</v>
      </c>
      <c r="AD325" s="331" t="s">
        <v>24</v>
      </c>
      <c r="AE325" s="329">
        <v>221</v>
      </c>
      <c r="AF325" s="331" t="s">
        <v>254</v>
      </c>
      <c r="AG325" s="329"/>
      <c r="AH325" s="329">
        <v>17</v>
      </c>
      <c r="AI325" s="331" t="s">
        <v>280</v>
      </c>
      <c r="AJ325" s="331" t="s">
        <v>281</v>
      </c>
      <c r="AK325" s="331" t="s">
        <v>290</v>
      </c>
      <c r="AL325" s="331" t="s">
        <v>300</v>
      </c>
      <c r="AM325" s="331" t="s">
        <v>301</v>
      </c>
      <c r="AN325" s="331" t="s">
        <v>274</v>
      </c>
      <c r="AO325" s="331" t="s">
        <v>301</v>
      </c>
      <c r="AP325" s="329"/>
      <c r="AQ325" s="329"/>
      <c r="AR325" s="329"/>
      <c r="AS325" s="329"/>
      <c r="AT325" s="329" t="s">
        <v>255</v>
      </c>
      <c r="AU325" s="329" t="s">
        <v>283</v>
      </c>
      <c r="AV325" s="331" t="s">
        <v>449</v>
      </c>
      <c r="AW325" s="329"/>
      <c r="AX325" s="329"/>
      <c r="AY325" s="329"/>
      <c r="AZ325" s="329"/>
      <c r="BA325" s="329"/>
      <c r="BB325" s="329"/>
      <c r="BC325" s="329"/>
      <c r="BD325" s="329"/>
      <c r="BE325" s="329" t="s">
        <v>257</v>
      </c>
      <c r="BF325" s="329" t="s">
        <v>838</v>
      </c>
      <c r="BG325" s="329"/>
      <c r="BH325" s="329"/>
      <c r="BI325" s="329"/>
      <c r="BJ325" s="329"/>
      <c r="BK325" s="329">
        <v>15600</v>
      </c>
      <c r="BL325" s="329"/>
      <c r="BM325" s="331" t="s">
        <v>259</v>
      </c>
      <c r="BN325" s="329" t="s">
        <v>922</v>
      </c>
      <c r="BO325" s="333">
        <v>43753</v>
      </c>
      <c r="BP325" s="329"/>
      <c r="BQ325" s="329"/>
      <c r="BR325" s="329"/>
      <c r="BS325" s="329"/>
      <c r="BT325" s="329"/>
      <c r="BU325" s="331" t="s">
        <v>261</v>
      </c>
      <c r="BV325" s="329"/>
      <c r="BW325" s="329"/>
      <c r="BX325" s="329"/>
      <c r="BY325" s="331" t="s">
        <v>991</v>
      </c>
      <c r="BZ325" s="331" t="s">
        <v>992</v>
      </c>
      <c r="CA325" s="331" t="s">
        <v>486</v>
      </c>
      <c r="CB325" s="331" t="s">
        <v>449</v>
      </c>
      <c r="CC325" s="331" t="s">
        <v>990</v>
      </c>
    </row>
    <row r="326" spans="1:81" x14ac:dyDescent="0.25">
      <c r="A326" s="329">
        <v>196398</v>
      </c>
      <c r="B326" s="331" t="s">
        <v>1417</v>
      </c>
      <c r="C326" s="329">
        <v>34635</v>
      </c>
      <c r="D326" s="331" t="s">
        <v>1418</v>
      </c>
      <c r="E326" s="331" t="s">
        <v>401</v>
      </c>
      <c r="F326" s="331" t="s">
        <v>1419</v>
      </c>
      <c r="G326" s="331" t="s">
        <v>1420</v>
      </c>
      <c r="H326" s="331" t="s">
        <v>1421</v>
      </c>
      <c r="I326" s="331" t="s">
        <v>1422</v>
      </c>
      <c r="J326" s="331" t="s">
        <v>251</v>
      </c>
      <c r="K326" s="331" t="s">
        <v>1423</v>
      </c>
      <c r="L326" s="329"/>
      <c r="M326" s="329">
        <v>6</v>
      </c>
      <c r="N326" s="329">
        <v>0</v>
      </c>
      <c r="O326" s="329">
        <v>3.3024</v>
      </c>
      <c r="P326" s="329"/>
      <c r="Q326" s="333">
        <v>43684.809027777781</v>
      </c>
      <c r="R326" s="329"/>
      <c r="S326" s="333">
        <v>43749</v>
      </c>
      <c r="T326" s="329">
        <v>55</v>
      </c>
      <c r="U326" s="333">
        <v>43749</v>
      </c>
      <c r="V326" s="333">
        <v>44109</v>
      </c>
      <c r="W326" s="329" t="b">
        <v>1</v>
      </c>
      <c r="X326" s="331" t="s">
        <v>187</v>
      </c>
      <c r="Y326" s="329">
        <v>718</v>
      </c>
      <c r="Z326" s="331" t="s">
        <v>23</v>
      </c>
      <c r="AA326" s="331" t="s">
        <v>919</v>
      </c>
      <c r="AB326" s="331" t="s">
        <v>920</v>
      </c>
      <c r="AC326" s="331" t="s">
        <v>337</v>
      </c>
      <c r="AD326" s="331" t="s">
        <v>24</v>
      </c>
      <c r="AE326" s="329">
        <v>221</v>
      </c>
      <c r="AF326" s="331" t="s">
        <v>254</v>
      </c>
      <c r="AG326" s="329"/>
      <c r="AH326" s="329">
        <v>17</v>
      </c>
      <c r="AI326" s="331" t="s">
        <v>280</v>
      </c>
      <c r="AJ326" s="331" t="s">
        <v>281</v>
      </c>
      <c r="AK326" s="329"/>
      <c r="AL326" s="329"/>
      <c r="AM326" s="329"/>
      <c r="AN326" s="329"/>
      <c r="AO326" s="329"/>
      <c r="AP326" s="331" t="s">
        <v>461</v>
      </c>
      <c r="AQ326" s="329">
        <v>510</v>
      </c>
      <c r="AR326" s="329">
        <v>500</v>
      </c>
      <c r="AS326" s="329"/>
      <c r="AT326" s="329" t="s">
        <v>842</v>
      </c>
      <c r="AU326" s="329" t="s">
        <v>579</v>
      </c>
      <c r="AV326" s="331" t="s">
        <v>251</v>
      </c>
      <c r="AW326" s="329"/>
      <c r="AX326" s="329"/>
      <c r="AY326" s="329"/>
      <c r="AZ326" s="329"/>
      <c r="BA326" s="329"/>
      <c r="BB326" s="329"/>
      <c r="BC326" s="329"/>
      <c r="BD326" s="329"/>
      <c r="BE326" s="329" t="s">
        <v>257</v>
      </c>
      <c r="BF326" s="329" t="s">
        <v>841</v>
      </c>
      <c r="BG326" s="329"/>
      <c r="BH326" s="329"/>
      <c r="BI326" s="329"/>
      <c r="BJ326" s="329"/>
      <c r="BK326" s="329">
        <v>9000</v>
      </c>
      <c r="BL326" s="329"/>
      <c r="BM326" s="331" t="s">
        <v>189</v>
      </c>
      <c r="BN326" s="329" t="s">
        <v>922</v>
      </c>
      <c r="BO326" s="333">
        <v>43753</v>
      </c>
      <c r="BP326" s="329"/>
      <c r="BQ326" s="329"/>
      <c r="BR326" s="329"/>
      <c r="BS326" s="329"/>
      <c r="BT326" s="329"/>
      <c r="BU326" s="331" t="s">
        <v>261</v>
      </c>
      <c r="BV326" s="329"/>
      <c r="BW326" s="329"/>
      <c r="BX326" s="329"/>
      <c r="BY326" s="331" t="s">
        <v>1424</v>
      </c>
      <c r="BZ326" s="331" t="s">
        <v>1425</v>
      </c>
      <c r="CA326" s="331" t="s">
        <v>1426</v>
      </c>
      <c r="CB326" s="331" t="s">
        <v>251</v>
      </c>
      <c r="CC326" s="331" t="s">
        <v>1423</v>
      </c>
    </row>
    <row r="327" spans="1:81" x14ac:dyDescent="0.25">
      <c r="A327" s="329">
        <v>192121</v>
      </c>
      <c r="B327" s="331" t="s">
        <v>1427</v>
      </c>
      <c r="C327" s="329">
        <v>33591</v>
      </c>
      <c r="D327" s="331" t="s">
        <v>1428</v>
      </c>
      <c r="E327" s="331" t="s">
        <v>1429</v>
      </c>
      <c r="F327" s="331" t="s">
        <v>1430</v>
      </c>
      <c r="G327" s="331" t="s">
        <v>1431</v>
      </c>
      <c r="H327" s="331" t="s">
        <v>1432</v>
      </c>
      <c r="I327" s="331" t="s">
        <v>1433</v>
      </c>
      <c r="J327" s="331" t="s">
        <v>484</v>
      </c>
      <c r="K327" s="331" t="s">
        <v>1434</v>
      </c>
      <c r="L327" s="329"/>
      <c r="M327" s="329">
        <v>6</v>
      </c>
      <c r="N327" s="329">
        <v>0</v>
      </c>
      <c r="O327" s="329">
        <v>2.6579999999999999</v>
      </c>
      <c r="P327" s="329"/>
      <c r="Q327" s="333">
        <v>43593.775694444441</v>
      </c>
      <c r="R327" s="329"/>
      <c r="S327" s="333">
        <v>43749</v>
      </c>
      <c r="T327" s="329">
        <v>55</v>
      </c>
      <c r="U327" s="333">
        <v>43749</v>
      </c>
      <c r="V327" s="333">
        <v>44109</v>
      </c>
      <c r="W327" s="329" t="b">
        <v>1</v>
      </c>
      <c r="X327" s="331" t="s">
        <v>187</v>
      </c>
      <c r="Y327" s="329">
        <v>718</v>
      </c>
      <c r="Z327" s="331" t="s">
        <v>25</v>
      </c>
      <c r="AA327" s="331" t="s">
        <v>919</v>
      </c>
      <c r="AB327" s="331" t="s">
        <v>920</v>
      </c>
      <c r="AC327" s="331" t="s">
        <v>271</v>
      </c>
      <c r="AD327" s="331" t="s">
        <v>24</v>
      </c>
      <c r="AE327" s="329">
        <v>221</v>
      </c>
      <c r="AF327" s="331" t="s">
        <v>254</v>
      </c>
      <c r="AG327" s="329"/>
      <c r="AH327" s="329">
        <v>17</v>
      </c>
      <c r="AI327" s="331" t="s">
        <v>280</v>
      </c>
      <c r="AJ327" s="331" t="s">
        <v>281</v>
      </c>
      <c r="AK327" s="329"/>
      <c r="AL327" s="329"/>
      <c r="AM327" s="329"/>
      <c r="AN327" s="329"/>
      <c r="AO327" s="329"/>
      <c r="AP327" s="329"/>
      <c r="AQ327" s="329"/>
      <c r="AR327" s="329"/>
      <c r="AS327" s="329"/>
      <c r="AT327" s="329" t="s">
        <v>258</v>
      </c>
      <c r="AU327" s="329" t="s">
        <v>283</v>
      </c>
      <c r="AV327" s="331" t="s">
        <v>484</v>
      </c>
      <c r="AW327" s="329"/>
      <c r="AX327" s="329"/>
      <c r="AY327" s="329"/>
      <c r="AZ327" s="329"/>
      <c r="BA327" s="329"/>
      <c r="BB327" s="329"/>
      <c r="BC327" s="329"/>
      <c r="BD327" s="329"/>
      <c r="BE327" s="329"/>
      <c r="BF327" s="329"/>
      <c r="BG327" s="329"/>
      <c r="BH327" s="329"/>
      <c r="BI327" s="329"/>
      <c r="BJ327" s="329"/>
      <c r="BK327" s="329">
        <v>0</v>
      </c>
      <c r="BL327" s="329"/>
      <c r="BM327" s="331" t="s">
        <v>27</v>
      </c>
      <c r="BN327" s="329" t="s">
        <v>922</v>
      </c>
      <c r="BO327" s="333">
        <v>43753</v>
      </c>
      <c r="BP327" s="329"/>
      <c r="BQ327" s="329"/>
      <c r="BR327" s="329"/>
      <c r="BS327" s="329"/>
      <c r="BT327" s="329"/>
      <c r="BU327" s="331" t="s">
        <v>261</v>
      </c>
      <c r="BV327" s="329"/>
      <c r="BW327" s="329"/>
      <c r="BX327" s="329"/>
      <c r="BY327" s="331" t="s">
        <v>1435</v>
      </c>
      <c r="BZ327" s="331" t="s">
        <v>1436</v>
      </c>
      <c r="CA327" s="331" t="s">
        <v>1437</v>
      </c>
      <c r="CB327" s="331" t="s">
        <v>484</v>
      </c>
      <c r="CC327" s="331" t="s">
        <v>1438</v>
      </c>
    </row>
    <row r="328" spans="1:81" x14ac:dyDescent="0.25">
      <c r="A328" s="329">
        <v>198213</v>
      </c>
      <c r="B328" s="331" t="s">
        <v>1439</v>
      </c>
      <c r="C328" s="329">
        <v>35160</v>
      </c>
      <c r="D328" s="331" t="s">
        <v>1440</v>
      </c>
      <c r="E328" s="331" t="s">
        <v>506</v>
      </c>
      <c r="F328" s="331" t="s">
        <v>1441</v>
      </c>
      <c r="G328" s="331" t="s">
        <v>1442</v>
      </c>
      <c r="H328" s="331" t="s">
        <v>1443</v>
      </c>
      <c r="I328" s="331" t="s">
        <v>1444</v>
      </c>
      <c r="J328" s="331" t="s">
        <v>378</v>
      </c>
      <c r="K328" s="331" t="s">
        <v>1445</v>
      </c>
      <c r="L328" s="329"/>
      <c r="M328" s="329">
        <v>6</v>
      </c>
      <c r="N328" s="329">
        <v>0</v>
      </c>
      <c r="O328" s="329">
        <v>3.5455000000000001</v>
      </c>
      <c r="P328" s="329"/>
      <c r="Q328" s="333">
        <v>43718.479166666664</v>
      </c>
      <c r="R328" s="329"/>
      <c r="S328" s="333">
        <v>43749</v>
      </c>
      <c r="T328" s="329">
        <v>55</v>
      </c>
      <c r="U328" s="333">
        <v>43749</v>
      </c>
      <c r="V328" s="333">
        <v>44109</v>
      </c>
      <c r="W328" s="329" t="b">
        <v>1</v>
      </c>
      <c r="X328" s="331" t="s">
        <v>22</v>
      </c>
      <c r="Y328" s="329">
        <v>726</v>
      </c>
      <c r="Z328" s="331" t="s">
        <v>23</v>
      </c>
      <c r="AA328" s="331" t="s">
        <v>919</v>
      </c>
      <c r="AB328" s="331" t="s">
        <v>920</v>
      </c>
      <c r="AC328" s="331" t="s">
        <v>1446</v>
      </c>
      <c r="AD328" s="331" t="s">
        <v>24</v>
      </c>
      <c r="AE328" s="329">
        <v>221</v>
      </c>
      <c r="AF328" s="331" t="s">
        <v>254</v>
      </c>
      <c r="AG328" s="329"/>
      <c r="AH328" s="329">
        <v>17</v>
      </c>
      <c r="AI328" s="331" t="s">
        <v>280</v>
      </c>
      <c r="AJ328" s="331" t="s">
        <v>281</v>
      </c>
      <c r="AK328" s="329"/>
      <c r="AL328" s="329"/>
      <c r="AM328" s="329"/>
      <c r="AN328" s="329"/>
      <c r="AO328" s="329"/>
      <c r="AP328" s="329"/>
      <c r="AQ328" s="329"/>
      <c r="AR328" s="329"/>
      <c r="AS328" s="329"/>
      <c r="AT328" s="329" t="s">
        <v>258</v>
      </c>
      <c r="AU328" s="329" t="s">
        <v>256</v>
      </c>
      <c r="AV328" s="331" t="s">
        <v>378</v>
      </c>
      <c r="AW328" s="329"/>
      <c r="AX328" s="329"/>
      <c r="AY328" s="329"/>
      <c r="AZ328" s="329"/>
      <c r="BA328" s="329"/>
      <c r="BB328" s="329"/>
      <c r="BC328" s="329"/>
      <c r="BD328" s="329"/>
      <c r="BE328" s="329" t="s">
        <v>257</v>
      </c>
      <c r="BF328" s="329" t="s">
        <v>830</v>
      </c>
      <c r="BG328" s="329"/>
      <c r="BH328" s="329"/>
      <c r="BI328" s="329"/>
      <c r="BJ328" s="329"/>
      <c r="BK328" s="329">
        <v>12000</v>
      </c>
      <c r="BL328" s="329"/>
      <c r="BM328" s="331" t="s">
        <v>26</v>
      </c>
      <c r="BN328" s="329" t="s">
        <v>922</v>
      </c>
      <c r="BO328" s="333">
        <v>43753</v>
      </c>
      <c r="BP328" s="329"/>
      <c r="BQ328" s="329"/>
      <c r="BR328" s="329"/>
      <c r="BS328" s="329"/>
      <c r="BT328" s="329"/>
      <c r="BU328" s="331" t="s">
        <v>261</v>
      </c>
      <c r="BV328" s="329"/>
      <c r="BW328" s="329"/>
      <c r="BX328" s="329"/>
      <c r="BY328" s="331" t="s">
        <v>1447</v>
      </c>
      <c r="BZ328" s="331" t="s">
        <v>1448</v>
      </c>
      <c r="CA328" s="331" t="s">
        <v>1449</v>
      </c>
      <c r="CB328" s="331" t="s">
        <v>378</v>
      </c>
      <c r="CC328" s="331" t="s">
        <v>1445</v>
      </c>
    </row>
    <row r="329" spans="1:81" x14ac:dyDescent="0.25">
      <c r="A329" s="329">
        <v>197971</v>
      </c>
      <c r="B329" s="331" t="s">
        <v>1463</v>
      </c>
      <c r="C329" s="329">
        <v>35047</v>
      </c>
      <c r="D329" s="331" t="s">
        <v>757</v>
      </c>
      <c r="E329" s="331" t="s">
        <v>518</v>
      </c>
      <c r="F329" s="331" t="s">
        <v>1464</v>
      </c>
      <c r="G329" s="331" t="s">
        <v>1465</v>
      </c>
      <c r="H329" s="331" t="s">
        <v>1466</v>
      </c>
      <c r="I329" s="331" t="s">
        <v>1467</v>
      </c>
      <c r="J329" s="331" t="s">
        <v>298</v>
      </c>
      <c r="K329" s="331" t="s">
        <v>1468</v>
      </c>
      <c r="L329" s="329"/>
      <c r="M329" s="329">
        <v>6</v>
      </c>
      <c r="N329" s="329">
        <v>0</v>
      </c>
      <c r="O329" s="329">
        <v>3.83</v>
      </c>
      <c r="P329" s="329"/>
      <c r="Q329" s="333">
        <v>43501.355555555558</v>
      </c>
      <c r="R329" s="329"/>
      <c r="S329" s="333">
        <v>43749</v>
      </c>
      <c r="T329" s="329">
        <v>55</v>
      </c>
      <c r="U329" s="333">
        <v>43749</v>
      </c>
      <c r="V329" s="333">
        <v>44109</v>
      </c>
      <c r="W329" s="329" t="b">
        <v>1</v>
      </c>
      <c r="X329" s="331" t="s">
        <v>22</v>
      </c>
      <c r="Y329" s="329">
        <v>429</v>
      </c>
      <c r="Z329" s="331" t="s">
        <v>23</v>
      </c>
      <c r="AA329" s="331" t="s">
        <v>919</v>
      </c>
      <c r="AB329" s="331" t="s">
        <v>920</v>
      </c>
      <c r="AC329" s="331" t="s">
        <v>1469</v>
      </c>
      <c r="AD329" s="331" t="s">
        <v>24</v>
      </c>
      <c r="AE329" s="329">
        <v>221</v>
      </c>
      <c r="AF329" s="331" t="s">
        <v>254</v>
      </c>
      <c r="AG329" s="329"/>
      <c r="AH329" s="329">
        <v>17</v>
      </c>
      <c r="AI329" s="331" t="s">
        <v>280</v>
      </c>
      <c r="AJ329" s="331" t="s">
        <v>281</v>
      </c>
      <c r="AK329" s="331" t="s">
        <v>275</v>
      </c>
      <c r="AL329" s="331" t="s">
        <v>275</v>
      </c>
      <c r="AM329" s="331" t="s">
        <v>272</v>
      </c>
      <c r="AN329" s="331" t="s">
        <v>301</v>
      </c>
      <c r="AO329" s="331" t="s">
        <v>274</v>
      </c>
      <c r="AP329" s="331" t="s">
        <v>1959</v>
      </c>
      <c r="AQ329" s="329">
        <v>750</v>
      </c>
      <c r="AR329" s="329">
        <v>650</v>
      </c>
      <c r="AS329" s="329"/>
      <c r="AT329" s="329" t="s">
        <v>352</v>
      </c>
      <c r="AU329" s="329" t="s">
        <v>283</v>
      </c>
      <c r="AV329" s="331" t="s">
        <v>298</v>
      </c>
      <c r="AW329" s="329"/>
      <c r="AX329" s="329"/>
      <c r="AY329" s="329"/>
      <c r="AZ329" s="329"/>
      <c r="BA329" s="329"/>
      <c r="BB329" s="329"/>
      <c r="BC329" s="329"/>
      <c r="BD329" s="329"/>
      <c r="BE329" s="329" t="s">
        <v>257</v>
      </c>
      <c r="BF329" s="329" t="s">
        <v>834</v>
      </c>
      <c r="BG329" s="329"/>
      <c r="BH329" s="329"/>
      <c r="BI329" s="329"/>
      <c r="BJ329" s="329"/>
      <c r="BK329" s="329">
        <v>20400</v>
      </c>
      <c r="BL329" s="329"/>
      <c r="BM329" s="331" t="s">
        <v>278</v>
      </c>
      <c r="BN329" s="329" t="s">
        <v>922</v>
      </c>
      <c r="BO329" s="333">
        <v>43753</v>
      </c>
      <c r="BP329" s="329"/>
      <c r="BQ329" s="329"/>
      <c r="BR329" s="329"/>
      <c r="BS329" s="329"/>
      <c r="BT329" s="329"/>
      <c r="BU329" s="331" t="s">
        <v>261</v>
      </c>
      <c r="BV329" s="329"/>
      <c r="BW329" s="329"/>
      <c r="BX329" s="329"/>
      <c r="BY329" s="331" t="s">
        <v>1470</v>
      </c>
      <c r="BZ329" s="331" t="s">
        <v>1471</v>
      </c>
      <c r="CA329" s="331" t="s">
        <v>1472</v>
      </c>
      <c r="CB329" s="331" t="s">
        <v>298</v>
      </c>
      <c r="CC329" s="331" t="s">
        <v>1473</v>
      </c>
    </row>
    <row r="330" spans="1:81" x14ac:dyDescent="0.25">
      <c r="A330" s="329">
        <v>195635</v>
      </c>
      <c r="B330" s="331" t="s">
        <v>1474</v>
      </c>
      <c r="C330" s="329">
        <v>34375</v>
      </c>
      <c r="D330" s="331" t="s">
        <v>1475</v>
      </c>
      <c r="E330" s="331" t="s">
        <v>1476</v>
      </c>
      <c r="F330" s="331" t="s">
        <v>1477</v>
      </c>
      <c r="G330" s="331" t="s">
        <v>1478</v>
      </c>
      <c r="H330" s="331" t="s">
        <v>1479</v>
      </c>
      <c r="I330" s="331" t="s">
        <v>1480</v>
      </c>
      <c r="J330" s="331" t="s">
        <v>714</v>
      </c>
      <c r="K330" s="331" t="s">
        <v>1481</v>
      </c>
      <c r="L330" s="329"/>
      <c r="M330" s="329">
        <v>6</v>
      </c>
      <c r="N330" s="329">
        <v>0</v>
      </c>
      <c r="O330" s="329">
        <v>4</v>
      </c>
      <c r="P330" s="329"/>
      <c r="Q330" s="333">
        <v>43661.729560185187</v>
      </c>
      <c r="R330" s="329"/>
      <c r="S330" s="333">
        <v>43749</v>
      </c>
      <c r="T330" s="329">
        <v>55</v>
      </c>
      <c r="U330" s="333">
        <v>43749</v>
      </c>
      <c r="V330" s="333">
        <v>44109</v>
      </c>
      <c r="W330" s="329" t="b">
        <v>1</v>
      </c>
      <c r="X330" s="331" t="s">
        <v>22</v>
      </c>
      <c r="Y330" s="329">
        <v>726</v>
      </c>
      <c r="Z330" s="331" t="s">
        <v>23</v>
      </c>
      <c r="AA330" s="331" t="s">
        <v>919</v>
      </c>
      <c r="AB330" s="331" t="s">
        <v>920</v>
      </c>
      <c r="AC330" s="331" t="s">
        <v>1482</v>
      </c>
      <c r="AD330" s="331" t="s">
        <v>24</v>
      </c>
      <c r="AE330" s="329">
        <v>221</v>
      </c>
      <c r="AF330" s="331" t="s">
        <v>254</v>
      </c>
      <c r="AG330" s="329"/>
      <c r="AH330" s="329">
        <v>17</v>
      </c>
      <c r="AI330" s="331" t="s">
        <v>280</v>
      </c>
      <c r="AJ330" s="331" t="s">
        <v>281</v>
      </c>
      <c r="AK330" s="331" t="s">
        <v>347</v>
      </c>
      <c r="AL330" s="331" t="s">
        <v>287</v>
      </c>
      <c r="AM330" s="331" t="s">
        <v>289</v>
      </c>
      <c r="AN330" s="331" t="s">
        <v>287</v>
      </c>
      <c r="AO330" s="331" t="s">
        <v>286</v>
      </c>
      <c r="AP330" s="329"/>
      <c r="AQ330" s="329"/>
      <c r="AR330" s="329"/>
      <c r="AS330" s="329"/>
      <c r="AT330" s="329" t="s">
        <v>352</v>
      </c>
      <c r="AU330" s="329" t="s">
        <v>283</v>
      </c>
      <c r="AV330" s="331" t="s">
        <v>714</v>
      </c>
      <c r="AW330" s="329"/>
      <c r="AX330" s="329"/>
      <c r="AY330" s="329"/>
      <c r="AZ330" s="329"/>
      <c r="BA330" s="329"/>
      <c r="BB330" s="329"/>
      <c r="BC330" s="329"/>
      <c r="BD330" s="329"/>
      <c r="BE330" s="329" t="s">
        <v>257</v>
      </c>
      <c r="BF330" s="329" t="s">
        <v>834</v>
      </c>
      <c r="BG330" s="329"/>
      <c r="BH330" s="329"/>
      <c r="BI330" s="329"/>
      <c r="BJ330" s="329"/>
      <c r="BK330" s="329">
        <v>20400</v>
      </c>
      <c r="BL330" s="329"/>
      <c r="BM330" s="331" t="s">
        <v>278</v>
      </c>
      <c r="BN330" s="329" t="s">
        <v>922</v>
      </c>
      <c r="BO330" s="333">
        <v>43753</v>
      </c>
      <c r="BP330" s="329"/>
      <c r="BQ330" s="329"/>
      <c r="BR330" s="329"/>
      <c r="BS330" s="329"/>
      <c r="BT330" s="329"/>
      <c r="BU330" s="331" t="s">
        <v>261</v>
      </c>
      <c r="BV330" s="329"/>
      <c r="BW330" s="329"/>
      <c r="BX330" s="329"/>
      <c r="BY330" s="331" t="s">
        <v>1483</v>
      </c>
      <c r="BZ330" s="331" t="s">
        <v>1484</v>
      </c>
      <c r="CA330" s="331" t="s">
        <v>1485</v>
      </c>
      <c r="CB330" s="331" t="s">
        <v>714</v>
      </c>
      <c r="CC330" s="331" t="s">
        <v>1481</v>
      </c>
    </row>
    <row r="331" spans="1:81" x14ac:dyDescent="0.25">
      <c r="A331" s="329">
        <v>192420</v>
      </c>
      <c r="B331" s="331" t="s">
        <v>1486</v>
      </c>
      <c r="C331" s="329">
        <v>33646</v>
      </c>
      <c r="D331" s="331" t="s">
        <v>1487</v>
      </c>
      <c r="E331" s="331" t="s">
        <v>470</v>
      </c>
      <c r="F331" s="331" t="s">
        <v>1488</v>
      </c>
      <c r="G331" s="331" t="s">
        <v>1489</v>
      </c>
      <c r="H331" s="331" t="s">
        <v>1490</v>
      </c>
      <c r="I331" s="331" t="s">
        <v>1491</v>
      </c>
      <c r="J331" s="331" t="s">
        <v>298</v>
      </c>
      <c r="K331" s="331" t="s">
        <v>1492</v>
      </c>
      <c r="L331" s="329"/>
      <c r="M331" s="329">
        <v>6</v>
      </c>
      <c r="N331" s="329">
        <v>0</v>
      </c>
      <c r="O331" s="329">
        <v>3.4</v>
      </c>
      <c r="P331" s="329"/>
      <c r="Q331" s="333">
        <v>43599.430555555555</v>
      </c>
      <c r="R331" s="329"/>
      <c r="S331" s="333">
        <v>43749</v>
      </c>
      <c r="T331" s="329">
        <v>55</v>
      </c>
      <c r="U331" s="333">
        <v>43749</v>
      </c>
      <c r="V331" s="333">
        <v>44109</v>
      </c>
      <c r="W331" s="329" t="b">
        <v>1</v>
      </c>
      <c r="X331" s="331" t="s">
        <v>22</v>
      </c>
      <c r="Y331" s="329">
        <v>429</v>
      </c>
      <c r="Z331" s="331" t="s">
        <v>23</v>
      </c>
      <c r="AA331" s="331" t="s">
        <v>919</v>
      </c>
      <c r="AB331" s="331" t="s">
        <v>920</v>
      </c>
      <c r="AC331" s="331" t="s">
        <v>1264</v>
      </c>
      <c r="AD331" s="331" t="s">
        <v>24</v>
      </c>
      <c r="AE331" s="329">
        <v>221</v>
      </c>
      <c r="AF331" s="331" t="s">
        <v>254</v>
      </c>
      <c r="AG331" s="329"/>
      <c r="AH331" s="329">
        <v>17</v>
      </c>
      <c r="AI331" s="331" t="s">
        <v>280</v>
      </c>
      <c r="AJ331" s="331" t="s">
        <v>281</v>
      </c>
      <c r="AK331" s="329"/>
      <c r="AL331" s="329"/>
      <c r="AM331" s="329"/>
      <c r="AN331" s="329"/>
      <c r="AO331" s="329"/>
      <c r="AP331" s="331" t="s">
        <v>342</v>
      </c>
      <c r="AQ331" s="329">
        <v>620</v>
      </c>
      <c r="AR331" s="329">
        <v>540</v>
      </c>
      <c r="AS331" s="329"/>
      <c r="AT331" s="329" t="s">
        <v>355</v>
      </c>
      <c r="AU331" s="329" t="s">
        <v>283</v>
      </c>
      <c r="AV331" s="331" t="s">
        <v>298</v>
      </c>
      <c r="AW331" s="329"/>
      <c r="AX331" s="329"/>
      <c r="AY331" s="329"/>
      <c r="AZ331" s="329"/>
      <c r="BA331" s="329"/>
      <c r="BB331" s="329"/>
      <c r="BC331" s="329"/>
      <c r="BD331" s="329"/>
      <c r="BE331" s="329" t="s">
        <v>257</v>
      </c>
      <c r="BF331" s="329" t="s">
        <v>834</v>
      </c>
      <c r="BG331" s="329"/>
      <c r="BH331" s="329"/>
      <c r="BI331" s="329"/>
      <c r="BJ331" s="329"/>
      <c r="BK331" s="329">
        <v>20400</v>
      </c>
      <c r="BL331" s="329"/>
      <c r="BM331" s="331" t="s">
        <v>278</v>
      </c>
      <c r="BN331" s="329" t="s">
        <v>922</v>
      </c>
      <c r="BO331" s="333">
        <v>43753</v>
      </c>
      <c r="BP331" s="329"/>
      <c r="BQ331" s="329"/>
      <c r="BR331" s="329"/>
      <c r="BS331" s="329"/>
      <c r="BT331" s="329"/>
      <c r="BU331" s="331" t="s">
        <v>261</v>
      </c>
      <c r="BV331" s="329"/>
      <c r="BW331" s="329"/>
      <c r="BX331" s="329"/>
      <c r="BY331" s="331" t="s">
        <v>1493</v>
      </c>
      <c r="BZ331" s="331" t="s">
        <v>1494</v>
      </c>
      <c r="CA331" s="331" t="s">
        <v>1495</v>
      </c>
      <c r="CB331" s="331" t="s">
        <v>298</v>
      </c>
      <c r="CC331" s="331" t="s">
        <v>1492</v>
      </c>
    </row>
    <row r="332" spans="1:81" x14ac:dyDescent="0.25">
      <c r="A332" s="329">
        <v>198383</v>
      </c>
      <c r="B332" s="331" t="s">
        <v>1496</v>
      </c>
      <c r="C332" s="329">
        <v>35256</v>
      </c>
      <c r="D332" s="331" t="s">
        <v>1497</v>
      </c>
      <c r="E332" s="331" t="s">
        <v>1498</v>
      </c>
      <c r="F332" s="331" t="s">
        <v>1499</v>
      </c>
      <c r="G332" s="331" t="s">
        <v>1500</v>
      </c>
      <c r="H332" s="331" t="s">
        <v>6149</v>
      </c>
      <c r="I332" s="331" t="s">
        <v>452</v>
      </c>
      <c r="J332" s="331" t="s">
        <v>292</v>
      </c>
      <c r="K332" s="331" t="s">
        <v>549</v>
      </c>
      <c r="L332" s="329"/>
      <c r="M332" s="329">
        <v>6</v>
      </c>
      <c r="N332" s="329">
        <v>0</v>
      </c>
      <c r="O332" s="329">
        <v>3.5</v>
      </c>
      <c r="P332" s="329"/>
      <c r="Q332" s="333">
        <v>43628.53125</v>
      </c>
      <c r="R332" s="329"/>
      <c r="S332" s="333">
        <v>43749</v>
      </c>
      <c r="T332" s="329">
        <v>55</v>
      </c>
      <c r="U332" s="333">
        <v>43749</v>
      </c>
      <c r="V332" s="333">
        <v>44109</v>
      </c>
      <c r="W332" s="329" t="b">
        <v>1</v>
      </c>
      <c r="X332" s="331" t="s">
        <v>22</v>
      </c>
      <c r="Y332" s="329">
        <v>429</v>
      </c>
      <c r="Z332" s="331" t="s">
        <v>25</v>
      </c>
      <c r="AA332" s="331" t="s">
        <v>919</v>
      </c>
      <c r="AB332" s="331" t="s">
        <v>920</v>
      </c>
      <c r="AC332" s="331" t="s">
        <v>972</v>
      </c>
      <c r="AD332" s="331" t="s">
        <v>24</v>
      </c>
      <c r="AE332" s="329">
        <v>221</v>
      </c>
      <c r="AF332" s="331" t="s">
        <v>254</v>
      </c>
      <c r="AG332" s="329"/>
      <c r="AH332" s="329">
        <v>17</v>
      </c>
      <c r="AI332" s="331" t="s">
        <v>280</v>
      </c>
      <c r="AJ332" s="331" t="s">
        <v>281</v>
      </c>
      <c r="AK332" s="329"/>
      <c r="AL332" s="329"/>
      <c r="AM332" s="329"/>
      <c r="AN332" s="329"/>
      <c r="AO332" s="329"/>
      <c r="AP332" s="329"/>
      <c r="AQ332" s="329"/>
      <c r="AR332" s="329"/>
      <c r="AS332" s="329"/>
      <c r="AT332" s="329" t="s">
        <v>258</v>
      </c>
      <c r="AU332" s="329" t="s">
        <v>963</v>
      </c>
      <c r="AV332" s="331" t="s">
        <v>292</v>
      </c>
      <c r="AW332" s="329"/>
      <c r="AX332" s="329"/>
      <c r="AY332" s="329"/>
      <c r="AZ332" s="329"/>
      <c r="BA332" s="329"/>
      <c r="BB332" s="329"/>
      <c r="BC332" s="329"/>
      <c r="BD332" s="329"/>
      <c r="BE332" s="329" t="s">
        <v>257</v>
      </c>
      <c r="BF332" s="329" t="s">
        <v>837</v>
      </c>
      <c r="BG332" s="329"/>
      <c r="BH332" s="329"/>
      <c r="BI332" s="329"/>
      <c r="BJ332" s="329"/>
      <c r="BK332" s="329">
        <v>15000</v>
      </c>
      <c r="BL332" s="329"/>
      <c r="BM332" s="331" t="s">
        <v>295</v>
      </c>
      <c r="BN332" s="329" t="s">
        <v>922</v>
      </c>
      <c r="BO332" s="333">
        <v>43753</v>
      </c>
      <c r="BP332" s="329"/>
      <c r="BQ332" s="329"/>
      <c r="BR332" s="329"/>
      <c r="BS332" s="329"/>
      <c r="BT332" s="329"/>
      <c r="BU332" s="331" t="s">
        <v>261</v>
      </c>
      <c r="BV332" s="329"/>
      <c r="BW332" s="329"/>
      <c r="BX332" s="329"/>
      <c r="BY332" s="331" t="s">
        <v>1501</v>
      </c>
      <c r="BZ332" s="331" t="s">
        <v>1502</v>
      </c>
      <c r="CA332" s="329"/>
      <c r="CB332" s="331" t="s">
        <v>558</v>
      </c>
      <c r="CC332" s="331" t="s">
        <v>304</v>
      </c>
    </row>
    <row r="333" spans="1:81" x14ac:dyDescent="0.25">
      <c r="A333" s="329">
        <v>197958</v>
      </c>
      <c r="B333" s="331" t="s">
        <v>1503</v>
      </c>
      <c r="C333" s="329">
        <v>35039</v>
      </c>
      <c r="D333" s="331" t="s">
        <v>4248</v>
      </c>
      <c r="E333" s="331" t="s">
        <v>4249</v>
      </c>
      <c r="F333" s="331" t="s">
        <v>4250</v>
      </c>
      <c r="G333" s="331" t="s">
        <v>1504</v>
      </c>
      <c r="H333" s="331" t="s">
        <v>4251</v>
      </c>
      <c r="I333" s="331" t="s">
        <v>4252</v>
      </c>
      <c r="J333" s="331" t="s">
        <v>21</v>
      </c>
      <c r="K333" s="331" t="s">
        <v>724</v>
      </c>
      <c r="L333" s="329"/>
      <c r="M333" s="329">
        <v>6</v>
      </c>
      <c r="N333" s="329">
        <v>0</v>
      </c>
      <c r="O333" s="329">
        <v>3.6629999999999998</v>
      </c>
      <c r="P333" s="329"/>
      <c r="Q333" s="333">
        <v>43720.330555555556</v>
      </c>
      <c r="R333" s="329"/>
      <c r="S333" s="333">
        <v>43749</v>
      </c>
      <c r="T333" s="329">
        <v>55</v>
      </c>
      <c r="U333" s="333">
        <v>43749</v>
      </c>
      <c r="V333" s="333">
        <v>44109</v>
      </c>
      <c r="W333" s="329" t="b">
        <v>1</v>
      </c>
      <c r="X333" s="331" t="s">
        <v>906</v>
      </c>
      <c r="Y333" s="329">
        <v>748</v>
      </c>
      <c r="Z333" s="331" t="s">
        <v>23</v>
      </c>
      <c r="AA333" s="331" t="s">
        <v>919</v>
      </c>
      <c r="AB333" s="331" t="s">
        <v>920</v>
      </c>
      <c r="AC333" s="331" t="s">
        <v>892</v>
      </c>
      <c r="AD333" s="331" t="s">
        <v>24</v>
      </c>
      <c r="AE333" s="329">
        <v>221</v>
      </c>
      <c r="AF333" s="331" t="s">
        <v>254</v>
      </c>
      <c r="AG333" s="329"/>
      <c r="AH333" s="329">
        <v>17</v>
      </c>
      <c r="AI333" s="331" t="s">
        <v>280</v>
      </c>
      <c r="AJ333" s="331" t="s">
        <v>281</v>
      </c>
      <c r="AK333" s="331" t="s">
        <v>289</v>
      </c>
      <c r="AL333" s="331" t="s">
        <v>301</v>
      </c>
      <c r="AM333" s="331" t="s">
        <v>274</v>
      </c>
      <c r="AN333" s="331" t="s">
        <v>287</v>
      </c>
      <c r="AO333" s="331" t="s">
        <v>347</v>
      </c>
      <c r="AP333" s="329"/>
      <c r="AQ333" s="329"/>
      <c r="AR333" s="329"/>
      <c r="AS333" s="329"/>
      <c r="AT333" s="329" t="s">
        <v>258</v>
      </c>
      <c r="AU333" s="329" t="s">
        <v>283</v>
      </c>
      <c r="AV333" s="331" t="s">
        <v>21</v>
      </c>
      <c r="AW333" s="329"/>
      <c r="AX333" s="329"/>
      <c r="AY333" s="329"/>
      <c r="AZ333" s="329"/>
      <c r="BA333" s="329"/>
      <c r="BB333" s="329"/>
      <c r="BC333" s="329"/>
      <c r="BD333" s="329"/>
      <c r="BE333" s="329" t="s">
        <v>257</v>
      </c>
      <c r="BF333" s="329" t="s">
        <v>836</v>
      </c>
      <c r="BG333" s="329"/>
      <c r="BH333" s="329"/>
      <c r="BI333" s="329" t="s">
        <v>334</v>
      </c>
      <c r="BJ333" s="329" t="s">
        <v>831</v>
      </c>
      <c r="BK333" s="329">
        <v>54000</v>
      </c>
      <c r="BL333" s="329"/>
      <c r="BM333" s="331" t="s">
        <v>310</v>
      </c>
      <c r="BN333" s="329" t="s">
        <v>922</v>
      </c>
      <c r="BO333" s="333">
        <v>43753</v>
      </c>
      <c r="BP333" s="329"/>
      <c r="BQ333" s="329"/>
      <c r="BR333" s="329"/>
      <c r="BS333" s="329"/>
      <c r="BT333" s="329"/>
      <c r="BU333" s="331" t="s">
        <v>261</v>
      </c>
      <c r="BV333" s="329"/>
      <c r="BW333" s="329"/>
      <c r="BX333" s="329"/>
      <c r="BY333" s="331" t="s">
        <v>1505</v>
      </c>
      <c r="BZ333" s="331" t="s">
        <v>1506</v>
      </c>
      <c r="CA333" s="331" t="s">
        <v>368</v>
      </c>
      <c r="CB333" s="331" t="s">
        <v>21</v>
      </c>
      <c r="CC333" s="331" t="s">
        <v>369</v>
      </c>
    </row>
    <row r="334" spans="1:81" x14ac:dyDescent="0.25">
      <c r="A334" s="329">
        <v>192461</v>
      </c>
      <c r="B334" s="331" t="s">
        <v>1507</v>
      </c>
      <c r="C334" s="329">
        <v>33654</v>
      </c>
      <c r="D334" s="331" t="s">
        <v>1508</v>
      </c>
      <c r="E334" s="331" t="s">
        <v>1509</v>
      </c>
      <c r="F334" s="331" t="s">
        <v>1510</v>
      </c>
      <c r="G334" s="331" t="s">
        <v>1511</v>
      </c>
      <c r="H334" s="331" t="s">
        <v>1512</v>
      </c>
      <c r="I334" s="331" t="s">
        <v>1513</v>
      </c>
      <c r="J334" s="331" t="s">
        <v>755</v>
      </c>
      <c r="K334" s="331" t="s">
        <v>1514</v>
      </c>
      <c r="L334" s="329"/>
      <c r="M334" s="329">
        <v>6</v>
      </c>
      <c r="N334" s="329">
        <v>0</v>
      </c>
      <c r="O334" s="329">
        <v>3.2</v>
      </c>
      <c r="P334" s="329"/>
      <c r="Q334" s="333">
        <v>43607.614583333336</v>
      </c>
      <c r="R334" s="329"/>
      <c r="S334" s="333">
        <v>43749</v>
      </c>
      <c r="T334" s="329">
        <v>55</v>
      </c>
      <c r="U334" s="333">
        <v>43749</v>
      </c>
      <c r="V334" s="333">
        <v>44109</v>
      </c>
      <c r="W334" s="329" t="b">
        <v>1</v>
      </c>
      <c r="X334" s="331" t="s">
        <v>905</v>
      </c>
      <c r="Y334" s="329">
        <v>747</v>
      </c>
      <c r="Z334" s="331" t="s">
        <v>23</v>
      </c>
      <c r="AA334" s="331" t="s">
        <v>919</v>
      </c>
      <c r="AB334" s="331" t="s">
        <v>920</v>
      </c>
      <c r="AC334" s="331" t="s">
        <v>1361</v>
      </c>
      <c r="AD334" s="331" t="s">
        <v>24</v>
      </c>
      <c r="AE334" s="329">
        <v>221</v>
      </c>
      <c r="AF334" s="331" t="s">
        <v>254</v>
      </c>
      <c r="AG334" s="329"/>
      <c r="AH334" s="329">
        <v>17</v>
      </c>
      <c r="AI334" s="331" t="s">
        <v>280</v>
      </c>
      <c r="AJ334" s="331" t="s">
        <v>281</v>
      </c>
      <c r="AK334" s="329"/>
      <c r="AL334" s="329"/>
      <c r="AM334" s="329"/>
      <c r="AN334" s="329"/>
      <c r="AO334" s="329"/>
      <c r="AP334" s="331" t="s">
        <v>302</v>
      </c>
      <c r="AQ334" s="329">
        <v>580</v>
      </c>
      <c r="AR334" s="329">
        <v>530</v>
      </c>
      <c r="AS334" s="329"/>
      <c r="AT334" s="329" t="s">
        <v>255</v>
      </c>
      <c r="AU334" s="329" t="s">
        <v>283</v>
      </c>
      <c r="AV334" s="331" t="s">
        <v>755</v>
      </c>
      <c r="AW334" s="329"/>
      <c r="AX334" s="329"/>
      <c r="AY334" s="329"/>
      <c r="AZ334" s="329"/>
      <c r="BA334" s="329"/>
      <c r="BB334" s="329"/>
      <c r="BC334" s="329"/>
      <c r="BD334" s="329"/>
      <c r="BE334" s="329" t="s">
        <v>257</v>
      </c>
      <c r="BF334" s="329" t="s">
        <v>837</v>
      </c>
      <c r="BG334" s="329"/>
      <c r="BH334" s="329"/>
      <c r="BI334" s="329"/>
      <c r="BJ334" s="329"/>
      <c r="BK334" s="329">
        <v>15000</v>
      </c>
      <c r="BL334" s="329"/>
      <c r="BM334" s="331" t="s">
        <v>295</v>
      </c>
      <c r="BN334" s="329" t="s">
        <v>922</v>
      </c>
      <c r="BO334" s="333">
        <v>43753</v>
      </c>
      <c r="BP334" s="329"/>
      <c r="BQ334" s="329"/>
      <c r="BR334" s="329"/>
      <c r="BS334" s="329"/>
      <c r="BT334" s="329"/>
      <c r="BU334" s="331" t="s">
        <v>261</v>
      </c>
      <c r="BV334" s="329"/>
      <c r="BW334" s="329"/>
      <c r="BX334" s="329"/>
      <c r="BY334" s="331" t="s">
        <v>1515</v>
      </c>
      <c r="BZ334" s="331" t="s">
        <v>1516</v>
      </c>
      <c r="CA334" s="331" t="s">
        <v>1517</v>
      </c>
      <c r="CB334" s="331" t="s">
        <v>755</v>
      </c>
      <c r="CC334" s="331" t="s">
        <v>1518</v>
      </c>
    </row>
    <row r="335" spans="1:81" x14ac:dyDescent="0.25">
      <c r="A335" s="329">
        <v>196262</v>
      </c>
      <c r="B335" s="331" t="s">
        <v>1519</v>
      </c>
      <c r="C335" s="329">
        <v>34581</v>
      </c>
      <c r="D335" s="331" t="s">
        <v>1520</v>
      </c>
      <c r="E335" s="331" t="s">
        <v>1521</v>
      </c>
      <c r="F335" s="331" t="s">
        <v>1522</v>
      </c>
      <c r="G335" s="331" t="s">
        <v>1523</v>
      </c>
      <c r="H335" s="331" t="s">
        <v>1524</v>
      </c>
      <c r="I335" s="331" t="s">
        <v>1525</v>
      </c>
      <c r="J335" s="331" t="s">
        <v>562</v>
      </c>
      <c r="K335" s="331" t="s">
        <v>1526</v>
      </c>
      <c r="L335" s="329"/>
      <c r="M335" s="329">
        <v>6</v>
      </c>
      <c r="N335" s="329">
        <v>0</v>
      </c>
      <c r="O335" s="329">
        <v>3.843</v>
      </c>
      <c r="P335" s="329"/>
      <c r="Q335" s="333">
        <v>43664.777777777781</v>
      </c>
      <c r="R335" s="329"/>
      <c r="S335" s="333">
        <v>43749</v>
      </c>
      <c r="T335" s="329">
        <v>55</v>
      </c>
      <c r="U335" s="333">
        <v>43749</v>
      </c>
      <c r="V335" s="333">
        <v>44109</v>
      </c>
      <c r="W335" s="329" t="b">
        <v>1</v>
      </c>
      <c r="X335" s="331" t="s">
        <v>22</v>
      </c>
      <c r="Y335" s="329">
        <v>726</v>
      </c>
      <c r="Z335" s="331" t="s">
        <v>23</v>
      </c>
      <c r="AA335" s="331" t="s">
        <v>919</v>
      </c>
      <c r="AB335" s="331" t="s">
        <v>920</v>
      </c>
      <c r="AC335" s="331" t="s">
        <v>962</v>
      </c>
      <c r="AD335" s="331" t="s">
        <v>24</v>
      </c>
      <c r="AE335" s="329">
        <v>221</v>
      </c>
      <c r="AF335" s="331" t="s">
        <v>254</v>
      </c>
      <c r="AG335" s="329"/>
      <c r="AH335" s="329">
        <v>17</v>
      </c>
      <c r="AI335" s="331" t="s">
        <v>280</v>
      </c>
      <c r="AJ335" s="331" t="s">
        <v>281</v>
      </c>
      <c r="AK335" s="331" t="s">
        <v>273</v>
      </c>
      <c r="AL335" s="331" t="s">
        <v>285</v>
      </c>
      <c r="AM335" s="331" t="s">
        <v>272</v>
      </c>
      <c r="AN335" s="331" t="s">
        <v>285</v>
      </c>
      <c r="AO335" s="331" t="s">
        <v>285</v>
      </c>
      <c r="AP335" s="329"/>
      <c r="AQ335" s="329"/>
      <c r="AR335" s="329"/>
      <c r="AS335" s="329"/>
      <c r="AT335" s="329" t="s">
        <v>352</v>
      </c>
      <c r="AU335" s="329" t="s">
        <v>283</v>
      </c>
      <c r="AV335" s="331" t="s">
        <v>562</v>
      </c>
      <c r="AW335" s="329"/>
      <c r="AX335" s="329"/>
      <c r="AY335" s="329"/>
      <c r="AZ335" s="329"/>
      <c r="BA335" s="329"/>
      <c r="BB335" s="329"/>
      <c r="BC335" s="329"/>
      <c r="BD335" s="329"/>
      <c r="BE335" s="329" t="s">
        <v>257</v>
      </c>
      <c r="BF335" s="329" t="s">
        <v>834</v>
      </c>
      <c r="BG335" s="329"/>
      <c r="BH335" s="329"/>
      <c r="BI335" s="329"/>
      <c r="BJ335" s="329"/>
      <c r="BK335" s="329">
        <v>20400</v>
      </c>
      <c r="BL335" s="329"/>
      <c r="BM335" s="331" t="s">
        <v>278</v>
      </c>
      <c r="BN335" s="329" t="s">
        <v>922</v>
      </c>
      <c r="BO335" s="333">
        <v>43753</v>
      </c>
      <c r="BP335" s="329"/>
      <c r="BQ335" s="329"/>
      <c r="BR335" s="329"/>
      <c r="BS335" s="329"/>
      <c r="BT335" s="329"/>
      <c r="BU335" s="331" t="s">
        <v>261</v>
      </c>
      <c r="BV335" s="329"/>
      <c r="BW335" s="329"/>
      <c r="BX335" s="329"/>
      <c r="BY335" s="331" t="s">
        <v>1527</v>
      </c>
      <c r="BZ335" s="331" t="s">
        <v>1528</v>
      </c>
      <c r="CA335" s="331" t="s">
        <v>1529</v>
      </c>
      <c r="CB335" s="331" t="s">
        <v>562</v>
      </c>
      <c r="CC335" s="331" t="s">
        <v>1530</v>
      </c>
    </row>
    <row r="336" spans="1:81" x14ac:dyDescent="0.25">
      <c r="A336" s="329">
        <v>197551</v>
      </c>
      <c r="B336" s="331" t="s">
        <v>1531</v>
      </c>
      <c r="C336" s="329">
        <v>34902</v>
      </c>
      <c r="D336" s="331" t="s">
        <v>1532</v>
      </c>
      <c r="E336" s="331" t="s">
        <v>182</v>
      </c>
      <c r="F336" s="331" t="s">
        <v>1533</v>
      </c>
      <c r="G336" s="331" t="s">
        <v>1534</v>
      </c>
      <c r="H336" s="331" t="s">
        <v>1535</v>
      </c>
      <c r="I336" s="331" t="s">
        <v>1536</v>
      </c>
      <c r="J336" s="331" t="s">
        <v>21</v>
      </c>
      <c r="K336" s="331" t="s">
        <v>1537</v>
      </c>
      <c r="L336" s="329"/>
      <c r="M336" s="329">
        <v>6</v>
      </c>
      <c r="N336" s="329">
        <v>0</v>
      </c>
      <c r="O336" s="329">
        <v>3.8820000000000001</v>
      </c>
      <c r="P336" s="329"/>
      <c r="Q336" s="333">
        <v>43719.642361111109</v>
      </c>
      <c r="R336" s="329"/>
      <c r="S336" s="333">
        <v>43749</v>
      </c>
      <c r="T336" s="329">
        <v>55</v>
      </c>
      <c r="U336" s="333">
        <v>43749</v>
      </c>
      <c r="V336" s="333">
        <v>44109</v>
      </c>
      <c r="W336" s="329" t="b">
        <v>1</v>
      </c>
      <c r="X336" s="331" t="s">
        <v>906</v>
      </c>
      <c r="Y336" s="329">
        <v>748</v>
      </c>
      <c r="Z336" s="331" t="s">
        <v>23</v>
      </c>
      <c r="AA336" s="331" t="s">
        <v>919</v>
      </c>
      <c r="AB336" s="331" t="s">
        <v>920</v>
      </c>
      <c r="AC336" s="331" t="s">
        <v>1031</v>
      </c>
      <c r="AD336" s="331" t="s">
        <v>24</v>
      </c>
      <c r="AE336" s="329">
        <v>221</v>
      </c>
      <c r="AF336" s="331" t="s">
        <v>254</v>
      </c>
      <c r="AG336" s="329"/>
      <c r="AH336" s="329">
        <v>17</v>
      </c>
      <c r="AI336" s="331" t="s">
        <v>280</v>
      </c>
      <c r="AJ336" s="331" t="s">
        <v>281</v>
      </c>
      <c r="AK336" s="331" t="s">
        <v>289</v>
      </c>
      <c r="AL336" s="331" t="s">
        <v>301</v>
      </c>
      <c r="AM336" s="331" t="s">
        <v>347</v>
      </c>
      <c r="AN336" s="331" t="s">
        <v>287</v>
      </c>
      <c r="AO336" s="331" t="s">
        <v>272</v>
      </c>
      <c r="AP336" s="329"/>
      <c r="AQ336" s="329"/>
      <c r="AR336" s="329"/>
      <c r="AS336" s="329"/>
      <c r="AT336" s="329" t="s">
        <v>258</v>
      </c>
      <c r="AU336" s="329" t="s">
        <v>283</v>
      </c>
      <c r="AV336" s="331" t="s">
        <v>21</v>
      </c>
      <c r="AW336" s="329"/>
      <c r="AX336" s="329"/>
      <c r="AY336" s="329"/>
      <c r="AZ336" s="329"/>
      <c r="BA336" s="329"/>
      <c r="BB336" s="329"/>
      <c r="BC336" s="329"/>
      <c r="BD336" s="329"/>
      <c r="BE336" s="329" t="s">
        <v>257</v>
      </c>
      <c r="BF336" s="329" t="s">
        <v>838</v>
      </c>
      <c r="BG336" s="329"/>
      <c r="BH336" s="329"/>
      <c r="BI336" s="329" t="s">
        <v>334</v>
      </c>
      <c r="BJ336" s="329" t="s">
        <v>831</v>
      </c>
      <c r="BK336" s="329">
        <v>51600</v>
      </c>
      <c r="BL336" s="329"/>
      <c r="BM336" s="331" t="s">
        <v>259</v>
      </c>
      <c r="BN336" s="329" t="s">
        <v>922</v>
      </c>
      <c r="BO336" s="333">
        <v>43753</v>
      </c>
      <c r="BP336" s="329"/>
      <c r="BQ336" s="329"/>
      <c r="BR336" s="329"/>
      <c r="BS336" s="329"/>
      <c r="BT336" s="329"/>
      <c r="BU336" s="331" t="s">
        <v>261</v>
      </c>
      <c r="BV336" s="329"/>
      <c r="BW336" s="329"/>
      <c r="BX336" s="329"/>
      <c r="BY336" s="331" t="s">
        <v>727</v>
      </c>
      <c r="BZ336" s="331" t="s">
        <v>728</v>
      </c>
      <c r="CA336" s="331" t="s">
        <v>729</v>
      </c>
      <c r="CB336" s="331" t="s">
        <v>21</v>
      </c>
      <c r="CC336" s="331" t="s">
        <v>730</v>
      </c>
    </row>
    <row r="337" spans="1:81" x14ac:dyDescent="0.25">
      <c r="A337" s="329">
        <v>196094</v>
      </c>
      <c r="B337" s="331" t="s">
        <v>1538</v>
      </c>
      <c r="C337" s="329">
        <v>34495</v>
      </c>
      <c r="D337" s="331" t="s">
        <v>1539</v>
      </c>
      <c r="E337" s="331" t="s">
        <v>470</v>
      </c>
      <c r="F337" s="331" t="s">
        <v>1540</v>
      </c>
      <c r="G337" s="331" t="s">
        <v>1541</v>
      </c>
      <c r="H337" s="331" t="s">
        <v>1542</v>
      </c>
      <c r="I337" s="331" t="s">
        <v>381</v>
      </c>
      <c r="J337" s="331" t="s">
        <v>292</v>
      </c>
      <c r="K337" s="331" t="s">
        <v>1543</v>
      </c>
      <c r="L337" s="329"/>
      <c r="M337" s="329">
        <v>6</v>
      </c>
      <c r="N337" s="329">
        <v>0</v>
      </c>
      <c r="O337" s="329">
        <v>3.3094999999999999</v>
      </c>
      <c r="P337" s="329"/>
      <c r="Q337" s="333">
        <v>43599.461805555555</v>
      </c>
      <c r="R337" s="329"/>
      <c r="S337" s="333">
        <v>43749</v>
      </c>
      <c r="T337" s="329">
        <v>55</v>
      </c>
      <c r="U337" s="333">
        <v>43749</v>
      </c>
      <c r="V337" s="333">
        <v>44109</v>
      </c>
      <c r="W337" s="329" t="b">
        <v>1</v>
      </c>
      <c r="X337" s="331" t="s">
        <v>187</v>
      </c>
      <c r="Y337" s="329">
        <v>718</v>
      </c>
      <c r="Z337" s="331" t="s">
        <v>23</v>
      </c>
      <c r="AA337" s="331" t="s">
        <v>919</v>
      </c>
      <c r="AB337" s="331" t="s">
        <v>920</v>
      </c>
      <c r="AC337" s="331" t="s">
        <v>1264</v>
      </c>
      <c r="AD337" s="331" t="s">
        <v>24</v>
      </c>
      <c r="AE337" s="329">
        <v>221</v>
      </c>
      <c r="AF337" s="331" t="s">
        <v>254</v>
      </c>
      <c r="AG337" s="329"/>
      <c r="AH337" s="329">
        <v>17</v>
      </c>
      <c r="AI337" s="331" t="s">
        <v>280</v>
      </c>
      <c r="AJ337" s="331" t="s">
        <v>281</v>
      </c>
      <c r="AK337" s="331" t="s">
        <v>289</v>
      </c>
      <c r="AL337" s="331" t="s">
        <v>299</v>
      </c>
      <c r="AM337" s="331" t="s">
        <v>274</v>
      </c>
      <c r="AN337" s="331" t="s">
        <v>347</v>
      </c>
      <c r="AO337" s="331" t="s">
        <v>351</v>
      </c>
      <c r="AP337" s="329"/>
      <c r="AQ337" s="329"/>
      <c r="AR337" s="329"/>
      <c r="AS337" s="329"/>
      <c r="AT337" s="329" t="s">
        <v>294</v>
      </c>
      <c r="AU337" s="329" t="s">
        <v>283</v>
      </c>
      <c r="AV337" s="331" t="s">
        <v>292</v>
      </c>
      <c r="AW337" s="329"/>
      <c r="AX337" s="329"/>
      <c r="AY337" s="329"/>
      <c r="AZ337" s="329"/>
      <c r="BA337" s="329"/>
      <c r="BB337" s="329"/>
      <c r="BC337" s="329"/>
      <c r="BD337" s="329"/>
      <c r="BE337" s="329" t="s">
        <v>257</v>
      </c>
      <c r="BF337" s="329" t="s">
        <v>834</v>
      </c>
      <c r="BG337" s="329"/>
      <c r="BH337" s="329"/>
      <c r="BI337" s="329"/>
      <c r="BJ337" s="329"/>
      <c r="BK337" s="329">
        <v>20400</v>
      </c>
      <c r="BL337" s="329"/>
      <c r="BM337" s="331" t="s">
        <v>278</v>
      </c>
      <c r="BN337" s="329" t="s">
        <v>922</v>
      </c>
      <c r="BO337" s="333">
        <v>43753</v>
      </c>
      <c r="BP337" s="329"/>
      <c r="BQ337" s="329"/>
      <c r="BR337" s="329"/>
      <c r="BS337" s="329"/>
      <c r="BT337" s="329"/>
      <c r="BU337" s="331" t="s">
        <v>261</v>
      </c>
      <c r="BV337" s="329"/>
      <c r="BW337" s="329"/>
      <c r="BX337" s="329"/>
      <c r="BY337" s="331" t="s">
        <v>1544</v>
      </c>
      <c r="BZ337" s="331" t="s">
        <v>1545</v>
      </c>
      <c r="CA337" s="331" t="s">
        <v>383</v>
      </c>
      <c r="CB337" s="331" t="s">
        <v>292</v>
      </c>
      <c r="CC337" s="331" t="s">
        <v>1546</v>
      </c>
    </row>
    <row r="338" spans="1:81" x14ac:dyDescent="0.25">
      <c r="A338" s="329">
        <v>196587</v>
      </c>
      <c r="B338" s="331" t="s">
        <v>1556</v>
      </c>
      <c r="C338" s="329">
        <v>34697</v>
      </c>
      <c r="D338" s="331" t="s">
        <v>1557</v>
      </c>
      <c r="E338" s="331" t="s">
        <v>1558</v>
      </c>
      <c r="F338" s="331" t="s">
        <v>1559</v>
      </c>
      <c r="G338" s="331" t="s">
        <v>4253</v>
      </c>
      <c r="H338" s="331" t="s">
        <v>1560</v>
      </c>
      <c r="I338" s="331" t="s">
        <v>900</v>
      </c>
      <c r="J338" s="331" t="s">
        <v>306</v>
      </c>
      <c r="K338" s="331" t="s">
        <v>4254</v>
      </c>
      <c r="L338" s="329"/>
      <c r="M338" s="329">
        <v>6</v>
      </c>
      <c r="N338" s="329">
        <v>0</v>
      </c>
      <c r="O338" s="329">
        <v>3.6739000000000002</v>
      </c>
      <c r="P338" s="329"/>
      <c r="Q338" s="333">
        <v>43704.645833333336</v>
      </c>
      <c r="R338" s="329"/>
      <c r="S338" s="333">
        <v>43749</v>
      </c>
      <c r="T338" s="329">
        <v>55</v>
      </c>
      <c r="U338" s="333">
        <v>43749</v>
      </c>
      <c r="V338" s="333">
        <v>44109</v>
      </c>
      <c r="W338" s="329" t="b">
        <v>1</v>
      </c>
      <c r="X338" s="331" t="s">
        <v>22</v>
      </c>
      <c r="Y338" s="329">
        <v>726</v>
      </c>
      <c r="Z338" s="331" t="s">
        <v>23</v>
      </c>
      <c r="AA338" s="331" t="s">
        <v>919</v>
      </c>
      <c r="AB338" s="331" t="s">
        <v>920</v>
      </c>
      <c r="AC338" s="331" t="s">
        <v>1405</v>
      </c>
      <c r="AD338" s="331" t="s">
        <v>24</v>
      </c>
      <c r="AE338" s="329">
        <v>221</v>
      </c>
      <c r="AF338" s="331" t="s">
        <v>254</v>
      </c>
      <c r="AG338" s="329"/>
      <c r="AH338" s="329">
        <v>17</v>
      </c>
      <c r="AI338" s="331" t="s">
        <v>280</v>
      </c>
      <c r="AJ338" s="331" t="s">
        <v>281</v>
      </c>
      <c r="AK338" s="331" t="s">
        <v>289</v>
      </c>
      <c r="AL338" s="331" t="s">
        <v>290</v>
      </c>
      <c r="AM338" s="331" t="s">
        <v>272</v>
      </c>
      <c r="AN338" s="331" t="s">
        <v>289</v>
      </c>
      <c r="AO338" s="331" t="s">
        <v>272</v>
      </c>
      <c r="AP338" s="329"/>
      <c r="AQ338" s="329"/>
      <c r="AR338" s="329"/>
      <c r="AS338" s="329"/>
      <c r="AT338" s="329" t="s">
        <v>291</v>
      </c>
      <c r="AU338" s="329" t="s">
        <v>283</v>
      </c>
      <c r="AV338" s="331" t="s">
        <v>306</v>
      </c>
      <c r="AW338" s="329"/>
      <c r="AX338" s="329"/>
      <c r="AY338" s="329"/>
      <c r="AZ338" s="329"/>
      <c r="BA338" s="329"/>
      <c r="BB338" s="329"/>
      <c r="BC338" s="329"/>
      <c r="BD338" s="329"/>
      <c r="BE338" s="329" t="s">
        <v>257</v>
      </c>
      <c r="BF338" s="329" t="s">
        <v>834</v>
      </c>
      <c r="BG338" s="329"/>
      <c r="BH338" s="329"/>
      <c r="BI338" s="329"/>
      <c r="BJ338" s="329"/>
      <c r="BK338" s="329">
        <v>20400</v>
      </c>
      <c r="BL338" s="329"/>
      <c r="BM338" s="331" t="s">
        <v>278</v>
      </c>
      <c r="BN338" s="329" t="s">
        <v>922</v>
      </c>
      <c r="BO338" s="333">
        <v>43753</v>
      </c>
      <c r="BP338" s="329"/>
      <c r="BQ338" s="329"/>
      <c r="BR338" s="329"/>
      <c r="BS338" s="329"/>
      <c r="BT338" s="329"/>
      <c r="BU338" s="331" t="s">
        <v>261</v>
      </c>
      <c r="BV338" s="329"/>
      <c r="BW338" s="329"/>
      <c r="BX338" s="329"/>
      <c r="BY338" s="331" t="s">
        <v>902</v>
      </c>
      <c r="BZ338" s="331" t="s">
        <v>903</v>
      </c>
      <c r="CA338" s="331" t="s">
        <v>904</v>
      </c>
      <c r="CB338" s="331" t="s">
        <v>306</v>
      </c>
      <c r="CC338" s="331" t="s">
        <v>901</v>
      </c>
    </row>
    <row r="339" spans="1:81" x14ac:dyDescent="0.25">
      <c r="A339" s="329">
        <v>197855</v>
      </c>
      <c r="B339" s="331" t="s">
        <v>1561</v>
      </c>
      <c r="C339" s="329">
        <v>35018</v>
      </c>
      <c r="D339" s="331" t="s">
        <v>1562</v>
      </c>
      <c r="E339" s="331" t="s">
        <v>401</v>
      </c>
      <c r="F339" s="331" t="s">
        <v>1563</v>
      </c>
      <c r="G339" s="331" t="s">
        <v>1564</v>
      </c>
      <c r="H339" s="331" t="s">
        <v>1565</v>
      </c>
      <c r="I339" s="331" t="s">
        <v>388</v>
      </c>
      <c r="J339" s="331" t="s">
        <v>393</v>
      </c>
      <c r="K339" s="331" t="s">
        <v>1566</v>
      </c>
      <c r="L339" s="329"/>
      <c r="M339" s="329">
        <v>6</v>
      </c>
      <c r="N339" s="329">
        <v>0</v>
      </c>
      <c r="O339" s="329">
        <v>3.3</v>
      </c>
      <c r="P339" s="329"/>
      <c r="Q339" s="333">
        <v>43714.467361111114</v>
      </c>
      <c r="R339" s="329"/>
      <c r="S339" s="333">
        <v>43749</v>
      </c>
      <c r="T339" s="329">
        <v>55</v>
      </c>
      <c r="U339" s="333">
        <v>43749</v>
      </c>
      <c r="V339" s="333">
        <v>44109</v>
      </c>
      <c r="W339" s="329" t="b">
        <v>1</v>
      </c>
      <c r="X339" s="331" t="s">
        <v>905</v>
      </c>
      <c r="Y339" s="329">
        <v>747</v>
      </c>
      <c r="Z339" s="331" t="s">
        <v>23</v>
      </c>
      <c r="AA339" s="331" t="s">
        <v>919</v>
      </c>
      <c r="AB339" s="331" t="s">
        <v>920</v>
      </c>
      <c r="AC339" s="331" t="s">
        <v>346</v>
      </c>
      <c r="AD339" s="331" t="s">
        <v>24</v>
      </c>
      <c r="AE339" s="329">
        <v>221</v>
      </c>
      <c r="AF339" s="331" t="s">
        <v>254</v>
      </c>
      <c r="AG339" s="329"/>
      <c r="AH339" s="329">
        <v>17</v>
      </c>
      <c r="AI339" s="331" t="s">
        <v>280</v>
      </c>
      <c r="AJ339" s="331" t="s">
        <v>281</v>
      </c>
      <c r="AK339" s="331" t="s">
        <v>290</v>
      </c>
      <c r="AL339" s="331" t="s">
        <v>290</v>
      </c>
      <c r="AM339" s="331" t="s">
        <v>290</v>
      </c>
      <c r="AN339" s="331" t="s">
        <v>300</v>
      </c>
      <c r="AO339" s="331" t="s">
        <v>300</v>
      </c>
      <c r="AP339" s="329"/>
      <c r="AQ339" s="329"/>
      <c r="AR339" s="329"/>
      <c r="AS339" s="329"/>
      <c r="AT339" s="329" t="s">
        <v>255</v>
      </c>
      <c r="AU339" s="329" t="s">
        <v>283</v>
      </c>
      <c r="AV339" s="331" t="s">
        <v>393</v>
      </c>
      <c r="AW339" s="329"/>
      <c r="AX339" s="329"/>
      <c r="AY339" s="329"/>
      <c r="AZ339" s="329"/>
      <c r="BA339" s="329"/>
      <c r="BB339" s="329"/>
      <c r="BC339" s="329"/>
      <c r="BD339" s="329"/>
      <c r="BE339" s="329" t="s">
        <v>257</v>
      </c>
      <c r="BF339" s="329" t="s">
        <v>830</v>
      </c>
      <c r="BG339" s="329"/>
      <c r="BH339" s="329"/>
      <c r="BI339" s="329"/>
      <c r="BJ339" s="329"/>
      <c r="BK339" s="329">
        <v>12000</v>
      </c>
      <c r="BL339" s="329"/>
      <c r="BM339" s="331" t="s">
        <v>26</v>
      </c>
      <c r="BN339" s="329" t="s">
        <v>922</v>
      </c>
      <c r="BO339" s="333">
        <v>43753</v>
      </c>
      <c r="BP339" s="329"/>
      <c r="BQ339" s="329"/>
      <c r="BR339" s="329"/>
      <c r="BS339" s="329"/>
      <c r="BT339" s="329"/>
      <c r="BU339" s="331" t="s">
        <v>261</v>
      </c>
      <c r="BV339" s="329"/>
      <c r="BW339" s="329"/>
      <c r="BX339" s="329"/>
      <c r="BY339" s="331" t="s">
        <v>1567</v>
      </c>
      <c r="BZ339" s="331" t="s">
        <v>1568</v>
      </c>
      <c r="CA339" s="331" t="s">
        <v>709</v>
      </c>
      <c r="CB339" s="331" t="s">
        <v>393</v>
      </c>
      <c r="CC339" s="331" t="s">
        <v>1566</v>
      </c>
    </row>
    <row r="340" spans="1:81" x14ac:dyDescent="0.25">
      <c r="A340" s="329">
        <v>197514</v>
      </c>
      <c r="B340" s="331" t="s">
        <v>1569</v>
      </c>
      <c r="C340" s="329">
        <v>34896</v>
      </c>
      <c r="D340" s="331" t="s">
        <v>1562</v>
      </c>
      <c r="E340" s="331" t="s">
        <v>1570</v>
      </c>
      <c r="F340" s="331" t="s">
        <v>1571</v>
      </c>
      <c r="G340" s="331" t="s">
        <v>4848</v>
      </c>
      <c r="H340" s="331" t="s">
        <v>1572</v>
      </c>
      <c r="I340" s="331" t="s">
        <v>1573</v>
      </c>
      <c r="J340" s="331" t="s">
        <v>393</v>
      </c>
      <c r="K340" s="331" t="s">
        <v>1574</v>
      </c>
      <c r="L340" s="329"/>
      <c r="M340" s="329">
        <v>6</v>
      </c>
      <c r="N340" s="329">
        <v>0</v>
      </c>
      <c r="O340" s="329">
        <v>3.3</v>
      </c>
      <c r="P340" s="329"/>
      <c r="Q340" s="333">
        <v>43642.069444444445</v>
      </c>
      <c r="R340" s="329"/>
      <c r="S340" s="333">
        <v>43749</v>
      </c>
      <c r="T340" s="329">
        <v>55</v>
      </c>
      <c r="U340" s="333">
        <v>43749</v>
      </c>
      <c r="V340" s="333">
        <v>44109</v>
      </c>
      <c r="W340" s="329" t="b">
        <v>1</v>
      </c>
      <c r="X340" s="331" t="s">
        <v>905</v>
      </c>
      <c r="Y340" s="329">
        <v>747</v>
      </c>
      <c r="Z340" s="331" t="s">
        <v>25</v>
      </c>
      <c r="AA340" s="331" t="s">
        <v>919</v>
      </c>
      <c r="AB340" s="331" t="s">
        <v>920</v>
      </c>
      <c r="AC340" s="331" t="s">
        <v>1097</v>
      </c>
      <c r="AD340" s="331" t="s">
        <v>24</v>
      </c>
      <c r="AE340" s="329">
        <v>221</v>
      </c>
      <c r="AF340" s="331" t="s">
        <v>254</v>
      </c>
      <c r="AG340" s="329"/>
      <c r="AH340" s="329">
        <v>17</v>
      </c>
      <c r="AI340" s="331" t="s">
        <v>280</v>
      </c>
      <c r="AJ340" s="331" t="s">
        <v>281</v>
      </c>
      <c r="AK340" s="331" t="s">
        <v>275</v>
      </c>
      <c r="AL340" s="331" t="s">
        <v>289</v>
      </c>
      <c r="AM340" s="331" t="s">
        <v>275</v>
      </c>
      <c r="AN340" s="331" t="s">
        <v>300</v>
      </c>
      <c r="AO340" s="331" t="s">
        <v>301</v>
      </c>
      <c r="AP340" s="329"/>
      <c r="AQ340" s="329"/>
      <c r="AR340" s="329"/>
      <c r="AS340" s="329"/>
      <c r="AT340" s="329" t="s">
        <v>833</v>
      </c>
      <c r="AU340" s="329" t="s">
        <v>283</v>
      </c>
      <c r="AV340" s="331" t="s">
        <v>393</v>
      </c>
      <c r="AW340" s="329"/>
      <c r="AX340" s="329"/>
      <c r="AY340" s="329"/>
      <c r="AZ340" s="329"/>
      <c r="BA340" s="329"/>
      <c r="BB340" s="329"/>
      <c r="BC340" s="329"/>
      <c r="BD340" s="329"/>
      <c r="BE340" s="329" t="s">
        <v>257</v>
      </c>
      <c r="BF340" s="329" t="s">
        <v>838</v>
      </c>
      <c r="BG340" s="329"/>
      <c r="BH340" s="329"/>
      <c r="BI340" s="329"/>
      <c r="BJ340" s="329"/>
      <c r="BK340" s="329">
        <v>15600</v>
      </c>
      <c r="BL340" s="329"/>
      <c r="BM340" s="331" t="s">
        <v>259</v>
      </c>
      <c r="BN340" s="329" t="s">
        <v>922</v>
      </c>
      <c r="BO340" s="333">
        <v>43753</v>
      </c>
      <c r="BP340" s="329"/>
      <c r="BQ340" s="329"/>
      <c r="BR340" s="329"/>
      <c r="BS340" s="329"/>
      <c r="BT340" s="329"/>
      <c r="BU340" s="331" t="s">
        <v>261</v>
      </c>
      <c r="BV340" s="329"/>
      <c r="BW340" s="329"/>
      <c r="BX340" s="329"/>
      <c r="BY340" s="331" t="s">
        <v>1575</v>
      </c>
      <c r="BZ340" s="331" t="s">
        <v>1576</v>
      </c>
      <c r="CA340" s="331" t="s">
        <v>1577</v>
      </c>
      <c r="CB340" s="331" t="s">
        <v>393</v>
      </c>
      <c r="CC340" s="331" t="s">
        <v>1578</v>
      </c>
    </row>
    <row r="341" spans="1:81" x14ac:dyDescent="0.25">
      <c r="A341" s="329">
        <v>195707</v>
      </c>
      <c r="B341" s="331" t="s">
        <v>1589</v>
      </c>
      <c r="C341" s="329">
        <v>34388</v>
      </c>
      <c r="D341" s="331" t="s">
        <v>1590</v>
      </c>
      <c r="E341" s="331" t="s">
        <v>515</v>
      </c>
      <c r="F341" s="331" t="s">
        <v>1591</v>
      </c>
      <c r="G341" s="331" t="s">
        <v>1592</v>
      </c>
      <c r="H341" s="331" t="s">
        <v>1593</v>
      </c>
      <c r="I341" s="331" t="s">
        <v>1594</v>
      </c>
      <c r="J341" s="331" t="s">
        <v>403</v>
      </c>
      <c r="K341" s="331" t="s">
        <v>1595</v>
      </c>
      <c r="L341" s="329"/>
      <c r="M341" s="329">
        <v>6</v>
      </c>
      <c r="N341" s="329">
        <v>0</v>
      </c>
      <c r="O341" s="329">
        <v>3.3</v>
      </c>
      <c r="P341" s="329"/>
      <c r="Q341" s="333">
        <v>43651.548796296294</v>
      </c>
      <c r="R341" s="329"/>
      <c r="S341" s="333">
        <v>43749</v>
      </c>
      <c r="T341" s="329">
        <v>55</v>
      </c>
      <c r="U341" s="333">
        <v>43749</v>
      </c>
      <c r="V341" s="333">
        <v>44109</v>
      </c>
      <c r="W341" s="329" t="b">
        <v>1</v>
      </c>
      <c r="X341" s="331" t="s">
        <v>22</v>
      </c>
      <c r="Y341" s="329">
        <v>429</v>
      </c>
      <c r="Z341" s="331" t="s">
        <v>23</v>
      </c>
      <c r="AA341" s="331" t="s">
        <v>919</v>
      </c>
      <c r="AB341" s="331" t="s">
        <v>920</v>
      </c>
      <c r="AC341" s="331" t="s">
        <v>337</v>
      </c>
      <c r="AD341" s="331" t="s">
        <v>24</v>
      </c>
      <c r="AE341" s="329">
        <v>221</v>
      </c>
      <c r="AF341" s="331" t="s">
        <v>254</v>
      </c>
      <c r="AG341" s="329"/>
      <c r="AH341" s="329">
        <v>17</v>
      </c>
      <c r="AI341" s="331" t="s">
        <v>280</v>
      </c>
      <c r="AJ341" s="331" t="s">
        <v>281</v>
      </c>
      <c r="AK341" s="331" t="s">
        <v>272</v>
      </c>
      <c r="AL341" s="331" t="s">
        <v>301</v>
      </c>
      <c r="AM341" s="331" t="s">
        <v>289</v>
      </c>
      <c r="AN341" s="331" t="s">
        <v>273</v>
      </c>
      <c r="AO341" s="331" t="s">
        <v>351</v>
      </c>
      <c r="AP341" s="329"/>
      <c r="AQ341" s="329"/>
      <c r="AR341" s="329"/>
      <c r="AS341" s="329"/>
      <c r="AT341" s="329" t="s">
        <v>319</v>
      </c>
      <c r="AU341" s="329" t="s">
        <v>256</v>
      </c>
      <c r="AV341" s="331" t="s">
        <v>403</v>
      </c>
      <c r="AW341" s="329"/>
      <c r="AX341" s="329"/>
      <c r="AY341" s="329"/>
      <c r="AZ341" s="329"/>
      <c r="BA341" s="329"/>
      <c r="BB341" s="329"/>
      <c r="BC341" s="329"/>
      <c r="BD341" s="329"/>
      <c r="BE341" s="329" t="s">
        <v>257</v>
      </c>
      <c r="BF341" s="329" t="s">
        <v>834</v>
      </c>
      <c r="BG341" s="329"/>
      <c r="BH341" s="329"/>
      <c r="BI341" s="329"/>
      <c r="BJ341" s="329"/>
      <c r="BK341" s="329">
        <v>20400</v>
      </c>
      <c r="BL341" s="329"/>
      <c r="BM341" s="331" t="s">
        <v>278</v>
      </c>
      <c r="BN341" s="329" t="s">
        <v>922</v>
      </c>
      <c r="BO341" s="333">
        <v>43753</v>
      </c>
      <c r="BP341" s="329"/>
      <c r="BQ341" s="329"/>
      <c r="BR341" s="329"/>
      <c r="BS341" s="329"/>
      <c r="BT341" s="329"/>
      <c r="BU341" s="331" t="s">
        <v>261</v>
      </c>
      <c r="BV341" s="329"/>
      <c r="BW341" s="329"/>
      <c r="BX341" s="329"/>
      <c r="BY341" s="331" t="s">
        <v>1596</v>
      </c>
      <c r="BZ341" s="331" t="s">
        <v>1597</v>
      </c>
      <c r="CA341" s="331" t="s">
        <v>1598</v>
      </c>
      <c r="CB341" s="331" t="s">
        <v>403</v>
      </c>
      <c r="CC341" s="331" t="s">
        <v>1595</v>
      </c>
    </row>
    <row r="342" spans="1:81" x14ac:dyDescent="0.25">
      <c r="A342" s="329">
        <v>197730</v>
      </c>
      <c r="B342" s="331" t="s">
        <v>1599</v>
      </c>
      <c r="C342" s="329">
        <v>34969</v>
      </c>
      <c r="D342" s="331" t="s">
        <v>488</v>
      </c>
      <c r="E342" s="331" t="s">
        <v>478</v>
      </c>
      <c r="F342" s="331" t="s">
        <v>1600</v>
      </c>
      <c r="G342" s="331" t="s">
        <v>1601</v>
      </c>
      <c r="H342" s="331" t="s">
        <v>1602</v>
      </c>
      <c r="I342" s="331" t="s">
        <v>412</v>
      </c>
      <c r="J342" s="331" t="s">
        <v>327</v>
      </c>
      <c r="K342" s="331" t="s">
        <v>1603</v>
      </c>
      <c r="L342" s="329"/>
      <c r="M342" s="329">
        <v>6</v>
      </c>
      <c r="N342" s="329">
        <v>0</v>
      </c>
      <c r="O342" s="329">
        <v>3.1589999999999998</v>
      </c>
      <c r="P342" s="329"/>
      <c r="Q342" s="333">
        <v>43704.444444444445</v>
      </c>
      <c r="R342" s="329"/>
      <c r="S342" s="333">
        <v>43749</v>
      </c>
      <c r="T342" s="329">
        <v>55</v>
      </c>
      <c r="U342" s="333">
        <v>43749</v>
      </c>
      <c r="V342" s="333">
        <v>44109</v>
      </c>
      <c r="W342" s="329" t="b">
        <v>1</v>
      </c>
      <c r="X342" s="331" t="s">
        <v>22</v>
      </c>
      <c r="Y342" s="329">
        <v>429</v>
      </c>
      <c r="Z342" s="331" t="s">
        <v>23</v>
      </c>
      <c r="AA342" s="331" t="s">
        <v>919</v>
      </c>
      <c r="AB342" s="331" t="s">
        <v>920</v>
      </c>
      <c r="AC342" s="331" t="s">
        <v>1604</v>
      </c>
      <c r="AD342" s="331" t="s">
        <v>24</v>
      </c>
      <c r="AE342" s="329">
        <v>221</v>
      </c>
      <c r="AF342" s="331" t="s">
        <v>254</v>
      </c>
      <c r="AG342" s="329"/>
      <c r="AH342" s="329">
        <v>17</v>
      </c>
      <c r="AI342" s="331" t="s">
        <v>280</v>
      </c>
      <c r="AJ342" s="331" t="s">
        <v>281</v>
      </c>
      <c r="AK342" s="331" t="s">
        <v>301</v>
      </c>
      <c r="AL342" s="331" t="s">
        <v>299</v>
      </c>
      <c r="AM342" s="331" t="s">
        <v>300</v>
      </c>
      <c r="AN342" s="331" t="s">
        <v>299</v>
      </c>
      <c r="AO342" s="331" t="s">
        <v>301</v>
      </c>
      <c r="AP342" s="329"/>
      <c r="AQ342" s="329"/>
      <c r="AR342" s="329"/>
      <c r="AS342" s="329"/>
      <c r="AT342" s="329" t="s">
        <v>842</v>
      </c>
      <c r="AU342" s="329" t="s">
        <v>256</v>
      </c>
      <c r="AV342" s="331" t="s">
        <v>327</v>
      </c>
      <c r="AW342" s="329"/>
      <c r="AX342" s="329"/>
      <c r="AY342" s="329"/>
      <c r="AZ342" s="329"/>
      <c r="BA342" s="329"/>
      <c r="BB342" s="329"/>
      <c r="BC342" s="329"/>
      <c r="BD342" s="329"/>
      <c r="BE342" s="329" t="s">
        <v>257</v>
      </c>
      <c r="BF342" s="329" t="s">
        <v>830</v>
      </c>
      <c r="BG342" s="329"/>
      <c r="BH342" s="329"/>
      <c r="BI342" s="329"/>
      <c r="BJ342" s="329"/>
      <c r="BK342" s="329">
        <v>12000</v>
      </c>
      <c r="BL342" s="329"/>
      <c r="BM342" s="331" t="s">
        <v>26</v>
      </c>
      <c r="BN342" s="329" t="s">
        <v>922</v>
      </c>
      <c r="BO342" s="333">
        <v>43753</v>
      </c>
      <c r="BP342" s="329"/>
      <c r="BQ342" s="329"/>
      <c r="BR342" s="329"/>
      <c r="BS342" s="329"/>
      <c r="BT342" s="329"/>
      <c r="BU342" s="331" t="s">
        <v>261</v>
      </c>
      <c r="BV342" s="329"/>
      <c r="BW342" s="329"/>
      <c r="BX342" s="329"/>
      <c r="BY342" s="331" t="s">
        <v>1605</v>
      </c>
      <c r="BZ342" s="331" t="s">
        <v>1606</v>
      </c>
      <c r="CA342" s="331" t="s">
        <v>413</v>
      </c>
      <c r="CB342" s="331" t="s">
        <v>327</v>
      </c>
      <c r="CC342" s="331" t="s">
        <v>1607</v>
      </c>
    </row>
    <row r="343" spans="1:81" x14ac:dyDescent="0.25">
      <c r="A343" s="329">
        <v>195135</v>
      </c>
      <c r="B343" s="331" t="s">
        <v>1608</v>
      </c>
      <c r="C343" s="329">
        <v>34243</v>
      </c>
      <c r="D343" s="331" t="s">
        <v>1609</v>
      </c>
      <c r="E343" s="331" t="s">
        <v>1610</v>
      </c>
      <c r="F343" s="331" t="s">
        <v>1611</v>
      </c>
      <c r="G343" s="331" t="s">
        <v>1612</v>
      </c>
      <c r="H343" s="331" t="s">
        <v>1613</v>
      </c>
      <c r="I343" s="331" t="s">
        <v>1614</v>
      </c>
      <c r="J343" s="331" t="s">
        <v>306</v>
      </c>
      <c r="K343" s="331" t="s">
        <v>1615</v>
      </c>
      <c r="L343" s="329"/>
      <c r="M343" s="329">
        <v>6</v>
      </c>
      <c r="N343" s="329">
        <v>0</v>
      </c>
      <c r="O343" s="329">
        <v>3.1080000000000001</v>
      </c>
      <c r="P343" s="329"/>
      <c r="Q343" s="333">
        <v>43631.6875</v>
      </c>
      <c r="R343" s="329"/>
      <c r="S343" s="333">
        <v>43749</v>
      </c>
      <c r="T343" s="329">
        <v>55</v>
      </c>
      <c r="U343" s="333">
        <v>43749</v>
      </c>
      <c r="V343" s="333">
        <v>44109</v>
      </c>
      <c r="W343" s="329" t="b">
        <v>1</v>
      </c>
      <c r="X343" s="331" t="s">
        <v>22</v>
      </c>
      <c r="Y343" s="329">
        <v>726</v>
      </c>
      <c r="Z343" s="331" t="s">
        <v>25</v>
      </c>
      <c r="AA343" s="331" t="s">
        <v>919</v>
      </c>
      <c r="AB343" s="331" t="s">
        <v>920</v>
      </c>
      <c r="AC343" s="331" t="s">
        <v>1252</v>
      </c>
      <c r="AD343" s="331" t="s">
        <v>24</v>
      </c>
      <c r="AE343" s="329">
        <v>221</v>
      </c>
      <c r="AF343" s="331" t="s">
        <v>254</v>
      </c>
      <c r="AG343" s="329"/>
      <c r="AH343" s="329">
        <v>17</v>
      </c>
      <c r="AI343" s="331" t="s">
        <v>280</v>
      </c>
      <c r="AJ343" s="331" t="s">
        <v>281</v>
      </c>
      <c r="AK343" s="331" t="s">
        <v>331</v>
      </c>
      <c r="AL343" s="331" t="s">
        <v>330</v>
      </c>
      <c r="AM343" s="331" t="s">
        <v>329</v>
      </c>
      <c r="AN343" s="331" t="s">
        <v>290</v>
      </c>
      <c r="AO343" s="331" t="s">
        <v>301</v>
      </c>
      <c r="AP343" s="329"/>
      <c r="AQ343" s="329"/>
      <c r="AR343" s="329"/>
      <c r="AS343" s="329"/>
      <c r="AT343" s="329" t="s">
        <v>266</v>
      </c>
      <c r="AU343" s="329" t="s">
        <v>283</v>
      </c>
      <c r="AV343" s="331" t="s">
        <v>306</v>
      </c>
      <c r="AW343" s="329"/>
      <c r="AX343" s="329"/>
      <c r="AY343" s="329"/>
      <c r="AZ343" s="329"/>
      <c r="BA343" s="329"/>
      <c r="BB343" s="329"/>
      <c r="BC343" s="329"/>
      <c r="BD343" s="329"/>
      <c r="BE343" s="329" t="s">
        <v>257</v>
      </c>
      <c r="BF343" s="329" t="s">
        <v>837</v>
      </c>
      <c r="BG343" s="329"/>
      <c r="BH343" s="329"/>
      <c r="BI343" s="329"/>
      <c r="BJ343" s="329"/>
      <c r="BK343" s="329">
        <v>15000</v>
      </c>
      <c r="BL343" s="329"/>
      <c r="BM343" s="331" t="s">
        <v>295</v>
      </c>
      <c r="BN343" s="329" t="s">
        <v>922</v>
      </c>
      <c r="BO343" s="333">
        <v>43753</v>
      </c>
      <c r="BP343" s="329"/>
      <c r="BQ343" s="329"/>
      <c r="BR343" s="329"/>
      <c r="BS343" s="329"/>
      <c r="BT343" s="329"/>
      <c r="BU343" s="331" t="s">
        <v>261</v>
      </c>
      <c r="BV343" s="329"/>
      <c r="BW343" s="329"/>
      <c r="BX343" s="329"/>
      <c r="BY343" s="331" t="s">
        <v>1616</v>
      </c>
      <c r="BZ343" s="331" t="s">
        <v>1617</v>
      </c>
      <c r="CA343" s="331" t="s">
        <v>1618</v>
      </c>
      <c r="CB343" s="331" t="s">
        <v>306</v>
      </c>
      <c r="CC343" s="331" t="s">
        <v>1615</v>
      </c>
    </row>
    <row r="344" spans="1:81" x14ac:dyDescent="0.25">
      <c r="A344" s="329">
        <v>197686</v>
      </c>
      <c r="B344" s="331" t="s">
        <v>1619</v>
      </c>
      <c r="C344" s="329">
        <v>34952</v>
      </c>
      <c r="D344" s="331" t="s">
        <v>1620</v>
      </c>
      <c r="E344" s="331" t="s">
        <v>1621</v>
      </c>
      <c r="F344" s="331" t="s">
        <v>1622</v>
      </c>
      <c r="G344" s="331" t="s">
        <v>1623</v>
      </c>
      <c r="H344" s="331" t="s">
        <v>1624</v>
      </c>
      <c r="I344" s="331" t="s">
        <v>1625</v>
      </c>
      <c r="J344" s="331" t="s">
        <v>251</v>
      </c>
      <c r="K344" s="331" t="s">
        <v>1626</v>
      </c>
      <c r="L344" s="329"/>
      <c r="M344" s="329">
        <v>6</v>
      </c>
      <c r="N344" s="329">
        <v>0</v>
      </c>
      <c r="O344" s="329">
        <v>3.0556000000000001</v>
      </c>
      <c r="P344" s="329"/>
      <c r="Q344" s="333">
        <v>43723.655555555553</v>
      </c>
      <c r="R344" s="329"/>
      <c r="S344" s="333">
        <v>43749</v>
      </c>
      <c r="T344" s="329">
        <v>55</v>
      </c>
      <c r="U344" s="333">
        <v>43749</v>
      </c>
      <c r="V344" s="333">
        <v>44109</v>
      </c>
      <c r="W344" s="329" t="b">
        <v>1</v>
      </c>
      <c r="X344" s="331" t="s">
        <v>187</v>
      </c>
      <c r="Y344" s="329">
        <v>718</v>
      </c>
      <c r="Z344" s="331" t="s">
        <v>23</v>
      </c>
      <c r="AA344" s="331" t="s">
        <v>919</v>
      </c>
      <c r="AB344" s="331" t="s">
        <v>920</v>
      </c>
      <c r="AC344" s="331" t="s">
        <v>264</v>
      </c>
      <c r="AD344" s="331" t="s">
        <v>24</v>
      </c>
      <c r="AE344" s="329">
        <v>221</v>
      </c>
      <c r="AF344" s="331" t="s">
        <v>254</v>
      </c>
      <c r="AG344" s="329"/>
      <c r="AH344" s="329">
        <v>17</v>
      </c>
      <c r="AI344" s="331" t="s">
        <v>280</v>
      </c>
      <c r="AJ344" s="331" t="s">
        <v>281</v>
      </c>
      <c r="AK344" s="329"/>
      <c r="AL344" s="329"/>
      <c r="AM344" s="329"/>
      <c r="AN344" s="329"/>
      <c r="AO344" s="329"/>
      <c r="AP344" s="331" t="s">
        <v>800</v>
      </c>
      <c r="AQ344" s="329">
        <v>460</v>
      </c>
      <c r="AR344" s="329">
        <v>470</v>
      </c>
      <c r="AS344" s="329"/>
      <c r="AT344" s="329" t="s">
        <v>409</v>
      </c>
      <c r="AU344" s="329" t="s">
        <v>283</v>
      </c>
      <c r="AV344" s="331" t="s">
        <v>251</v>
      </c>
      <c r="AW344" s="329"/>
      <c r="AX344" s="329"/>
      <c r="AY344" s="329"/>
      <c r="AZ344" s="329"/>
      <c r="BA344" s="329"/>
      <c r="BB344" s="329"/>
      <c r="BC344" s="329"/>
      <c r="BD344" s="329"/>
      <c r="BE344" s="329"/>
      <c r="BF344" s="329"/>
      <c r="BG344" s="329"/>
      <c r="BH344" s="329"/>
      <c r="BI344" s="329"/>
      <c r="BJ344" s="329"/>
      <c r="BK344" s="329">
        <v>0</v>
      </c>
      <c r="BL344" s="329"/>
      <c r="BM344" s="331" t="s">
        <v>27</v>
      </c>
      <c r="BN344" s="329" t="s">
        <v>922</v>
      </c>
      <c r="BO344" s="333">
        <v>43753</v>
      </c>
      <c r="BP344" s="329"/>
      <c r="BQ344" s="329"/>
      <c r="BR344" s="329"/>
      <c r="BS344" s="329"/>
      <c r="BT344" s="329"/>
      <c r="BU344" s="331" t="s">
        <v>261</v>
      </c>
      <c r="BV344" s="329"/>
      <c r="BW344" s="329"/>
      <c r="BX344" s="329"/>
      <c r="BY344" s="331" t="s">
        <v>1627</v>
      </c>
      <c r="BZ344" s="331" t="s">
        <v>1628</v>
      </c>
      <c r="CA344" s="331" t="s">
        <v>1629</v>
      </c>
      <c r="CB344" s="331" t="s">
        <v>251</v>
      </c>
      <c r="CC344" s="331" t="s">
        <v>1626</v>
      </c>
    </row>
    <row r="345" spans="1:81" x14ac:dyDescent="0.25">
      <c r="A345" s="329">
        <v>196242</v>
      </c>
      <c r="B345" s="331" t="s">
        <v>1630</v>
      </c>
      <c r="C345" s="329">
        <v>34566</v>
      </c>
      <c r="D345" s="331" t="s">
        <v>1631</v>
      </c>
      <c r="E345" s="331" t="s">
        <v>1632</v>
      </c>
      <c r="F345" s="331" t="s">
        <v>1633</v>
      </c>
      <c r="G345" s="331" t="s">
        <v>1634</v>
      </c>
      <c r="H345" s="331" t="s">
        <v>1635</v>
      </c>
      <c r="I345" s="331" t="s">
        <v>1636</v>
      </c>
      <c r="J345" s="331" t="s">
        <v>396</v>
      </c>
      <c r="K345" s="331" t="s">
        <v>1637</v>
      </c>
      <c r="L345" s="329"/>
      <c r="M345" s="329">
        <v>6</v>
      </c>
      <c r="N345" s="329">
        <v>0</v>
      </c>
      <c r="O345" s="329">
        <v>2.7082999999999999</v>
      </c>
      <c r="P345" s="329"/>
      <c r="Q345" s="333">
        <v>43514.729166666664</v>
      </c>
      <c r="R345" s="329"/>
      <c r="S345" s="333">
        <v>43754</v>
      </c>
      <c r="T345" s="329">
        <v>55</v>
      </c>
      <c r="U345" s="333">
        <v>43754</v>
      </c>
      <c r="V345" s="333">
        <v>44109</v>
      </c>
      <c r="W345" s="329" t="b">
        <v>1</v>
      </c>
      <c r="X345" s="331" t="s">
        <v>187</v>
      </c>
      <c r="Y345" s="329">
        <v>718</v>
      </c>
      <c r="Z345" s="331" t="s">
        <v>23</v>
      </c>
      <c r="AA345" s="331" t="s">
        <v>919</v>
      </c>
      <c r="AB345" s="331" t="s">
        <v>920</v>
      </c>
      <c r="AC345" s="331" t="s">
        <v>826</v>
      </c>
      <c r="AD345" s="331" t="s">
        <v>24</v>
      </c>
      <c r="AE345" s="329">
        <v>221</v>
      </c>
      <c r="AF345" s="331" t="s">
        <v>254</v>
      </c>
      <c r="AG345" s="329"/>
      <c r="AH345" s="329">
        <v>17</v>
      </c>
      <c r="AI345" s="331" t="s">
        <v>280</v>
      </c>
      <c r="AJ345" s="331" t="s">
        <v>281</v>
      </c>
      <c r="AK345" s="329"/>
      <c r="AL345" s="329"/>
      <c r="AM345" s="329"/>
      <c r="AN345" s="329"/>
      <c r="AO345" s="329"/>
      <c r="AP345" s="329"/>
      <c r="AQ345" s="329"/>
      <c r="AR345" s="329"/>
      <c r="AS345" s="329"/>
      <c r="AT345" s="329" t="s">
        <v>258</v>
      </c>
      <c r="AU345" s="329" t="s">
        <v>283</v>
      </c>
      <c r="AV345" s="331" t="s">
        <v>396</v>
      </c>
      <c r="AW345" s="329"/>
      <c r="AX345" s="329"/>
      <c r="AY345" s="329"/>
      <c r="AZ345" s="329"/>
      <c r="BA345" s="329"/>
      <c r="BB345" s="329"/>
      <c r="BC345" s="329"/>
      <c r="BD345" s="329"/>
      <c r="BE345" s="329"/>
      <c r="BF345" s="329"/>
      <c r="BG345" s="329"/>
      <c r="BH345" s="329"/>
      <c r="BI345" s="329"/>
      <c r="BJ345" s="329"/>
      <c r="BK345" s="329">
        <v>0</v>
      </c>
      <c r="BL345" s="329"/>
      <c r="BM345" s="331" t="s">
        <v>28</v>
      </c>
      <c r="BN345" s="329" t="s">
        <v>922</v>
      </c>
      <c r="BO345" s="333">
        <v>43753</v>
      </c>
      <c r="BP345" s="329"/>
      <c r="BQ345" s="329"/>
      <c r="BR345" s="329"/>
      <c r="BS345" s="329"/>
      <c r="BT345" s="329"/>
      <c r="BU345" s="331" t="s">
        <v>261</v>
      </c>
      <c r="BV345" s="329"/>
      <c r="BW345" s="329"/>
      <c r="BX345" s="329"/>
      <c r="BY345" s="331" t="s">
        <v>1638</v>
      </c>
      <c r="BZ345" s="331" t="s">
        <v>1639</v>
      </c>
      <c r="CA345" s="331" t="s">
        <v>1640</v>
      </c>
      <c r="CB345" s="331" t="s">
        <v>396</v>
      </c>
      <c r="CC345" s="331" t="s">
        <v>1637</v>
      </c>
    </row>
    <row r="346" spans="1:81" x14ac:dyDescent="0.25">
      <c r="A346" s="329">
        <v>197630</v>
      </c>
      <c r="B346" s="331" t="s">
        <v>1653</v>
      </c>
      <c r="C346" s="329">
        <v>34928</v>
      </c>
      <c r="D346" s="331" t="s">
        <v>1654</v>
      </c>
      <c r="E346" s="331" t="s">
        <v>317</v>
      </c>
      <c r="F346" s="331" t="s">
        <v>1655</v>
      </c>
      <c r="G346" s="331" t="s">
        <v>1656</v>
      </c>
      <c r="H346" s="331" t="s">
        <v>5361</v>
      </c>
      <c r="I346" s="331" t="s">
        <v>725</v>
      </c>
      <c r="J346" s="331" t="s">
        <v>292</v>
      </c>
      <c r="K346" s="331" t="s">
        <v>1657</v>
      </c>
      <c r="L346" s="329"/>
      <c r="M346" s="329">
        <v>6</v>
      </c>
      <c r="N346" s="329">
        <v>0</v>
      </c>
      <c r="O346" s="329">
        <v>3.5</v>
      </c>
      <c r="P346" s="329"/>
      <c r="Q346" s="333">
        <v>43628.604386574072</v>
      </c>
      <c r="R346" s="329"/>
      <c r="S346" s="333">
        <v>43749</v>
      </c>
      <c r="T346" s="329">
        <v>55</v>
      </c>
      <c r="U346" s="333">
        <v>43749</v>
      </c>
      <c r="V346" s="333">
        <v>44109</v>
      </c>
      <c r="W346" s="329" t="b">
        <v>1</v>
      </c>
      <c r="X346" s="331" t="s">
        <v>22</v>
      </c>
      <c r="Y346" s="329">
        <v>726</v>
      </c>
      <c r="Z346" s="331" t="s">
        <v>23</v>
      </c>
      <c r="AA346" s="331" t="s">
        <v>919</v>
      </c>
      <c r="AB346" s="331" t="s">
        <v>920</v>
      </c>
      <c r="AC346" s="331" t="s">
        <v>1658</v>
      </c>
      <c r="AD346" s="331" t="s">
        <v>24</v>
      </c>
      <c r="AE346" s="329">
        <v>221</v>
      </c>
      <c r="AF346" s="331" t="s">
        <v>254</v>
      </c>
      <c r="AG346" s="329"/>
      <c r="AH346" s="329">
        <v>17</v>
      </c>
      <c r="AI346" s="331" t="s">
        <v>280</v>
      </c>
      <c r="AJ346" s="331" t="s">
        <v>281</v>
      </c>
      <c r="AK346" s="329"/>
      <c r="AL346" s="329"/>
      <c r="AM346" s="329"/>
      <c r="AN346" s="329"/>
      <c r="AO346" s="329"/>
      <c r="AP346" s="331" t="s">
        <v>356</v>
      </c>
      <c r="AQ346" s="329">
        <v>540</v>
      </c>
      <c r="AR346" s="329">
        <v>510</v>
      </c>
      <c r="AS346" s="329"/>
      <c r="AT346" s="329" t="s">
        <v>353</v>
      </c>
      <c r="AU346" s="329" t="s">
        <v>579</v>
      </c>
      <c r="AV346" s="331" t="s">
        <v>292</v>
      </c>
      <c r="AW346" s="329"/>
      <c r="AX346" s="329"/>
      <c r="AY346" s="329"/>
      <c r="AZ346" s="329"/>
      <c r="BA346" s="329"/>
      <c r="BB346" s="329"/>
      <c r="BC346" s="329"/>
      <c r="BD346" s="329"/>
      <c r="BE346" s="329" t="s">
        <v>257</v>
      </c>
      <c r="BF346" s="329" t="s">
        <v>836</v>
      </c>
      <c r="BG346" s="329"/>
      <c r="BH346" s="329"/>
      <c r="BI346" s="329"/>
      <c r="BJ346" s="329"/>
      <c r="BK346" s="329">
        <v>18000</v>
      </c>
      <c r="BL346" s="329"/>
      <c r="BM346" s="331" t="s">
        <v>310</v>
      </c>
      <c r="BN346" s="329" t="s">
        <v>922</v>
      </c>
      <c r="BO346" s="333">
        <v>43753</v>
      </c>
      <c r="BP346" s="329"/>
      <c r="BQ346" s="329"/>
      <c r="BR346" s="329"/>
      <c r="BS346" s="329"/>
      <c r="BT346" s="329"/>
      <c r="BU346" s="331" t="s">
        <v>261</v>
      </c>
      <c r="BV346" s="329"/>
      <c r="BW346" s="329"/>
      <c r="BX346" s="329"/>
      <c r="BY346" s="331" t="s">
        <v>1659</v>
      </c>
      <c r="BZ346" s="331" t="s">
        <v>1660</v>
      </c>
      <c r="CA346" s="331" t="s">
        <v>1661</v>
      </c>
      <c r="CB346" s="331" t="s">
        <v>292</v>
      </c>
      <c r="CC346" s="331" t="s">
        <v>1662</v>
      </c>
    </row>
    <row r="347" spans="1:81" x14ac:dyDescent="0.25">
      <c r="A347" s="329">
        <v>194366</v>
      </c>
      <c r="B347" s="331" t="s">
        <v>1663</v>
      </c>
      <c r="C347" s="329">
        <v>34103</v>
      </c>
      <c r="D347" s="331" t="s">
        <v>1664</v>
      </c>
      <c r="E347" s="331" t="s">
        <v>738</v>
      </c>
      <c r="F347" s="331" t="s">
        <v>1665</v>
      </c>
      <c r="G347" s="331" t="s">
        <v>1666</v>
      </c>
      <c r="H347" s="331" t="s">
        <v>1667</v>
      </c>
      <c r="I347" s="331" t="s">
        <v>1668</v>
      </c>
      <c r="J347" s="331" t="s">
        <v>376</v>
      </c>
      <c r="K347" s="331" t="s">
        <v>1669</v>
      </c>
      <c r="L347" s="329"/>
      <c r="M347" s="329">
        <v>6</v>
      </c>
      <c r="N347" s="329">
        <v>0</v>
      </c>
      <c r="O347" s="329">
        <v>3.6093000000000002</v>
      </c>
      <c r="P347" s="329"/>
      <c r="Q347" s="333">
        <v>43633.799305555556</v>
      </c>
      <c r="R347" s="329"/>
      <c r="S347" s="333">
        <v>43749</v>
      </c>
      <c r="T347" s="329">
        <v>55</v>
      </c>
      <c r="U347" s="333">
        <v>43749</v>
      </c>
      <c r="V347" s="333">
        <v>44109</v>
      </c>
      <c r="W347" s="329" t="b">
        <v>1</v>
      </c>
      <c r="X347" s="331" t="s">
        <v>187</v>
      </c>
      <c r="Y347" s="329">
        <v>718</v>
      </c>
      <c r="Z347" s="331" t="s">
        <v>23</v>
      </c>
      <c r="AA347" s="331" t="s">
        <v>919</v>
      </c>
      <c r="AB347" s="331" t="s">
        <v>920</v>
      </c>
      <c r="AC347" s="331" t="s">
        <v>1670</v>
      </c>
      <c r="AD347" s="331" t="s">
        <v>24</v>
      </c>
      <c r="AE347" s="329">
        <v>221</v>
      </c>
      <c r="AF347" s="331" t="s">
        <v>254</v>
      </c>
      <c r="AG347" s="329"/>
      <c r="AH347" s="329">
        <v>17</v>
      </c>
      <c r="AI347" s="331" t="s">
        <v>280</v>
      </c>
      <c r="AJ347" s="331" t="s">
        <v>281</v>
      </c>
      <c r="AK347" s="331" t="s">
        <v>272</v>
      </c>
      <c r="AL347" s="331" t="s">
        <v>347</v>
      </c>
      <c r="AM347" s="331" t="s">
        <v>274</v>
      </c>
      <c r="AN347" s="331" t="s">
        <v>347</v>
      </c>
      <c r="AO347" s="331" t="s">
        <v>289</v>
      </c>
      <c r="AP347" s="329"/>
      <c r="AQ347" s="329"/>
      <c r="AR347" s="329"/>
      <c r="AS347" s="329"/>
      <c r="AT347" s="329" t="s">
        <v>349</v>
      </c>
      <c r="AU347" s="329" t="s">
        <v>283</v>
      </c>
      <c r="AV347" s="331" t="s">
        <v>376</v>
      </c>
      <c r="AW347" s="329"/>
      <c r="AX347" s="329"/>
      <c r="AY347" s="329"/>
      <c r="AZ347" s="329"/>
      <c r="BA347" s="329"/>
      <c r="BB347" s="329"/>
      <c r="BC347" s="329"/>
      <c r="BD347" s="329"/>
      <c r="BE347" s="329" t="s">
        <v>257</v>
      </c>
      <c r="BF347" s="329" t="s">
        <v>834</v>
      </c>
      <c r="BG347" s="329"/>
      <c r="BH347" s="329"/>
      <c r="BI347" s="329"/>
      <c r="BJ347" s="329"/>
      <c r="BK347" s="329">
        <v>20400</v>
      </c>
      <c r="BL347" s="329"/>
      <c r="BM347" s="331" t="s">
        <v>278</v>
      </c>
      <c r="BN347" s="329" t="s">
        <v>922</v>
      </c>
      <c r="BO347" s="333">
        <v>43753</v>
      </c>
      <c r="BP347" s="329"/>
      <c r="BQ347" s="329"/>
      <c r="BR347" s="329"/>
      <c r="BS347" s="329"/>
      <c r="BT347" s="329"/>
      <c r="BU347" s="331" t="s">
        <v>261</v>
      </c>
      <c r="BV347" s="329"/>
      <c r="BW347" s="329"/>
      <c r="BX347" s="329"/>
      <c r="BY347" s="331" t="s">
        <v>1671</v>
      </c>
      <c r="BZ347" s="331" t="s">
        <v>1672</v>
      </c>
      <c r="CA347" s="331" t="s">
        <v>1673</v>
      </c>
      <c r="CB347" s="331" t="s">
        <v>376</v>
      </c>
      <c r="CC347" s="331" t="s">
        <v>1674</v>
      </c>
    </row>
    <row r="348" spans="1:81" x14ac:dyDescent="0.25">
      <c r="A348" s="329">
        <v>194134</v>
      </c>
      <c r="B348" s="331" t="s">
        <v>1675</v>
      </c>
      <c r="C348" s="329">
        <v>34043</v>
      </c>
      <c r="D348" s="331" t="s">
        <v>1664</v>
      </c>
      <c r="E348" s="331" t="s">
        <v>1676</v>
      </c>
      <c r="F348" s="331" t="s">
        <v>1677</v>
      </c>
      <c r="G348" s="331" t="s">
        <v>4959</v>
      </c>
      <c r="H348" s="331" t="s">
        <v>1678</v>
      </c>
      <c r="I348" s="331" t="s">
        <v>743</v>
      </c>
      <c r="J348" s="331" t="s">
        <v>496</v>
      </c>
      <c r="K348" s="331" t="s">
        <v>1679</v>
      </c>
      <c r="L348" s="329"/>
      <c r="M348" s="329">
        <v>6</v>
      </c>
      <c r="N348" s="329">
        <v>0</v>
      </c>
      <c r="O348" s="329">
        <v>3</v>
      </c>
      <c r="P348" s="329"/>
      <c r="Q348" s="333">
        <v>43603.642361111109</v>
      </c>
      <c r="R348" s="329"/>
      <c r="S348" s="333">
        <v>43749</v>
      </c>
      <c r="T348" s="329">
        <v>55</v>
      </c>
      <c r="U348" s="333">
        <v>43749</v>
      </c>
      <c r="V348" s="333">
        <v>44109</v>
      </c>
      <c r="W348" s="329" t="b">
        <v>1</v>
      </c>
      <c r="X348" s="331" t="s">
        <v>905</v>
      </c>
      <c r="Y348" s="329">
        <v>747</v>
      </c>
      <c r="Z348" s="331" t="s">
        <v>23</v>
      </c>
      <c r="AA348" s="331" t="s">
        <v>919</v>
      </c>
      <c r="AB348" s="331" t="s">
        <v>920</v>
      </c>
      <c r="AC348" s="331" t="s">
        <v>1264</v>
      </c>
      <c r="AD348" s="331" t="s">
        <v>24</v>
      </c>
      <c r="AE348" s="329">
        <v>221</v>
      </c>
      <c r="AF348" s="331" t="s">
        <v>254</v>
      </c>
      <c r="AG348" s="329"/>
      <c r="AH348" s="329">
        <v>17</v>
      </c>
      <c r="AI348" s="331" t="s">
        <v>280</v>
      </c>
      <c r="AJ348" s="331" t="s">
        <v>281</v>
      </c>
      <c r="AK348" s="329"/>
      <c r="AL348" s="329"/>
      <c r="AM348" s="329"/>
      <c r="AN348" s="329"/>
      <c r="AO348" s="329"/>
      <c r="AP348" s="329"/>
      <c r="AQ348" s="329"/>
      <c r="AR348" s="329"/>
      <c r="AS348" s="329"/>
      <c r="AT348" s="329" t="s">
        <v>258</v>
      </c>
      <c r="AU348" s="329" t="s">
        <v>283</v>
      </c>
      <c r="AV348" s="331" t="s">
        <v>496</v>
      </c>
      <c r="AW348" s="329"/>
      <c r="AX348" s="329"/>
      <c r="AY348" s="329"/>
      <c r="AZ348" s="329"/>
      <c r="BA348" s="329"/>
      <c r="BB348" s="329"/>
      <c r="BC348" s="329"/>
      <c r="BD348" s="329"/>
      <c r="BE348" s="329"/>
      <c r="BF348" s="329"/>
      <c r="BG348" s="329"/>
      <c r="BH348" s="329"/>
      <c r="BI348" s="329"/>
      <c r="BJ348" s="329"/>
      <c r="BK348" s="329">
        <v>0</v>
      </c>
      <c r="BL348" s="329"/>
      <c r="BM348" s="331" t="s">
        <v>27</v>
      </c>
      <c r="BN348" s="329" t="s">
        <v>922</v>
      </c>
      <c r="BO348" s="333">
        <v>43753</v>
      </c>
      <c r="BP348" s="329"/>
      <c r="BQ348" s="329"/>
      <c r="BR348" s="329"/>
      <c r="BS348" s="329"/>
      <c r="BT348" s="329"/>
      <c r="BU348" s="331" t="s">
        <v>261</v>
      </c>
      <c r="BV348" s="329"/>
      <c r="BW348" s="329"/>
      <c r="BX348" s="329"/>
      <c r="BY348" s="331" t="s">
        <v>741</v>
      </c>
      <c r="BZ348" s="331" t="s">
        <v>742</v>
      </c>
      <c r="CA348" s="331" t="s">
        <v>743</v>
      </c>
      <c r="CB348" s="331" t="s">
        <v>496</v>
      </c>
      <c r="CC348" s="331" t="s">
        <v>744</v>
      </c>
    </row>
    <row r="349" spans="1:81" x14ac:dyDescent="0.25">
      <c r="A349" s="329">
        <v>195130</v>
      </c>
      <c r="B349" s="331" t="s">
        <v>1680</v>
      </c>
      <c r="C349" s="329">
        <v>34240</v>
      </c>
      <c r="D349" s="331" t="s">
        <v>1681</v>
      </c>
      <c r="E349" s="331" t="s">
        <v>1682</v>
      </c>
      <c r="F349" s="331" t="s">
        <v>1683</v>
      </c>
      <c r="G349" s="331" t="s">
        <v>1684</v>
      </c>
      <c r="H349" s="331" t="s">
        <v>1685</v>
      </c>
      <c r="I349" s="331" t="s">
        <v>1686</v>
      </c>
      <c r="J349" s="331" t="s">
        <v>441</v>
      </c>
      <c r="K349" s="331" t="s">
        <v>1687</v>
      </c>
      <c r="L349" s="329"/>
      <c r="M349" s="329">
        <v>6</v>
      </c>
      <c r="N349" s="329">
        <v>0</v>
      </c>
      <c r="O349" s="329">
        <v>3.7970000000000002</v>
      </c>
      <c r="P349" s="329"/>
      <c r="Q349" s="333">
        <v>43649.447916666664</v>
      </c>
      <c r="R349" s="329"/>
      <c r="S349" s="333">
        <v>43749</v>
      </c>
      <c r="T349" s="329">
        <v>55</v>
      </c>
      <c r="U349" s="333">
        <v>43749</v>
      </c>
      <c r="V349" s="333">
        <v>44109</v>
      </c>
      <c r="W349" s="329" t="b">
        <v>1</v>
      </c>
      <c r="X349" s="331" t="s">
        <v>187</v>
      </c>
      <c r="Y349" s="329">
        <v>718</v>
      </c>
      <c r="Z349" s="331" t="s">
        <v>23</v>
      </c>
      <c r="AA349" s="331" t="s">
        <v>919</v>
      </c>
      <c r="AB349" s="331" t="s">
        <v>920</v>
      </c>
      <c r="AC349" s="331" t="s">
        <v>1688</v>
      </c>
      <c r="AD349" s="331" t="s">
        <v>24</v>
      </c>
      <c r="AE349" s="329">
        <v>221</v>
      </c>
      <c r="AF349" s="331" t="s">
        <v>254</v>
      </c>
      <c r="AG349" s="329"/>
      <c r="AH349" s="329">
        <v>17</v>
      </c>
      <c r="AI349" s="331" t="s">
        <v>280</v>
      </c>
      <c r="AJ349" s="331" t="s">
        <v>281</v>
      </c>
      <c r="AK349" s="331" t="s">
        <v>301</v>
      </c>
      <c r="AL349" s="331" t="s">
        <v>301</v>
      </c>
      <c r="AM349" s="331" t="s">
        <v>290</v>
      </c>
      <c r="AN349" s="331" t="s">
        <v>331</v>
      </c>
      <c r="AO349" s="331" t="s">
        <v>290</v>
      </c>
      <c r="AP349" s="329"/>
      <c r="AQ349" s="329"/>
      <c r="AR349" s="329"/>
      <c r="AS349" s="329"/>
      <c r="AT349" s="329" t="s">
        <v>294</v>
      </c>
      <c r="AU349" s="329" t="s">
        <v>256</v>
      </c>
      <c r="AV349" s="331" t="s">
        <v>441</v>
      </c>
      <c r="AW349" s="329"/>
      <c r="AX349" s="329"/>
      <c r="AY349" s="329"/>
      <c r="AZ349" s="329"/>
      <c r="BA349" s="329"/>
      <c r="BB349" s="329"/>
      <c r="BC349" s="329"/>
      <c r="BD349" s="329"/>
      <c r="BE349" s="329" t="s">
        <v>257</v>
      </c>
      <c r="BF349" s="329" t="s">
        <v>836</v>
      </c>
      <c r="BG349" s="329"/>
      <c r="BH349" s="329"/>
      <c r="BI349" s="329"/>
      <c r="BJ349" s="329"/>
      <c r="BK349" s="329">
        <v>18000</v>
      </c>
      <c r="BL349" s="329"/>
      <c r="BM349" s="331" t="s">
        <v>310</v>
      </c>
      <c r="BN349" s="329" t="s">
        <v>922</v>
      </c>
      <c r="BO349" s="333">
        <v>43753</v>
      </c>
      <c r="BP349" s="329"/>
      <c r="BQ349" s="329"/>
      <c r="BR349" s="329"/>
      <c r="BS349" s="329"/>
      <c r="BT349" s="329"/>
      <c r="BU349" s="331" t="s">
        <v>261</v>
      </c>
      <c r="BV349" s="329"/>
      <c r="BW349" s="329"/>
      <c r="BX349" s="329"/>
      <c r="BY349" s="331" t="s">
        <v>1689</v>
      </c>
      <c r="BZ349" s="331" t="s">
        <v>1690</v>
      </c>
      <c r="CA349" s="331" t="s">
        <v>1691</v>
      </c>
      <c r="CB349" s="331" t="s">
        <v>441</v>
      </c>
      <c r="CC349" s="331" t="s">
        <v>1687</v>
      </c>
    </row>
    <row r="350" spans="1:81" x14ac:dyDescent="0.25">
      <c r="A350" s="329">
        <v>198127</v>
      </c>
      <c r="B350" s="331" t="s">
        <v>1703</v>
      </c>
      <c r="C350" s="329">
        <v>35103</v>
      </c>
      <c r="D350" s="331" t="s">
        <v>1704</v>
      </c>
      <c r="E350" s="331" t="s">
        <v>320</v>
      </c>
      <c r="F350" s="331" t="s">
        <v>1705</v>
      </c>
      <c r="G350" s="331" t="s">
        <v>1706</v>
      </c>
      <c r="H350" s="331" t="s">
        <v>1707</v>
      </c>
      <c r="I350" s="331" t="s">
        <v>429</v>
      </c>
      <c r="J350" s="331" t="s">
        <v>430</v>
      </c>
      <c r="K350" s="331" t="s">
        <v>1708</v>
      </c>
      <c r="L350" s="329"/>
      <c r="M350" s="329">
        <v>6</v>
      </c>
      <c r="N350" s="329">
        <v>0</v>
      </c>
      <c r="O350" s="329">
        <v>3.8439999999999999</v>
      </c>
      <c r="P350" s="329"/>
      <c r="Q350" s="333">
        <v>43610.517361111109</v>
      </c>
      <c r="R350" s="329"/>
      <c r="S350" s="333">
        <v>43749</v>
      </c>
      <c r="T350" s="329">
        <v>55</v>
      </c>
      <c r="U350" s="333">
        <v>43749</v>
      </c>
      <c r="V350" s="333">
        <v>44109</v>
      </c>
      <c r="W350" s="329" t="b">
        <v>1</v>
      </c>
      <c r="X350" s="331" t="s">
        <v>187</v>
      </c>
      <c r="Y350" s="329">
        <v>718</v>
      </c>
      <c r="Z350" s="331" t="s">
        <v>23</v>
      </c>
      <c r="AA350" s="331" t="s">
        <v>919</v>
      </c>
      <c r="AB350" s="331" t="s">
        <v>920</v>
      </c>
      <c r="AC350" s="331" t="s">
        <v>1709</v>
      </c>
      <c r="AD350" s="331" t="s">
        <v>24</v>
      </c>
      <c r="AE350" s="329">
        <v>221</v>
      </c>
      <c r="AF350" s="331" t="s">
        <v>254</v>
      </c>
      <c r="AG350" s="329"/>
      <c r="AH350" s="329">
        <v>17</v>
      </c>
      <c r="AI350" s="331" t="s">
        <v>280</v>
      </c>
      <c r="AJ350" s="331" t="s">
        <v>281</v>
      </c>
      <c r="AK350" s="329"/>
      <c r="AL350" s="329"/>
      <c r="AM350" s="329"/>
      <c r="AN350" s="329"/>
      <c r="AO350" s="329"/>
      <c r="AP350" s="329"/>
      <c r="AQ350" s="329"/>
      <c r="AR350" s="329"/>
      <c r="AS350" s="329"/>
      <c r="AT350" s="329" t="s">
        <v>258</v>
      </c>
      <c r="AU350" s="329" t="s">
        <v>277</v>
      </c>
      <c r="AV350" s="331" t="s">
        <v>430</v>
      </c>
      <c r="AW350" s="329"/>
      <c r="AX350" s="329"/>
      <c r="AY350" s="329"/>
      <c r="AZ350" s="329"/>
      <c r="BA350" s="329"/>
      <c r="BB350" s="329"/>
      <c r="BC350" s="329"/>
      <c r="BD350" s="329"/>
      <c r="BE350" s="329" t="s">
        <v>257</v>
      </c>
      <c r="BF350" s="329" t="s">
        <v>836</v>
      </c>
      <c r="BG350" s="329"/>
      <c r="BH350" s="329"/>
      <c r="BI350" s="329"/>
      <c r="BJ350" s="329"/>
      <c r="BK350" s="329">
        <v>18000</v>
      </c>
      <c r="BL350" s="329"/>
      <c r="BM350" s="331" t="s">
        <v>310</v>
      </c>
      <c r="BN350" s="329" t="s">
        <v>922</v>
      </c>
      <c r="BO350" s="333">
        <v>43753</v>
      </c>
      <c r="BP350" s="329"/>
      <c r="BQ350" s="329"/>
      <c r="BR350" s="329"/>
      <c r="BS350" s="329"/>
      <c r="BT350" s="329"/>
      <c r="BU350" s="331" t="s">
        <v>261</v>
      </c>
      <c r="BV350" s="329"/>
      <c r="BW350" s="329"/>
      <c r="BX350" s="329"/>
      <c r="BY350" s="331" t="s">
        <v>1710</v>
      </c>
      <c r="BZ350" s="331" t="s">
        <v>1711</v>
      </c>
      <c r="CA350" s="331" t="s">
        <v>429</v>
      </c>
      <c r="CB350" s="331" t="s">
        <v>430</v>
      </c>
      <c r="CC350" s="331" t="s">
        <v>1712</v>
      </c>
    </row>
    <row r="351" spans="1:81" x14ac:dyDescent="0.25">
      <c r="A351" s="329">
        <v>196031</v>
      </c>
      <c r="B351" s="331" t="s">
        <v>1713</v>
      </c>
      <c r="C351" s="329">
        <v>34475</v>
      </c>
      <c r="D351" s="331" t="s">
        <v>1714</v>
      </c>
      <c r="E351" s="331" t="s">
        <v>469</v>
      </c>
      <c r="F351" s="331" t="s">
        <v>1715</v>
      </c>
      <c r="G351" s="331" t="s">
        <v>1716</v>
      </c>
      <c r="H351" s="331" t="s">
        <v>1717</v>
      </c>
      <c r="I351" s="331" t="s">
        <v>1718</v>
      </c>
      <c r="J351" s="331" t="s">
        <v>376</v>
      </c>
      <c r="K351" s="331" t="s">
        <v>1719</v>
      </c>
      <c r="L351" s="329"/>
      <c r="M351" s="329">
        <v>6</v>
      </c>
      <c r="N351" s="329">
        <v>0</v>
      </c>
      <c r="O351" s="329">
        <v>2.1395</v>
      </c>
      <c r="P351" s="329"/>
      <c r="Q351" s="333">
        <v>43684.465277777781</v>
      </c>
      <c r="R351" s="329"/>
      <c r="S351" s="333">
        <v>43749</v>
      </c>
      <c r="T351" s="329">
        <v>55</v>
      </c>
      <c r="U351" s="333">
        <v>43749</v>
      </c>
      <c r="V351" s="333">
        <v>44109</v>
      </c>
      <c r="W351" s="329" t="b">
        <v>1</v>
      </c>
      <c r="X351" s="331" t="s">
        <v>22</v>
      </c>
      <c r="Y351" s="329">
        <v>726</v>
      </c>
      <c r="Z351" s="331" t="s">
        <v>23</v>
      </c>
      <c r="AA351" s="331" t="s">
        <v>919</v>
      </c>
      <c r="AB351" s="331" t="s">
        <v>920</v>
      </c>
      <c r="AC351" s="331" t="s">
        <v>1011</v>
      </c>
      <c r="AD351" s="331" t="s">
        <v>24</v>
      </c>
      <c r="AE351" s="329">
        <v>221</v>
      </c>
      <c r="AF351" s="331" t="s">
        <v>254</v>
      </c>
      <c r="AG351" s="329"/>
      <c r="AH351" s="329">
        <v>17</v>
      </c>
      <c r="AI351" s="331" t="s">
        <v>280</v>
      </c>
      <c r="AJ351" s="331" t="s">
        <v>281</v>
      </c>
      <c r="AK351" s="331" t="s">
        <v>328</v>
      </c>
      <c r="AL351" s="331" t="s">
        <v>328</v>
      </c>
      <c r="AM351" s="331" t="s">
        <v>386</v>
      </c>
      <c r="AN351" s="331" t="s">
        <v>331</v>
      </c>
      <c r="AO351" s="331" t="s">
        <v>328</v>
      </c>
      <c r="AP351" s="329"/>
      <c r="AQ351" s="329"/>
      <c r="AR351" s="329"/>
      <c r="AS351" s="329"/>
      <c r="AT351" s="329" t="s">
        <v>1720</v>
      </c>
      <c r="AU351" s="329" t="s">
        <v>256</v>
      </c>
      <c r="AV351" s="331" t="s">
        <v>376</v>
      </c>
      <c r="AW351" s="329"/>
      <c r="AX351" s="329"/>
      <c r="AY351" s="329"/>
      <c r="AZ351" s="329"/>
      <c r="BA351" s="329"/>
      <c r="BB351" s="329"/>
      <c r="BC351" s="329"/>
      <c r="BD351" s="329"/>
      <c r="BE351" s="329"/>
      <c r="BF351" s="329"/>
      <c r="BG351" s="329"/>
      <c r="BH351" s="329"/>
      <c r="BI351" s="329"/>
      <c r="BJ351" s="329"/>
      <c r="BK351" s="329">
        <v>0</v>
      </c>
      <c r="BL351" s="329"/>
      <c r="BM351" s="331" t="s">
        <v>323</v>
      </c>
      <c r="BN351" s="329" t="s">
        <v>922</v>
      </c>
      <c r="BO351" s="333">
        <v>43753</v>
      </c>
      <c r="BP351" s="329"/>
      <c r="BQ351" s="329"/>
      <c r="BR351" s="329"/>
      <c r="BS351" s="329"/>
      <c r="BT351" s="329"/>
      <c r="BU351" s="331" t="s">
        <v>261</v>
      </c>
      <c r="BV351" s="329"/>
      <c r="BW351" s="329"/>
      <c r="BX351" s="329"/>
      <c r="BY351" s="331" t="s">
        <v>1721</v>
      </c>
      <c r="BZ351" s="331" t="s">
        <v>1722</v>
      </c>
      <c r="CA351" s="331" t="s">
        <v>1723</v>
      </c>
      <c r="CB351" s="331" t="s">
        <v>376</v>
      </c>
      <c r="CC351" s="331" t="s">
        <v>1719</v>
      </c>
    </row>
    <row r="352" spans="1:81" x14ac:dyDescent="0.25">
      <c r="A352" s="329">
        <v>193590</v>
      </c>
      <c r="B352" s="331" t="s">
        <v>1724</v>
      </c>
      <c r="C352" s="329">
        <v>33906</v>
      </c>
      <c r="D352" s="331" t="s">
        <v>1725</v>
      </c>
      <c r="E352" s="331" t="s">
        <v>1235</v>
      </c>
      <c r="F352" s="331" t="s">
        <v>1726</v>
      </c>
      <c r="G352" s="331" t="s">
        <v>1727</v>
      </c>
      <c r="H352" s="331" t="s">
        <v>1728</v>
      </c>
      <c r="I352" s="331" t="s">
        <v>429</v>
      </c>
      <c r="J352" s="331" t="s">
        <v>430</v>
      </c>
      <c r="K352" s="331" t="s">
        <v>1729</v>
      </c>
      <c r="L352" s="329"/>
      <c r="M352" s="329">
        <v>6</v>
      </c>
      <c r="N352" s="329">
        <v>0</v>
      </c>
      <c r="O352" s="329">
        <v>3.41</v>
      </c>
      <c r="P352" s="329"/>
      <c r="Q352" s="333">
        <v>43583.579861111109</v>
      </c>
      <c r="R352" s="329"/>
      <c r="S352" s="333">
        <v>43749</v>
      </c>
      <c r="T352" s="329">
        <v>55</v>
      </c>
      <c r="U352" s="333">
        <v>43749</v>
      </c>
      <c r="V352" s="333">
        <v>44109</v>
      </c>
      <c r="W352" s="329" t="b">
        <v>1</v>
      </c>
      <c r="X352" s="331" t="s">
        <v>187</v>
      </c>
      <c r="Y352" s="329">
        <v>718</v>
      </c>
      <c r="Z352" s="331" t="s">
        <v>23</v>
      </c>
      <c r="AA352" s="331" t="s">
        <v>919</v>
      </c>
      <c r="AB352" s="331" t="s">
        <v>920</v>
      </c>
      <c r="AC352" s="331" t="s">
        <v>1329</v>
      </c>
      <c r="AD352" s="331" t="s">
        <v>24</v>
      </c>
      <c r="AE352" s="329">
        <v>221</v>
      </c>
      <c r="AF352" s="331" t="s">
        <v>254</v>
      </c>
      <c r="AG352" s="329"/>
      <c r="AH352" s="329">
        <v>17</v>
      </c>
      <c r="AI352" s="331" t="s">
        <v>280</v>
      </c>
      <c r="AJ352" s="331" t="s">
        <v>281</v>
      </c>
      <c r="AK352" s="331" t="s">
        <v>274</v>
      </c>
      <c r="AL352" s="331" t="s">
        <v>300</v>
      </c>
      <c r="AM352" s="331" t="s">
        <v>300</v>
      </c>
      <c r="AN352" s="331" t="s">
        <v>347</v>
      </c>
      <c r="AO352" s="331" t="s">
        <v>300</v>
      </c>
      <c r="AP352" s="329"/>
      <c r="AQ352" s="329"/>
      <c r="AR352" s="329"/>
      <c r="AS352" s="329"/>
      <c r="AT352" s="329" t="s">
        <v>294</v>
      </c>
      <c r="AU352" s="329" t="s">
        <v>283</v>
      </c>
      <c r="AV352" s="331" t="s">
        <v>430</v>
      </c>
      <c r="AW352" s="329"/>
      <c r="AX352" s="329"/>
      <c r="AY352" s="329"/>
      <c r="AZ352" s="329"/>
      <c r="BA352" s="329"/>
      <c r="BB352" s="329"/>
      <c r="BC352" s="329"/>
      <c r="BD352" s="329"/>
      <c r="BE352" s="329" t="s">
        <v>257</v>
      </c>
      <c r="BF352" s="329" t="s">
        <v>838</v>
      </c>
      <c r="BG352" s="329"/>
      <c r="BH352" s="329"/>
      <c r="BI352" s="329"/>
      <c r="BJ352" s="329"/>
      <c r="BK352" s="329">
        <v>15600</v>
      </c>
      <c r="BL352" s="329"/>
      <c r="BM352" s="331" t="s">
        <v>259</v>
      </c>
      <c r="BN352" s="329" t="s">
        <v>922</v>
      </c>
      <c r="BO352" s="333">
        <v>43753</v>
      </c>
      <c r="BP352" s="329"/>
      <c r="BQ352" s="329"/>
      <c r="BR352" s="329"/>
      <c r="BS352" s="329"/>
      <c r="BT352" s="329"/>
      <c r="BU352" s="331" t="s">
        <v>261</v>
      </c>
      <c r="BV352" s="329"/>
      <c r="BW352" s="329"/>
      <c r="BX352" s="329"/>
      <c r="BY352" s="331" t="s">
        <v>1730</v>
      </c>
      <c r="BZ352" s="331" t="s">
        <v>1731</v>
      </c>
      <c r="CA352" s="331" t="s">
        <v>896</v>
      </c>
      <c r="CB352" s="331" t="s">
        <v>430</v>
      </c>
      <c r="CC352" s="331" t="s">
        <v>863</v>
      </c>
    </row>
    <row r="353" spans="1:81" x14ac:dyDescent="0.25">
      <c r="A353" s="329">
        <v>194205</v>
      </c>
      <c r="B353" s="331" t="s">
        <v>1732</v>
      </c>
      <c r="C353" s="329">
        <v>34059</v>
      </c>
      <c r="D353" s="331" t="s">
        <v>1733</v>
      </c>
      <c r="E353" s="331" t="s">
        <v>1734</v>
      </c>
      <c r="F353" s="331" t="s">
        <v>1735</v>
      </c>
      <c r="G353" s="331" t="s">
        <v>1736</v>
      </c>
      <c r="H353" s="331" t="s">
        <v>1737</v>
      </c>
      <c r="I353" s="331" t="s">
        <v>1738</v>
      </c>
      <c r="J353" s="331" t="s">
        <v>396</v>
      </c>
      <c r="K353" s="331" t="s">
        <v>1739</v>
      </c>
      <c r="L353" s="329"/>
      <c r="M353" s="329">
        <v>6</v>
      </c>
      <c r="N353" s="329">
        <v>0</v>
      </c>
      <c r="O353" s="329">
        <v>3.75</v>
      </c>
      <c r="P353" s="329"/>
      <c r="Q353" s="333">
        <v>43628.648055555554</v>
      </c>
      <c r="R353" s="329"/>
      <c r="S353" s="333">
        <v>43749</v>
      </c>
      <c r="T353" s="329">
        <v>55</v>
      </c>
      <c r="U353" s="333">
        <v>43749</v>
      </c>
      <c r="V353" s="333">
        <v>44109</v>
      </c>
      <c r="W353" s="329" t="b">
        <v>1</v>
      </c>
      <c r="X353" s="331" t="s">
        <v>22</v>
      </c>
      <c r="Y353" s="329">
        <v>429</v>
      </c>
      <c r="Z353" s="331" t="s">
        <v>23</v>
      </c>
      <c r="AA353" s="331" t="s">
        <v>919</v>
      </c>
      <c r="AB353" s="331" t="s">
        <v>920</v>
      </c>
      <c r="AC353" s="331" t="s">
        <v>346</v>
      </c>
      <c r="AD353" s="331" t="s">
        <v>24</v>
      </c>
      <c r="AE353" s="329">
        <v>221</v>
      </c>
      <c r="AF353" s="331" t="s">
        <v>254</v>
      </c>
      <c r="AG353" s="329"/>
      <c r="AH353" s="329">
        <v>17</v>
      </c>
      <c r="AI353" s="331" t="s">
        <v>280</v>
      </c>
      <c r="AJ353" s="331" t="s">
        <v>281</v>
      </c>
      <c r="AK353" s="331" t="s">
        <v>285</v>
      </c>
      <c r="AL353" s="331" t="s">
        <v>348</v>
      </c>
      <c r="AM353" s="331" t="s">
        <v>287</v>
      </c>
      <c r="AN353" s="331" t="s">
        <v>286</v>
      </c>
      <c r="AO353" s="331" t="s">
        <v>348</v>
      </c>
      <c r="AP353" s="329"/>
      <c r="AQ353" s="329"/>
      <c r="AR353" s="329"/>
      <c r="AS353" s="329"/>
      <c r="AT353" s="329" t="s">
        <v>890</v>
      </c>
      <c r="AU353" s="329" t="s">
        <v>256</v>
      </c>
      <c r="AV353" s="331" t="s">
        <v>396</v>
      </c>
      <c r="AW353" s="329"/>
      <c r="AX353" s="329"/>
      <c r="AY353" s="329"/>
      <c r="AZ353" s="329"/>
      <c r="BA353" s="329"/>
      <c r="BB353" s="329"/>
      <c r="BC353" s="329"/>
      <c r="BD353" s="329"/>
      <c r="BE353" s="329" t="s">
        <v>257</v>
      </c>
      <c r="BF353" s="329" t="s">
        <v>834</v>
      </c>
      <c r="BG353" s="329"/>
      <c r="BH353" s="329"/>
      <c r="BI353" s="329"/>
      <c r="BJ353" s="329"/>
      <c r="BK353" s="329">
        <v>20400</v>
      </c>
      <c r="BL353" s="329"/>
      <c r="BM353" s="331" t="s">
        <v>278</v>
      </c>
      <c r="BN353" s="329" t="s">
        <v>922</v>
      </c>
      <c r="BO353" s="333">
        <v>43753</v>
      </c>
      <c r="BP353" s="329"/>
      <c r="BQ353" s="329"/>
      <c r="BR353" s="329"/>
      <c r="BS353" s="329"/>
      <c r="BT353" s="329"/>
      <c r="BU353" s="331" t="s">
        <v>261</v>
      </c>
      <c r="BV353" s="329"/>
      <c r="BW353" s="329"/>
      <c r="BX353" s="329"/>
      <c r="BY353" s="331" t="s">
        <v>1740</v>
      </c>
      <c r="BZ353" s="331" t="s">
        <v>1741</v>
      </c>
      <c r="CA353" s="331" t="s">
        <v>1742</v>
      </c>
      <c r="CB353" s="331" t="s">
        <v>396</v>
      </c>
      <c r="CC353" s="331" t="s">
        <v>1739</v>
      </c>
    </row>
    <row r="354" spans="1:81" x14ac:dyDescent="0.25">
      <c r="A354" s="329">
        <v>198032</v>
      </c>
      <c r="B354" s="331" t="s">
        <v>1743</v>
      </c>
      <c r="C354" s="329">
        <v>35066</v>
      </c>
      <c r="D354" s="331" t="s">
        <v>1744</v>
      </c>
      <c r="E354" s="331" t="s">
        <v>1745</v>
      </c>
      <c r="F354" s="331" t="s">
        <v>1746</v>
      </c>
      <c r="G354" s="331" t="s">
        <v>1747</v>
      </c>
      <c r="H354" s="331" t="s">
        <v>1748</v>
      </c>
      <c r="I354" s="331" t="s">
        <v>370</v>
      </c>
      <c r="J354" s="331" t="s">
        <v>307</v>
      </c>
      <c r="K354" s="331" t="s">
        <v>1749</v>
      </c>
      <c r="L354" s="329"/>
      <c r="M354" s="329">
        <v>6</v>
      </c>
      <c r="N354" s="329">
        <v>0</v>
      </c>
      <c r="O354" s="329">
        <v>3.1</v>
      </c>
      <c r="P354" s="329"/>
      <c r="Q354" s="333">
        <v>43720.765092592592</v>
      </c>
      <c r="R354" s="329"/>
      <c r="S354" s="333">
        <v>43749</v>
      </c>
      <c r="T354" s="329">
        <v>55</v>
      </c>
      <c r="U354" s="333">
        <v>43749</v>
      </c>
      <c r="V354" s="333">
        <v>44109</v>
      </c>
      <c r="W354" s="329" t="b">
        <v>1</v>
      </c>
      <c r="X354" s="331" t="s">
        <v>905</v>
      </c>
      <c r="Y354" s="329">
        <v>747</v>
      </c>
      <c r="Z354" s="331" t="s">
        <v>25</v>
      </c>
      <c r="AA354" s="331" t="s">
        <v>919</v>
      </c>
      <c r="AB354" s="331" t="s">
        <v>920</v>
      </c>
      <c r="AC354" s="331" t="s">
        <v>1750</v>
      </c>
      <c r="AD354" s="331" t="s">
        <v>24</v>
      </c>
      <c r="AE354" s="329">
        <v>221</v>
      </c>
      <c r="AF354" s="331" t="s">
        <v>254</v>
      </c>
      <c r="AG354" s="329"/>
      <c r="AH354" s="329">
        <v>17</v>
      </c>
      <c r="AI354" s="331" t="s">
        <v>280</v>
      </c>
      <c r="AJ354" s="331" t="s">
        <v>281</v>
      </c>
      <c r="AK354" s="329"/>
      <c r="AL354" s="329"/>
      <c r="AM354" s="329"/>
      <c r="AN354" s="329"/>
      <c r="AO354" s="329"/>
      <c r="AP354" s="329"/>
      <c r="AQ354" s="329"/>
      <c r="AR354" s="329"/>
      <c r="AS354" s="329"/>
      <c r="AT354" s="329" t="s">
        <v>258</v>
      </c>
      <c r="AU354" s="329" t="s">
        <v>283</v>
      </c>
      <c r="AV354" s="331" t="s">
        <v>307</v>
      </c>
      <c r="AW354" s="329"/>
      <c r="AX354" s="329"/>
      <c r="AY354" s="329"/>
      <c r="AZ354" s="329"/>
      <c r="BA354" s="329"/>
      <c r="BB354" s="329"/>
      <c r="BC354" s="329"/>
      <c r="BD354" s="329"/>
      <c r="BE354" s="329"/>
      <c r="BF354" s="329"/>
      <c r="BG354" s="329"/>
      <c r="BH354" s="329"/>
      <c r="BI354" s="329"/>
      <c r="BJ354" s="329"/>
      <c r="BK354" s="329">
        <v>0</v>
      </c>
      <c r="BL354" s="329"/>
      <c r="BM354" s="331" t="s">
        <v>323</v>
      </c>
      <c r="BN354" s="329" t="s">
        <v>922</v>
      </c>
      <c r="BO354" s="333">
        <v>43753</v>
      </c>
      <c r="BP354" s="329"/>
      <c r="BQ354" s="329"/>
      <c r="BR354" s="329"/>
      <c r="BS354" s="329"/>
      <c r="BT354" s="329"/>
      <c r="BU354" s="331" t="s">
        <v>261</v>
      </c>
      <c r="BV354" s="329"/>
      <c r="BW354" s="329"/>
      <c r="BX354" s="329"/>
      <c r="BY354" s="331" t="s">
        <v>1751</v>
      </c>
      <c r="BZ354" s="331" t="s">
        <v>1752</v>
      </c>
      <c r="CA354" s="331" t="s">
        <v>1753</v>
      </c>
      <c r="CB354" s="331" t="s">
        <v>307</v>
      </c>
      <c r="CC354" s="331" t="s">
        <v>1754</v>
      </c>
    </row>
    <row r="355" spans="1:81" x14ac:dyDescent="0.25">
      <c r="A355" s="329">
        <v>197847</v>
      </c>
      <c r="B355" s="331" t="s">
        <v>1755</v>
      </c>
      <c r="C355" s="329">
        <v>35015</v>
      </c>
      <c r="D355" s="331" t="s">
        <v>1756</v>
      </c>
      <c r="E355" s="331" t="s">
        <v>750</v>
      </c>
      <c r="F355" s="331" t="s">
        <v>1757</v>
      </c>
      <c r="G355" s="331" t="s">
        <v>1758</v>
      </c>
      <c r="H355" s="331" t="s">
        <v>1759</v>
      </c>
      <c r="I355" s="331" t="s">
        <v>343</v>
      </c>
      <c r="J355" s="331" t="s">
        <v>746</v>
      </c>
      <c r="K355" s="331" t="s">
        <v>1760</v>
      </c>
      <c r="L355" s="329"/>
      <c r="M355" s="329">
        <v>6</v>
      </c>
      <c r="N355" s="329">
        <v>0</v>
      </c>
      <c r="O355" s="329">
        <v>3.891</v>
      </c>
      <c r="P355" s="329"/>
      <c r="Q355" s="333">
        <v>43585.729166666664</v>
      </c>
      <c r="R355" s="329"/>
      <c r="S355" s="333">
        <v>43749</v>
      </c>
      <c r="T355" s="329">
        <v>55</v>
      </c>
      <c r="U355" s="333">
        <v>43749</v>
      </c>
      <c r="V355" s="333">
        <v>44109</v>
      </c>
      <c r="W355" s="329" t="b">
        <v>1</v>
      </c>
      <c r="X355" s="331" t="s">
        <v>187</v>
      </c>
      <c r="Y355" s="329">
        <v>718</v>
      </c>
      <c r="Z355" s="331" t="s">
        <v>23</v>
      </c>
      <c r="AA355" s="331" t="s">
        <v>919</v>
      </c>
      <c r="AB355" s="331" t="s">
        <v>920</v>
      </c>
      <c r="AC355" s="331" t="s">
        <v>1361</v>
      </c>
      <c r="AD355" s="331" t="s">
        <v>24</v>
      </c>
      <c r="AE355" s="329">
        <v>221</v>
      </c>
      <c r="AF355" s="331" t="s">
        <v>254</v>
      </c>
      <c r="AG355" s="329"/>
      <c r="AH355" s="329">
        <v>17</v>
      </c>
      <c r="AI355" s="331" t="s">
        <v>280</v>
      </c>
      <c r="AJ355" s="331" t="s">
        <v>281</v>
      </c>
      <c r="AK355" s="329"/>
      <c r="AL355" s="329"/>
      <c r="AM355" s="329"/>
      <c r="AN355" s="329"/>
      <c r="AO355" s="329"/>
      <c r="AP355" s="329"/>
      <c r="AQ355" s="329"/>
      <c r="AR355" s="329"/>
      <c r="AS355" s="329"/>
      <c r="AT355" s="329" t="s">
        <v>258</v>
      </c>
      <c r="AU355" s="329" t="s">
        <v>283</v>
      </c>
      <c r="AV355" s="331" t="s">
        <v>746</v>
      </c>
      <c r="AW355" s="329"/>
      <c r="AX355" s="329"/>
      <c r="AY355" s="329"/>
      <c r="AZ355" s="329"/>
      <c r="BA355" s="329"/>
      <c r="BB355" s="329"/>
      <c r="BC355" s="329"/>
      <c r="BD355" s="329"/>
      <c r="BE355" s="329" t="s">
        <v>257</v>
      </c>
      <c r="BF355" s="329" t="s">
        <v>837</v>
      </c>
      <c r="BG355" s="329"/>
      <c r="BH355" s="329"/>
      <c r="BI355" s="329"/>
      <c r="BJ355" s="329"/>
      <c r="BK355" s="329">
        <v>15000</v>
      </c>
      <c r="BL355" s="329"/>
      <c r="BM355" s="331" t="s">
        <v>295</v>
      </c>
      <c r="BN355" s="329" t="s">
        <v>922</v>
      </c>
      <c r="BO355" s="333">
        <v>43753</v>
      </c>
      <c r="BP355" s="329"/>
      <c r="BQ355" s="329"/>
      <c r="BR355" s="329"/>
      <c r="BS355" s="329"/>
      <c r="BT355" s="329"/>
      <c r="BU355" s="331" t="s">
        <v>261</v>
      </c>
      <c r="BV355" s="329"/>
      <c r="BW355" s="329"/>
      <c r="BX355" s="329"/>
      <c r="BY355" s="331" t="s">
        <v>1761</v>
      </c>
      <c r="BZ355" s="331" t="s">
        <v>1762</v>
      </c>
      <c r="CA355" s="331" t="s">
        <v>1763</v>
      </c>
      <c r="CB355" s="331" t="s">
        <v>746</v>
      </c>
      <c r="CC355" s="331" t="s">
        <v>1764</v>
      </c>
    </row>
    <row r="356" spans="1:81" x14ac:dyDescent="0.25">
      <c r="A356" s="329">
        <v>194296</v>
      </c>
      <c r="B356" s="331" t="s">
        <v>1765</v>
      </c>
      <c r="C356" s="329">
        <v>34070</v>
      </c>
      <c r="D356" s="331" t="s">
        <v>1766</v>
      </c>
      <c r="E356" s="331" t="s">
        <v>1767</v>
      </c>
      <c r="F356" s="331" t="s">
        <v>1768</v>
      </c>
      <c r="G356" s="331" t="s">
        <v>1769</v>
      </c>
      <c r="H356" s="331" t="s">
        <v>1770</v>
      </c>
      <c r="I356" s="331" t="s">
        <v>1771</v>
      </c>
      <c r="J356" s="331" t="s">
        <v>292</v>
      </c>
      <c r="K356" s="331" t="s">
        <v>1772</v>
      </c>
      <c r="L356" s="329"/>
      <c r="M356" s="329">
        <v>6</v>
      </c>
      <c r="N356" s="329">
        <v>0</v>
      </c>
      <c r="O356" s="329">
        <v>3.5</v>
      </c>
      <c r="P356" s="329"/>
      <c r="Q356" s="333">
        <v>43627.569444444445</v>
      </c>
      <c r="R356" s="329"/>
      <c r="S356" s="333">
        <v>43749</v>
      </c>
      <c r="T356" s="329">
        <v>55</v>
      </c>
      <c r="U356" s="333">
        <v>43749</v>
      </c>
      <c r="V356" s="333">
        <v>44109</v>
      </c>
      <c r="W356" s="329" t="b">
        <v>1</v>
      </c>
      <c r="X356" s="331" t="s">
        <v>22</v>
      </c>
      <c r="Y356" s="329">
        <v>429</v>
      </c>
      <c r="Z356" s="331" t="s">
        <v>23</v>
      </c>
      <c r="AA356" s="331" t="s">
        <v>919</v>
      </c>
      <c r="AB356" s="331" t="s">
        <v>920</v>
      </c>
      <c r="AC356" s="331" t="s">
        <v>1011</v>
      </c>
      <c r="AD356" s="331" t="s">
        <v>24</v>
      </c>
      <c r="AE356" s="329">
        <v>221</v>
      </c>
      <c r="AF356" s="331" t="s">
        <v>254</v>
      </c>
      <c r="AG356" s="329"/>
      <c r="AH356" s="329">
        <v>17</v>
      </c>
      <c r="AI356" s="331" t="s">
        <v>280</v>
      </c>
      <c r="AJ356" s="331" t="s">
        <v>281</v>
      </c>
      <c r="AK356" s="329"/>
      <c r="AL356" s="329"/>
      <c r="AM356" s="329"/>
      <c r="AN356" s="329"/>
      <c r="AO356" s="329"/>
      <c r="AP356" s="329"/>
      <c r="AQ356" s="329"/>
      <c r="AR356" s="329"/>
      <c r="AS356" s="329"/>
      <c r="AT356" s="329" t="s">
        <v>258</v>
      </c>
      <c r="AU356" s="329" t="s">
        <v>283</v>
      </c>
      <c r="AV356" s="331" t="s">
        <v>292</v>
      </c>
      <c r="AW356" s="329"/>
      <c r="AX356" s="329"/>
      <c r="AY356" s="329"/>
      <c r="AZ356" s="329"/>
      <c r="BA356" s="329"/>
      <c r="BB356" s="329"/>
      <c r="BC356" s="329"/>
      <c r="BD356" s="329"/>
      <c r="BE356" s="329" t="s">
        <v>257</v>
      </c>
      <c r="BF356" s="329" t="s">
        <v>830</v>
      </c>
      <c r="BG356" s="329"/>
      <c r="BH356" s="329"/>
      <c r="BI356" s="329"/>
      <c r="BJ356" s="329"/>
      <c r="BK356" s="329">
        <v>12000</v>
      </c>
      <c r="BL356" s="329"/>
      <c r="BM356" s="331" t="s">
        <v>26</v>
      </c>
      <c r="BN356" s="329" t="s">
        <v>922</v>
      </c>
      <c r="BO356" s="333">
        <v>43753</v>
      </c>
      <c r="BP356" s="329"/>
      <c r="BQ356" s="329"/>
      <c r="BR356" s="329"/>
      <c r="BS356" s="329"/>
      <c r="BT356" s="329"/>
      <c r="BU356" s="331" t="s">
        <v>261</v>
      </c>
      <c r="BV356" s="329"/>
      <c r="BW356" s="329"/>
      <c r="BX356" s="329"/>
      <c r="BY356" s="331" t="s">
        <v>1773</v>
      </c>
      <c r="BZ356" s="331" t="s">
        <v>1774</v>
      </c>
      <c r="CA356" s="331" t="s">
        <v>1775</v>
      </c>
      <c r="CB356" s="331" t="s">
        <v>292</v>
      </c>
      <c r="CC356" s="331" t="s">
        <v>304</v>
      </c>
    </row>
    <row r="357" spans="1:81" x14ac:dyDescent="0.25">
      <c r="A357" s="329">
        <v>195618</v>
      </c>
      <c r="B357" s="331" t="s">
        <v>1776</v>
      </c>
      <c r="C357" s="329">
        <v>34373</v>
      </c>
      <c r="D357" s="331" t="s">
        <v>1777</v>
      </c>
      <c r="E357" s="331" t="s">
        <v>1778</v>
      </c>
      <c r="F357" s="331" t="s">
        <v>1779</v>
      </c>
      <c r="G357" s="331" t="s">
        <v>1780</v>
      </c>
      <c r="H357" s="331" t="s">
        <v>1781</v>
      </c>
      <c r="I357" s="331" t="s">
        <v>1782</v>
      </c>
      <c r="J357" s="331" t="s">
        <v>251</v>
      </c>
      <c r="K357" s="331" t="s">
        <v>1783</v>
      </c>
      <c r="L357" s="329"/>
      <c r="M357" s="329">
        <v>6</v>
      </c>
      <c r="N357" s="329">
        <v>0</v>
      </c>
      <c r="O357" s="329">
        <v>3.3330000000000002</v>
      </c>
      <c r="P357" s="329"/>
      <c r="Q357" s="333">
        <v>43634.819444444445</v>
      </c>
      <c r="R357" s="329"/>
      <c r="S357" s="333">
        <v>43749</v>
      </c>
      <c r="T357" s="329">
        <v>55</v>
      </c>
      <c r="U357" s="333">
        <v>43749</v>
      </c>
      <c r="V357" s="333">
        <v>44109</v>
      </c>
      <c r="W357" s="329" t="b">
        <v>1</v>
      </c>
      <c r="X357" s="331" t="s">
        <v>187</v>
      </c>
      <c r="Y357" s="329">
        <v>718</v>
      </c>
      <c r="Z357" s="331" t="s">
        <v>23</v>
      </c>
      <c r="AA357" s="331" t="s">
        <v>919</v>
      </c>
      <c r="AB357" s="331" t="s">
        <v>920</v>
      </c>
      <c r="AC357" s="331" t="s">
        <v>1784</v>
      </c>
      <c r="AD357" s="331" t="s">
        <v>24</v>
      </c>
      <c r="AE357" s="329">
        <v>221</v>
      </c>
      <c r="AF357" s="331" t="s">
        <v>254</v>
      </c>
      <c r="AG357" s="329"/>
      <c r="AH357" s="329">
        <v>17</v>
      </c>
      <c r="AI357" s="331" t="s">
        <v>280</v>
      </c>
      <c r="AJ357" s="331" t="s">
        <v>281</v>
      </c>
      <c r="AK357" s="329"/>
      <c r="AL357" s="329"/>
      <c r="AM357" s="329"/>
      <c r="AN357" s="329"/>
      <c r="AO357" s="329"/>
      <c r="AP357" s="331" t="s">
        <v>302</v>
      </c>
      <c r="AQ357" s="329">
        <v>490</v>
      </c>
      <c r="AR357" s="329">
        <v>600</v>
      </c>
      <c r="AS357" s="329"/>
      <c r="AT357" s="329" t="s">
        <v>309</v>
      </c>
      <c r="AU357" s="329" t="s">
        <v>283</v>
      </c>
      <c r="AV357" s="331" t="s">
        <v>251</v>
      </c>
      <c r="AW357" s="329"/>
      <c r="AX357" s="329"/>
      <c r="AY357" s="329"/>
      <c r="AZ357" s="329"/>
      <c r="BA357" s="329"/>
      <c r="BB357" s="329"/>
      <c r="BC357" s="329"/>
      <c r="BD357" s="329"/>
      <c r="BE357" s="329" t="s">
        <v>257</v>
      </c>
      <c r="BF357" s="329" t="s">
        <v>838</v>
      </c>
      <c r="BG357" s="329"/>
      <c r="BH357" s="329"/>
      <c r="BI357" s="329"/>
      <c r="BJ357" s="329"/>
      <c r="BK357" s="329">
        <v>15600</v>
      </c>
      <c r="BL357" s="329"/>
      <c r="BM357" s="331" t="s">
        <v>259</v>
      </c>
      <c r="BN357" s="329" t="s">
        <v>922</v>
      </c>
      <c r="BO357" s="333">
        <v>43753</v>
      </c>
      <c r="BP357" s="329"/>
      <c r="BQ357" s="329"/>
      <c r="BR357" s="329"/>
      <c r="BS357" s="329"/>
      <c r="BT357" s="329"/>
      <c r="BU357" s="331" t="s">
        <v>261</v>
      </c>
      <c r="BV357" s="329"/>
      <c r="BW357" s="329"/>
      <c r="BX357" s="329"/>
      <c r="BY357" s="331" t="s">
        <v>1785</v>
      </c>
      <c r="BZ357" s="331" t="s">
        <v>1786</v>
      </c>
      <c r="CA357" s="331" t="s">
        <v>1787</v>
      </c>
      <c r="CB357" s="331" t="s">
        <v>251</v>
      </c>
      <c r="CC357" s="331" t="s">
        <v>1788</v>
      </c>
    </row>
    <row r="358" spans="1:81" x14ac:dyDescent="0.25">
      <c r="A358" s="329">
        <v>192828</v>
      </c>
      <c r="B358" s="331" t="s">
        <v>1789</v>
      </c>
      <c r="C358" s="329">
        <v>33700</v>
      </c>
      <c r="D358" s="331" t="s">
        <v>1790</v>
      </c>
      <c r="E358" s="331" t="s">
        <v>1791</v>
      </c>
      <c r="F358" s="331" t="s">
        <v>1792</v>
      </c>
      <c r="G358" s="331" t="s">
        <v>1793</v>
      </c>
      <c r="H358" s="331" t="s">
        <v>1794</v>
      </c>
      <c r="I358" s="331" t="s">
        <v>1795</v>
      </c>
      <c r="J358" s="331" t="s">
        <v>307</v>
      </c>
      <c r="K358" s="331" t="s">
        <v>1796</v>
      </c>
      <c r="L358" s="329"/>
      <c r="M358" s="329">
        <v>6</v>
      </c>
      <c r="N358" s="329">
        <v>0</v>
      </c>
      <c r="O358" s="329">
        <v>3.5131999999999999</v>
      </c>
      <c r="P358" s="329"/>
      <c r="Q358" s="333">
        <v>43606.729166666664</v>
      </c>
      <c r="R358" s="329"/>
      <c r="S358" s="333">
        <v>43749</v>
      </c>
      <c r="T358" s="329">
        <v>55</v>
      </c>
      <c r="U358" s="333">
        <v>43749</v>
      </c>
      <c r="V358" s="333">
        <v>44109</v>
      </c>
      <c r="W358" s="329" t="b">
        <v>1</v>
      </c>
      <c r="X358" s="331" t="s">
        <v>187</v>
      </c>
      <c r="Y358" s="329">
        <v>718</v>
      </c>
      <c r="Z358" s="331" t="s">
        <v>23</v>
      </c>
      <c r="AA358" s="331" t="s">
        <v>919</v>
      </c>
      <c r="AB358" s="331" t="s">
        <v>920</v>
      </c>
      <c r="AC358" s="331" t="s">
        <v>1709</v>
      </c>
      <c r="AD358" s="331" t="s">
        <v>24</v>
      </c>
      <c r="AE358" s="329">
        <v>221</v>
      </c>
      <c r="AF358" s="331" t="s">
        <v>254</v>
      </c>
      <c r="AG358" s="329"/>
      <c r="AH358" s="329">
        <v>17</v>
      </c>
      <c r="AI358" s="331" t="s">
        <v>280</v>
      </c>
      <c r="AJ358" s="331" t="s">
        <v>281</v>
      </c>
      <c r="AK358" s="329"/>
      <c r="AL358" s="329"/>
      <c r="AM358" s="329"/>
      <c r="AN358" s="329"/>
      <c r="AO358" s="329"/>
      <c r="AP358" s="331" t="s">
        <v>721</v>
      </c>
      <c r="AQ358" s="329">
        <v>590</v>
      </c>
      <c r="AR358" s="329">
        <v>510</v>
      </c>
      <c r="AS358" s="329"/>
      <c r="AT358" s="329" t="s">
        <v>394</v>
      </c>
      <c r="AU358" s="329" t="s">
        <v>256</v>
      </c>
      <c r="AV358" s="331" t="s">
        <v>307</v>
      </c>
      <c r="AW358" s="329"/>
      <c r="AX358" s="329"/>
      <c r="AY358" s="329"/>
      <c r="AZ358" s="329"/>
      <c r="BA358" s="329"/>
      <c r="BB358" s="329"/>
      <c r="BC358" s="329"/>
      <c r="BD358" s="329"/>
      <c r="BE358" s="329" t="s">
        <v>257</v>
      </c>
      <c r="BF358" s="329" t="s">
        <v>837</v>
      </c>
      <c r="BG358" s="329"/>
      <c r="BH358" s="329"/>
      <c r="BI358" s="329"/>
      <c r="BJ358" s="329"/>
      <c r="BK358" s="329">
        <v>15000</v>
      </c>
      <c r="BL358" s="329"/>
      <c r="BM358" s="331" t="s">
        <v>295</v>
      </c>
      <c r="BN358" s="329" t="s">
        <v>922</v>
      </c>
      <c r="BO358" s="333">
        <v>43753</v>
      </c>
      <c r="BP358" s="329"/>
      <c r="BQ358" s="329"/>
      <c r="BR358" s="329"/>
      <c r="BS358" s="329"/>
      <c r="BT358" s="329"/>
      <c r="BU358" s="331" t="s">
        <v>261</v>
      </c>
      <c r="BV358" s="329"/>
      <c r="BW358" s="329"/>
      <c r="BX358" s="329"/>
      <c r="BY358" s="331" t="s">
        <v>1797</v>
      </c>
      <c r="BZ358" s="331" t="s">
        <v>1798</v>
      </c>
      <c r="CA358" s="331" t="s">
        <v>1799</v>
      </c>
      <c r="CB358" s="331" t="s">
        <v>307</v>
      </c>
      <c r="CC358" s="331" t="s">
        <v>1796</v>
      </c>
    </row>
    <row r="359" spans="1:81" x14ac:dyDescent="0.25">
      <c r="A359" s="329">
        <v>198137</v>
      </c>
      <c r="B359" s="331" t="s">
        <v>1800</v>
      </c>
      <c r="C359" s="329">
        <v>35110</v>
      </c>
      <c r="D359" s="331" t="s">
        <v>1801</v>
      </c>
      <c r="E359" s="331" t="s">
        <v>516</v>
      </c>
      <c r="F359" s="331" t="s">
        <v>1802</v>
      </c>
      <c r="G359" s="331" t="s">
        <v>1803</v>
      </c>
      <c r="H359" s="331" t="s">
        <v>1804</v>
      </c>
      <c r="I359" s="331" t="s">
        <v>1805</v>
      </c>
      <c r="J359" s="331" t="s">
        <v>279</v>
      </c>
      <c r="K359" s="331" t="s">
        <v>1806</v>
      </c>
      <c r="L359" s="329"/>
      <c r="M359" s="329">
        <v>6</v>
      </c>
      <c r="N359" s="329">
        <v>0</v>
      </c>
      <c r="O359" s="329">
        <v>2.62</v>
      </c>
      <c r="P359" s="329"/>
      <c r="Q359" s="333">
        <v>43712.729861111111</v>
      </c>
      <c r="R359" s="329"/>
      <c r="S359" s="333">
        <v>43749</v>
      </c>
      <c r="T359" s="329">
        <v>55</v>
      </c>
      <c r="U359" s="333">
        <v>43749</v>
      </c>
      <c r="V359" s="333">
        <v>44109</v>
      </c>
      <c r="W359" s="329" t="b">
        <v>1</v>
      </c>
      <c r="X359" s="331" t="s">
        <v>22</v>
      </c>
      <c r="Y359" s="329">
        <v>429</v>
      </c>
      <c r="Z359" s="331" t="s">
        <v>23</v>
      </c>
      <c r="AA359" s="331" t="s">
        <v>919</v>
      </c>
      <c r="AB359" s="331" t="s">
        <v>920</v>
      </c>
      <c r="AC359" s="331" t="s">
        <v>1405</v>
      </c>
      <c r="AD359" s="331" t="s">
        <v>24</v>
      </c>
      <c r="AE359" s="329">
        <v>221</v>
      </c>
      <c r="AF359" s="331" t="s">
        <v>254</v>
      </c>
      <c r="AG359" s="329"/>
      <c r="AH359" s="329">
        <v>17</v>
      </c>
      <c r="AI359" s="331" t="s">
        <v>280</v>
      </c>
      <c r="AJ359" s="331" t="s">
        <v>281</v>
      </c>
      <c r="AK359" s="331" t="s">
        <v>386</v>
      </c>
      <c r="AL359" s="331" t="s">
        <v>386</v>
      </c>
      <c r="AM359" s="331" t="s">
        <v>329</v>
      </c>
      <c r="AN359" s="331" t="s">
        <v>329</v>
      </c>
      <c r="AO359" s="331" t="s">
        <v>386</v>
      </c>
      <c r="AP359" s="329"/>
      <c r="AQ359" s="329"/>
      <c r="AR359" s="329"/>
      <c r="AS359" s="329"/>
      <c r="AT359" s="329" t="s">
        <v>835</v>
      </c>
      <c r="AU359" s="329" t="s">
        <v>256</v>
      </c>
      <c r="AV359" s="331" t="s">
        <v>279</v>
      </c>
      <c r="AW359" s="329"/>
      <c r="AX359" s="329"/>
      <c r="AY359" s="329"/>
      <c r="AZ359" s="329"/>
      <c r="BA359" s="329"/>
      <c r="BB359" s="329"/>
      <c r="BC359" s="329"/>
      <c r="BD359" s="329"/>
      <c r="BE359" s="329"/>
      <c r="BF359" s="329"/>
      <c r="BG359" s="329"/>
      <c r="BH359" s="329"/>
      <c r="BI359" s="329"/>
      <c r="BJ359" s="329"/>
      <c r="BK359" s="329">
        <v>0</v>
      </c>
      <c r="BL359" s="329"/>
      <c r="BM359" s="331" t="s">
        <v>28</v>
      </c>
      <c r="BN359" s="329" t="s">
        <v>922</v>
      </c>
      <c r="BO359" s="333">
        <v>43753</v>
      </c>
      <c r="BP359" s="329"/>
      <c r="BQ359" s="329"/>
      <c r="BR359" s="329"/>
      <c r="BS359" s="329"/>
      <c r="BT359" s="329"/>
      <c r="BU359" s="331" t="s">
        <v>261</v>
      </c>
      <c r="BV359" s="329"/>
      <c r="BW359" s="329"/>
      <c r="BX359" s="329"/>
      <c r="BY359" s="331" t="s">
        <v>1807</v>
      </c>
      <c r="BZ359" s="331" t="s">
        <v>1808</v>
      </c>
      <c r="CA359" s="331" t="s">
        <v>1809</v>
      </c>
      <c r="CB359" s="331" t="s">
        <v>279</v>
      </c>
      <c r="CC359" s="331" t="s">
        <v>1810</v>
      </c>
    </row>
    <row r="360" spans="1:81" x14ac:dyDescent="0.25">
      <c r="A360" s="329">
        <v>198376</v>
      </c>
      <c r="B360" s="331" t="s">
        <v>1811</v>
      </c>
      <c r="C360" s="329">
        <v>35253</v>
      </c>
      <c r="D360" s="331" t="s">
        <v>1812</v>
      </c>
      <c r="E360" s="331" t="s">
        <v>1813</v>
      </c>
      <c r="F360" s="331" t="s">
        <v>1814</v>
      </c>
      <c r="G360" s="331" t="s">
        <v>1815</v>
      </c>
      <c r="H360" s="331" t="s">
        <v>1816</v>
      </c>
      <c r="I360" s="331" t="s">
        <v>464</v>
      </c>
      <c r="J360" s="331" t="s">
        <v>292</v>
      </c>
      <c r="K360" s="331" t="s">
        <v>1817</v>
      </c>
      <c r="L360" s="329"/>
      <c r="M360" s="329">
        <v>6</v>
      </c>
      <c r="N360" s="329">
        <v>0</v>
      </c>
      <c r="O360" s="329">
        <v>3.8</v>
      </c>
      <c r="P360" s="329"/>
      <c r="Q360" s="333">
        <v>43740.479189814818</v>
      </c>
      <c r="R360" s="329"/>
      <c r="S360" s="333">
        <v>43749</v>
      </c>
      <c r="T360" s="329">
        <v>55</v>
      </c>
      <c r="U360" s="333">
        <v>43749</v>
      </c>
      <c r="V360" s="333">
        <v>44109</v>
      </c>
      <c r="W360" s="329" t="b">
        <v>1</v>
      </c>
      <c r="X360" s="331" t="s">
        <v>22</v>
      </c>
      <c r="Y360" s="329">
        <v>726</v>
      </c>
      <c r="Z360" s="331" t="s">
        <v>25</v>
      </c>
      <c r="AA360" s="331" t="s">
        <v>919</v>
      </c>
      <c r="AB360" s="331" t="s">
        <v>920</v>
      </c>
      <c r="AC360" s="331" t="s">
        <v>1818</v>
      </c>
      <c r="AD360" s="331" t="s">
        <v>24</v>
      </c>
      <c r="AE360" s="329">
        <v>221</v>
      </c>
      <c r="AF360" s="331" t="s">
        <v>254</v>
      </c>
      <c r="AG360" s="329"/>
      <c r="AH360" s="329">
        <v>17</v>
      </c>
      <c r="AI360" s="331" t="s">
        <v>280</v>
      </c>
      <c r="AJ360" s="331" t="s">
        <v>281</v>
      </c>
      <c r="AK360" s="329"/>
      <c r="AL360" s="329"/>
      <c r="AM360" s="329"/>
      <c r="AN360" s="329"/>
      <c r="AO360" s="329"/>
      <c r="AP360" s="329"/>
      <c r="AQ360" s="329"/>
      <c r="AR360" s="329"/>
      <c r="AS360" s="329"/>
      <c r="AT360" s="329" t="s">
        <v>258</v>
      </c>
      <c r="AU360" s="329" t="s">
        <v>283</v>
      </c>
      <c r="AV360" s="331" t="s">
        <v>292</v>
      </c>
      <c r="AW360" s="329"/>
      <c r="AX360" s="329"/>
      <c r="AY360" s="329"/>
      <c r="AZ360" s="329"/>
      <c r="BA360" s="329"/>
      <c r="BB360" s="329"/>
      <c r="BC360" s="329"/>
      <c r="BD360" s="329"/>
      <c r="BE360" s="329" t="s">
        <v>257</v>
      </c>
      <c r="BF360" s="329" t="s">
        <v>841</v>
      </c>
      <c r="BG360" s="329"/>
      <c r="BH360" s="329"/>
      <c r="BI360" s="329"/>
      <c r="BJ360" s="329"/>
      <c r="BK360" s="329">
        <v>9000</v>
      </c>
      <c r="BL360" s="329"/>
      <c r="BM360" s="331" t="s">
        <v>189</v>
      </c>
      <c r="BN360" s="329" t="s">
        <v>922</v>
      </c>
      <c r="BO360" s="333">
        <v>43753</v>
      </c>
      <c r="BP360" s="329"/>
      <c r="BQ360" s="329"/>
      <c r="BR360" s="329"/>
      <c r="BS360" s="329"/>
      <c r="BT360" s="329"/>
      <c r="BU360" s="331" t="s">
        <v>261</v>
      </c>
      <c r="BV360" s="329"/>
      <c r="BW360" s="329"/>
      <c r="BX360" s="329"/>
      <c r="BY360" s="331" t="s">
        <v>1819</v>
      </c>
      <c r="BZ360" s="331" t="s">
        <v>1820</v>
      </c>
      <c r="CA360" s="331" t="s">
        <v>464</v>
      </c>
      <c r="CB360" s="331" t="s">
        <v>292</v>
      </c>
      <c r="CC360" s="331" t="s">
        <v>1821</v>
      </c>
    </row>
    <row r="361" spans="1:81" x14ac:dyDescent="0.25">
      <c r="A361" s="329">
        <v>197048</v>
      </c>
      <c r="B361" s="331" t="s">
        <v>1822</v>
      </c>
      <c r="C361" s="329">
        <v>34791</v>
      </c>
      <c r="D361" s="331" t="s">
        <v>1823</v>
      </c>
      <c r="E361" s="331" t="s">
        <v>475</v>
      </c>
      <c r="F361" s="331" t="s">
        <v>1824</v>
      </c>
      <c r="G361" s="331" t="s">
        <v>1825</v>
      </c>
      <c r="H361" s="331" t="s">
        <v>1826</v>
      </c>
      <c r="I361" s="331" t="s">
        <v>1827</v>
      </c>
      <c r="J361" s="331" t="s">
        <v>20</v>
      </c>
      <c r="K361" s="331" t="s">
        <v>1828</v>
      </c>
      <c r="L361" s="329"/>
      <c r="M361" s="329">
        <v>6</v>
      </c>
      <c r="N361" s="329">
        <v>0</v>
      </c>
      <c r="O361" s="329">
        <v>4</v>
      </c>
      <c r="P361" s="329"/>
      <c r="Q361" s="333">
        <v>43711.486111111109</v>
      </c>
      <c r="R361" s="329"/>
      <c r="S361" s="333">
        <v>43749</v>
      </c>
      <c r="T361" s="329">
        <v>55</v>
      </c>
      <c r="U361" s="333">
        <v>43749</v>
      </c>
      <c r="V361" s="333">
        <v>44109</v>
      </c>
      <c r="W361" s="329" t="b">
        <v>1</v>
      </c>
      <c r="X361" s="331" t="s">
        <v>905</v>
      </c>
      <c r="Y361" s="329">
        <v>747</v>
      </c>
      <c r="Z361" s="331" t="s">
        <v>23</v>
      </c>
      <c r="AA361" s="331" t="s">
        <v>919</v>
      </c>
      <c r="AB361" s="331" t="s">
        <v>920</v>
      </c>
      <c r="AC361" s="331" t="s">
        <v>1829</v>
      </c>
      <c r="AD361" s="331" t="s">
        <v>24</v>
      </c>
      <c r="AE361" s="329">
        <v>221</v>
      </c>
      <c r="AF361" s="331" t="s">
        <v>254</v>
      </c>
      <c r="AG361" s="329"/>
      <c r="AH361" s="329">
        <v>17</v>
      </c>
      <c r="AI361" s="331" t="s">
        <v>280</v>
      </c>
      <c r="AJ361" s="331" t="s">
        <v>281</v>
      </c>
      <c r="AK361" s="329"/>
      <c r="AL361" s="329"/>
      <c r="AM361" s="329"/>
      <c r="AN361" s="329"/>
      <c r="AO361" s="329"/>
      <c r="AP361" s="331" t="s">
        <v>832</v>
      </c>
      <c r="AQ361" s="329">
        <v>520</v>
      </c>
      <c r="AR361" s="329">
        <v>570</v>
      </c>
      <c r="AS361" s="329"/>
      <c r="AT361" s="329" t="s">
        <v>349</v>
      </c>
      <c r="AU361" s="329" t="s">
        <v>283</v>
      </c>
      <c r="AV361" s="331" t="s">
        <v>20</v>
      </c>
      <c r="AW361" s="329"/>
      <c r="AX361" s="329"/>
      <c r="AY361" s="329"/>
      <c r="AZ361" s="329"/>
      <c r="BA361" s="329"/>
      <c r="BB361" s="329"/>
      <c r="BC361" s="329"/>
      <c r="BD361" s="329"/>
      <c r="BE361" s="329" t="s">
        <v>257</v>
      </c>
      <c r="BF361" s="329" t="s">
        <v>834</v>
      </c>
      <c r="BG361" s="329"/>
      <c r="BH361" s="329"/>
      <c r="BI361" s="329"/>
      <c r="BJ361" s="329"/>
      <c r="BK361" s="329">
        <v>20400</v>
      </c>
      <c r="BL361" s="329"/>
      <c r="BM361" s="331" t="s">
        <v>278</v>
      </c>
      <c r="BN361" s="329" t="s">
        <v>922</v>
      </c>
      <c r="BO361" s="333">
        <v>43753</v>
      </c>
      <c r="BP361" s="329"/>
      <c r="BQ361" s="329"/>
      <c r="BR361" s="329"/>
      <c r="BS361" s="329"/>
      <c r="BT361" s="329"/>
      <c r="BU361" s="331" t="s">
        <v>261</v>
      </c>
      <c r="BV361" s="329"/>
      <c r="BW361" s="329"/>
      <c r="BX361" s="329"/>
      <c r="BY361" s="331" t="s">
        <v>1830</v>
      </c>
      <c r="BZ361" s="331" t="s">
        <v>1831</v>
      </c>
      <c r="CA361" s="331" t="s">
        <v>1832</v>
      </c>
      <c r="CB361" s="331" t="s">
        <v>20</v>
      </c>
      <c r="CC361" s="331" t="s">
        <v>1833</v>
      </c>
    </row>
    <row r="362" spans="1:81" x14ac:dyDescent="0.25">
      <c r="A362" s="329">
        <v>194426</v>
      </c>
      <c r="B362" s="331" t="s">
        <v>1834</v>
      </c>
      <c r="C362" s="329">
        <v>34128</v>
      </c>
      <c r="D362" s="331" t="s">
        <v>1835</v>
      </c>
      <c r="E362" s="331" t="s">
        <v>745</v>
      </c>
      <c r="F362" s="331" t="s">
        <v>1836</v>
      </c>
      <c r="G362" s="331" t="s">
        <v>1837</v>
      </c>
      <c r="H362" s="331" t="s">
        <v>1838</v>
      </c>
      <c r="I362" s="331" t="s">
        <v>1839</v>
      </c>
      <c r="J362" s="331" t="s">
        <v>360</v>
      </c>
      <c r="K362" s="331" t="s">
        <v>1840</v>
      </c>
      <c r="L362" s="329"/>
      <c r="M362" s="329">
        <v>6</v>
      </c>
      <c r="N362" s="329">
        <v>0</v>
      </c>
      <c r="O362" s="329">
        <v>4</v>
      </c>
      <c r="P362" s="329"/>
      <c r="Q362" s="333">
        <v>43638.368055555555</v>
      </c>
      <c r="R362" s="329"/>
      <c r="S362" s="333">
        <v>43749</v>
      </c>
      <c r="T362" s="329">
        <v>55</v>
      </c>
      <c r="U362" s="333">
        <v>43749</v>
      </c>
      <c r="V362" s="333">
        <v>44109</v>
      </c>
      <c r="W362" s="329" t="b">
        <v>1</v>
      </c>
      <c r="X362" s="331" t="s">
        <v>187</v>
      </c>
      <c r="Y362" s="329">
        <v>718</v>
      </c>
      <c r="Z362" s="331" t="s">
        <v>23</v>
      </c>
      <c r="AA362" s="331" t="s">
        <v>919</v>
      </c>
      <c r="AB362" s="331" t="s">
        <v>920</v>
      </c>
      <c r="AC362" s="331" t="s">
        <v>1841</v>
      </c>
      <c r="AD362" s="331" t="s">
        <v>24</v>
      </c>
      <c r="AE362" s="329">
        <v>221</v>
      </c>
      <c r="AF362" s="331" t="s">
        <v>254</v>
      </c>
      <c r="AG362" s="329"/>
      <c r="AH362" s="329">
        <v>17</v>
      </c>
      <c r="AI362" s="331" t="s">
        <v>280</v>
      </c>
      <c r="AJ362" s="331" t="s">
        <v>281</v>
      </c>
      <c r="AK362" s="329"/>
      <c r="AL362" s="329"/>
      <c r="AM362" s="329"/>
      <c r="AN362" s="329"/>
      <c r="AO362" s="329"/>
      <c r="AP362" s="331" t="s">
        <v>534</v>
      </c>
      <c r="AQ362" s="329">
        <v>660</v>
      </c>
      <c r="AR362" s="329">
        <v>610</v>
      </c>
      <c r="AS362" s="329"/>
      <c r="AT362" s="329" t="s">
        <v>276</v>
      </c>
      <c r="AU362" s="329" t="s">
        <v>256</v>
      </c>
      <c r="AV362" s="331" t="s">
        <v>360</v>
      </c>
      <c r="AW362" s="329"/>
      <c r="AX362" s="329"/>
      <c r="AY362" s="329"/>
      <c r="AZ362" s="329"/>
      <c r="BA362" s="329"/>
      <c r="BB362" s="329"/>
      <c r="BC362" s="329"/>
      <c r="BD362" s="329"/>
      <c r="BE362" s="329" t="s">
        <v>257</v>
      </c>
      <c r="BF362" s="329" t="s">
        <v>834</v>
      </c>
      <c r="BG362" s="329"/>
      <c r="BH362" s="329" t="s">
        <v>258</v>
      </c>
      <c r="BI362" s="329"/>
      <c r="BJ362" s="329"/>
      <c r="BK362" s="329">
        <v>20400</v>
      </c>
      <c r="BL362" s="329"/>
      <c r="BM362" s="331" t="s">
        <v>278</v>
      </c>
      <c r="BN362" s="329" t="s">
        <v>922</v>
      </c>
      <c r="BO362" s="333">
        <v>43753</v>
      </c>
      <c r="BP362" s="329"/>
      <c r="BQ362" s="329"/>
      <c r="BR362" s="329"/>
      <c r="BS362" s="329"/>
      <c r="BT362" s="329"/>
      <c r="BU362" s="331" t="s">
        <v>261</v>
      </c>
      <c r="BV362" s="329"/>
      <c r="BW362" s="329"/>
      <c r="BX362" s="329"/>
      <c r="BY362" s="331" t="s">
        <v>1842</v>
      </c>
      <c r="BZ362" s="331" t="s">
        <v>1843</v>
      </c>
      <c r="CA362" s="331" t="s">
        <v>1844</v>
      </c>
      <c r="CB362" s="331" t="s">
        <v>360</v>
      </c>
      <c r="CC362" s="331" t="s">
        <v>1845</v>
      </c>
    </row>
    <row r="363" spans="1:81" x14ac:dyDescent="0.25">
      <c r="A363" s="329">
        <v>192291</v>
      </c>
      <c r="B363" s="331" t="s">
        <v>1865</v>
      </c>
      <c r="C363" s="329">
        <v>33616</v>
      </c>
      <c r="D363" s="331" t="s">
        <v>1866</v>
      </c>
      <c r="E363" s="331" t="s">
        <v>296</v>
      </c>
      <c r="F363" s="331" t="s">
        <v>1867</v>
      </c>
      <c r="G363" s="331" t="s">
        <v>1868</v>
      </c>
      <c r="H363" s="331" t="s">
        <v>1869</v>
      </c>
      <c r="I363" s="331" t="s">
        <v>1870</v>
      </c>
      <c r="J363" s="331" t="s">
        <v>392</v>
      </c>
      <c r="K363" s="331" t="s">
        <v>867</v>
      </c>
      <c r="L363" s="329"/>
      <c r="M363" s="329">
        <v>6</v>
      </c>
      <c r="N363" s="329">
        <v>0</v>
      </c>
      <c r="O363" s="329">
        <v>3.9580000000000002</v>
      </c>
      <c r="P363" s="329"/>
      <c r="Q363" s="333">
        <v>43600.687511574077</v>
      </c>
      <c r="R363" s="329"/>
      <c r="S363" s="333">
        <v>43749</v>
      </c>
      <c r="T363" s="329">
        <v>55</v>
      </c>
      <c r="U363" s="333">
        <v>43749</v>
      </c>
      <c r="V363" s="333">
        <v>44109</v>
      </c>
      <c r="W363" s="329" t="b">
        <v>1</v>
      </c>
      <c r="X363" s="331" t="s">
        <v>187</v>
      </c>
      <c r="Y363" s="329">
        <v>718</v>
      </c>
      <c r="Z363" s="331" t="s">
        <v>23</v>
      </c>
      <c r="AA363" s="331" t="s">
        <v>919</v>
      </c>
      <c r="AB363" s="331" t="s">
        <v>920</v>
      </c>
      <c r="AC363" s="331" t="s">
        <v>1329</v>
      </c>
      <c r="AD363" s="331" t="s">
        <v>24</v>
      </c>
      <c r="AE363" s="329">
        <v>221</v>
      </c>
      <c r="AF363" s="331" t="s">
        <v>254</v>
      </c>
      <c r="AG363" s="329"/>
      <c r="AH363" s="329">
        <v>17</v>
      </c>
      <c r="AI363" s="331" t="s">
        <v>280</v>
      </c>
      <c r="AJ363" s="331" t="s">
        <v>281</v>
      </c>
      <c r="AK363" s="329"/>
      <c r="AL363" s="329"/>
      <c r="AM363" s="329"/>
      <c r="AN363" s="329"/>
      <c r="AO363" s="329"/>
      <c r="AP363" s="329"/>
      <c r="AQ363" s="329"/>
      <c r="AR363" s="329"/>
      <c r="AS363" s="329"/>
      <c r="AT363" s="329" t="s">
        <v>258</v>
      </c>
      <c r="AU363" s="329" t="s">
        <v>283</v>
      </c>
      <c r="AV363" s="331" t="s">
        <v>392</v>
      </c>
      <c r="AW363" s="329"/>
      <c r="AX363" s="329"/>
      <c r="AY363" s="329"/>
      <c r="AZ363" s="329"/>
      <c r="BA363" s="329"/>
      <c r="BB363" s="329"/>
      <c r="BC363" s="329"/>
      <c r="BD363" s="329"/>
      <c r="BE363" s="329" t="s">
        <v>257</v>
      </c>
      <c r="BF363" s="329" t="s">
        <v>834</v>
      </c>
      <c r="BG363" s="329"/>
      <c r="BH363" s="329"/>
      <c r="BI363" s="329"/>
      <c r="BJ363" s="329"/>
      <c r="BK363" s="329">
        <v>20400</v>
      </c>
      <c r="BL363" s="329"/>
      <c r="BM363" s="331" t="s">
        <v>278</v>
      </c>
      <c r="BN363" s="329" t="s">
        <v>922</v>
      </c>
      <c r="BO363" s="333">
        <v>43753</v>
      </c>
      <c r="BP363" s="329"/>
      <c r="BQ363" s="329"/>
      <c r="BR363" s="329"/>
      <c r="BS363" s="329"/>
      <c r="BT363" s="329"/>
      <c r="BU363" s="331" t="s">
        <v>261</v>
      </c>
      <c r="BV363" s="329"/>
      <c r="BW363" s="329"/>
      <c r="BX363" s="329"/>
      <c r="BY363" s="331" t="s">
        <v>866</v>
      </c>
      <c r="BZ363" s="331" t="s">
        <v>807</v>
      </c>
      <c r="CA363" s="331" t="s">
        <v>808</v>
      </c>
      <c r="CB363" s="331" t="s">
        <v>392</v>
      </c>
      <c r="CC363" s="331" t="s">
        <v>867</v>
      </c>
    </row>
    <row r="364" spans="1:81" x14ac:dyDescent="0.25">
      <c r="A364" s="329">
        <v>197794</v>
      </c>
      <c r="B364" s="331" t="s">
        <v>1871</v>
      </c>
      <c r="C364" s="329">
        <v>34993</v>
      </c>
      <c r="D364" s="331" t="s">
        <v>1872</v>
      </c>
      <c r="E364" s="331" t="s">
        <v>1873</v>
      </c>
      <c r="F364" s="331" t="s">
        <v>1874</v>
      </c>
      <c r="G364" s="331" t="s">
        <v>1875</v>
      </c>
      <c r="H364" s="331" t="s">
        <v>1876</v>
      </c>
      <c r="I364" s="331" t="s">
        <v>1877</v>
      </c>
      <c r="J364" s="331" t="s">
        <v>288</v>
      </c>
      <c r="K364" s="331" t="s">
        <v>1878</v>
      </c>
      <c r="L364" s="329"/>
      <c r="M364" s="329">
        <v>6</v>
      </c>
      <c r="N364" s="329">
        <v>0</v>
      </c>
      <c r="O364" s="329">
        <v>3.577</v>
      </c>
      <c r="P364" s="329"/>
      <c r="Q364" s="333">
        <v>43725.786111111112</v>
      </c>
      <c r="R364" s="329"/>
      <c r="S364" s="333">
        <v>43749</v>
      </c>
      <c r="T364" s="329">
        <v>55</v>
      </c>
      <c r="U364" s="333">
        <v>43749</v>
      </c>
      <c r="V364" s="333">
        <v>44109</v>
      </c>
      <c r="W364" s="329" t="b">
        <v>1</v>
      </c>
      <c r="X364" s="331" t="s">
        <v>187</v>
      </c>
      <c r="Y364" s="329">
        <v>718</v>
      </c>
      <c r="Z364" s="331" t="s">
        <v>23</v>
      </c>
      <c r="AA364" s="331" t="s">
        <v>919</v>
      </c>
      <c r="AB364" s="331" t="s">
        <v>920</v>
      </c>
      <c r="AC364" s="331" t="s">
        <v>264</v>
      </c>
      <c r="AD364" s="331" t="s">
        <v>24</v>
      </c>
      <c r="AE364" s="329">
        <v>221</v>
      </c>
      <c r="AF364" s="331" t="s">
        <v>254</v>
      </c>
      <c r="AG364" s="329"/>
      <c r="AH364" s="329">
        <v>17</v>
      </c>
      <c r="AI364" s="331" t="s">
        <v>280</v>
      </c>
      <c r="AJ364" s="331" t="s">
        <v>281</v>
      </c>
      <c r="AK364" s="331" t="s">
        <v>274</v>
      </c>
      <c r="AL364" s="331" t="s">
        <v>273</v>
      </c>
      <c r="AM364" s="331" t="s">
        <v>274</v>
      </c>
      <c r="AN364" s="331" t="s">
        <v>299</v>
      </c>
      <c r="AO364" s="331" t="s">
        <v>300</v>
      </c>
      <c r="AP364" s="329"/>
      <c r="AQ364" s="329"/>
      <c r="AR364" s="329"/>
      <c r="AS364" s="329"/>
      <c r="AT364" s="329" t="s">
        <v>303</v>
      </c>
      <c r="AU364" s="329" t="s">
        <v>283</v>
      </c>
      <c r="AV364" s="331" t="s">
        <v>288</v>
      </c>
      <c r="AW364" s="329"/>
      <c r="AX364" s="329"/>
      <c r="AY364" s="329"/>
      <c r="AZ364" s="329"/>
      <c r="BA364" s="329"/>
      <c r="BB364" s="329"/>
      <c r="BC364" s="329"/>
      <c r="BD364" s="329"/>
      <c r="BE364" s="329" t="s">
        <v>257</v>
      </c>
      <c r="BF364" s="329" t="s">
        <v>838</v>
      </c>
      <c r="BG364" s="329"/>
      <c r="BH364" s="329"/>
      <c r="BI364" s="329"/>
      <c r="BJ364" s="329"/>
      <c r="BK364" s="329">
        <v>15600</v>
      </c>
      <c r="BL364" s="329"/>
      <c r="BM364" s="331" t="s">
        <v>259</v>
      </c>
      <c r="BN364" s="329" t="s">
        <v>922</v>
      </c>
      <c r="BO364" s="333">
        <v>43753</v>
      </c>
      <c r="BP364" s="329"/>
      <c r="BQ364" s="329"/>
      <c r="BR364" s="329"/>
      <c r="BS364" s="329"/>
      <c r="BT364" s="329"/>
      <c r="BU364" s="331" t="s">
        <v>261</v>
      </c>
      <c r="BV364" s="329"/>
      <c r="BW364" s="329"/>
      <c r="BX364" s="329"/>
      <c r="BY364" s="331" t="s">
        <v>1879</v>
      </c>
      <c r="BZ364" s="331" t="s">
        <v>1880</v>
      </c>
      <c r="CA364" s="331" t="s">
        <v>1877</v>
      </c>
      <c r="CB364" s="331" t="s">
        <v>288</v>
      </c>
      <c r="CC364" s="331" t="s">
        <v>1878</v>
      </c>
    </row>
    <row r="365" spans="1:81" x14ac:dyDescent="0.25">
      <c r="A365" s="329">
        <v>198108</v>
      </c>
      <c r="B365" s="331" t="s">
        <v>1881</v>
      </c>
      <c r="C365" s="329">
        <v>35096</v>
      </c>
      <c r="D365" s="331" t="s">
        <v>1882</v>
      </c>
      <c r="E365" s="331" t="s">
        <v>1883</v>
      </c>
      <c r="F365" s="331" t="s">
        <v>1884</v>
      </c>
      <c r="G365" s="331" t="s">
        <v>1885</v>
      </c>
      <c r="H365" s="331" t="s">
        <v>1886</v>
      </c>
      <c r="I365" s="331" t="s">
        <v>1887</v>
      </c>
      <c r="J365" s="331" t="s">
        <v>292</v>
      </c>
      <c r="K365" s="331" t="s">
        <v>1888</v>
      </c>
      <c r="L365" s="329"/>
      <c r="M365" s="329">
        <v>6</v>
      </c>
      <c r="N365" s="329">
        <v>0</v>
      </c>
      <c r="O365" s="329">
        <v>3.5</v>
      </c>
      <c r="P365" s="329"/>
      <c r="Q365" s="333">
        <v>43650.673611111109</v>
      </c>
      <c r="R365" s="329"/>
      <c r="S365" s="333">
        <v>43749</v>
      </c>
      <c r="T365" s="329">
        <v>55</v>
      </c>
      <c r="U365" s="333">
        <v>43749</v>
      </c>
      <c r="V365" s="333">
        <v>44109</v>
      </c>
      <c r="W365" s="329" t="b">
        <v>1</v>
      </c>
      <c r="X365" s="331" t="s">
        <v>22</v>
      </c>
      <c r="Y365" s="329">
        <v>429</v>
      </c>
      <c r="Z365" s="331" t="s">
        <v>25</v>
      </c>
      <c r="AA365" s="331" t="s">
        <v>919</v>
      </c>
      <c r="AB365" s="331" t="s">
        <v>920</v>
      </c>
      <c r="AC365" s="331" t="s">
        <v>1889</v>
      </c>
      <c r="AD365" s="331" t="s">
        <v>24</v>
      </c>
      <c r="AE365" s="329">
        <v>221</v>
      </c>
      <c r="AF365" s="331" t="s">
        <v>254</v>
      </c>
      <c r="AG365" s="329"/>
      <c r="AH365" s="329">
        <v>17</v>
      </c>
      <c r="AI365" s="331" t="s">
        <v>280</v>
      </c>
      <c r="AJ365" s="331" t="s">
        <v>281</v>
      </c>
      <c r="AK365" s="329"/>
      <c r="AL365" s="329"/>
      <c r="AM365" s="329"/>
      <c r="AN365" s="329"/>
      <c r="AO365" s="329"/>
      <c r="AP365" s="329"/>
      <c r="AQ365" s="329"/>
      <c r="AR365" s="329"/>
      <c r="AS365" s="329"/>
      <c r="AT365" s="329" t="s">
        <v>258</v>
      </c>
      <c r="AU365" s="329" t="s">
        <v>283</v>
      </c>
      <c r="AV365" s="331" t="s">
        <v>292</v>
      </c>
      <c r="AW365" s="329"/>
      <c r="AX365" s="329"/>
      <c r="AY365" s="329"/>
      <c r="AZ365" s="329"/>
      <c r="BA365" s="329"/>
      <c r="BB365" s="329"/>
      <c r="BC365" s="329"/>
      <c r="BD365" s="329"/>
      <c r="BE365" s="329"/>
      <c r="BF365" s="329"/>
      <c r="BG365" s="329"/>
      <c r="BH365" s="329"/>
      <c r="BI365" s="329"/>
      <c r="BJ365" s="329"/>
      <c r="BK365" s="329">
        <v>0</v>
      </c>
      <c r="BL365" s="329"/>
      <c r="BM365" s="331" t="s">
        <v>267</v>
      </c>
      <c r="BN365" s="329" t="s">
        <v>922</v>
      </c>
      <c r="BO365" s="333">
        <v>43753</v>
      </c>
      <c r="BP365" s="329"/>
      <c r="BQ365" s="329"/>
      <c r="BR365" s="329"/>
      <c r="BS365" s="329"/>
      <c r="BT365" s="329"/>
      <c r="BU365" s="331" t="s">
        <v>261</v>
      </c>
      <c r="BV365" s="329"/>
      <c r="BW365" s="329"/>
      <c r="BX365" s="329"/>
      <c r="BY365" s="331" t="s">
        <v>1890</v>
      </c>
      <c r="BZ365" s="331" t="s">
        <v>1891</v>
      </c>
      <c r="CA365" s="331" t="s">
        <v>1892</v>
      </c>
      <c r="CB365" s="331" t="s">
        <v>292</v>
      </c>
      <c r="CC365" s="331" t="s">
        <v>1888</v>
      </c>
    </row>
    <row r="366" spans="1:81" x14ac:dyDescent="0.25">
      <c r="A366" s="329">
        <v>198323</v>
      </c>
      <c r="B366" s="331" t="s">
        <v>1893</v>
      </c>
      <c r="C366" s="329">
        <v>35223</v>
      </c>
      <c r="D366" s="331" t="s">
        <v>1894</v>
      </c>
      <c r="E366" s="331" t="s">
        <v>1895</v>
      </c>
      <c r="F366" s="331" t="s">
        <v>1896</v>
      </c>
      <c r="G366" s="331" t="s">
        <v>1897</v>
      </c>
      <c r="H366" s="331" t="s">
        <v>1898</v>
      </c>
      <c r="I366" s="331" t="s">
        <v>1899</v>
      </c>
      <c r="J366" s="331" t="s">
        <v>288</v>
      </c>
      <c r="K366" s="331" t="s">
        <v>1900</v>
      </c>
      <c r="L366" s="329"/>
      <c r="M366" s="329">
        <v>6</v>
      </c>
      <c r="N366" s="329">
        <v>0</v>
      </c>
      <c r="O366" s="329">
        <v>2.89</v>
      </c>
      <c r="P366" s="329"/>
      <c r="Q366" s="333">
        <v>43706.631539351853</v>
      </c>
      <c r="R366" s="329"/>
      <c r="S366" s="333">
        <v>43749</v>
      </c>
      <c r="T366" s="329">
        <v>55</v>
      </c>
      <c r="U366" s="333">
        <v>43749</v>
      </c>
      <c r="V366" s="333">
        <v>44109</v>
      </c>
      <c r="W366" s="329" t="b">
        <v>1</v>
      </c>
      <c r="X366" s="331" t="s">
        <v>22</v>
      </c>
      <c r="Y366" s="329">
        <v>726</v>
      </c>
      <c r="Z366" s="331" t="s">
        <v>23</v>
      </c>
      <c r="AA366" s="331" t="s">
        <v>919</v>
      </c>
      <c r="AB366" s="331" t="s">
        <v>920</v>
      </c>
      <c r="AC366" s="331" t="s">
        <v>346</v>
      </c>
      <c r="AD366" s="331" t="s">
        <v>24</v>
      </c>
      <c r="AE366" s="329">
        <v>221</v>
      </c>
      <c r="AF366" s="331" t="s">
        <v>254</v>
      </c>
      <c r="AG366" s="329"/>
      <c r="AH366" s="329">
        <v>17</v>
      </c>
      <c r="AI366" s="331" t="s">
        <v>280</v>
      </c>
      <c r="AJ366" s="331" t="s">
        <v>281</v>
      </c>
      <c r="AK366" s="331" t="s">
        <v>287</v>
      </c>
      <c r="AL366" s="331" t="s">
        <v>300</v>
      </c>
      <c r="AM366" s="331" t="s">
        <v>289</v>
      </c>
      <c r="AN366" s="331" t="s">
        <v>285</v>
      </c>
      <c r="AO366" s="331" t="s">
        <v>347</v>
      </c>
      <c r="AP366" s="329"/>
      <c r="AQ366" s="329"/>
      <c r="AR366" s="329"/>
      <c r="AS366" s="329"/>
      <c r="AT366" s="329" t="s">
        <v>833</v>
      </c>
      <c r="AU366" s="329" t="s">
        <v>283</v>
      </c>
      <c r="AV366" s="331" t="s">
        <v>288</v>
      </c>
      <c r="AW366" s="329"/>
      <c r="AX366" s="329"/>
      <c r="AY366" s="329"/>
      <c r="AZ366" s="329"/>
      <c r="BA366" s="329"/>
      <c r="BB366" s="329"/>
      <c r="BC366" s="329"/>
      <c r="BD366" s="329"/>
      <c r="BE366" s="329" t="s">
        <v>257</v>
      </c>
      <c r="BF366" s="329" t="s">
        <v>836</v>
      </c>
      <c r="BG366" s="329"/>
      <c r="BH366" s="329"/>
      <c r="BI366" s="329"/>
      <c r="BJ366" s="329"/>
      <c r="BK366" s="329">
        <v>18000</v>
      </c>
      <c r="BL366" s="329"/>
      <c r="BM366" s="331" t="s">
        <v>310</v>
      </c>
      <c r="BN366" s="329" t="s">
        <v>922</v>
      </c>
      <c r="BO366" s="333">
        <v>43753</v>
      </c>
      <c r="BP366" s="329"/>
      <c r="BQ366" s="329"/>
      <c r="BR366" s="329"/>
      <c r="BS366" s="329"/>
      <c r="BT366" s="329"/>
      <c r="BU366" s="331" t="s">
        <v>261</v>
      </c>
      <c r="BV366" s="329"/>
      <c r="BW366" s="329"/>
      <c r="BX366" s="329"/>
      <c r="BY366" s="331" t="s">
        <v>1901</v>
      </c>
      <c r="BZ366" s="331" t="s">
        <v>1902</v>
      </c>
      <c r="CA366" s="331" t="s">
        <v>1903</v>
      </c>
      <c r="CB366" s="331" t="s">
        <v>288</v>
      </c>
      <c r="CC366" s="331" t="s">
        <v>1904</v>
      </c>
    </row>
    <row r="367" spans="1:81" x14ac:dyDescent="0.25">
      <c r="A367" s="329">
        <v>195966</v>
      </c>
      <c r="B367" s="331" t="s">
        <v>1905</v>
      </c>
      <c r="C367" s="329">
        <v>34448</v>
      </c>
      <c r="D367" s="331" t="s">
        <v>1906</v>
      </c>
      <c r="E367" s="331" t="s">
        <v>1907</v>
      </c>
      <c r="F367" s="331" t="s">
        <v>1908</v>
      </c>
      <c r="G367" s="331" t="s">
        <v>1909</v>
      </c>
      <c r="H367" s="331" t="s">
        <v>1910</v>
      </c>
      <c r="I367" s="331" t="s">
        <v>799</v>
      </c>
      <c r="J367" s="331" t="s">
        <v>21</v>
      </c>
      <c r="K367" s="331" t="s">
        <v>874</v>
      </c>
      <c r="L367" s="329"/>
      <c r="M367" s="329">
        <v>6</v>
      </c>
      <c r="N367" s="329">
        <v>0</v>
      </c>
      <c r="O367" s="329">
        <v>3.8923999999999999</v>
      </c>
      <c r="P367" s="329"/>
      <c r="Q367" s="333">
        <v>42433.853472222225</v>
      </c>
      <c r="R367" s="329"/>
      <c r="S367" s="333">
        <v>43749</v>
      </c>
      <c r="T367" s="329">
        <v>55</v>
      </c>
      <c r="U367" s="333">
        <v>43749</v>
      </c>
      <c r="V367" s="333">
        <v>44109</v>
      </c>
      <c r="W367" s="329" t="b">
        <v>1</v>
      </c>
      <c r="X367" s="331" t="s">
        <v>906</v>
      </c>
      <c r="Y367" s="329">
        <v>748</v>
      </c>
      <c r="Z367" s="331" t="s">
        <v>25</v>
      </c>
      <c r="AA367" s="331" t="s">
        <v>919</v>
      </c>
      <c r="AB367" s="331" t="s">
        <v>920</v>
      </c>
      <c r="AC367" s="331" t="s">
        <v>1911</v>
      </c>
      <c r="AD367" s="331" t="s">
        <v>24</v>
      </c>
      <c r="AE367" s="329">
        <v>221</v>
      </c>
      <c r="AF367" s="331" t="s">
        <v>254</v>
      </c>
      <c r="AG367" s="329"/>
      <c r="AH367" s="329">
        <v>17</v>
      </c>
      <c r="AI367" s="331" t="s">
        <v>280</v>
      </c>
      <c r="AJ367" s="331" t="s">
        <v>281</v>
      </c>
      <c r="AK367" s="331" t="s">
        <v>300</v>
      </c>
      <c r="AL367" s="331" t="s">
        <v>290</v>
      </c>
      <c r="AM367" s="331" t="s">
        <v>300</v>
      </c>
      <c r="AN367" s="331" t="s">
        <v>300</v>
      </c>
      <c r="AO367" s="331" t="s">
        <v>290</v>
      </c>
      <c r="AP367" s="329"/>
      <c r="AQ367" s="329"/>
      <c r="AR367" s="329"/>
      <c r="AS367" s="329"/>
      <c r="AT367" s="329" t="s">
        <v>258</v>
      </c>
      <c r="AU367" s="329" t="s">
        <v>283</v>
      </c>
      <c r="AV367" s="331" t="s">
        <v>21</v>
      </c>
      <c r="AW367" s="329"/>
      <c r="AX367" s="329"/>
      <c r="AY367" s="329"/>
      <c r="AZ367" s="329"/>
      <c r="BA367" s="329"/>
      <c r="BB367" s="329"/>
      <c r="BC367" s="329"/>
      <c r="BD367" s="329"/>
      <c r="BE367" s="329"/>
      <c r="BF367" s="329"/>
      <c r="BG367" s="329"/>
      <c r="BH367" s="329"/>
      <c r="BI367" s="329" t="s">
        <v>334</v>
      </c>
      <c r="BJ367" s="329" t="s">
        <v>831</v>
      </c>
      <c r="BK367" s="329">
        <v>36000</v>
      </c>
      <c r="BL367" s="329"/>
      <c r="BM367" s="331" t="s">
        <v>267</v>
      </c>
      <c r="BN367" s="329" t="s">
        <v>922</v>
      </c>
      <c r="BO367" s="333">
        <v>43753</v>
      </c>
      <c r="BP367" s="329"/>
      <c r="BQ367" s="329"/>
      <c r="BR367" s="329"/>
      <c r="BS367" s="329"/>
      <c r="BT367" s="329"/>
      <c r="BU367" s="331" t="s">
        <v>261</v>
      </c>
      <c r="BV367" s="329"/>
      <c r="BW367" s="329"/>
      <c r="BX367" s="329"/>
      <c r="BY367" s="331" t="s">
        <v>1912</v>
      </c>
      <c r="BZ367" s="331" t="s">
        <v>1913</v>
      </c>
      <c r="CA367" s="331" t="s">
        <v>799</v>
      </c>
      <c r="CB367" s="331" t="s">
        <v>21</v>
      </c>
      <c r="CC367" s="331" t="s">
        <v>1914</v>
      </c>
    </row>
    <row r="368" spans="1:81" x14ac:dyDescent="0.25">
      <c r="A368" s="329">
        <v>197462</v>
      </c>
      <c r="B368" s="331" t="s">
        <v>1915</v>
      </c>
      <c r="C368" s="329">
        <v>34881</v>
      </c>
      <c r="D368" s="331" t="s">
        <v>1916</v>
      </c>
      <c r="E368" s="331" t="s">
        <v>1917</v>
      </c>
      <c r="F368" s="331" t="s">
        <v>1918</v>
      </c>
      <c r="G368" s="331" t="s">
        <v>1919</v>
      </c>
      <c r="H368" s="331" t="s">
        <v>1920</v>
      </c>
      <c r="I368" s="331" t="s">
        <v>1921</v>
      </c>
      <c r="J368" s="331" t="s">
        <v>321</v>
      </c>
      <c r="K368" s="331" t="s">
        <v>1922</v>
      </c>
      <c r="L368" s="329"/>
      <c r="M368" s="329">
        <v>6</v>
      </c>
      <c r="N368" s="329">
        <v>0</v>
      </c>
      <c r="O368" s="329">
        <v>2.5</v>
      </c>
      <c r="P368" s="329"/>
      <c r="Q368" s="333">
        <v>43717.923611111109</v>
      </c>
      <c r="R368" s="329"/>
      <c r="S368" s="333">
        <v>43749</v>
      </c>
      <c r="T368" s="329">
        <v>55</v>
      </c>
      <c r="U368" s="333">
        <v>43749</v>
      </c>
      <c r="V368" s="333">
        <v>44109</v>
      </c>
      <c r="W368" s="329" t="b">
        <v>1</v>
      </c>
      <c r="X368" s="331" t="s">
        <v>905</v>
      </c>
      <c r="Y368" s="329">
        <v>747</v>
      </c>
      <c r="Z368" s="331" t="s">
        <v>25</v>
      </c>
      <c r="AA368" s="331" t="s">
        <v>919</v>
      </c>
      <c r="AB368" s="331" t="s">
        <v>920</v>
      </c>
      <c r="AC368" s="331" t="s">
        <v>1446</v>
      </c>
      <c r="AD368" s="331" t="s">
        <v>24</v>
      </c>
      <c r="AE368" s="329">
        <v>221</v>
      </c>
      <c r="AF368" s="331" t="s">
        <v>254</v>
      </c>
      <c r="AG368" s="329"/>
      <c r="AH368" s="329">
        <v>17</v>
      </c>
      <c r="AI368" s="331" t="s">
        <v>280</v>
      </c>
      <c r="AJ368" s="331" t="s">
        <v>281</v>
      </c>
      <c r="AK368" s="331" t="s">
        <v>328</v>
      </c>
      <c r="AL368" s="331" t="s">
        <v>331</v>
      </c>
      <c r="AM368" s="331" t="s">
        <v>363</v>
      </c>
      <c r="AN368" s="331" t="s">
        <v>331</v>
      </c>
      <c r="AO368" s="331" t="s">
        <v>330</v>
      </c>
      <c r="AP368" s="329"/>
      <c r="AQ368" s="329"/>
      <c r="AR368" s="329"/>
      <c r="AS368" s="329"/>
      <c r="AT368" s="329" t="s">
        <v>460</v>
      </c>
      <c r="AU368" s="329" t="s">
        <v>283</v>
      </c>
      <c r="AV368" s="331" t="s">
        <v>321</v>
      </c>
      <c r="AW368" s="329"/>
      <c r="AX368" s="329"/>
      <c r="AY368" s="329"/>
      <c r="AZ368" s="329"/>
      <c r="BA368" s="329"/>
      <c r="BB368" s="329"/>
      <c r="BC368" s="329"/>
      <c r="BD368" s="329"/>
      <c r="BE368" s="329"/>
      <c r="BF368" s="329"/>
      <c r="BG368" s="329"/>
      <c r="BH368" s="329"/>
      <c r="BI368" s="329"/>
      <c r="BJ368" s="329"/>
      <c r="BK368" s="329">
        <v>0</v>
      </c>
      <c r="BL368" s="329"/>
      <c r="BM368" s="331" t="s">
        <v>323</v>
      </c>
      <c r="BN368" s="329" t="s">
        <v>922</v>
      </c>
      <c r="BO368" s="333">
        <v>43753</v>
      </c>
      <c r="BP368" s="329"/>
      <c r="BQ368" s="329"/>
      <c r="BR368" s="329"/>
      <c r="BS368" s="329"/>
      <c r="BT368" s="329"/>
      <c r="BU368" s="331" t="s">
        <v>261</v>
      </c>
      <c r="BV368" s="329"/>
      <c r="BW368" s="329"/>
      <c r="BX368" s="329"/>
      <c r="BY368" s="331" t="s">
        <v>1923</v>
      </c>
      <c r="BZ368" s="331" t="s">
        <v>1924</v>
      </c>
      <c r="CA368" s="331" t="s">
        <v>1925</v>
      </c>
      <c r="CB368" s="331" t="s">
        <v>321</v>
      </c>
      <c r="CC368" s="331" t="s">
        <v>1926</v>
      </c>
    </row>
    <row r="369" spans="1:81" x14ac:dyDescent="0.25">
      <c r="A369" s="329">
        <v>193913</v>
      </c>
      <c r="B369" s="331" t="s">
        <v>1938</v>
      </c>
      <c r="C369" s="329">
        <v>34022</v>
      </c>
      <c r="D369" s="331" t="s">
        <v>1939</v>
      </c>
      <c r="E369" s="331" t="s">
        <v>1791</v>
      </c>
      <c r="F369" s="331" t="s">
        <v>1940</v>
      </c>
      <c r="G369" s="331" t="s">
        <v>1941</v>
      </c>
      <c r="H369" s="331" t="s">
        <v>1942</v>
      </c>
      <c r="I369" s="331" t="s">
        <v>1943</v>
      </c>
      <c r="J369" s="331" t="s">
        <v>350</v>
      </c>
      <c r="K369" s="331" t="s">
        <v>1944</v>
      </c>
      <c r="L369" s="329"/>
      <c r="M369" s="329">
        <v>6</v>
      </c>
      <c r="N369" s="329">
        <v>0</v>
      </c>
      <c r="O369" s="329">
        <v>3.92</v>
      </c>
      <c r="P369" s="329"/>
      <c r="Q369" s="333">
        <v>43633.527777777781</v>
      </c>
      <c r="R369" s="329"/>
      <c r="S369" s="333">
        <v>43749</v>
      </c>
      <c r="T369" s="329">
        <v>55</v>
      </c>
      <c r="U369" s="333">
        <v>43749</v>
      </c>
      <c r="V369" s="333">
        <v>44109</v>
      </c>
      <c r="W369" s="329" t="b">
        <v>1</v>
      </c>
      <c r="X369" s="331" t="s">
        <v>22</v>
      </c>
      <c r="Y369" s="329">
        <v>429</v>
      </c>
      <c r="Z369" s="331" t="s">
        <v>23</v>
      </c>
      <c r="AA369" s="331" t="s">
        <v>919</v>
      </c>
      <c r="AB369" s="331" t="s">
        <v>920</v>
      </c>
      <c r="AC369" s="331" t="s">
        <v>264</v>
      </c>
      <c r="AD369" s="331" t="s">
        <v>24</v>
      </c>
      <c r="AE369" s="329">
        <v>221</v>
      </c>
      <c r="AF369" s="331" t="s">
        <v>254</v>
      </c>
      <c r="AG369" s="329"/>
      <c r="AH369" s="329">
        <v>17</v>
      </c>
      <c r="AI369" s="331" t="s">
        <v>280</v>
      </c>
      <c r="AJ369" s="331" t="s">
        <v>281</v>
      </c>
      <c r="AK369" s="329"/>
      <c r="AL369" s="329"/>
      <c r="AM369" s="329"/>
      <c r="AN369" s="329"/>
      <c r="AO369" s="329"/>
      <c r="AP369" s="329"/>
      <c r="AQ369" s="329"/>
      <c r="AR369" s="329"/>
      <c r="AS369" s="329"/>
      <c r="AT369" s="329" t="s">
        <v>258</v>
      </c>
      <c r="AU369" s="329" t="s">
        <v>256</v>
      </c>
      <c r="AV369" s="331" t="s">
        <v>350</v>
      </c>
      <c r="AW369" s="329"/>
      <c r="AX369" s="329"/>
      <c r="AY369" s="329"/>
      <c r="AZ369" s="329"/>
      <c r="BA369" s="329"/>
      <c r="BB369" s="329"/>
      <c r="BC369" s="329"/>
      <c r="BD369" s="329"/>
      <c r="BE369" s="329" t="s">
        <v>257</v>
      </c>
      <c r="BF369" s="329" t="s">
        <v>837</v>
      </c>
      <c r="BG369" s="329"/>
      <c r="BH369" s="329"/>
      <c r="BI369" s="329"/>
      <c r="BJ369" s="329"/>
      <c r="BK369" s="329">
        <v>15000</v>
      </c>
      <c r="BL369" s="329"/>
      <c r="BM369" s="331" t="s">
        <v>295</v>
      </c>
      <c r="BN369" s="329" t="s">
        <v>922</v>
      </c>
      <c r="BO369" s="333">
        <v>43753</v>
      </c>
      <c r="BP369" s="329"/>
      <c r="BQ369" s="329"/>
      <c r="BR369" s="329"/>
      <c r="BS369" s="329"/>
      <c r="BT369" s="329"/>
      <c r="BU369" s="331" t="s">
        <v>261</v>
      </c>
      <c r="BV369" s="329"/>
      <c r="BW369" s="329"/>
      <c r="BX369" s="329"/>
      <c r="BY369" s="331" t="s">
        <v>1945</v>
      </c>
      <c r="BZ369" s="331" t="s">
        <v>1946</v>
      </c>
      <c r="CA369" s="331" t="s">
        <v>1753</v>
      </c>
      <c r="CB369" s="331" t="s">
        <v>350</v>
      </c>
      <c r="CC369" s="331" t="s">
        <v>1947</v>
      </c>
    </row>
    <row r="370" spans="1:81" x14ac:dyDescent="0.25">
      <c r="A370" s="329">
        <v>198128</v>
      </c>
      <c r="B370" s="331" t="s">
        <v>1948</v>
      </c>
      <c r="C370" s="329">
        <v>35104</v>
      </c>
      <c r="D370" s="331" t="s">
        <v>1949</v>
      </c>
      <c r="E370" s="331" t="s">
        <v>515</v>
      </c>
      <c r="F370" s="331" t="s">
        <v>1950</v>
      </c>
      <c r="G370" s="331" t="s">
        <v>1951</v>
      </c>
      <c r="H370" s="331" t="s">
        <v>1952</v>
      </c>
      <c r="I370" s="331" t="s">
        <v>1953</v>
      </c>
      <c r="J370" s="331" t="s">
        <v>298</v>
      </c>
      <c r="K370" s="331" t="s">
        <v>1954</v>
      </c>
      <c r="L370" s="329"/>
      <c r="M370" s="329">
        <v>6</v>
      </c>
      <c r="N370" s="329">
        <v>0</v>
      </c>
      <c r="O370" s="329">
        <v>3.19</v>
      </c>
      <c r="P370" s="329"/>
      <c r="Q370" s="333">
        <v>43730.704861111109</v>
      </c>
      <c r="R370" s="329"/>
      <c r="S370" s="333">
        <v>43749</v>
      </c>
      <c r="T370" s="329">
        <v>55</v>
      </c>
      <c r="U370" s="333">
        <v>43749</v>
      </c>
      <c r="V370" s="333">
        <v>44109</v>
      </c>
      <c r="W370" s="329" t="b">
        <v>1</v>
      </c>
      <c r="X370" s="331" t="s">
        <v>22</v>
      </c>
      <c r="Y370" s="329">
        <v>429</v>
      </c>
      <c r="Z370" s="331" t="s">
        <v>23</v>
      </c>
      <c r="AA370" s="331" t="s">
        <v>919</v>
      </c>
      <c r="AB370" s="331" t="s">
        <v>920</v>
      </c>
      <c r="AC370" s="331" t="s">
        <v>972</v>
      </c>
      <c r="AD370" s="331" t="s">
        <v>24</v>
      </c>
      <c r="AE370" s="329">
        <v>221</v>
      </c>
      <c r="AF370" s="331" t="s">
        <v>254</v>
      </c>
      <c r="AG370" s="329"/>
      <c r="AH370" s="329">
        <v>17</v>
      </c>
      <c r="AI370" s="331" t="s">
        <v>280</v>
      </c>
      <c r="AJ370" s="331" t="s">
        <v>281</v>
      </c>
      <c r="AK370" s="329"/>
      <c r="AL370" s="329"/>
      <c r="AM370" s="329"/>
      <c r="AN370" s="329"/>
      <c r="AO370" s="329"/>
      <c r="AP370" s="329"/>
      <c r="AQ370" s="329"/>
      <c r="AR370" s="329"/>
      <c r="AS370" s="329"/>
      <c r="AT370" s="329" t="s">
        <v>258</v>
      </c>
      <c r="AU370" s="329" t="s">
        <v>283</v>
      </c>
      <c r="AV370" s="331" t="s">
        <v>298</v>
      </c>
      <c r="AW370" s="329"/>
      <c r="AX370" s="329"/>
      <c r="AY370" s="329"/>
      <c r="AZ370" s="329"/>
      <c r="BA370" s="329"/>
      <c r="BB370" s="329"/>
      <c r="BC370" s="329"/>
      <c r="BD370" s="329"/>
      <c r="BE370" s="329"/>
      <c r="BF370" s="329"/>
      <c r="BG370" s="329"/>
      <c r="BH370" s="329"/>
      <c r="BI370" s="329"/>
      <c r="BJ370" s="329"/>
      <c r="BK370" s="329">
        <v>0</v>
      </c>
      <c r="BL370" s="329"/>
      <c r="BM370" s="331" t="s">
        <v>267</v>
      </c>
      <c r="BN370" s="329" t="s">
        <v>922</v>
      </c>
      <c r="BO370" s="333">
        <v>43753</v>
      </c>
      <c r="BP370" s="329"/>
      <c r="BQ370" s="329"/>
      <c r="BR370" s="329"/>
      <c r="BS370" s="329"/>
      <c r="BT370" s="329"/>
      <c r="BU370" s="331" t="s">
        <v>261</v>
      </c>
      <c r="BV370" s="329"/>
      <c r="BW370" s="329"/>
      <c r="BX370" s="329"/>
      <c r="BY370" s="331" t="s">
        <v>1955</v>
      </c>
      <c r="BZ370" s="331" t="s">
        <v>1956</v>
      </c>
      <c r="CA370" s="331" t="s">
        <v>1957</v>
      </c>
      <c r="CB370" s="331" t="s">
        <v>298</v>
      </c>
      <c r="CC370" s="331" t="s">
        <v>1958</v>
      </c>
    </row>
    <row r="371" spans="1:81" x14ac:dyDescent="0.25">
      <c r="A371" s="329">
        <v>192374</v>
      </c>
      <c r="B371" s="331" t="s">
        <v>1960</v>
      </c>
      <c r="C371" s="329">
        <v>33634</v>
      </c>
      <c r="D371" s="331" t="s">
        <v>1961</v>
      </c>
      <c r="E371" s="331" t="s">
        <v>750</v>
      </c>
      <c r="F371" s="331" t="s">
        <v>1962</v>
      </c>
      <c r="G371" s="331" t="s">
        <v>1963</v>
      </c>
      <c r="H371" s="331" t="s">
        <v>1964</v>
      </c>
      <c r="I371" s="331" t="s">
        <v>536</v>
      </c>
      <c r="J371" s="331" t="s">
        <v>297</v>
      </c>
      <c r="K371" s="331" t="s">
        <v>1965</v>
      </c>
      <c r="L371" s="329"/>
      <c r="M371" s="329">
        <v>6</v>
      </c>
      <c r="N371" s="329">
        <v>0</v>
      </c>
      <c r="O371" s="329">
        <v>3.82</v>
      </c>
      <c r="P371" s="329"/>
      <c r="Q371" s="333">
        <v>43594.732638888891</v>
      </c>
      <c r="R371" s="329"/>
      <c r="S371" s="333">
        <v>43749</v>
      </c>
      <c r="T371" s="329">
        <v>55</v>
      </c>
      <c r="U371" s="333">
        <v>43749</v>
      </c>
      <c r="V371" s="333">
        <v>44109</v>
      </c>
      <c r="W371" s="329" t="b">
        <v>1</v>
      </c>
      <c r="X371" s="331" t="s">
        <v>22</v>
      </c>
      <c r="Y371" s="329">
        <v>429</v>
      </c>
      <c r="Z371" s="331" t="s">
        <v>23</v>
      </c>
      <c r="AA371" s="331" t="s">
        <v>919</v>
      </c>
      <c r="AB371" s="331" t="s">
        <v>920</v>
      </c>
      <c r="AC371" s="331" t="s">
        <v>1329</v>
      </c>
      <c r="AD371" s="331" t="s">
        <v>24</v>
      </c>
      <c r="AE371" s="329">
        <v>221</v>
      </c>
      <c r="AF371" s="331" t="s">
        <v>254</v>
      </c>
      <c r="AG371" s="329"/>
      <c r="AH371" s="329">
        <v>17</v>
      </c>
      <c r="AI371" s="331" t="s">
        <v>280</v>
      </c>
      <c r="AJ371" s="331" t="s">
        <v>281</v>
      </c>
      <c r="AK371" s="329"/>
      <c r="AL371" s="329"/>
      <c r="AM371" s="329"/>
      <c r="AN371" s="329"/>
      <c r="AO371" s="329"/>
      <c r="AP371" s="331" t="s">
        <v>391</v>
      </c>
      <c r="AQ371" s="329">
        <v>660</v>
      </c>
      <c r="AR371" s="329">
        <v>620</v>
      </c>
      <c r="AS371" s="329"/>
      <c r="AT371" s="329" t="s">
        <v>398</v>
      </c>
      <c r="AU371" s="329" t="s">
        <v>256</v>
      </c>
      <c r="AV371" s="331" t="s">
        <v>297</v>
      </c>
      <c r="AW371" s="329"/>
      <c r="AX371" s="329"/>
      <c r="AY371" s="329"/>
      <c r="AZ371" s="329"/>
      <c r="BA371" s="329"/>
      <c r="BB371" s="329"/>
      <c r="BC371" s="329"/>
      <c r="BD371" s="329"/>
      <c r="BE371" s="329" t="s">
        <v>257</v>
      </c>
      <c r="BF371" s="329" t="s">
        <v>834</v>
      </c>
      <c r="BG371" s="329"/>
      <c r="BH371" s="329"/>
      <c r="BI371" s="329"/>
      <c r="BJ371" s="329"/>
      <c r="BK371" s="329">
        <v>20400</v>
      </c>
      <c r="BL371" s="329"/>
      <c r="BM371" s="331" t="s">
        <v>278</v>
      </c>
      <c r="BN371" s="329" t="s">
        <v>922</v>
      </c>
      <c r="BO371" s="333">
        <v>43753</v>
      </c>
      <c r="BP371" s="329"/>
      <c r="BQ371" s="329"/>
      <c r="BR371" s="329"/>
      <c r="BS371" s="329"/>
      <c r="BT371" s="329"/>
      <c r="BU371" s="331" t="s">
        <v>261</v>
      </c>
      <c r="BV371" s="329"/>
      <c r="BW371" s="329"/>
      <c r="BX371" s="329"/>
      <c r="BY371" s="331" t="s">
        <v>1966</v>
      </c>
      <c r="BZ371" s="331" t="s">
        <v>1967</v>
      </c>
      <c r="CA371" s="331" t="s">
        <v>1968</v>
      </c>
      <c r="CB371" s="331" t="s">
        <v>297</v>
      </c>
      <c r="CC371" s="331" t="s">
        <v>1969</v>
      </c>
    </row>
    <row r="372" spans="1:81" x14ac:dyDescent="0.25">
      <c r="A372" s="329">
        <v>198199</v>
      </c>
      <c r="B372" s="331" t="s">
        <v>1970</v>
      </c>
      <c r="C372" s="329">
        <v>35152</v>
      </c>
      <c r="D372" s="331" t="s">
        <v>1971</v>
      </c>
      <c r="E372" s="331" t="s">
        <v>390</v>
      </c>
      <c r="F372" s="331" t="s">
        <v>1972</v>
      </c>
      <c r="G372" s="331" t="s">
        <v>1973</v>
      </c>
      <c r="H372" s="331" t="s">
        <v>1974</v>
      </c>
      <c r="I372" s="331" t="s">
        <v>1975</v>
      </c>
      <c r="J372" s="331" t="s">
        <v>251</v>
      </c>
      <c r="K372" s="331" t="s">
        <v>1976</v>
      </c>
      <c r="L372" s="329"/>
      <c r="M372" s="329">
        <v>6</v>
      </c>
      <c r="N372" s="329">
        <v>0</v>
      </c>
      <c r="O372" s="329">
        <v>2.9110999999999998</v>
      </c>
      <c r="P372" s="329"/>
      <c r="Q372" s="333">
        <v>43724.729826388888</v>
      </c>
      <c r="R372" s="329"/>
      <c r="S372" s="333">
        <v>43749</v>
      </c>
      <c r="T372" s="329">
        <v>55</v>
      </c>
      <c r="U372" s="333">
        <v>43749</v>
      </c>
      <c r="V372" s="333">
        <v>44109</v>
      </c>
      <c r="W372" s="329" t="b">
        <v>1</v>
      </c>
      <c r="X372" s="331" t="s">
        <v>187</v>
      </c>
      <c r="Y372" s="329">
        <v>718</v>
      </c>
      <c r="Z372" s="331" t="s">
        <v>23</v>
      </c>
      <c r="AA372" s="331" t="s">
        <v>919</v>
      </c>
      <c r="AB372" s="331" t="s">
        <v>920</v>
      </c>
      <c r="AC372" s="331" t="s">
        <v>1977</v>
      </c>
      <c r="AD372" s="331" t="s">
        <v>24</v>
      </c>
      <c r="AE372" s="329">
        <v>221</v>
      </c>
      <c r="AF372" s="331" t="s">
        <v>254</v>
      </c>
      <c r="AG372" s="329"/>
      <c r="AH372" s="329">
        <v>17</v>
      </c>
      <c r="AI372" s="331" t="s">
        <v>280</v>
      </c>
      <c r="AJ372" s="331" t="s">
        <v>281</v>
      </c>
      <c r="AK372" s="329"/>
      <c r="AL372" s="329"/>
      <c r="AM372" s="329"/>
      <c r="AN372" s="329"/>
      <c r="AO372" s="329"/>
      <c r="AP372" s="329"/>
      <c r="AQ372" s="329"/>
      <c r="AR372" s="329"/>
      <c r="AS372" s="329"/>
      <c r="AT372" s="329" t="s">
        <v>258</v>
      </c>
      <c r="AU372" s="329" t="s">
        <v>283</v>
      </c>
      <c r="AV372" s="331" t="s">
        <v>251</v>
      </c>
      <c r="AW372" s="329"/>
      <c r="AX372" s="329"/>
      <c r="AY372" s="329"/>
      <c r="AZ372" s="329"/>
      <c r="BA372" s="329"/>
      <c r="BB372" s="329"/>
      <c r="BC372" s="329"/>
      <c r="BD372" s="329"/>
      <c r="BE372" s="329"/>
      <c r="BF372" s="329"/>
      <c r="BG372" s="329"/>
      <c r="BH372" s="329"/>
      <c r="BI372" s="329"/>
      <c r="BJ372" s="329"/>
      <c r="BK372" s="329">
        <v>0</v>
      </c>
      <c r="BL372" s="329"/>
      <c r="BM372" s="331" t="s">
        <v>323</v>
      </c>
      <c r="BN372" s="329" t="s">
        <v>922</v>
      </c>
      <c r="BO372" s="333">
        <v>43753</v>
      </c>
      <c r="BP372" s="329"/>
      <c r="BQ372" s="329"/>
      <c r="BR372" s="329"/>
      <c r="BS372" s="329"/>
      <c r="BT372" s="329"/>
      <c r="BU372" s="331" t="s">
        <v>261</v>
      </c>
      <c r="BV372" s="329"/>
      <c r="BW372" s="329"/>
      <c r="BX372" s="329"/>
      <c r="BY372" s="331" t="s">
        <v>1978</v>
      </c>
      <c r="BZ372" s="331" t="s">
        <v>1979</v>
      </c>
      <c r="CA372" s="331" t="s">
        <v>1980</v>
      </c>
      <c r="CB372" s="331" t="s">
        <v>251</v>
      </c>
      <c r="CC372" s="331" t="s">
        <v>1976</v>
      </c>
    </row>
    <row r="373" spans="1:81" x14ac:dyDescent="0.25">
      <c r="A373" s="329">
        <v>196025</v>
      </c>
      <c r="B373" s="331" t="s">
        <v>1990</v>
      </c>
      <c r="C373" s="329">
        <v>34473</v>
      </c>
      <c r="D373" s="331" t="s">
        <v>1991</v>
      </c>
      <c r="E373" s="331" t="s">
        <v>451</v>
      </c>
      <c r="F373" s="331" t="s">
        <v>1992</v>
      </c>
      <c r="G373" s="331" t="s">
        <v>1993</v>
      </c>
      <c r="H373" s="331" t="s">
        <v>1994</v>
      </c>
      <c r="I373" s="331" t="s">
        <v>733</v>
      </c>
      <c r="J373" s="331" t="s">
        <v>21</v>
      </c>
      <c r="K373" s="331" t="s">
        <v>734</v>
      </c>
      <c r="L373" s="329"/>
      <c r="M373" s="329">
        <v>6</v>
      </c>
      <c r="N373" s="329">
        <v>0</v>
      </c>
      <c r="O373" s="329">
        <v>2.74</v>
      </c>
      <c r="P373" s="329"/>
      <c r="Q373" s="333">
        <v>43689.481249999997</v>
      </c>
      <c r="R373" s="329"/>
      <c r="S373" s="333">
        <v>43749</v>
      </c>
      <c r="T373" s="329">
        <v>55</v>
      </c>
      <c r="U373" s="333">
        <v>43749</v>
      </c>
      <c r="V373" s="333">
        <v>44109</v>
      </c>
      <c r="W373" s="329" t="b">
        <v>1</v>
      </c>
      <c r="X373" s="331" t="s">
        <v>906</v>
      </c>
      <c r="Y373" s="329">
        <v>748</v>
      </c>
      <c r="Z373" s="331" t="s">
        <v>23</v>
      </c>
      <c r="AA373" s="331" t="s">
        <v>817</v>
      </c>
      <c r="AB373" s="331" t="s">
        <v>818</v>
      </c>
      <c r="AC373" s="331" t="s">
        <v>404</v>
      </c>
      <c r="AD373" s="331" t="s">
        <v>24</v>
      </c>
      <c r="AE373" s="329">
        <v>221</v>
      </c>
      <c r="AF373" s="331" t="s">
        <v>254</v>
      </c>
      <c r="AG373" s="329"/>
      <c r="AH373" s="329">
        <v>17</v>
      </c>
      <c r="AI373" s="331" t="s">
        <v>280</v>
      </c>
      <c r="AJ373" s="331" t="s">
        <v>281</v>
      </c>
      <c r="AK373" s="331" t="s">
        <v>328</v>
      </c>
      <c r="AL373" s="331" t="s">
        <v>363</v>
      </c>
      <c r="AM373" s="331" t="s">
        <v>330</v>
      </c>
      <c r="AN373" s="331" t="s">
        <v>330</v>
      </c>
      <c r="AO373" s="331" t="s">
        <v>299</v>
      </c>
      <c r="AP373" s="329"/>
      <c r="AQ373" s="329"/>
      <c r="AR373" s="329"/>
      <c r="AS373" s="329"/>
      <c r="AT373" s="329" t="s">
        <v>258</v>
      </c>
      <c r="AU373" s="329" t="s">
        <v>256</v>
      </c>
      <c r="AV373" s="331" t="s">
        <v>21</v>
      </c>
      <c r="AW373" s="329"/>
      <c r="AX373" s="329"/>
      <c r="AY373" s="329"/>
      <c r="AZ373" s="329"/>
      <c r="BA373" s="329"/>
      <c r="BB373" s="329"/>
      <c r="BC373" s="329"/>
      <c r="BD373" s="329"/>
      <c r="BE373" s="329" t="s">
        <v>257</v>
      </c>
      <c r="BF373" s="329" t="s">
        <v>841</v>
      </c>
      <c r="BG373" s="329"/>
      <c r="BH373" s="329"/>
      <c r="BI373" s="329" t="s">
        <v>334</v>
      </c>
      <c r="BJ373" s="329" t="s">
        <v>831</v>
      </c>
      <c r="BK373" s="329">
        <v>45000</v>
      </c>
      <c r="BL373" s="329"/>
      <c r="BM373" s="331" t="s">
        <v>189</v>
      </c>
      <c r="BN373" s="329" t="s">
        <v>922</v>
      </c>
      <c r="BO373" s="333">
        <v>43753</v>
      </c>
      <c r="BP373" s="329"/>
      <c r="BQ373" s="329"/>
      <c r="BR373" s="329"/>
      <c r="BS373" s="329"/>
      <c r="BT373" s="329"/>
      <c r="BU373" s="331" t="s">
        <v>261</v>
      </c>
      <c r="BV373" s="329"/>
      <c r="BW373" s="329"/>
      <c r="BX373" s="329"/>
      <c r="BY373" s="331" t="s">
        <v>1995</v>
      </c>
      <c r="BZ373" s="331" t="s">
        <v>1996</v>
      </c>
      <c r="CA373" s="331" t="s">
        <v>511</v>
      </c>
      <c r="CB373" s="331" t="s">
        <v>21</v>
      </c>
      <c r="CC373" s="331" t="s">
        <v>512</v>
      </c>
    </row>
    <row r="374" spans="1:81" x14ac:dyDescent="0.25">
      <c r="A374" s="329">
        <v>195111</v>
      </c>
      <c r="B374" s="331" t="s">
        <v>1997</v>
      </c>
      <c r="C374" s="329">
        <v>34234</v>
      </c>
      <c r="D374" s="331" t="s">
        <v>1998</v>
      </c>
      <c r="E374" s="331" t="s">
        <v>1999</v>
      </c>
      <c r="F374" s="331" t="s">
        <v>2000</v>
      </c>
      <c r="G374" s="331" t="s">
        <v>2001</v>
      </c>
      <c r="H374" s="331" t="s">
        <v>2002</v>
      </c>
      <c r="I374" s="331" t="s">
        <v>2003</v>
      </c>
      <c r="J374" s="331" t="s">
        <v>292</v>
      </c>
      <c r="K374" s="331" t="s">
        <v>2004</v>
      </c>
      <c r="L374" s="329"/>
      <c r="M374" s="329">
        <v>6</v>
      </c>
      <c r="N374" s="329">
        <v>0</v>
      </c>
      <c r="O374" s="329">
        <v>3.9</v>
      </c>
      <c r="P374" s="329"/>
      <c r="Q374" s="333">
        <v>43641.444444444445</v>
      </c>
      <c r="R374" s="329"/>
      <c r="S374" s="333">
        <v>43749</v>
      </c>
      <c r="T374" s="329">
        <v>55</v>
      </c>
      <c r="U374" s="333">
        <v>43749</v>
      </c>
      <c r="V374" s="333">
        <v>44109</v>
      </c>
      <c r="W374" s="329" t="b">
        <v>1</v>
      </c>
      <c r="X374" s="331" t="s">
        <v>905</v>
      </c>
      <c r="Y374" s="329">
        <v>747</v>
      </c>
      <c r="Z374" s="331" t="s">
        <v>23</v>
      </c>
      <c r="AA374" s="331" t="s">
        <v>919</v>
      </c>
      <c r="AB374" s="331" t="s">
        <v>920</v>
      </c>
      <c r="AC374" s="331" t="s">
        <v>1097</v>
      </c>
      <c r="AD374" s="331" t="s">
        <v>24</v>
      </c>
      <c r="AE374" s="329">
        <v>221</v>
      </c>
      <c r="AF374" s="331" t="s">
        <v>254</v>
      </c>
      <c r="AG374" s="329"/>
      <c r="AH374" s="329">
        <v>17</v>
      </c>
      <c r="AI374" s="331" t="s">
        <v>280</v>
      </c>
      <c r="AJ374" s="331" t="s">
        <v>281</v>
      </c>
      <c r="AK374" s="331" t="s">
        <v>328</v>
      </c>
      <c r="AL374" s="331" t="s">
        <v>299</v>
      </c>
      <c r="AM374" s="331" t="s">
        <v>328</v>
      </c>
      <c r="AN374" s="331" t="s">
        <v>386</v>
      </c>
      <c r="AO374" s="331" t="s">
        <v>299</v>
      </c>
      <c r="AP374" s="329"/>
      <c r="AQ374" s="329"/>
      <c r="AR374" s="329"/>
      <c r="AS374" s="329"/>
      <c r="AT374" s="329" t="s">
        <v>258</v>
      </c>
      <c r="AU374" s="329" t="s">
        <v>283</v>
      </c>
      <c r="AV374" s="331" t="s">
        <v>292</v>
      </c>
      <c r="AW374" s="329"/>
      <c r="AX374" s="329"/>
      <c r="AY374" s="329"/>
      <c r="AZ374" s="329"/>
      <c r="BA374" s="329"/>
      <c r="BB374" s="329"/>
      <c r="BC374" s="329"/>
      <c r="BD374" s="329"/>
      <c r="BE374" s="329" t="s">
        <v>257</v>
      </c>
      <c r="BF374" s="329" t="s">
        <v>836</v>
      </c>
      <c r="BG374" s="329"/>
      <c r="BH374" s="329"/>
      <c r="BI374" s="329"/>
      <c r="BJ374" s="329"/>
      <c r="BK374" s="329">
        <v>18000</v>
      </c>
      <c r="BL374" s="329"/>
      <c r="BM374" s="331" t="s">
        <v>310</v>
      </c>
      <c r="BN374" s="329" t="s">
        <v>922</v>
      </c>
      <c r="BO374" s="333">
        <v>43753</v>
      </c>
      <c r="BP374" s="329"/>
      <c r="BQ374" s="329"/>
      <c r="BR374" s="329"/>
      <c r="BS374" s="329"/>
      <c r="BT374" s="329"/>
      <c r="BU374" s="331" t="s">
        <v>261</v>
      </c>
      <c r="BV374" s="329"/>
      <c r="BW374" s="329"/>
      <c r="BX374" s="329"/>
      <c r="BY374" s="331" t="s">
        <v>2005</v>
      </c>
      <c r="BZ374" s="331" t="s">
        <v>2006</v>
      </c>
      <c r="CA374" s="331" t="s">
        <v>2007</v>
      </c>
      <c r="CB374" s="331" t="s">
        <v>292</v>
      </c>
      <c r="CC374" s="331" t="s">
        <v>2004</v>
      </c>
    </row>
    <row r="375" spans="1:81" x14ac:dyDescent="0.25">
      <c r="A375" s="329">
        <v>194998</v>
      </c>
      <c r="B375" s="331" t="s">
        <v>2030</v>
      </c>
      <c r="C375" s="329">
        <v>34216</v>
      </c>
      <c r="D375" s="331" t="s">
        <v>2031</v>
      </c>
      <c r="E375" s="331" t="s">
        <v>2032</v>
      </c>
      <c r="F375" s="331" t="s">
        <v>2033</v>
      </c>
      <c r="G375" s="331" t="s">
        <v>2034</v>
      </c>
      <c r="H375" s="331" t="s">
        <v>2035</v>
      </c>
      <c r="I375" s="331" t="s">
        <v>2036</v>
      </c>
      <c r="J375" s="331" t="s">
        <v>306</v>
      </c>
      <c r="K375" s="331" t="s">
        <v>2037</v>
      </c>
      <c r="L375" s="329"/>
      <c r="M375" s="329">
        <v>6</v>
      </c>
      <c r="N375" s="329">
        <v>0</v>
      </c>
      <c r="O375" s="329">
        <v>4</v>
      </c>
      <c r="P375" s="329"/>
      <c r="Q375" s="333">
        <v>43585.78125</v>
      </c>
      <c r="R375" s="329"/>
      <c r="S375" s="333">
        <v>43749</v>
      </c>
      <c r="T375" s="329">
        <v>55</v>
      </c>
      <c r="U375" s="333">
        <v>43749</v>
      </c>
      <c r="V375" s="333">
        <v>44109</v>
      </c>
      <c r="W375" s="329" t="b">
        <v>1</v>
      </c>
      <c r="X375" s="331" t="s">
        <v>187</v>
      </c>
      <c r="Y375" s="329">
        <v>718</v>
      </c>
      <c r="Z375" s="331" t="s">
        <v>25</v>
      </c>
      <c r="AA375" s="331" t="s">
        <v>919</v>
      </c>
      <c r="AB375" s="331" t="s">
        <v>920</v>
      </c>
      <c r="AC375" s="331" t="s">
        <v>2038</v>
      </c>
      <c r="AD375" s="331" t="s">
        <v>24</v>
      </c>
      <c r="AE375" s="329">
        <v>221</v>
      </c>
      <c r="AF375" s="331" t="s">
        <v>254</v>
      </c>
      <c r="AG375" s="329"/>
      <c r="AH375" s="329">
        <v>17</v>
      </c>
      <c r="AI375" s="331" t="s">
        <v>280</v>
      </c>
      <c r="AJ375" s="331" t="s">
        <v>281</v>
      </c>
      <c r="AK375" s="331" t="s">
        <v>289</v>
      </c>
      <c r="AL375" s="331" t="s">
        <v>289</v>
      </c>
      <c r="AM375" s="331" t="s">
        <v>300</v>
      </c>
      <c r="AN375" s="331" t="s">
        <v>347</v>
      </c>
      <c r="AO375" s="331" t="s">
        <v>289</v>
      </c>
      <c r="AP375" s="329"/>
      <c r="AQ375" s="329"/>
      <c r="AR375" s="329"/>
      <c r="AS375" s="329"/>
      <c r="AT375" s="329" t="s">
        <v>313</v>
      </c>
      <c r="AU375" s="329" t="s">
        <v>256</v>
      </c>
      <c r="AV375" s="331" t="s">
        <v>306</v>
      </c>
      <c r="AW375" s="329"/>
      <c r="AX375" s="329"/>
      <c r="AY375" s="329"/>
      <c r="AZ375" s="329"/>
      <c r="BA375" s="329"/>
      <c r="BB375" s="329"/>
      <c r="BC375" s="329"/>
      <c r="BD375" s="329"/>
      <c r="BE375" s="329" t="s">
        <v>257</v>
      </c>
      <c r="BF375" s="329" t="s">
        <v>834</v>
      </c>
      <c r="BG375" s="329"/>
      <c r="BH375" s="329"/>
      <c r="BI375" s="329"/>
      <c r="BJ375" s="329"/>
      <c r="BK375" s="329">
        <v>20400</v>
      </c>
      <c r="BL375" s="329"/>
      <c r="BM375" s="331" t="s">
        <v>278</v>
      </c>
      <c r="BN375" s="329" t="s">
        <v>922</v>
      </c>
      <c r="BO375" s="333">
        <v>43753</v>
      </c>
      <c r="BP375" s="329"/>
      <c r="BQ375" s="329"/>
      <c r="BR375" s="329"/>
      <c r="BS375" s="329"/>
      <c r="BT375" s="329"/>
      <c r="BU375" s="331" t="s">
        <v>261</v>
      </c>
      <c r="BV375" s="329"/>
      <c r="BW375" s="329"/>
      <c r="BX375" s="329"/>
      <c r="BY375" s="331" t="s">
        <v>2039</v>
      </c>
      <c r="BZ375" s="331" t="s">
        <v>2040</v>
      </c>
      <c r="CA375" s="331" t="s">
        <v>2041</v>
      </c>
      <c r="CB375" s="331" t="s">
        <v>306</v>
      </c>
      <c r="CC375" s="331" t="s">
        <v>2042</v>
      </c>
    </row>
    <row r="376" spans="1:81" x14ac:dyDescent="0.25">
      <c r="A376" s="329">
        <v>198142</v>
      </c>
      <c r="B376" s="331" t="s">
        <v>2043</v>
      </c>
      <c r="C376" s="329">
        <v>35112</v>
      </c>
      <c r="D376" s="331" t="s">
        <v>2044</v>
      </c>
      <c r="E376" s="331" t="s">
        <v>1895</v>
      </c>
      <c r="F376" s="331" t="s">
        <v>2045</v>
      </c>
      <c r="G376" s="331" t="s">
        <v>2046</v>
      </c>
      <c r="H376" s="331" t="s">
        <v>2047</v>
      </c>
      <c r="I376" s="331" t="s">
        <v>2048</v>
      </c>
      <c r="J376" s="331" t="s">
        <v>292</v>
      </c>
      <c r="K376" s="331" t="s">
        <v>2049</v>
      </c>
      <c r="L376" s="329"/>
      <c r="M376" s="329">
        <v>6</v>
      </c>
      <c r="N376" s="329">
        <v>0</v>
      </c>
      <c r="O376" s="329">
        <v>2.7080000000000002</v>
      </c>
      <c r="P376" s="329"/>
      <c r="Q376" s="333">
        <v>43711.78125</v>
      </c>
      <c r="R376" s="329"/>
      <c r="S376" s="333">
        <v>43749</v>
      </c>
      <c r="T376" s="329">
        <v>55</v>
      </c>
      <c r="U376" s="333">
        <v>43749</v>
      </c>
      <c r="V376" s="333">
        <v>44109</v>
      </c>
      <c r="W376" s="329" t="b">
        <v>1</v>
      </c>
      <c r="X376" s="331" t="s">
        <v>22</v>
      </c>
      <c r="Y376" s="329">
        <v>726</v>
      </c>
      <c r="Z376" s="331" t="s">
        <v>23</v>
      </c>
      <c r="AA376" s="331" t="s">
        <v>919</v>
      </c>
      <c r="AB376" s="331" t="s">
        <v>920</v>
      </c>
      <c r="AC376" s="331" t="s">
        <v>1405</v>
      </c>
      <c r="AD376" s="331" t="s">
        <v>24</v>
      </c>
      <c r="AE376" s="329">
        <v>221</v>
      </c>
      <c r="AF376" s="331" t="s">
        <v>254</v>
      </c>
      <c r="AG376" s="329"/>
      <c r="AH376" s="329">
        <v>17</v>
      </c>
      <c r="AI376" s="331" t="s">
        <v>280</v>
      </c>
      <c r="AJ376" s="331" t="s">
        <v>281</v>
      </c>
      <c r="AK376" s="329"/>
      <c r="AL376" s="329"/>
      <c r="AM376" s="329"/>
      <c r="AN376" s="329"/>
      <c r="AO376" s="329"/>
      <c r="AP376" s="329"/>
      <c r="AQ376" s="329"/>
      <c r="AR376" s="329"/>
      <c r="AS376" s="329"/>
      <c r="AT376" s="329" t="s">
        <v>258</v>
      </c>
      <c r="AU376" s="329" t="s">
        <v>256</v>
      </c>
      <c r="AV376" s="331" t="s">
        <v>292</v>
      </c>
      <c r="AW376" s="329"/>
      <c r="AX376" s="329"/>
      <c r="AY376" s="329"/>
      <c r="AZ376" s="329"/>
      <c r="BA376" s="329"/>
      <c r="BB376" s="329"/>
      <c r="BC376" s="329"/>
      <c r="BD376" s="329"/>
      <c r="BE376" s="329"/>
      <c r="BF376" s="329"/>
      <c r="BG376" s="329"/>
      <c r="BH376" s="329"/>
      <c r="BI376" s="329"/>
      <c r="BJ376" s="329"/>
      <c r="BK376" s="329">
        <v>0</v>
      </c>
      <c r="BL376" s="329"/>
      <c r="BM376" s="331" t="s">
        <v>27</v>
      </c>
      <c r="BN376" s="329" t="s">
        <v>922</v>
      </c>
      <c r="BO376" s="333">
        <v>43753</v>
      </c>
      <c r="BP376" s="329"/>
      <c r="BQ376" s="329"/>
      <c r="BR376" s="329"/>
      <c r="BS376" s="329"/>
      <c r="BT376" s="329"/>
      <c r="BU376" s="331" t="s">
        <v>261</v>
      </c>
      <c r="BV376" s="329"/>
      <c r="BW376" s="329"/>
      <c r="BX376" s="329"/>
      <c r="BY376" s="331" t="s">
        <v>2050</v>
      </c>
      <c r="BZ376" s="331" t="s">
        <v>2051</v>
      </c>
      <c r="CA376" s="331" t="s">
        <v>2048</v>
      </c>
      <c r="CB376" s="331" t="s">
        <v>292</v>
      </c>
      <c r="CC376" s="331" t="s">
        <v>2049</v>
      </c>
    </row>
    <row r="377" spans="1:81" x14ac:dyDescent="0.25">
      <c r="A377" s="329">
        <v>198175</v>
      </c>
      <c r="B377" s="331" t="s">
        <v>2052</v>
      </c>
      <c r="C377" s="329">
        <v>35139</v>
      </c>
      <c r="D377" s="331" t="s">
        <v>526</v>
      </c>
      <c r="E377" s="331" t="s">
        <v>2053</v>
      </c>
      <c r="F377" s="331" t="s">
        <v>2054</v>
      </c>
      <c r="G377" s="331" t="s">
        <v>2055</v>
      </c>
      <c r="H377" s="331" t="s">
        <v>2056</v>
      </c>
      <c r="I377" s="331" t="s">
        <v>268</v>
      </c>
      <c r="J377" s="331" t="s">
        <v>263</v>
      </c>
      <c r="K377" s="331" t="s">
        <v>2057</v>
      </c>
      <c r="L377" s="329"/>
      <c r="M377" s="329">
        <v>6</v>
      </c>
      <c r="N377" s="329">
        <v>0</v>
      </c>
      <c r="O377" s="329">
        <v>2.9</v>
      </c>
      <c r="P377" s="329"/>
      <c r="Q377" s="333">
        <v>43735.79791666667</v>
      </c>
      <c r="R377" s="329"/>
      <c r="S377" s="333">
        <v>43749</v>
      </c>
      <c r="T377" s="329">
        <v>55</v>
      </c>
      <c r="U377" s="333">
        <v>43749</v>
      </c>
      <c r="V377" s="333">
        <v>44109</v>
      </c>
      <c r="W377" s="329" t="b">
        <v>1</v>
      </c>
      <c r="X377" s="331" t="s">
        <v>905</v>
      </c>
      <c r="Y377" s="329">
        <v>747</v>
      </c>
      <c r="Z377" s="331" t="s">
        <v>25</v>
      </c>
      <c r="AA377" s="331" t="s">
        <v>919</v>
      </c>
      <c r="AB377" s="331" t="s">
        <v>920</v>
      </c>
      <c r="AC377" s="331" t="s">
        <v>264</v>
      </c>
      <c r="AD377" s="331" t="s">
        <v>24</v>
      </c>
      <c r="AE377" s="329">
        <v>221</v>
      </c>
      <c r="AF377" s="331" t="s">
        <v>254</v>
      </c>
      <c r="AG377" s="329"/>
      <c r="AH377" s="329">
        <v>17</v>
      </c>
      <c r="AI377" s="331" t="s">
        <v>280</v>
      </c>
      <c r="AJ377" s="331" t="s">
        <v>281</v>
      </c>
      <c r="AK377" s="329"/>
      <c r="AL377" s="329"/>
      <c r="AM377" s="329"/>
      <c r="AN377" s="329"/>
      <c r="AO377" s="329"/>
      <c r="AP377" s="331" t="s">
        <v>491</v>
      </c>
      <c r="AQ377" s="329">
        <v>510</v>
      </c>
      <c r="AR377" s="329">
        <v>490</v>
      </c>
      <c r="AS377" s="329"/>
      <c r="AT377" s="329" t="s">
        <v>431</v>
      </c>
      <c r="AU377" s="329" t="s">
        <v>283</v>
      </c>
      <c r="AV377" s="331" t="s">
        <v>263</v>
      </c>
      <c r="AW377" s="329"/>
      <c r="AX377" s="329"/>
      <c r="AY377" s="329"/>
      <c r="AZ377" s="329"/>
      <c r="BA377" s="329"/>
      <c r="BB377" s="329"/>
      <c r="BC377" s="329"/>
      <c r="BD377" s="329"/>
      <c r="BE377" s="329" t="s">
        <v>257</v>
      </c>
      <c r="BF377" s="329" t="s">
        <v>841</v>
      </c>
      <c r="BG377" s="329"/>
      <c r="BH377" s="329"/>
      <c r="BI377" s="329"/>
      <c r="BJ377" s="329"/>
      <c r="BK377" s="329">
        <v>9000</v>
      </c>
      <c r="BL377" s="329"/>
      <c r="BM377" s="331" t="s">
        <v>189</v>
      </c>
      <c r="BN377" s="329" t="s">
        <v>922</v>
      </c>
      <c r="BO377" s="333">
        <v>43753</v>
      </c>
      <c r="BP377" s="329"/>
      <c r="BQ377" s="329"/>
      <c r="BR377" s="329"/>
      <c r="BS377" s="329"/>
      <c r="BT377" s="329"/>
      <c r="BU377" s="331" t="s">
        <v>261</v>
      </c>
      <c r="BV377" s="329"/>
      <c r="BW377" s="329"/>
      <c r="BX377" s="329"/>
      <c r="BY377" s="331" t="s">
        <v>2058</v>
      </c>
      <c r="BZ377" s="331" t="s">
        <v>2059</v>
      </c>
      <c r="CA377" s="331" t="s">
        <v>268</v>
      </c>
      <c r="CB377" s="331" t="s">
        <v>263</v>
      </c>
      <c r="CC377" s="331" t="s">
        <v>2057</v>
      </c>
    </row>
    <row r="378" spans="1:81" x14ac:dyDescent="0.25">
      <c r="A378" s="329">
        <v>195328</v>
      </c>
      <c r="B378" s="331" t="s">
        <v>2060</v>
      </c>
      <c r="C378" s="329">
        <v>34298</v>
      </c>
      <c r="D378" s="331" t="s">
        <v>2061</v>
      </c>
      <c r="E378" s="331" t="s">
        <v>804</v>
      </c>
      <c r="F378" s="331" t="s">
        <v>2062</v>
      </c>
      <c r="G378" s="331" t="s">
        <v>2063</v>
      </c>
      <c r="H378" s="331" t="s">
        <v>2064</v>
      </c>
      <c r="I378" s="331" t="s">
        <v>2065</v>
      </c>
      <c r="J378" s="331" t="s">
        <v>393</v>
      </c>
      <c r="K378" s="331" t="s">
        <v>2066</v>
      </c>
      <c r="L378" s="329"/>
      <c r="M378" s="329">
        <v>6</v>
      </c>
      <c r="N378" s="329">
        <v>0</v>
      </c>
      <c r="O378" s="329">
        <v>3.52</v>
      </c>
      <c r="P378" s="329"/>
      <c r="Q378" s="333">
        <v>43646.576388888891</v>
      </c>
      <c r="R378" s="329"/>
      <c r="S378" s="333">
        <v>43749</v>
      </c>
      <c r="T378" s="329">
        <v>55</v>
      </c>
      <c r="U378" s="333">
        <v>43749</v>
      </c>
      <c r="V378" s="333">
        <v>44109</v>
      </c>
      <c r="W378" s="329" t="b">
        <v>1</v>
      </c>
      <c r="X378" s="331" t="s">
        <v>22</v>
      </c>
      <c r="Y378" s="329">
        <v>429</v>
      </c>
      <c r="Z378" s="331" t="s">
        <v>23</v>
      </c>
      <c r="AA378" s="331" t="s">
        <v>919</v>
      </c>
      <c r="AB378" s="331" t="s">
        <v>920</v>
      </c>
      <c r="AC378" s="331" t="s">
        <v>1097</v>
      </c>
      <c r="AD378" s="331" t="s">
        <v>24</v>
      </c>
      <c r="AE378" s="329">
        <v>221</v>
      </c>
      <c r="AF378" s="331" t="s">
        <v>254</v>
      </c>
      <c r="AG378" s="329"/>
      <c r="AH378" s="329">
        <v>17</v>
      </c>
      <c r="AI378" s="331" t="s">
        <v>280</v>
      </c>
      <c r="AJ378" s="331" t="s">
        <v>281</v>
      </c>
      <c r="AK378" s="329"/>
      <c r="AL378" s="329"/>
      <c r="AM378" s="329"/>
      <c r="AN378" s="329"/>
      <c r="AO378" s="329"/>
      <c r="AP378" s="329"/>
      <c r="AQ378" s="329"/>
      <c r="AR378" s="329"/>
      <c r="AS378" s="329"/>
      <c r="AT378" s="329" t="s">
        <v>258</v>
      </c>
      <c r="AU378" s="329" t="s">
        <v>567</v>
      </c>
      <c r="AV378" s="331" t="s">
        <v>393</v>
      </c>
      <c r="AW378" s="329"/>
      <c r="AX378" s="329"/>
      <c r="AY378" s="329"/>
      <c r="AZ378" s="329"/>
      <c r="BA378" s="329"/>
      <c r="BB378" s="329"/>
      <c r="BC378" s="329"/>
      <c r="BD378" s="329"/>
      <c r="BE378" s="329"/>
      <c r="BF378" s="329"/>
      <c r="BG378" s="329"/>
      <c r="BH378" s="329"/>
      <c r="BI378" s="329"/>
      <c r="BJ378" s="329"/>
      <c r="BK378" s="329">
        <v>0</v>
      </c>
      <c r="BL378" s="329"/>
      <c r="BM378" s="331" t="s">
        <v>267</v>
      </c>
      <c r="BN378" s="329" t="s">
        <v>922</v>
      </c>
      <c r="BO378" s="333">
        <v>43753</v>
      </c>
      <c r="BP378" s="329"/>
      <c r="BQ378" s="329"/>
      <c r="BR378" s="329"/>
      <c r="BS378" s="329"/>
      <c r="BT378" s="329"/>
      <c r="BU378" s="331" t="s">
        <v>261</v>
      </c>
      <c r="BV378" s="329"/>
      <c r="BW378" s="329"/>
      <c r="BX378" s="329"/>
      <c r="BY378" s="331" t="s">
        <v>2067</v>
      </c>
      <c r="BZ378" s="331" t="s">
        <v>2068</v>
      </c>
      <c r="CA378" s="331" t="s">
        <v>2069</v>
      </c>
      <c r="CB378" s="331" t="s">
        <v>393</v>
      </c>
      <c r="CC378" s="331" t="s">
        <v>2070</v>
      </c>
    </row>
    <row r="379" spans="1:81" x14ac:dyDescent="0.25">
      <c r="A379" s="329">
        <v>197710</v>
      </c>
      <c r="B379" s="331" t="s">
        <v>2071</v>
      </c>
      <c r="C379" s="329">
        <v>34961</v>
      </c>
      <c r="D379" s="331" t="s">
        <v>2072</v>
      </c>
      <c r="E379" s="331" t="s">
        <v>781</v>
      </c>
      <c r="F379" s="331" t="s">
        <v>2073</v>
      </c>
      <c r="G379" s="331" t="s">
        <v>2074</v>
      </c>
      <c r="H379" s="331" t="s">
        <v>2075</v>
      </c>
      <c r="I379" s="331" t="s">
        <v>2076</v>
      </c>
      <c r="J379" s="331" t="s">
        <v>441</v>
      </c>
      <c r="K379" s="331" t="s">
        <v>2077</v>
      </c>
      <c r="L379" s="329"/>
      <c r="M379" s="329">
        <v>6</v>
      </c>
      <c r="N379" s="329">
        <v>0</v>
      </c>
      <c r="O379" s="329">
        <v>3.5</v>
      </c>
      <c r="P379" s="329"/>
      <c r="Q379" s="333">
        <v>43629.543055555558</v>
      </c>
      <c r="R379" s="329"/>
      <c r="S379" s="333">
        <v>43749</v>
      </c>
      <c r="T379" s="329">
        <v>55</v>
      </c>
      <c r="U379" s="333">
        <v>43749</v>
      </c>
      <c r="V379" s="333">
        <v>44109</v>
      </c>
      <c r="W379" s="329" t="b">
        <v>1</v>
      </c>
      <c r="X379" s="331" t="s">
        <v>905</v>
      </c>
      <c r="Y379" s="329">
        <v>747</v>
      </c>
      <c r="Z379" s="331" t="s">
        <v>336</v>
      </c>
      <c r="AA379" s="331" t="s">
        <v>919</v>
      </c>
      <c r="AB379" s="331" t="s">
        <v>920</v>
      </c>
      <c r="AC379" s="331" t="s">
        <v>337</v>
      </c>
      <c r="AD379" s="331" t="s">
        <v>24</v>
      </c>
      <c r="AE379" s="329">
        <v>221</v>
      </c>
      <c r="AF379" s="331" t="s">
        <v>254</v>
      </c>
      <c r="AG379" s="329"/>
      <c r="AH379" s="329">
        <v>17</v>
      </c>
      <c r="AI379" s="331" t="s">
        <v>280</v>
      </c>
      <c r="AJ379" s="331" t="s">
        <v>281</v>
      </c>
      <c r="AK379" s="329"/>
      <c r="AL379" s="329"/>
      <c r="AM379" s="329"/>
      <c r="AN379" s="329"/>
      <c r="AO379" s="329"/>
      <c r="AP379" s="329"/>
      <c r="AQ379" s="329"/>
      <c r="AR379" s="329"/>
      <c r="AS379" s="329"/>
      <c r="AT379" s="329" t="s">
        <v>258</v>
      </c>
      <c r="AU379" s="329" t="s">
        <v>283</v>
      </c>
      <c r="AV379" s="331" t="s">
        <v>441</v>
      </c>
      <c r="AW379" s="329"/>
      <c r="AX379" s="329"/>
      <c r="AY379" s="329"/>
      <c r="AZ379" s="329"/>
      <c r="BA379" s="329"/>
      <c r="BB379" s="329"/>
      <c r="BC379" s="329"/>
      <c r="BD379" s="329"/>
      <c r="BE379" s="329"/>
      <c r="BF379" s="329"/>
      <c r="BG379" s="329"/>
      <c r="BH379" s="329"/>
      <c r="BI379" s="329"/>
      <c r="BJ379" s="329"/>
      <c r="BK379" s="329">
        <v>0</v>
      </c>
      <c r="BL379" s="329"/>
      <c r="BM379" s="331" t="s">
        <v>27</v>
      </c>
      <c r="BN379" s="329" t="s">
        <v>922</v>
      </c>
      <c r="BO379" s="333">
        <v>43753</v>
      </c>
      <c r="BP379" s="329"/>
      <c r="BQ379" s="329"/>
      <c r="BR379" s="329"/>
      <c r="BS379" s="329"/>
      <c r="BT379" s="329"/>
      <c r="BU379" s="331" t="s">
        <v>261</v>
      </c>
      <c r="BV379" s="329"/>
      <c r="BW379" s="329"/>
      <c r="BX379" s="329"/>
      <c r="BY379" s="331" t="s">
        <v>2078</v>
      </c>
      <c r="BZ379" s="331" t="s">
        <v>2079</v>
      </c>
      <c r="CA379" s="331" t="s">
        <v>2080</v>
      </c>
      <c r="CB379" s="331" t="s">
        <v>441</v>
      </c>
      <c r="CC379" s="331" t="s">
        <v>2077</v>
      </c>
    </row>
    <row r="380" spans="1:81" x14ac:dyDescent="0.25">
      <c r="A380" s="329">
        <v>197062</v>
      </c>
      <c r="B380" s="331" t="s">
        <v>2081</v>
      </c>
      <c r="C380" s="329">
        <v>34795</v>
      </c>
      <c r="D380" s="331" t="s">
        <v>2082</v>
      </c>
      <c r="E380" s="331" t="s">
        <v>2083</v>
      </c>
      <c r="F380" s="331" t="s">
        <v>2084</v>
      </c>
      <c r="G380" s="331" t="s">
        <v>2085</v>
      </c>
      <c r="H380" s="331" t="s">
        <v>2086</v>
      </c>
      <c r="I380" s="331" t="s">
        <v>888</v>
      </c>
      <c r="J380" s="331" t="s">
        <v>325</v>
      </c>
      <c r="K380" s="331" t="s">
        <v>2087</v>
      </c>
      <c r="L380" s="329"/>
      <c r="M380" s="329">
        <v>6</v>
      </c>
      <c r="N380" s="329">
        <v>0</v>
      </c>
      <c r="O380" s="329">
        <v>3.3</v>
      </c>
      <c r="P380" s="329"/>
      <c r="Q380" s="333">
        <v>43701.513888888891</v>
      </c>
      <c r="R380" s="329"/>
      <c r="S380" s="333">
        <v>43749</v>
      </c>
      <c r="T380" s="329">
        <v>55</v>
      </c>
      <c r="U380" s="333">
        <v>43749</v>
      </c>
      <c r="V380" s="333">
        <v>44109</v>
      </c>
      <c r="W380" s="329" t="b">
        <v>1</v>
      </c>
      <c r="X380" s="331" t="s">
        <v>905</v>
      </c>
      <c r="Y380" s="329">
        <v>747</v>
      </c>
      <c r="Z380" s="331" t="s">
        <v>23</v>
      </c>
      <c r="AA380" s="331" t="s">
        <v>919</v>
      </c>
      <c r="AB380" s="331" t="s">
        <v>920</v>
      </c>
      <c r="AC380" s="331" t="s">
        <v>2088</v>
      </c>
      <c r="AD380" s="331" t="s">
        <v>24</v>
      </c>
      <c r="AE380" s="329">
        <v>221</v>
      </c>
      <c r="AF380" s="331" t="s">
        <v>254</v>
      </c>
      <c r="AG380" s="329"/>
      <c r="AH380" s="329">
        <v>17</v>
      </c>
      <c r="AI380" s="331" t="s">
        <v>280</v>
      </c>
      <c r="AJ380" s="331" t="s">
        <v>281</v>
      </c>
      <c r="AK380" s="331" t="s">
        <v>363</v>
      </c>
      <c r="AL380" s="331" t="s">
        <v>386</v>
      </c>
      <c r="AM380" s="331" t="s">
        <v>359</v>
      </c>
      <c r="AN380" s="331" t="s">
        <v>363</v>
      </c>
      <c r="AO380" s="331" t="s">
        <v>328</v>
      </c>
      <c r="AP380" s="329"/>
      <c r="AQ380" s="329"/>
      <c r="AR380" s="329"/>
      <c r="AS380" s="329"/>
      <c r="AT380" s="329" t="s">
        <v>431</v>
      </c>
      <c r="AU380" s="329" t="s">
        <v>283</v>
      </c>
      <c r="AV380" s="331" t="s">
        <v>325</v>
      </c>
      <c r="AW380" s="329"/>
      <c r="AX380" s="329"/>
      <c r="AY380" s="329"/>
      <c r="AZ380" s="329"/>
      <c r="BA380" s="329"/>
      <c r="BB380" s="329"/>
      <c r="BC380" s="329"/>
      <c r="BD380" s="329"/>
      <c r="BE380" s="329" t="s">
        <v>257</v>
      </c>
      <c r="BF380" s="329" t="s">
        <v>841</v>
      </c>
      <c r="BG380" s="329"/>
      <c r="BH380" s="329"/>
      <c r="BI380" s="329"/>
      <c r="BJ380" s="329"/>
      <c r="BK380" s="329">
        <v>9000</v>
      </c>
      <c r="BL380" s="329"/>
      <c r="BM380" s="331" t="s">
        <v>189</v>
      </c>
      <c r="BN380" s="329" t="s">
        <v>922</v>
      </c>
      <c r="BO380" s="333">
        <v>43753</v>
      </c>
      <c r="BP380" s="329"/>
      <c r="BQ380" s="329"/>
      <c r="BR380" s="329"/>
      <c r="BS380" s="329"/>
      <c r="BT380" s="329"/>
      <c r="BU380" s="331" t="s">
        <v>261</v>
      </c>
      <c r="BV380" s="329"/>
      <c r="BW380" s="329"/>
      <c r="BX380" s="329"/>
      <c r="BY380" s="331" t="s">
        <v>2089</v>
      </c>
      <c r="BZ380" s="331" t="s">
        <v>2090</v>
      </c>
      <c r="CA380" s="331" t="s">
        <v>868</v>
      </c>
      <c r="CB380" s="331" t="s">
        <v>325</v>
      </c>
      <c r="CC380" s="331" t="s">
        <v>2091</v>
      </c>
    </row>
    <row r="381" spans="1:81" x14ac:dyDescent="0.25">
      <c r="A381" s="329">
        <v>195379</v>
      </c>
      <c r="B381" s="331" t="s">
        <v>2108</v>
      </c>
      <c r="C381" s="329">
        <v>34317</v>
      </c>
      <c r="D381" s="331" t="s">
        <v>2093</v>
      </c>
      <c r="E381" s="331" t="s">
        <v>2109</v>
      </c>
      <c r="F381" s="331" t="s">
        <v>2110</v>
      </c>
      <c r="G381" s="331" t="s">
        <v>2111</v>
      </c>
      <c r="H381" s="331" t="s">
        <v>2112</v>
      </c>
      <c r="I381" s="331" t="s">
        <v>2113</v>
      </c>
      <c r="J381" s="331" t="s">
        <v>393</v>
      </c>
      <c r="K381" s="331" t="s">
        <v>2114</v>
      </c>
      <c r="L381" s="329"/>
      <c r="M381" s="329">
        <v>6</v>
      </c>
      <c r="N381" s="329">
        <v>0</v>
      </c>
      <c r="O381" s="329">
        <v>2.2440000000000002</v>
      </c>
      <c r="P381" s="329"/>
      <c r="Q381" s="333">
        <v>43628.673611111109</v>
      </c>
      <c r="R381" s="329"/>
      <c r="S381" s="333">
        <v>43749</v>
      </c>
      <c r="T381" s="329">
        <v>55</v>
      </c>
      <c r="U381" s="333">
        <v>43749</v>
      </c>
      <c r="V381" s="333">
        <v>44109</v>
      </c>
      <c r="W381" s="329" t="b">
        <v>1</v>
      </c>
      <c r="X381" s="331" t="s">
        <v>22</v>
      </c>
      <c r="Y381" s="329">
        <v>429</v>
      </c>
      <c r="Z381" s="331" t="s">
        <v>25</v>
      </c>
      <c r="AA381" s="331" t="s">
        <v>919</v>
      </c>
      <c r="AB381" s="331" t="s">
        <v>920</v>
      </c>
      <c r="AC381" s="331" t="s">
        <v>1252</v>
      </c>
      <c r="AD381" s="331" t="s">
        <v>24</v>
      </c>
      <c r="AE381" s="329">
        <v>221</v>
      </c>
      <c r="AF381" s="331" t="s">
        <v>254</v>
      </c>
      <c r="AG381" s="329"/>
      <c r="AH381" s="329">
        <v>17</v>
      </c>
      <c r="AI381" s="331" t="s">
        <v>280</v>
      </c>
      <c r="AJ381" s="331" t="s">
        <v>281</v>
      </c>
      <c r="AK381" s="331" t="s">
        <v>359</v>
      </c>
      <c r="AL381" s="331" t="s">
        <v>417</v>
      </c>
      <c r="AM381" s="331" t="s">
        <v>329</v>
      </c>
      <c r="AN381" s="331" t="s">
        <v>418</v>
      </c>
      <c r="AO381" s="331" t="s">
        <v>363</v>
      </c>
      <c r="AP381" s="329"/>
      <c r="AQ381" s="329"/>
      <c r="AR381" s="329"/>
      <c r="AS381" s="329"/>
      <c r="AT381" s="329" t="s">
        <v>846</v>
      </c>
      <c r="AU381" s="329" t="s">
        <v>277</v>
      </c>
      <c r="AV381" s="331" t="s">
        <v>393</v>
      </c>
      <c r="AW381" s="329"/>
      <c r="AX381" s="329"/>
      <c r="AY381" s="329"/>
      <c r="AZ381" s="329"/>
      <c r="BA381" s="329"/>
      <c r="BB381" s="329"/>
      <c r="BC381" s="329"/>
      <c r="BD381" s="329"/>
      <c r="BE381" s="329"/>
      <c r="BF381" s="329"/>
      <c r="BG381" s="329"/>
      <c r="BH381" s="329"/>
      <c r="BI381" s="329"/>
      <c r="BJ381" s="329"/>
      <c r="BK381" s="329">
        <v>0</v>
      </c>
      <c r="BL381" s="329"/>
      <c r="BM381" s="331" t="s">
        <v>323</v>
      </c>
      <c r="BN381" s="329" t="s">
        <v>922</v>
      </c>
      <c r="BO381" s="333">
        <v>43753</v>
      </c>
      <c r="BP381" s="329"/>
      <c r="BQ381" s="329"/>
      <c r="BR381" s="329"/>
      <c r="BS381" s="329"/>
      <c r="BT381" s="329"/>
      <c r="BU381" s="331" t="s">
        <v>261</v>
      </c>
      <c r="BV381" s="329"/>
      <c r="BW381" s="329"/>
      <c r="BX381" s="329"/>
      <c r="BY381" s="331" t="s">
        <v>2115</v>
      </c>
      <c r="BZ381" s="331" t="s">
        <v>2116</v>
      </c>
      <c r="CA381" s="331" t="s">
        <v>2117</v>
      </c>
      <c r="CB381" s="331" t="s">
        <v>393</v>
      </c>
      <c r="CC381" s="331" t="s">
        <v>2114</v>
      </c>
    </row>
    <row r="382" spans="1:81" x14ac:dyDescent="0.25">
      <c r="A382" s="329">
        <v>196122</v>
      </c>
      <c r="B382" s="331" t="s">
        <v>2118</v>
      </c>
      <c r="C382" s="329">
        <v>34511</v>
      </c>
      <c r="D382" s="331" t="s">
        <v>2119</v>
      </c>
      <c r="E382" s="331" t="s">
        <v>2120</v>
      </c>
      <c r="F382" s="331" t="s">
        <v>2121</v>
      </c>
      <c r="G382" s="331" t="s">
        <v>2122</v>
      </c>
      <c r="H382" s="331" t="s">
        <v>2123</v>
      </c>
      <c r="I382" s="331" t="s">
        <v>2124</v>
      </c>
      <c r="J382" s="331" t="s">
        <v>292</v>
      </c>
      <c r="K382" s="331" t="s">
        <v>2125</v>
      </c>
      <c r="L382" s="329"/>
      <c r="M382" s="329">
        <v>6</v>
      </c>
      <c r="N382" s="329">
        <v>0</v>
      </c>
      <c r="O382" s="329">
        <v>2.2770000000000001</v>
      </c>
      <c r="P382" s="329"/>
      <c r="Q382" s="333">
        <v>43629.805555555555</v>
      </c>
      <c r="R382" s="329"/>
      <c r="S382" s="333">
        <v>43749</v>
      </c>
      <c r="T382" s="329">
        <v>55</v>
      </c>
      <c r="U382" s="333">
        <v>43749</v>
      </c>
      <c r="V382" s="333">
        <v>44109</v>
      </c>
      <c r="W382" s="329" t="b">
        <v>1</v>
      </c>
      <c r="X382" s="331" t="s">
        <v>22</v>
      </c>
      <c r="Y382" s="329">
        <v>726</v>
      </c>
      <c r="Z382" s="331" t="s">
        <v>25</v>
      </c>
      <c r="AA382" s="331" t="s">
        <v>919</v>
      </c>
      <c r="AB382" s="331" t="s">
        <v>920</v>
      </c>
      <c r="AC382" s="331" t="s">
        <v>1889</v>
      </c>
      <c r="AD382" s="331" t="s">
        <v>24</v>
      </c>
      <c r="AE382" s="329">
        <v>221</v>
      </c>
      <c r="AF382" s="331" t="s">
        <v>254</v>
      </c>
      <c r="AG382" s="329"/>
      <c r="AH382" s="329">
        <v>17</v>
      </c>
      <c r="AI382" s="331" t="s">
        <v>280</v>
      </c>
      <c r="AJ382" s="331" t="s">
        <v>281</v>
      </c>
      <c r="AK382" s="329"/>
      <c r="AL382" s="329"/>
      <c r="AM382" s="329"/>
      <c r="AN382" s="329"/>
      <c r="AO382" s="329"/>
      <c r="AP382" s="331" t="s">
        <v>489</v>
      </c>
      <c r="AQ382" s="329">
        <v>510</v>
      </c>
      <c r="AR382" s="329">
        <v>480</v>
      </c>
      <c r="AS382" s="329"/>
      <c r="AT382" s="329" t="s">
        <v>460</v>
      </c>
      <c r="AU382" s="329" t="s">
        <v>256</v>
      </c>
      <c r="AV382" s="331" t="s">
        <v>292</v>
      </c>
      <c r="AW382" s="329"/>
      <c r="AX382" s="329"/>
      <c r="AY382" s="329"/>
      <c r="AZ382" s="329"/>
      <c r="BA382" s="329"/>
      <c r="BB382" s="329"/>
      <c r="BC382" s="329"/>
      <c r="BD382" s="329"/>
      <c r="BE382" s="329"/>
      <c r="BF382" s="329"/>
      <c r="BG382" s="329"/>
      <c r="BH382" s="329"/>
      <c r="BI382" s="329"/>
      <c r="BJ382" s="329"/>
      <c r="BK382" s="329">
        <v>0</v>
      </c>
      <c r="BL382" s="329"/>
      <c r="BM382" s="331" t="s">
        <v>323</v>
      </c>
      <c r="BN382" s="329" t="s">
        <v>922</v>
      </c>
      <c r="BO382" s="333">
        <v>43753</v>
      </c>
      <c r="BP382" s="329"/>
      <c r="BQ382" s="329"/>
      <c r="BR382" s="329"/>
      <c r="BS382" s="329"/>
      <c r="BT382" s="329"/>
      <c r="BU382" s="331" t="s">
        <v>261</v>
      </c>
      <c r="BV382" s="329"/>
      <c r="BW382" s="329"/>
      <c r="BX382" s="329"/>
      <c r="BY382" s="331" t="s">
        <v>2126</v>
      </c>
      <c r="BZ382" s="331" t="s">
        <v>2127</v>
      </c>
      <c r="CA382" s="331" t="s">
        <v>2128</v>
      </c>
      <c r="CB382" s="331" t="s">
        <v>292</v>
      </c>
      <c r="CC382" s="331" t="s">
        <v>2129</v>
      </c>
    </row>
    <row r="383" spans="1:81" x14ac:dyDescent="0.25">
      <c r="A383" s="329">
        <v>197050</v>
      </c>
      <c r="B383" s="331" t="s">
        <v>2130</v>
      </c>
      <c r="C383" s="329">
        <v>34792</v>
      </c>
      <c r="D383" s="331" t="s">
        <v>2131</v>
      </c>
      <c r="E383" s="331" t="s">
        <v>2132</v>
      </c>
      <c r="F383" s="331" t="s">
        <v>2133</v>
      </c>
      <c r="G383" s="331" t="s">
        <v>2134</v>
      </c>
      <c r="H383" s="331" t="s">
        <v>2135</v>
      </c>
      <c r="I383" s="331" t="s">
        <v>2136</v>
      </c>
      <c r="J383" s="331" t="s">
        <v>449</v>
      </c>
      <c r="K383" s="331" t="s">
        <v>2137</v>
      </c>
      <c r="L383" s="329"/>
      <c r="M383" s="329">
        <v>6</v>
      </c>
      <c r="N383" s="329">
        <v>0</v>
      </c>
      <c r="O383" s="329">
        <v>3.54</v>
      </c>
      <c r="P383" s="329"/>
      <c r="Q383" s="333">
        <v>43578.649305555555</v>
      </c>
      <c r="R383" s="329"/>
      <c r="S383" s="333">
        <v>43749</v>
      </c>
      <c r="T383" s="329">
        <v>55</v>
      </c>
      <c r="U383" s="333">
        <v>43749</v>
      </c>
      <c r="V383" s="333">
        <v>44109</v>
      </c>
      <c r="W383" s="329" t="b">
        <v>1</v>
      </c>
      <c r="X383" s="331" t="s">
        <v>187</v>
      </c>
      <c r="Y383" s="329">
        <v>718</v>
      </c>
      <c r="Z383" s="331" t="s">
        <v>23</v>
      </c>
      <c r="AA383" s="331" t="s">
        <v>919</v>
      </c>
      <c r="AB383" s="331" t="s">
        <v>920</v>
      </c>
      <c r="AC383" s="331" t="s">
        <v>1361</v>
      </c>
      <c r="AD383" s="331" t="s">
        <v>24</v>
      </c>
      <c r="AE383" s="329">
        <v>221</v>
      </c>
      <c r="AF383" s="331" t="s">
        <v>254</v>
      </c>
      <c r="AG383" s="329"/>
      <c r="AH383" s="329">
        <v>17</v>
      </c>
      <c r="AI383" s="331" t="s">
        <v>280</v>
      </c>
      <c r="AJ383" s="331" t="s">
        <v>281</v>
      </c>
      <c r="AK383" s="331" t="s">
        <v>330</v>
      </c>
      <c r="AL383" s="331" t="s">
        <v>329</v>
      </c>
      <c r="AM383" s="331" t="s">
        <v>363</v>
      </c>
      <c r="AN383" s="331" t="s">
        <v>330</v>
      </c>
      <c r="AO383" s="331" t="s">
        <v>301</v>
      </c>
      <c r="AP383" s="329"/>
      <c r="AQ383" s="329"/>
      <c r="AR383" s="329"/>
      <c r="AS383" s="329"/>
      <c r="AT383" s="329" t="s">
        <v>885</v>
      </c>
      <c r="AU383" s="329" t="s">
        <v>256</v>
      </c>
      <c r="AV383" s="331" t="s">
        <v>449</v>
      </c>
      <c r="AW383" s="329"/>
      <c r="AX383" s="329"/>
      <c r="AY383" s="329"/>
      <c r="AZ383" s="329"/>
      <c r="BA383" s="329"/>
      <c r="BB383" s="329"/>
      <c r="BC383" s="329"/>
      <c r="BD383" s="329"/>
      <c r="BE383" s="329" t="s">
        <v>257</v>
      </c>
      <c r="BF383" s="329" t="s">
        <v>841</v>
      </c>
      <c r="BG383" s="329"/>
      <c r="BH383" s="329"/>
      <c r="BI383" s="329"/>
      <c r="BJ383" s="329"/>
      <c r="BK383" s="329">
        <v>9000</v>
      </c>
      <c r="BL383" s="329"/>
      <c r="BM383" s="331" t="s">
        <v>189</v>
      </c>
      <c r="BN383" s="329" t="s">
        <v>922</v>
      </c>
      <c r="BO383" s="333">
        <v>43753</v>
      </c>
      <c r="BP383" s="329"/>
      <c r="BQ383" s="329"/>
      <c r="BR383" s="329"/>
      <c r="BS383" s="329"/>
      <c r="BT383" s="329"/>
      <c r="BU383" s="331" t="s">
        <v>261</v>
      </c>
      <c r="BV383" s="329"/>
      <c r="BW383" s="329"/>
      <c r="BX383" s="329"/>
      <c r="BY383" s="331" t="s">
        <v>2138</v>
      </c>
      <c r="BZ383" s="331" t="s">
        <v>2139</v>
      </c>
      <c r="CA383" s="331" t="s">
        <v>2140</v>
      </c>
      <c r="CB383" s="331" t="s">
        <v>449</v>
      </c>
      <c r="CC383" s="331" t="s">
        <v>2141</v>
      </c>
    </row>
    <row r="384" spans="1:81" x14ac:dyDescent="0.25">
      <c r="A384" s="329">
        <v>197700</v>
      </c>
      <c r="B384" s="331" t="s">
        <v>2142</v>
      </c>
      <c r="C384" s="329">
        <v>34957</v>
      </c>
      <c r="D384" s="331" t="s">
        <v>2143</v>
      </c>
      <c r="E384" s="331" t="s">
        <v>2144</v>
      </c>
      <c r="F384" s="331" t="s">
        <v>2145</v>
      </c>
      <c r="G384" s="331" t="s">
        <v>2146</v>
      </c>
      <c r="H384" s="331" t="s">
        <v>2147</v>
      </c>
      <c r="I384" s="331" t="s">
        <v>2148</v>
      </c>
      <c r="J384" s="331" t="s">
        <v>306</v>
      </c>
      <c r="K384" s="331" t="s">
        <v>2149</v>
      </c>
      <c r="L384" s="329"/>
      <c r="M384" s="329">
        <v>6</v>
      </c>
      <c r="N384" s="329">
        <v>0</v>
      </c>
      <c r="O384" s="329">
        <v>4</v>
      </c>
      <c r="P384" s="329"/>
      <c r="Q384" s="333">
        <v>43717.642372685186</v>
      </c>
      <c r="R384" s="329"/>
      <c r="S384" s="333">
        <v>43749</v>
      </c>
      <c r="T384" s="329">
        <v>55</v>
      </c>
      <c r="U384" s="333">
        <v>43749</v>
      </c>
      <c r="V384" s="333">
        <v>44109</v>
      </c>
      <c r="W384" s="329" t="b">
        <v>1</v>
      </c>
      <c r="X384" s="331" t="s">
        <v>22</v>
      </c>
      <c r="Y384" s="329">
        <v>726</v>
      </c>
      <c r="Z384" s="331" t="s">
        <v>25</v>
      </c>
      <c r="AA384" s="331" t="s">
        <v>919</v>
      </c>
      <c r="AB384" s="331" t="s">
        <v>920</v>
      </c>
      <c r="AC384" s="331" t="s">
        <v>1446</v>
      </c>
      <c r="AD384" s="331" t="s">
        <v>24</v>
      </c>
      <c r="AE384" s="329">
        <v>221</v>
      </c>
      <c r="AF384" s="331" t="s">
        <v>254</v>
      </c>
      <c r="AG384" s="329"/>
      <c r="AH384" s="329">
        <v>17</v>
      </c>
      <c r="AI384" s="331" t="s">
        <v>280</v>
      </c>
      <c r="AJ384" s="331" t="s">
        <v>281</v>
      </c>
      <c r="AK384" s="331" t="s">
        <v>300</v>
      </c>
      <c r="AL384" s="331" t="s">
        <v>300</v>
      </c>
      <c r="AM384" s="331" t="s">
        <v>290</v>
      </c>
      <c r="AN384" s="331" t="s">
        <v>289</v>
      </c>
      <c r="AO384" s="331" t="s">
        <v>301</v>
      </c>
      <c r="AP384" s="329"/>
      <c r="AQ384" s="329"/>
      <c r="AR384" s="329"/>
      <c r="AS384" s="329"/>
      <c r="AT384" s="329" t="s">
        <v>349</v>
      </c>
      <c r="AU384" s="329" t="s">
        <v>283</v>
      </c>
      <c r="AV384" s="331" t="s">
        <v>306</v>
      </c>
      <c r="AW384" s="329"/>
      <c r="AX384" s="329"/>
      <c r="AY384" s="329"/>
      <c r="AZ384" s="329"/>
      <c r="BA384" s="329"/>
      <c r="BB384" s="329"/>
      <c r="BC384" s="329"/>
      <c r="BD384" s="329"/>
      <c r="BE384" s="329" t="s">
        <v>257</v>
      </c>
      <c r="BF384" s="329" t="s">
        <v>834</v>
      </c>
      <c r="BG384" s="329"/>
      <c r="BH384" s="329"/>
      <c r="BI384" s="329"/>
      <c r="BJ384" s="329"/>
      <c r="BK384" s="329">
        <v>20400</v>
      </c>
      <c r="BL384" s="329"/>
      <c r="BM384" s="331" t="s">
        <v>278</v>
      </c>
      <c r="BN384" s="329" t="s">
        <v>922</v>
      </c>
      <c r="BO384" s="333">
        <v>43753</v>
      </c>
      <c r="BP384" s="329"/>
      <c r="BQ384" s="329"/>
      <c r="BR384" s="329"/>
      <c r="BS384" s="329"/>
      <c r="BT384" s="329"/>
      <c r="BU384" s="331" t="s">
        <v>261</v>
      </c>
      <c r="BV384" s="329"/>
      <c r="BW384" s="329"/>
      <c r="BX384" s="329"/>
      <c r="BY384" s="331" t="s">
        <v>2150</v>
      </c>
      <c r="BZ384" s="331" t="s">
        <v>2151</v>
      </c>
      <c r="CA384" s="331" t="s">
        <v>2152</v>
      </c>
      <c r="CB384" s="331" t="s">
        <v>306</v>
      </c>
      <c r="CC384" s="331" t="s">
        <v>2153</v>
      </c>
    </row>
    <row r="385" spans="1:81" x14ac:dyDescent="0.25">
      <c r="A385" s="329">
        <v>193561</v>
      </c>
      <c r="B385" s="331" t="s">
        <v>2154</v>
      </c>
      <c r="C385" s="329">
        <v>33893</v>
      </c>
      <c r="D385" s="331" t="s">
        <v>2143</v>
      </c>
      <c r="E385" s="331" t="s">
        <v>716</v>
      </c>
      <c r="F385" s="331" t="s">
        <v>2155</v>
      </c>
      <c r="G385" s="331" t="s">
        <v>2156</v>
      </c>
      <c r="H385" s="331" t="s">
        <v>2157</v>
      </c>
      <c r="I385" s="331" t="s">
        <v>2158</v>
      </c>
      <c r="J385" s="331" t="s">
        <v>498</v>
      </c>
      <c r="K385" s="331" t="s">
        <v>2159</v>
      </c>
      <c r="L385" s="329"/>
      <c r="M385" s="329">
        <v>6</v>
      </c>
      <c r="N385" s="329">
        <v>0</v>
      </c>
      <c r="O385" s="329">
        <v>3.9</v>
      </c>
      <c r="P385" s="329"/>
      <c r="Q385" s="333">
        <v>43623.690983796296</v>
      </c>
      <c r="R385" s="329"/>
      <c r="S385" s="333">
        <v>43749</v>
      </c>
      <c r="T385" s="329">
        <v>55</v>
      </c>
      <c r="U385" s="333">
        <v>43749</v>
      </c>
      <c r="V385" s="333">
        <v>44109</v>
      </c>
      <c r="W385" s="329" t="b">
        <v>1</v>
      </c>
      <c r="X385" s="331" t="s">
        <v>22</v>
      </c>
      <c r="Y385" s="329">
        <v>726</v>
      </c>
      <c r="Z385" s="331" t="s">
        <v>25</v>
      </c>
      <c r="AA385" s="331" t="s">
        <v>919</v>
      </c>
      <c r="AB385" s="331" t="s">
        <v>920</v>
      </c>
      <c r="AC385" s="331" t="s">
        <v>972</v>
      </c>
      <c r="AD385" s="331" t="s">
        <v>24</v>
      </c>
      <c r="AE385" s="329">
        <v>221</v>
      </c>
      <c r="AF385" s="331" t="s">
        <v>254</v>
      </c>
      <c r="AG385" s="329"/>
      <c r="AH385" s="329">
        <v>17</v>
      </c>
      <c r="AI385" s="331" t="s">
        <v>280</v>
      </c>
      <c r="AJ385" s="331" t="s">
        <v>281</v>
      </c>
      <c r="AK385" s="331" t="s">
        <v>347</v>
      </c>
      <c r="AL385" s="331" t="s">
        <v>275</v>
      </c>
      <c r="AM385" s="331" t="s">
        <v>347</v>
      </c>
      <c r="AN385" s="331" t="s">
        <v>273</v>
      </c>
      <c r="AO385" s="331" t="s">
        <v>273</v>
      </c>
      <c r="AP385" s="331" t="s">
        <v>2160</v>
      </c>
      <c r="AQ385" s="329">
        <v>650</v>
      </c>
      <c r="AR385" s="329">
        <v>640</v>
      </c>
      <c r="AS385" s="329"/>
      <c r="AT385" s="329" t="s">
        <v>367</v>
      </c>
      <c r="AU385" s="329" t="s">
        <v>283</v>
      </c>
      <c r="AV385" s="331" t="s">
        <v>498</v>
      </c>
      <c r="AW385" s="329"/>
      <c r="AX385" s="329"/>
      <c r="AY385" s="329"/>
      <c r="AZ385" s="329"/>
      <c r="BA385" s="329"/>
      <c r="BB385" s="329"/>
      <c r="BC385" s="329"/>
      <c r="BD385" s="329"/>
      <c r="BE385" s="329" t="s">
        <v>257</v>
      </c>
      <c r="BF385" s="329" t="s">
        <v>834</v>
      </c>
      <c r="BG385" s="329"/>
      <c r="BH385" s="329"/>
      <c r="BI385" s="329"/>
      <c r="BJ385" s="329"/>
      <c r="BK385" s="329">
        <v>20400</v>
      </c>
      <c r="BL385" s="329"/>
      <c r="BM385" s="331" t="s">
        <v>278</v>
      </c>
      <c r="BN385" s="329" t="s">
        <v>922</v>
      </c>
      <c r="BO385" s="333">
        <v>43753</v>
      </c>
      <c r="BP385" s="329"/>
      <c r="BQ385" s="329"/>
      <c r="BR385" s="329"/>
      <c r="BS385" s="329"/>
      <c r="BT385" s="329"/>
      <c r="BU385" s="331" t="s">
        <v>261</v>
      </c>
      <c r="BV385" s="329"/>
      <c r="BW385" s="329"/>
      <c r="BX385" s="329"/>
      <c r="BY385" s="331" t="s">
        <v>2161</v>
      </c>
      <c r="BZ385" s="331" t="s">
        <v>2162</v>
      </c>
      <c r="CA385" s="331" t="s">
        <v>2163</v>
      </c>
      <c r="CB385" s="331" t="s">
        <v>498</v>
      </c>
      <c r="CC385" s="331" t="s">
        <v>2159</v>
      </c>
    </row>
    <row r="386" spans="1:81" x14ac:dyDescent="0.25">
      <c r="A386" s="329">
        <v>198057</v>
      </c>
      <c r="B386" s="331" t="s">
        <v>2164</v>
      </c>
      <c r="C386" s="329">
        <v>35081</v>
      </c>
      <c r="D386" s="331" t="s">
        <v>2165</v>
      </c>
      <c r="E386" s="331" t="s">
        <v>2166</v>
      </c>
      <c r="F386" s="331" t="s">
        <v>2167</v>
      </c>
      <c r="G386" s="331" t="s">
        <v>2168</v>
      </c>
      <c r="H386" s="331" t="s">
        <v>2169</v>
      </c>
      <c r="I386" s="331" t="s">
        <v>2170</v>
      </c>
      <c r="J386" s="331" t="s">
        <v>306</v>
      </c>
      <c r="K386" s="331" t="s">
        <v>2171</v>
      </c>
      <c r="L386" s="329"/>
      <c r="M386" s="329">
        <v>6</v>
      </c>
      <c r="N386" s="329">
        <v>0</v>
      </c>
      <c r="O386" s="329">
        <v>2.9535</v>
      </c>
      <c r="P386" s="329"/>
      <c r="Q386" s="333">
        <v>43640.463368055556</v>
      </c>
      <c r="R386" s="329"/>
      <c r="S386" s="333">
        <v>43749</v>
      </c>
      <c r="T386" s="329">
        <v>55</v>
      </c>
      <c r="U386" s="333">
        <v>43749</v>
      </c>
      <c r="V386" s="333">
        <v>44109</v>
      </c>
      <c r="W386" s="329" t="b">
        <v>1</v>
      </c>
      <c r="X386" s="331" t="s">
        <v>22</v>
      </c>
      <c r="Y386" s="329">
        <v>726</v>
      </c>
      <c r="Z386" s="331" t="s">
        <v>25</v>
      </c>
      <c r="AA386" s="331" t="s">
        <v>919</v>
      </c>
      <c r="AB386" s="331" t="s">
        <v>920</v>
      </c>
      <c r="AC386" s="331" t="s">
        <v>1299</v>
      </c>
      <c r="AD386" s="331" t="s">
        <v>24</v>
      </c>
      <c r="AE386" s="329">
        <v>221</v>
      </c>
      <c r="AF386" s="331" t="s">
        <v>254</v>
      </c>
      <c r="AG386" s="329"/>
      <c r="AH386" s="329">
        <v>17</v>
      </c>
      <c r="AI386" s="331" t="s">
        <v>280</v>
      </c>
      <c r="AJ386" s="331" t="s">
        <v>281</v>
      </c>
      <c r="AK386" s="331" t="s">
        <v>331</v>
      </c>
      <c r="AL386" s="331" t="s">
        <v>363</v>
      </c>
      <c r="AM386" s="331" t="s">
        <v>301</v>
      </c>
      <c r="AN386" s="331" t="s">
        <v>328</v>
      </c>
      <c r="AO386" s="331" t="s">
        <v>331</v>
      </c>
      <c r="AP386" s="329"/>
      <c r="AQ386" s="329"/>
      <c r="AR386" s="329"/>
      <c r="AS386" s="329"/>
      <c r="AT386" s="329" t="s">
        <v>409</v>
      </c>
      <c r="AU386" s="329" t="s">
        <v>256</v>
      </c>
      <c r="AV386" s="331" t="s">
        <v>306</v>
      </c>
      <c r="AW386" s="329"/>
      <c r="AX386" s="329"/>
      <c r="AY386" s="329"/>
      <c r="AZ386" s="329"/>
      <c r="BA386" s="329"/>
      <c r="BB386" s="329"/>
      <c r="BC386" s="329"/>
      <c r="BD386" s="329"/>
      <c r="BE386" s="329" t="s">
        <v>257</v>
      </c>
      <c r="BF386" s="329" t="s">
        <v>841</v>
      </c>
      <c r="BG386" s="329"/>
      <c r="BH386" s="329"/>
      <c r="BI386" s="329"/>
      <c r="BJ386" s="329"/>
      <c r="BK386" s="329">
        <v>9000</v>
      </c>
      <c r="BL386" s="329"/>
      <c r="BM386" s="331" t="s">
        <v>189</v>
      </c>
      <c r="BN386" s="329" t="s">
        <v>922</v>
      </c>
      <c r="BO386" s="333">
        <v>43753</v>
      </c>
      <c r="BP386" s="329"/>
      <c r="BQ386" s="329"/>
      <c r="BR386" s="329"/>
      <c r="BS386" s="329"/>
      <c r="BT386" s="329"/>
      <c r="BU386" s="331" t="s">
        <v>261</v>
      </c>
      <c r="BV386" s="329"/>
      <c r="BW386" s="329"/>
      <c r="BX386" s="329"/>
      <c r="BY386" s="331" t="s">
        <v>2172</v>
      </c>
      <c r="BZ386" s="331" t="s">
        <v>2173</v>
      </c>
      <c r="CA386" s="331" t="s">
        <v>2174</v>
      </c>
      <c r="CB386" s="331" t="s">
        <v>306</v>
      </c>
      <c r="CC386" s="331" t="s">
        <v>2175</v>
      </c>
    </row>
    <row r="387" spans="1:81" x14ac:dyDescent="0.25">
      <c r="A387" s="329">
        <v>194305</v>
      </c>
      <c r="B387" s="331" t="s">
        <v>2198</v>
      </c>
      <c r="C387" s="329">
        <v>34078</v>
      </c>
      <c r="D387" s="331" t="s">
        <v>2199</v>
      </c>
      <c r="E387" s="331" t="s">
        <v>570</v>
      </c>
      <c r="F387" s="331" t="s">
        <v>2200</v>
      </c>
      <c r="G387" s="331" t="s">
        <v>2201</v>
      </c>
      <c r="H387" s="331" t="s">
        <v>2202</v>
      </c>
      <c r="I387" s="331" t="s">
        <v>736</v>
      </c>
      <c r="J387" s="331" t="s">
        <v>344</v>
      </c>
      <c r="K387" s="331" t="s">
        <v>2203</v>
      </c>
      <c r="L387" s="329"/>
      <c r="M387" s="329">
        <v>6</v>
      </c>
      <c r="N387" s="329">
        <v>0</v>
      </c>
      <c r="O387" s="329">
        <v>3.67</v>
      </c>
      <c r="P387" s="329"/>
      <c r="Q387" s="333">
        <v>43633.793749999997</v>
      </c>
      <c r="R387" s="329"/>
      <c r="S387" s="333">
        <v>43749</v>
      </c>
      <c r="T387" s="329">
        <v>55</v>
      </c>
      <c r="U387" s="333">
        <v>43749</v>
      </c>
      <c r="V387" s="333">
        <v>44109</v>
      </c>
      <c r="W387" s="329" t="b">
        <v>1</v>
      </c>
      <c r="X387" s="331" t="s">
        <v>22</v>
      </c>
      <c r="Y387" s="329">
        <v>429</v>
      </c>
      <c r="Z387" s="331" t="s">
        <v>23</v>
      </c>
      <c r="AA387" s="331" t="s">
        <v>919</v>
      </c>
      <c r="AB387" s="331" t="s">
        <v>920</v>
      </c>
      <c r="AC387" s="331" t="s">
        <v>1482</v>
      </c>
      <c r="AD387" s="331" t="s">
        <v>24</v>
      </c>
      <c r="AE387" s="329">
        <v>221</v>
      </c>
      <c r="AF387" s="331" t="s">
        <v>254</v>
      </c>
      <c r="AG387" s="329"/>
      <c r="AH387" s="329">
        <v>17</v>
      </c>
      <c r="AI387" s="331" t="s">
        <v>280</v>
      </c>
      <c r="AJ387" s="331" t="s">
        <v>281</v>
      </c>
      <c r="AK387" s="329"/>
      <c r="AL387" s="329"/>
      <c r="AM387" s="329"/>
      <c r="AN387" s="329"/>
      <c r="AO387" s="329"/>
      <c r="AP387" s="331" t="s">
        <v>481</v>
      </c>
      <c r="AQ387" s="329">
        <v>680</v>
      </c>
      <c r="AR387" s="329">
        <v>640</v>
      </c>
      <c r="AS387" s="329"/>
      <c r="AT387" s="329" t="s">
        <v>398</v>
      </c>
      <c r="AU387" s="329" t="s">
        <v>283</v>
      </c>
      <c r="AV387" s="331" t="s">
        <v>344</v>
      </c>
      <c r="AW387" s="329"/>
      <c r="AX387" s="329"/>
      <c r="AY387" s="329"/>
      <c r="AZ387" s="329"/>
      <c r="BA387" s="329"/>
      <c r="BB387" s="329"/>
      <c r="BC387" s="329"/>
      <c r="BD387" s="329"/>
      <c r="BE387" s="329" t="s">
        <v>257</v>
      </c>
      <c r="BF387" s="329" t="s">
        <v>834</v>
      </c>
      <c r="BG387" s="329"/>
      <c r="BH387" s="329"/>
      <c r="BI387" s="329"/>
      <c r="BJ387" s="329"/>
      <c r="BK387" s="329">
        <v>20400</v>
      </c>
      <c r="BL387" s="329"/>
      <c r="BM387" s="331" t="s">
        <v>278</v>
      </c>
      <c r="BN387" s="329" t="s">
        <v>922</v>
      </c>
      <c r="BO387" s="333">
        <v>43753</v>
      </c>
      <c r="BP387" s="329"/>
      <c r="BQ387" s="329"/>
      <c r="BR387" s="329"/>
      <c r="BS387" s="329"/>
      <c r="BT387" s="329"/>
      <c r="BU387" s="331" t="s">
        <v>261</v>
      </c>
      <c r="BV387" s="329"/>
      <c r="BW387" s="329"/>
      <c r="BX387" s="329"/>
      <c r="BY387" s="331" t="s">
        <v>2204</v>
      </c>
      <c r="BZ387" s="331" t="s">
        <v>2205</v>
      </c>
      <c r="CA387" s="331" t="s">
        <v>2206</v>
      </c>
      <c r="CB387" s="331" t="s">
        <v>344</v>
      </c>
      <c r="CC387" s="331" t="s">
        <v>854</v>
      </c>
    </row>
    <row r="388" spans="1:81" x14ac:dyDescent="0.25">
      <c r="A388" s="329">
        <v>197096</v>
      </c>
      <c r="B388" s="331" t="s">
        <v>2207</v>
      </c>
      <c r="C388" s="329">
        <v>34808</v>
      </c>
      <c r="D388" s="331" t="s">
        <v>2208</v>
      </c>
      <c r="E388" s="331" t="s">
        <v>2209</v>
      </c>
      <c r="F388" s="331" t="s">
        <v>2210</v>
      </c>
      <c r="G388" s="331" t="s">
        <v>2211</v>
      </c>
      <c r="H388" s="331" t="s">
        <v>2212</v>
      </c>
      <c r="I388" s="331" t="s">
        <v>2213</v>
      </c>
      <c r="J388" s="331" t="s">
        <v>298</v>
      </c>
      <c r="K388" s="331" t="s">
        <v>2214</v>
      </c>
      <c r="L388" s="329"/>
      <c r="M388" s="329">
        <v>6</v>
      </c>
      <c r="N388" s="329">
        <v>0</v>
      </c>
      <c r="O388" s="329">
        <v>2.9</v>
      </c>
      <c r="P388" s="329"/>
      <c r="Q388" s="333">
        <v>43712.597222222219</v>
      </c>
      <c r="R388" s="329"/>
      <c r="S388" s="333">
        <v>43749</v>
      </c>
      <c r="T388" s="329">
        <v>55</v>
      </c>
      <c r="U388" s="333">
        <v>43749</v>
      </c>
      <c r="V388" s="333">
        <v>44109</v>
      </c>
      <c r="W388" s="329" t="b">
        <v>1</v>
      </c>
      <c r="X388" s="331" t="s">
        <v>22</v>
      </c>
      <c r="Y388" s="329">
        <v>726</v>
      </c>
      <c r="Z388" s="331" t="s">
        <v>23</v>
      </c>
      <c r="AA388" s="331" t="s">
        <v>919</v>
      </c>
      <c r="AB388" s="331" t="s">
        <v>920</v>
      </c>
      <c r="AC388" s="331" t="s">
        <v>372</v>
      </c>
      <c r="AD388" s="331" t="s">
        <v>24</v>
      </c>
      <c r="AE388" s="329">
        <v>221</v>
      </c>
      <c r="AF388" s="331" t="s">
        <v>254</v>
      </c>
      <c r="AG388" s="329"/>
      <c r="AH388" s="329">
        <v>17</v>
      </c>
      <c r="AI388" s="331" t="s">
        <v>280</v>
      </c>
      <c r="AJ388" s="331" t="s">
        <v>281</v>
      </c>
      <c r="AK388" s="329"/>
      <c r="AL388" s="329"/>
      <c r="AM388" s="329"/>
      <c r="AN388" s="329"/>
      <c r="AO388" s="329"/>
      <c r="AP388" s="329"/>
      <c r="AQ388" s="329"/>
      <c r="AR388" s="329"/>
      <c r="AS388" s="329"/>
      <c r="AT388" s="329" t="s">
        <v>258</v>
      </c>
      <c r="AU388" s="329" t="s">
        <v>256</v>
      </c>
      <c r="AV388" s="331" t="s">
        <v>298</v>
      </c>
      <c r="AW388" s="329"/>
      <c r="AX388" s="329"/>
      <c r="AY388" s="329"/>
      <c r="AZ388" s="329"/>
      <c r="BA388" s="329"/>
      <c r="BB388" s="329"/>
      <c r="BC388" s="329"/>
      <c r="BD388" s="329"/>
      <c r="BE388" s="329"/>
      <c r="BF388" s="329"/>
      <c r="BG388" s="329"/>
      <c r="BH388" s="329"/>
      <c r="BI388" s="329"/>
      <c r="BJ388" s="329"/>
      <c r="BK388" s="329">
        <v>0</v>
      </c>
      <c r="BL388" s="329"/>
      <c r="BM388" s="331" t="s">
        <v>28</v>
      </c>
      <c r="BN388" s="329" t="s">
        <v>922</v>
      </c>
      <c r="BO388" s="333">
        <v>43753</v>
      </c>
      <c r="BP388" s="329"/>
      <c r="BQ388" s="329"/>
      <c r="BR388" s="329"/>
      <c r="BS388" s="329"/>
      <c r="BT388" s="329"/>
      <c r="BU388" s="331" t="s">
        <v>261</v>
      </c>
      <c r="BV388" s="329"/>
      <c r="BW388" s="329"/>
      <c r="BX388" s="329"/>
      <c r="BY388" s="331" t="s">
        <v>2215</v>
      </c>
      <c r="BZ388" s="331" t="s">
        <v>2216</v>
      </c>
      <c r="CA388" s="331" t="s">
        <v>2217</v>
      </c>
      <c r="CB388" s="331" t="s">
        <v>298</v>
      </c>
      <c r="CC388" s="331" t="s">
        <v>2218</v>
      </c>
    </row>
    <row r="389" spans="1:81" x14ac:dyDescent="0.25">
      <c r="A389" s="329">
        <v>196244</v>
      </c>
      <c r="B389" s="331" t="s">
        <v>2219</v>
      </c>
      <c r="C389" s="329">
        <v>34570</v>
      </c>
      <c r="D389" s="331" t="s">
        <v>2220</v>
      </c>
      <c r="E389" s="331" t="s">
        <v>182</v>
      </c>
      <c r="F389" s="331" t="s">
        <v>2221</v>
      </c>
      <c r="G389" s="331" t="s">
        <v>2222</v>
      </c>
      <c r="H389" s="331" t="s">
        <v>2223</v>
      </c>
      <c r="I389" s="331" t="s">
        <v>2224</v>
      </c>
      <c r="J389" s="331" t="s">
        <v>21</v>
      </c>
      <c r="K389" s="331" t="s">
        <v>2225</v>
      </c>
      <c r="L389" s="329"/>
      <c r="M389" s="329">
        <v>6</v>
      </c>
      <c r="N389" s="329">
        <v>0</v>
      </c>
      <c r="O389" s="329">
        <v>2.0190000000000001</v>
      </c>
      <c r="P389" s="329"/>
      <c r="Q389" s="333">
        <v>43698.618055555555</v>
      </c>
      <c r="R389" s="329"/>
      <c r="S389" s="333">
        <v>43749</v>
      </c>
      <c r="T389" s="329">
        <v>55</v>
      </c>
      <c r="U389" s="333">
        <v>43749</v>
      </c>
      <c r="V389" s="333">
        <v>44109</v>
      </c>
      <c r="W389" s="329" t="b">
        <v>1</v>
      </c>
      <c r="X389" s="331" t="s">
        <v>906</v>
      </c>
      <c r="Y389" s="329">
        <v>748</v>
      </c>
      <c r="Z389" s="331" t="s">
        <v>23</v>
      </c>
      <c r="AA389" s="331" t="s">
        <v>919</v>
      </c>
      <c r="AB389" s="331" t="s">
        <v>920</v>
      </c>
      <c r="AC389" s="331" t="s">
        <v>1031</v>
      </c>
      <c r="AD389" s="331" t="s">
        <v>24</v>
      </c>
      <c r="AE389" s="329">
        <v>221</v>
      </c>
      <c r="AF389" s="331" t="s">
        <v>254</v>
      </c>
      <c r="AG389" s="329"/>
      <c r="AH389" s="329">
        <v>17</v>
      </c>
      <c r="AI389" s="331" t="s">
        <v>280</v>
      </c>
      <c r="AJ389" s="331" t="s">
        <v>281</v>
      </c>
      <c r="AK389" s="331" t="s">
        <v>347</v>
      </c>
      <c r="AL389" s="331" t="s">
        <v>286</v>
      </c>
      <c r="AM389" s="331" t="s">
        <v>274</v>
      </c>
      <c r="AN389" s="331" t="s">
        <v>287</v>
      </c>
      <c r="AO389" s="331" t="s">
        <v>351</v>
      </c>
      <c r="AP389" s="329"/>
      <c r="AQ389" s="329"/>
      <c r="AR389" s="329"/>
      <c r="AS389" s="329"/>
      <c r="AT389" s="329" t="s">
        <v>258</v>
      </c>
      <c r="AU389" s="329" t="s">
        <v>283</v>
      </c>
      <c r="AV389" s="331" t="s">
        <v>21</v>
      </c>
      <c r="AW389" s="329"/>
      <c r="AX389" s="329"/>
      <c r="AY389" s="329"/>
      <c r="AZ389" s="329"/>
      <c r="BA389" s="329"/>
      <c r="BB389" s="329"/>
      <c r="BC389" s="329"/>
      <c r="BD389" s="329"/>
      <c r="BE389" s="329"/>
      <c r="BF389" s="329"/>
      <c r="BG389" s="329"/>
      <c r="BH389" s="329"/>
      <c r="BI389" s="329" t="s">
        <v>334</v>
      </c>
      <c r="BJ389" s="329" t="s">
        <v>831</v>
      </c>
      <c r="BK389" s="329">
        <v>36000</v>
      </c>
      <c r="BL389" s="329"/>
      <c r="BM389" s="331" t="s">
        <v>267</v>
      </c>
      <c r="BN389" s="329" t="s">
        <v>922</v>
      </c>
      <c r="BO389" s="333">
        <v>43753</v>
      </c>
      <c r="BP389" s="329"/>
      <c r="BQ389" s="329"/>
      <c r="BR389" s="329"/>
      <c r="BS389" s="329"/>
      <c r="BT389" s="329"/>
      <c r="BU389" s="331" t="s">
        <v>261</v>
      </c>
      <c r="BV389" s="329"/>
      <c r="BW389" s="329"/>
      <c r="BX389" s="329"/>
      <c r="BY389" s="331" t="s">
        <v>2226</v>
      </c>
      <c r="BZ389" s="331" t="s">
        <v>2227</v>
      </c>
      <c r="CA389" s="331" t="s">
        <v>2228</v>
      </c>
      <c r="CB389" s="331" t="s">
        <v>21</v>
      </c>
      <c r="CC389" s="331" t="s">
        <v>2229</v>
      </c>
    </row>
    <row r="390" spans="1:81" x14ac:dyDescent="0.25">
      <c r="A390" s="329">
        <v>195148</v>
      </c>
      <c r="B390" s="331" t="s">
        <v>2230</v>
      </c>
      <c r="C390" s="329">
        <v>34252</v>
      </c>
      <c r="D390" s="331" t="s">
        <v>571</v>
      </c>
      <c r="E390" s="331" t="s">
        <v>485</v>
      </c>
      <c r="F390" s="331" t="s">
        <v>2231</v>
      </c>
      <c r="G390" s="331" t="s">
        <v>2232</v>
      </c>
      <c r="H390" s="331" t="s">
        <v>2233</v>
      </c>
      <c r="I390" s="331" t="s">
        <v>495</v>
      </c>
      <c r="J390" s="331" t="s">
        <v>441</v>
      </c>
      <c r="K390" s="331" t="s">
        <v>2234</v>
      </c>
      <c r="L390" s="329"/>
      <c r="M390" s="329">
        <v>6</v>
      </c>
      <c r="N390" s="329">
        <v>0</v>
      </c>
      <c r="O390" s="329">
        <v>3.4569999999999999</v>
      </c>
      <c r="P390" s="329"/>
      <c r="Q390" s="333">
        <v>43649.774305555555</v>
      </c>
      <c r="R390" s="329"/>
      <c r="S390" s="333">
        <v>43752</v>
      </c>
      <c r="T390" s="329">
        <v>55</v>
      </c>
      <c r="U390" s="333">
        <v>43752</v>
      </c>
      <c r="V390" s="333">
        <v>44109</v>
      </c>
      <c r="W390" s="329" t="b">
        <v>1</v>
      </c>
      <c r="X390" s="331" t="s">
        <v>187</v>
      </c>
      <c r="Y390" s="329">
        <v>718</v>
      </c>
      <c r="Z390" s="331" t="s">
        <v>23</v>
      </c>
      <c r="AA390" s="331" t="s">
        <v>919</v>
      </c>
      <c r="AB390" s="331" t="s">
        <v>920</v>
      </c>
      <c r="AC390" s="331" t="s">
        <v>1670</v>
      </c>
      <c r="AD390" s="331" t="s">
        <v>24</v>
      </c>
      <c r="AE390" s="329">
        <v>221</v>
      </c>
      <c r="AF390" s="331" t="s">
        <v>254</v>
      </c>
      <c r="AG390" s="329"/>
      <c r="AH390" s="329">
        <v>17</v>
      </c>
      <c r="AI390" s="331" t="s">
        <v>280</v>
      </c>
      <c r="AJ390" s="331" t="s">
        <v>281</v>
      </c>
      <c r="AK390" s="331" t="s">
        <v>290</v>
      </c>
      <c r="AL390" s="331" t="s">
        <v>290</v>
      </c>
      <c r="AM390" s="331" t="s">
        <v>275</v>
      </c>
      <c r="AN390" s="331" t="s">
        <v>290</v>
      </c>
      <c r="AO390" s="331" t="s">
        <v>299</v>
      </c>
      <c r="AP390" s="329"/>
      <c r="AQ390" s="329"/>
      <c r="AR390" s="329"/>
      <c r="AS390" s="329"/>
      <c r="AT390" s="329" t="s">
        <v>353</v>
      </c>
      <c r="AU390" s="329" t="s">
        <v>283</v>
      </c>
      <c r="AV390" s="331" t="s">
        <v>441</v>
      </c>
      <c r="AW390" s="329"/>
      <c r="AX390" s="329"/>
      <c r="AY390" s="329"/>
      <c r="AZ390" s="329"/>
      <c r="BA390" s="329"/>
      <c r="BB390" s="329"/>
      <c r="BC390" s="329"/>
      <c r="BD390" s="329"/>
      <c r="BE390" s="329" t="s">
        <v>257</v>
      </c>
      <c r="BF390" s="329" t="s">
        <v>836</v>
      </c>
      <c r="BG390" s="329"/>
      <c r="BH390" s="329"/>
      <c r="BI390" s="329"/>
      <c r="BJ390" s="329"/>
      <c r="BK390" s="329">
        <v>18000</v>
      </c>
      <c r="BL390" s="329"/>
      <c r="BM390" s="331" t="s">
        <v>310</v>
      </c>
      <c r="BN390" s="329" t="s">
        <v>922</v>
      </c>
      <c r="BO390" s="333">
        <v>43753</v>
      </c>
      <c r="BP390" s="329"/>
      <c r="BQ390" s="329"/>
      <c r="BR390" s="329"/>
      <c r="BS390" s="329"/>
      <c r="BT390" s="329"/>
      <c r="BU390" s="331" t="s">
        <v>261</v>
      </c>
      <c r="BV390" s="329"/>
      <c r="BW390" s="329"/>
      <c r="BX390" s="329"/>
      <c r="BY390" s="331" t="s">
        <v>2235</v>
      </c>
      <c r="BZ390" s="331" t="s">
        <v>2236</v>
      </c>
      <c r="CA390" s="331" t="s">
        <v>2237</v>
      </c>
      <c r="CB390" s="331" t="s">
        <v>441</v>
      </c>
      <c r="CC390" s="331" t="s">
        <v>2238</v>
      </c>
    </row>
    <row r="391" spans="1:81" x14ac:dyDescent="0.25">
      <c r="A391" s="329">
        <v>197866</v>
      </c>
      <c r="B391" s="331" t="s">
        <v>2239</v>
      </c>
      <c r="C391" s="329">
        <v>35022</v>
      </c>
      <c r="D391" s="331" t="s">
        <v>2240</v>
      </c>
      <c r="E391" s="331" t="s">
        <v>387</v>
      </c>
      <c r="F391" s="331" t="s">
        <v>2241</v>
      </c>
      <c r="G391" s="331" t="s">
        <v>2242</v>
      </c>
      <c r="H391" s="331" t="s">
        <v>2243</v>
      </c>
      <c r="I391" s="331" t="s">
        <v>2244</v>
      </c>
      <c r="J391" s="331" t="s">
        <v>298</v>
      </c>
      <c r="K391" s="331" t="s">
        <v>2245</v>
      </c>
      <c r="L391" s="329"/>
      <c r="M391" s="329">
        <v>6</v>
      </c>
      <c r="N391" s="329">
        <v>0</v>
      </c>
      <c r="O391" s="329">
        <v>3.7</v>
      </c>
      <c r="P391" s="329"/>
      <c r="Q391" s="333">
        <v>43718.548611111109</v>
      </c>
      <c r="R391" s="329"/>
      <c r="S391" s="333">
        <v>43752</v>
      </c>
      <c r="T391" s="329">
        <v>55</v>
      </c>
      <c r="U391" s="333">
        <v>43752</v>
      </c>
      <c r="V391" s="333">
        <v>44109</v>
      </c>
      <c r="W391" s="329" t="b">
        <v>1</v>
      </c>
      <c r="X391" s="331" t="s">
        <v>905</v>
      </c>
      <c r="Y391" s="329">
        <v>747</v>
      </c>
      <c r="Z391" s="331" t="s">
        <v>23</v>
      </c>
      <c r="AA391" s="331" t="s">
        <v>919</v>
      </c>
      <c r="AB391" s="331" t="s">
        <v>920</v>
      </c>
      <c r="AC391" s="331" t="s">
        <v>1446</v>
      </c>
      <c r="AD391" s="331" t="s">
        <v>24</v>
      </c>
      <c r="AE391" s="329">
        <v>221</v>
      </c>
      <c r="AF391" s="331" t="s">
        <v>254</v>
      </c>
      <c r="AG391" s="329"/>
      <c r="AH391" s="329">
        <v>17</v>
      </c>
      <c r="AI391" s="331" t="s">
        <v>280</v>
      </c>
      <c r="AJ391" s="331" t="s">
        <v>281</v>
      </c>
      <c r="AK391" s="331" t="s">
        <v>275</v>
      </c>
      <c r="AL391" s="331" t="s">
        <v>290</v>
      </c>
      <c r="AM391" s="331" t="s">
        <v>272</v>
      </c>
      <c r="AN391" s="331" t="s">
        <v>274</v>
      </c>
      <c r="AO391" s="331" t="s">
        <v>290</v>
      </c>
      <c r="AP391" s="331" t="s">
        <v>282</v>
      </c>
      <c r="AQ391" s="329">
        <v>660</v>
      </c>
      <c r="AR391" s="329">
        <v>540</v>
      </c>
      <c r="AS391" s="329"/>
      <c r="AT391" s="329" t="s">
        <v>312</v>
      </c>
      <c r="AU391" s="329" t="s">
        <v>256</v>
      </c>
      <c r="AV391" s="331" t="s">
        <v>298</v>
      </c>
      <c r="AW391" s="329"/>
      <c r="AX391" s="329"/>
      <c r="AY391" s="329"/>
      <c r="AZ391" s="329"/>
      <c r="BA391" s="329"/>
      <c r="BB391" s="329"/>
      <c r="BC391" s="329"/>
      <c r="BD391" s="329"/>
      <c r="BE391" s="329" t="s">
        <v>257</v>
      </c>
      <c r="BF391" s="329" t="s">
        <v>834</v>
      </c>
      <c r="BG391" s="329"/>
      <c r="BH391" s="329"/>
      <c r="BI391" s="329"/>
      <c r="BJ391" s="329"/>
      <c r="BK391" s="329">
        <v>20400</v>
      </c>
      <c r="BL391" s="329"/>
      <c r="BM391" s="331" t="s">
        <v>278</v>
      </c>
      <c r="BN391" s="329" t="s">
        <v>922</v>
      </c>
      <c r="BO391" s="333">
        <v>43753</v>
      </c>
      <c r="BP391" s="329"/>
      <c r="BQ391" s="329"/>
      <c r="BR391" s="329"/>
      <c r="BS391" s="329"/>
      <c r="BT391" s="329"/>
      <c r="BU391" s="331" t="s">
        <v>261</v>
      </c>
      <c r="BV391" s="329"/>
      <c r="BW391" s="329"/>
      <c r="BX391" s="329"/>
      <c r="BY391" s="331" t="s">
        <v>2246</v>
      </c>
      <c r="BZ391" s="331" t="s">
        <v>2247</v>
      </c>
      <c r="CA391" s="331" t="s">
        <v>2244</v>
      </c>
      <c r="CB391" s="331" t="s">
        <v>298</v>
      </c>
      <c r="CC391" s="331" t="s">
        <v>2245</v>
      </c>
    </row>
    <row r="392" spans="1:81" x14ac:dyDescent="0.25">
      <c r="A392" s="329">
        <v>196140</v>
      </c>
      <c r="B392" s="331" t="s">
        <v>2248</v>
      </c>
      <c r="C392" s="329">
        <v>34514</v>
      </c>
      <c r="D392" s="331" t="s">
        <v>2249</v>
      </c>
      <c r="E392" s="331" t="s">
        <v>451</v>
      </c>
      <c r="F392" s="331" t="s">
        <v>2250</v>
      </c>
      <c r="G392" s="331" t="s">
        <v>2251</v>
      </c>
      <c r="H392" s="331" t="s">
        <v>2252</v>
      </c>
      <c r="I392" s="331" t="s">
        <v>2253</v>
      </c>
      <c r="J392" s="331" t="s">
        <v>397</v>
      </c>
      <c r="K392" s="331" t="s">
        <v>2254</v>
      </c>
      <c r="L392" s="329"/>
      <c r="M392" s="329">
        <v>6</v>
      </c>
      <c r="N392" s="329">
        <v>0</v>
      </c>
      <c r="O392" s="329">
        <v>2.6429999999999998</v>
      </c>
      <c r="P392" s="329"/>
      <c r="Q392" s="333">
        <v>43647.75</v>
      </c>
      <c r="R392" s="329"/>
      <c r="S392" s="333">
        <v>43752</v>
      </c>
      <c r="T392" s="329">
        <v>55</v>
      </c>
      <c r="U392" s="333">
        <v>43752</v>
      </c>
      <c r="V392" s="333">
        <v>44109</v>
      </c>
      <c r="W392" s="329" t="b">
        <v>1</v>
      </c>
      <c r="X392" s="331" t="s">
        <v>22</v>
      </c>
      <c r="Y392" s="329">
        <v>429</v>
      </c>
      <c r="Z392" s="331" t="s">
        <v>23</v>
      </c>
      <c r="AA392" s="331" t="s">
        <v>919</v>
      </c>
      <c r="AB392" s="331" t="s">
        <v>920</v>
      </c>
      <c r="AC392" s="331" t="s">
        <v>1276</v>
      </c>
      <c r="AD392" s="331" t="s">
        <v>24</v>
      </c>
      <c r="AE392" s="329">
        <v>221</v>
      </c>
      <c r="AF392" s="331" t="s">
        <v>254</v>
      </c>
      <c r="AG392" s="329"/>
      <c r="AH392" s="329">
        <v>17</v>
      </c>
      <c r="AI392" s="331" t="s">
        <v>280</v>
      </c>
      <c r="AJ392" s="331" t="s">
        <v>281</v>
      </c>
      <c r="AK392" s="331" t="s">
        <v>328</v>
      </c>
      <c r="AL392" s="331" t="s">
        <v>386</v>
      </c>
      <c r="AM392" s="331" t="s">
        <v>331</v>
      </c>
      <c r="AN392" s="331" t="s">
        <v>386</v>
      </c>
      <c r="AO392" s="331" t="s">
        <v>301</v>
      </c>
      <c r="AP392" s="329"/>
      <c r="AQ392" s="329"/>
      <c r="AR392" s="329"/>
      <c r="AS392" s="329"/>
      <c r="AT392" s="329" t="s">
        <v>839</v>
      </c>
      <c r="AU392" s="329" t="s">
        <v>567</v>
      </c>
      <c r="AV392" s="331" t="s">
        <v>397</v>
      </c>
      <c r="AW392" s="329"/>
      <c r="AX392" s="329"/>
      <c r="AY392" s="329"/>
      <c r="AZ392" s="329"/>
      <c r="BA392" s="329"/>
      <c r="BB392" s="329"/>
      <c r="BC392" s="329"/>
      <c r="BD392" s="329"/>
      <c r="BE392" s="329"/>
      <c r="BF392" s="329"/>
      <c r="BG392" s="329"/>
      <c r="BH392" s="329"/>
      <c r="BI392" s="329"/>
      <c r="BJ392" s="329"/>
      <c r="BK392" s="329">
        <v>0</v>
      </c>
      <c r="BL392" s="329"/>
      <c r="BM392" s="331" t="s">
        <v>28</v>
      </c>
      <c r="BN392" s="329" t="s">
        <v>922</v>
      </c>
      <c r="BO392" s="333">
        <v>43753</v>
      </c>
      <c r="BP392" s="329"/>
      <c r="BQ392" s="329"/>
      <c r="BR392" s="329"/>
      <c r="BS392" s="329"/>
      <c r="BT392" s="329"/>
      <c r="BU392" s="331" t="s">
        <v>261</v>
      </c>
      <c r="BV392" s="329"/>
      <c r="BW392" s="329"/>
      <c r="BX392" s="329"/>
      <c r="BY392" s="331" t="s">
        <v>2255</v>
      </c>
      <c r="BZ392" s="331" t="s">
        <v>2256</v>
      </c>
      <c r="CA392" s="331" t="s">
        <v>2257</v>
      </c>
      <c r="CB392" s="331" t="s">
        <v>397</v>
      </c>
      <c r="CC392" s="331" t="s">
        <v>2258</v>
      </c>
    </row>
    <row r="393" spans="1:81" x14ac:dyDescent="0.25">
      <c r="A393" s="329">
        <v>197977</v>
      </c>
      <c r="B393" s="331" t="s">
        <v>2259</v>
      </c>
      <c r="C393" s="329">
        <v>35050</v>
      </c>
      <c r="D393" s="331" t="s">
        <v>2260</v>
      </c>
      <c r="E393" s="331" t="s">
        <v>503</v>
      </c>
      <c r="F393" s="331" t="s">
        <v>2261</v>
      </c>
      <c r="G393" s="331" t="s">
        <v>2262</v>
      </c>
      <c r="H393" s="331" t="s">
        <v>2263</v>
      </c>
      <c r="I393" s="331" t="s">
        <v>2264</v>
      </c>
      <c r="J393" s="331" t="s">
        <v>297</v>
      </c>
      <c r="K393" s="331" t="s">
        <v>2265</v>
      </c>
      <c r="L393" s="329"/>
      <c r="M393" s="329">
        <v>6</v>
      </c>
      <c r="N393" s="329">
        <v>0</v>
      </c>
      <c r="O393" s="329">
        <v>2.8180000000000001</v>
      </c>
      <c r="P393" s="329"/>
      <c r="Q393" s="333">
        <v>43600.423611111109</v>
      </c>
      <c r="R393" s="329"/>
      <c r="S393" s="333">
        <v>43752</v>
      </c>
      <c r="T393" s="329">
        <v>55</v>
      </c>
      <c r="U393" s="333">
        <v>43752</v>
      </c>
      <c r="V393" s="333">
        <v>44109</v>
      </c>
      <c r="W393" s="329" t="b">
        <v>1</v>
      </c>
      <c r="X393" s="331" t="s">
        <v>22</v>
      </c>
      <c r="Y393" s="329">
        <v>726</v>
      </c>
      <c r="Z393" s="331" t="s">
        <v>23</v>
      </c>
      <c r="AA393" s="331" t="s">
        <v>919</v>
      </c>
      <c r="AB393" s="331" t="s">
        <v>920</v>
      </c>
      <c r="AC393" s="331" t="s">
        <v>1264</v>
      </c>
      <c r="AD393" s="331" t="s">
        <v>24</v>
      </c>
      <c r="AE393" s="329">
        <v>221</v>
      </c>
      <c r="AF393" s="331" t="s">
        <v>254</v>
      </c>
      <c r="AG393" s="329"/>
      <c r="AH393" s="329">
        <v>17</v>
      </c>
      <c r="AI393" s="331" t="s">
        <v>280</v>
      </c>
      <c r="AJ393" s="331" t="s">
        <v>281</v>
      </c>
      <c r="AK393" s="331" t="s">
        <v>290</v>
      </c>
      <c r="AL393" s="331" t="s">
        <v>331</v>
      </c>
      <c r="AM393" s="331" t="s">
        <v>300</v>
      </c>
      <c r="AN393" s="331" t="s">
        <v>301</v>
      </c>
      <c r="AO393" s="331" t="s">
        <v>289</v>
      </c>
      <c r="AP393" s="329"/>
      <c r="AQ393" s="329"/>
      <c r="AR393" s="329"/>
      <c r="AS393" s="329"/>
      <c r="AT393" s="329" t="s">
        <v>266</v>
      </c>
      <c r="AU393" s="329" t="s">
        <v>283</v>
      </c>
      <c r="AV393" s="331" t="s">
        <v>297</v>
      </c>
      <c r="AW393" s="329"/>
      <c r="AX393" s="329"/>
      <c r="AY393" s="329"/>
      <c r="AZ393" s="329"/>
      <c r="BA393" s="329"/>
      <c r="BB393" s="329"/>
      <c r="BC393" s="329"/>
      <c r="BD393" s="329"/>
      <c r="BE393" s="329" t="s">
        <v>257</v>
      </c>
      <c r="BF393" s="329" t="s">
        <v>841</v>
      </c>
      <c r="BG393" s="329"/>
      <c r="BH393" s="329"/>
      <c r="BI393" s="329"/>
      <c r="BJ393" s="329"/>
      <c r="BK393" s="329">
        <v>9000</v>
      </c>
      <c r="BL393" s="329"/>
      <c r="BM393" s="331" t="s">
        <v>189</v>
      </c>
      <c r="BN393" s="329" t="s">
        <v>922</v>
      </c>
      <c r="BO393" s="333">
        <v>43753</v>
      </c>
      <c r="BP393" s="329"/>
      <c r="BQ393" s="329"/>
      <c r="BR393" s="329"/>
      <c r="BS393" s="329"/>
      <c r="BT393" s="329"/>
      <c r="BU393" s="331" t="s">
        <v>261</v>
      </c>
      <c r="BV393" s="329"/>
      <c r="BW393" s="329"/>
      <c r="BX393" s="329"/>
      <c r="BY393" s="331" t="s">
        <v>2266</v>
      </c>
      <c r="BZ393" s="331" t="s">
        <v>2267</v>
      </c>
      <c r="CA393" s="331" t="s">
        <v>2268</v>
      </c>
      <c r="CB393" s="331" t="s">
        <v>297</v>
      </c>
      <c r="CC393" s="331" t="s">
        <v>2269</v>
      </c>
    </row>
    <row r="394" spans="1:81" x14ac:dyDescent="0.25">
      <c r="A394" s="329">
        <v>195706</v>
      </c>
      <c r="B394" s="331" t="s">
        <v>2270</v>
      </c>
      <c r="C394" s="329">
        <v>34387</v>
      </c>
      <c r="D394" s="331" t="s">
        <v>871</v>
      </c>
      <c r="E394" s="331" t="s">
        <v>2271</v>
      </c>
      <c r="F394" s="331" t="s">
        <v>2272</v>
      </c>
      <c r="G394" s="331" t="s">
        <v>2273</v>
      </c>
      <c r="H394" s="331" t="s">
        <v>2274</v>
      </c>
      <c r="I394" s="331" t="s">
        <v>381</v>
      </c>
      <c r="J394" s="331" t="s">
        <v>292</v>
      </c>
      <c r="K394" s="331" t="s">
        <v>2275</v>
      </c>
      <c r="L394" s="329"/>
      <c r="M394" s="329">
        <v>6</v>
      </c>
      <c r="N394" s="329">
        <v>0</v>
      </c>
      <c r="O394" s="329">
        <v>3.07</v>
      </c>
      <c r="P394" s="329"/>
      <c r="Q394" s="333">
        <v>43603.55972222222</v>
      </c>
      <c r="R394" s="329"/>
      <c r="S394" s="333">
        <v>43752</v>
      </c>
      <c r="T394" s="329">
        <v>55</v>
      </c>
      <c r="U394" s="333">
        <v>43752</v>
      </c>
      <c r="V394" s="333">
        <v>44109</v>
      </c>
      <c r="W394" s="329" t="b">
        <v>1</v>
      </c>
      <c r="X394" s="331" t="s">
        <v>22</v>
      </c>
      <c r="Y394" s="329">
        <v>429</v>
      </c>
      <c r="Z394" s="331" t="s">
        <v>23</v>
      </c>
      <c r="AA394" s="331" t="s">
        <v>919</v>
      </c>
      <c r="AB394" s="331" t="s">
        <v>920</v>
      </c>
      <c r="AC394" s="331" t="s">
        <v>311</v>
      </c>
      <c r="AD394" s="331" t="s">
        <v>24</v>
      </c>
      <c r="AE394" s="329">
        <v>221</v>
      </c>
      <c r="AF394" s="331" t="s">
        <v>254</v>
      </c>
      <c r="AG394" s="329"/>
      <c r="AH394" s="329">
        <v>17</v>
      </c>
      <c r="AI394" s="331" t="s">
        <v>280</v>
      </c>
      <c r="AJ394" s="331" t="s">
        <v>281</v>
      </c>
      <c r="AK394" s="329"/>
      <c r="AL394" s="329"/>
      <c r="AM394" s="329"/>
      <c r="AN394" s="329"/>
      <c r="AO394" s="329"/>
      <c r="AP394" s="331" t="s">
        <v>308</v>
      </c>
      <c r="AQ394" s="329">
        <v>560</v>
      </c>
      <c r="AR394" s="329">
        <v>610</v>
      </c>
      <c r="AS394" s="329"/>
      <c r="AT394" s="329" t="s">
        <v>309</v>
      </c>
      <c r="AU394" s="329" t="s">
        <v>256</v>
      </c>
      <c r="AV394" s="331" t="s">
        <v>292</v>
      </c>
      <c r="AW394" s="329"/>
      <c r="AX394" s="329"/>
      <c r="AY394" s="329"/>
      <c r="AZ394" s="329"/>
      <c r="BA394" s="329"/>
      <c r="BB394" s="329"/>
      <c r="BC394" s="329"/>
      <c r="BD394" s="329"/>
      <c r="BE394" s="329" t="s">
        <v>257</v>
      </c>
      <c r="BF394" s="329" t="s">
        <v>836</v>
      </c>
      <c r="BG394" s="329"/>
      <c r="BH394" s="329"/>
      <c r="BI394" s="329"/>
      <c r="BJ394" s="329"/>
      <c r="BK394" s="329">
        <v>18000</v>
      </c>
      <c r="BL394" s="329"/>
      <c r="BM394" s="331" t="s">
        <v>310</v>
      </c>
      <c r="BN394" s="329" t="s">
        <v>922</v>
      </c>
      <c r="BO394" s="333">
        <v>43753</v>
      </c>
      <c r="BP394" s="329"/>
      <c r="BQ394" s="329"/>
      <c r="BR394" s="329"/>
      <c r="BS394" s="329"/>
      <c r="BT394" s="329"/>
      <c r="BU394" s="331" t="s">
        <v>261</v>
      </c>
      <c r="BV394" s="329"/>
      <c r="BW394" s="329"/>
      <c r="BX394" s="329"/>
      <c r="BY394" s="331" t="s">
        <v>2276</v>
      </c>
      <c r="BZ394" s="331" t="s">
        <v>2277</v>
      </c>
      <c r="CA394" s="331" t="s">
        <v>383</v>
      </c>
      <c r="CB394" s="331" t="s">
        <v>292</v>
      </c>
      <c r="CC394" s="331" t="s">
        <v>2278</v>
      </c>
    </row>
    <row r="395" spans="1:81" x14ac:dyDescent="0.25">
      <c r="A395" s="329">
        <v>197649</v>
      </c>
      <c r="B395" s="331" t="s">
        <v>2279</v>
      </c>
      <c r="C395" s="329">
        <v>34939</v>
      </c>
      <c r="D395" s="331" t="s">
        <v>748</v>
      </c>
      <c r="E395" s="331" t="s">
        <v>314</v>
      </c>
      <c r="F395" s="331" t="s">
        <v>2280</v>
      </c>
      <c r="G395" s="331" t="s">
        <v>2281</v>
      </c>
      <c r="H395" s="331" t="s">
        <v>2282</v>
      </c>
      <c r="I395" s="331" t="s">
        <v>2283</v>
      </c>
      <c r="J395" s="331" t="s">
        <v>392</v>
      </c>
      <c r="K395" s="331" t="s">
        <v>2284</v>
      </c>
      <c r="L395" s="329"/>
      <c r="M395" s="329">
        <v>6</v>
      </c>
      <c r="N395" s="329">
        <v>0</v>
      </c>
      <c r="O395" s="329">
        <v>3.4</v>
      </c>
      <c r="P395" s="329"/>
      <c r="Q395" s="333">
        <v>43721.79583333333</v>
      </c>
      <c r="R395" s="329"/>
      <c r="S395" s="333">
        <v>43752</v>
      </c>
      <c r="T395" s="329">
        <v>55</v>
      </c>
      <c r="U395" s="333">
        <v>43752</v>
      </c>
      <c r="V395" s="333">
        <v>44109</v>
      </c>
      <c r="W395" s="329" t="b">
        <v>1</v>
      </c>
      <c r="X395" s="331" t="s">
        <v>905</v>
      </c>
      <c r="Y395" s="329">
        <v>747</v>
      </c>
      <c r="Z395" s="331" t="s">
        <v>23</v>
      </c>
      <c r="AA395" s="331" t="s">
        <v>919</v>
      </c>
      <c r="AB395" s="331" t="s">
        <v>920</v>
      </c>
      <c r="AC395" s="331" t="s">
        <v>264</v>
      </c>
      <c r="AD395" s="331" t="s">
        <v>24</v>
      </c>
      <c r="AE395" s="329">
        <v>221</v>
      </c>
      <c r="AF395" s="331" t="s">
        <v>254</v>
      </c>
      <c r="AG395" s="329"/>
      <c r="AH395" s="329">
        <v>17</v>
      </c>
      <c r="AI395" s="331" t="s">
        <v>280</v>
      </c>
      <c r="AJ395" s="331" t="s">
        <v>281</v>
      </c>
      <c r="AK395" s="329"/>
      <c r="AL395" s="329"/>
      <c r="AM395" s="329"/>
      <c r="AN395" s="329"/>
      <c r="AO395" s="329"/>
      <c r="AP395" s="331" t="s">
        <v>340</v>
      </c>
      <c r="AQ395" s="329">
        <v>590</v>
      </c>
      <c r="AR395" s="329">
        <v>560</v>
      </c>
      <c r="AS395" s="329"/>
      <c r="AT395" s="329" t="s">
        <v>355</v>
      </c>
      <c r="AU395" s="329" t="s">
        <v>283</v>
      </c>
      <c r="AV395" s="331" t="s">
        <v>392</v>
      </c>
      <c r="AW395" s="329"/>
      <c r="AX395" s="329"/>
      <c r="AY395" s="329"/>
      <c r="AZ395" s="329"/>
      <c r="BA395" s="329"/>
      <c r="BB395" s="329"/>
      <c r="BC395" s="329"/>
      <c r="BD395" s="329"/>
      <c r="BE395" s="329" t="s">
        <v>257</v>
      </c>
      <c r="BF395" s="329" t="s">
        <v>837</v>
      </c>
      <c r="BG395" s="329"/>
      <c r="BH395" s="329"/>
      <c r="BI395" s="329"/>
      <c r="BJ395" s="329"/>
      <c r="BK395" s="329">
        <v>15000</v>
      </c>
      <c r="BL395" s="329"/>
      <c r="BM395" s="331" t="s">
        <v>295</v>
      </c>
      <c r="BN395" s="329" t="s">
        <v>922</v>
      </c>
      <c r="BO395" s="333">
        <v>43753</v>
      </c>
      <c r="BP395" s="329"/>
      <c r="BQ395" s="329"/>
      <c r="BR395" s="329"/>
      <c r="BS395" s="329"/>
      <c r="BT395" s="329"/>
      <c r="BU395" s="331" t="s">
        <v>261</v>
      </c>
      <c r="BV395" s="329"/>
      <c r="BW395" s="329"/>
      <c r="BX395" s="329"/>
      <c r="BY395" s="331" t="s">
        <v>2285</v>
      </c>
      <c r="BZ395" s="331" t="s">
        <v>2286</v>
      </c>
      <c r="CA395" s="331" t="s">
        <v>2287</v>
      </c>
      <c r="CB395" s="331" t="s">
        <v>392</v>
      </c>
      <c r="CC395" s="331" t="s">
        <v>2284</v>
      </c>
    </row>
    <row r="396" spans="1:81" x14ac:dyDescent="0.25">
      <c r="A396" s="329">
        <v>193634</v>
      </c>
      <c r="B396" s="331" t="s">
        <v>2288</v>
      </c>
      <c r="C396" s="329">
        <v>33918</v>
      </c>
      <c r="D396" s="331" t="s">
        <v>2289</v>
      </c>
      <c r="E396" s="331" t="s">
        <v>438</v>
      </c>
      <c r="F396" s="331" t="s">
        <v>2290</v>
      </c>
      <c r="G396" s="331" t="s">
        <v>2291</v>
      </c>
      <c r="H396" s="331" t="s">
        <v>4330</v>
      </c>
      <c r="I396" s="331" t="s">
        <v>4331</v>
      </c>
      <c r="J396" s="331" t="s">
        <v>292</v>
      </c>
      <c r="K396" s="331" t="s">
        <v>2292</v>
      </c>
      <c r="L396" s="329"/>
      <c r="M396" s="329">
        <v>6</v>
      </c>
      <c r="N396" s="329">
        <v>0</v>
      </c>
      <c r="O396" s="329">
        <v>2.9037999999999999</v>
      </c>
      <c r="P396" s="329"/>
      <c r="Q396" s="333">
        <v>43628.673611111109</v>
      </c>
      <c r="R396" s="329"/>
      <c r="S396" s="333">
        <v>43752</v>
      </c>
      <c r="T396" s="329">
        <v>55</v>
      </c>
      <c r="U396" s="333">
        <v>43752</v>
      </c>
      <c r="V396" s="333">
        <v>44109</v>
      </c>
      <c r="W396" s="329" t="b">
        <v>1</v>
      </c>
      <c r="X396" s="331" t="s">
        <v>22</v>
      </c>
      <c r="Y396" s="329">
        <v>726</v>
      </c>
      <c r="Z396" s="331" t="s">
        <v>23</v>
      </c>
      <c r="AA396" s="331" t="s">
        <v>919</v>
      </c>
      <c r="AB396" s="331" t="s">
        <v>920</v>
      </c>
      <c r="AC396" s="331" t="s">
        <v>1011</v>
      </c>
      <c r="AD396" s="331" t="s">
        <v>24</v>
      </c>
      <c r="AE396" s="329">
        <v>221</v>
      </c>
      <c r="AF396" s="331" t="s">
        <v>254</v>
      </c>
      <c r="AG396" s="329"/>
      <c r="AH396" s="329">
        <v>17</v>
      </c>
      <c r="AI396" s="331" t="s">
        <v>280</v>
      </c>
      <c r="AJ396" s="331" t="s">
        <v>281</v>
      </c>
      <c r="AK396" s="329"/>
      <c r="AL396" s="329"/>
      <c r="AM396" s="329"/>
      <c r="AN396" s="329"/>
      <c r="AO396" s="329"/>
      <c r="AP396" s="331" t="s">
        <v>473</v>
      </c>
      <c r="AQ396" s="329">
        <v>530</v>
      </c>
      <c r="AR396" s="329">
        <v>510</v>
      </c>
      <c r="AS396" s="329"/>
      <c r="AT396" s="329" t="s">
        <v>5759</v>
      </c>
      <c r="AU396" s="329" t="s">
        <v>256</v>
      </c>
      <c r="AV396" s="331" t="s">
        <v>292</v>
      </c>
      <c r="AW396" s="329"/>
      <c r="AX396" s="329"/>
      <c r="AY396" s="329"/>
      <c r="AZ396" s="329"/>
      <c r="BA396" s="329"/>
      <c r="BB396" s="329"/>
      <c r="BC396" s="329"/>
      <c r="BD396" s="329"/>
      <c r="BE396" s="329" t="s">
        <v>257</v>
      </c>
      <c r="BF396" s="329" t="s">
        <v>841</v>
      </c>
      <c r="BG396" s="329"/>
      <c r="BH396" s="329"/>
      <c r="BI396" s="329"/>
      <c r="BJ396" s="329"/>
      <c r="BK396" s="329">
        <v>9000</v>
      </c>
      <c r="BL396" s="329"/>
      <c r="BM396" s="331" t="s">
        <v>189</v>
      </c>
      <c r="BN396" s="329" t="s">
        <v>922</v>
      </c>
      <c r="BO396" s="333">
        <v>43753</v>
      </c>
      <c r="BP396" s="329"/>
      <c r="BQ396" s="329"/>
      <c r="BR396" s="329"/>
      <c r="BS396" s="329"/>
      <c r="BT396" s="329"/>
      <c r="BU396" s="331" t="s">
        <v>261</v>
      </c>
      <c r="BV396" s="329"/>
      <c r="BW396" s="329"/>
      <c r="BX396" s="329"/>
      <c r="BY396" s="331" t="s">
        <v>2293</v>
      </c>
      <c r="BZ396" s="331" t="s">
        <v>2294</v>
      </c>
      <c r="CA396" s="331" t="s">
        <v>2295</v>
      </c>
      <c r="CB396" s="331" t="s">
        <v>292</v>
      </c>
      <c r="CC396" s="331" t="s">
        <v>2296</v>
      </c>
    </row>
    <row r="397" spans="1:81" x14ac:dyDescent="0.25">
      <c r="A397" s="329">
        <v>191833</v>
      </c>
      <c r="B397" s="331" t="s">
        <v>2297</v>
      </c>
      <c r="C397" s="329">
        <v>33549</v>
      </c>
      <c r="D397" s="331" t="s">
        <v>2298</v>
      </c>
      <c r="E397" s="331" t="s">
        <v>506</v>
      </c>
      <c r="F397" s="331" t="s">
        <v>2299</v>
      </c>
      <c r="G397" s="331" t="s">
        <v>2300</v>
      </c>
      <c r="H397" s="331" t="s">
        <v>2301</v>
      </c>
      <c r="I397" s="331" t="s">
        <v>2302</v>
      </c>
      <c r="J397" s="331" t="s">
        <v>396</v>
      </c>
      <c r="K397" s="331" t="s">
        <v>2303</v>
      </c>
      <c r="L397" s="329"/>
      <c r="M397" s="329">
        <v>6</v>
      </c>
      <c r="N397" s="329">
        <v>0</v>
      </c>
      <c r="O397" s="329">
        <v>3.6240000000000001</v>
      </c>
      <c r="P397" s="329"/>
      <c r="Q397" s="333">
        <v>43584.785416666666</v>
      </c>
      <c r="R397" s="329"/>
      <c r="S397" s="333">
        <v>43752</v>
      </c>
      <c r="T397" s="329">
        <v>55</v>
      </c>
      <c r="U397" s="333">
        <v>43752</v>
      </c>
      <c r="V397" s="333">
        <v>44109</v>
      </c>
      <c r="W397" s="329" t="b">
        <v>1</v>
      </c>
      <c r="X397" s="331" t="s">
        <v>187</v>
      </c>
      <c r="Y397" s="329">
        <v>718</v>
      </c>
      <c r="Z397" s="331" t="s">
        <v>23</v>
      </c>
      <c r="AA397" s="331" t="s">
        <v>919</v>
      </c>
      <c r="AB397" s="331" t="s">
        <v>920</v>
      </c>
      <c r="AC397" s="331" t="s">
        <v>271</v>
      </c>
      <c r="AD397" s="331" t="s">
        <v>24</v>
      </c>
      <c r="AE397" s="329">
        <v>221</v>
      </c>
      <c r="AF397" s="331" t="s">
        <v>254</v>
      </c>
      <c r="AG397" s="329"/>
      <c r="AH397" s="329">
        <v>17</v>
      </c>
      <c r="AI397" s="331" t="s">
        <v>280</v>
      </c>
      <c r="AJ397" s="331" t="s">
        <v>281</v>
      </c>
      <c r="AK397" s="331" t="s">
        <v>300</v>
      </c>
      <c r="AL397" s="331" t="s">
        <v>328</v>
      </c>
      <c r="AM397" s="331" t="s">
        <v>289</v>
      </c>
      <c r="AN397" s="331" t="s">
        <v>274</v>
      </c>
      <c r="AO397" s="331" t="s">
        <v>300</v>
      </c>
      <c r="AP397" s="329"/>
      <c r="AQ397" s="329"/>
      <c r="AR397" s="329"/>
      <c r="AS397" s="329"/>
      <c r="AT397" s="329" t="s">
        <v>338</v>
      </c>
      <c r="AU397" s="329" t="s">
        <v>256</v>
      </c>
      <c r="AV397" s="331" t="s">
        <v>396</v>
      </c>
      <c r="AW397" s="329"/>
      <c r="AX397" s="329"/>
      <c r="AY397" s="329"/>
      <c r="AZ397" s="329"/>
      <c r="BA397" s="329"/>
      <c r="BB397" s="329"/>
      <c r="BC397" s="329"/>
      <c r="BD397" s="329"/>
      <c r="BE397" s="329" t="s">
        <v>257</v>
      </c>
      <c r="BF397" s="329" t="s">
        <v>836</v>
      </c>
      <c r="BG397" s="329"/>
      <c r="BH397" s="329" t="s">
        <v>258</v>
      </c>
      <c r="BI397" s="329"/>
      <c r="BJ397" s="329"/>
      <c r="BK397" s="329">
        <v>18000</v>
      </c>
      <c r="BL397" s="329"/>
      <c r="BM397" s="331" t="s">
        <v>310</v>
      </c>
      <c r="BN397" s="329" t="s">
        <v>922</v>
      </c>
      <c r="BO397" s="333">
        <v>43753</v>
      </c>
      <c r="BP397" s="329"/>
      <c r="BQ397" s="329"/>
      <c r="BR397" s="329"/>
      <c r="BS397" s="329"/>
      <c r="BT397" s="329"/>
      <c r="BU397" s="331" t="s">
        <v>261</v>
      </c>
      <c r="BV397" s="329"/>
      <c r="BW397" s="329"/>
      <c r="BX397" s="329"/>
      <c r="BY397" s="331" t="s">
        <v>2304</v>
      </c>
      <c r="BZ397" s="331" t="s">
        <v>2305</v>
      </c>
      <c r="CA397" s="331" t="s">
        <v>2306</v>
      </c>
      <c r="CB397" s="331" t="s">
        <v>396</v>
      </c>
      <c r="CC397" s="331" t="s">
        <v>2307</v>
      </c>
    </row>
    <row r="398" spans="1:81" x14ac:dyDescent="0.25">
      <c r="A398" s="329">
        <v>197382</v>
      </c>
      <c r="B398" s="331" t="s">
        <v>2308</v>
      </c>
      <c r="C398" s="329">
        <v>34866</v>
      </c>
      <c r="D398" s="331" t="s">
        <v>2298</v>
      </c>
      <c r="E398" s="331" t="s">
        <v>2309</v>
      </c>
      <c r="F398" s="331" t="s">
        <v>2310</v>
      </c>
      <c r="G398" s="331" t="s">
        <v>2311</v>
      </c>
      <c r="H398" s="331" t="s">
        <v>2312</v>
      </c>
      <c r="I398" s="331" t="s">
        <v>2313</v>
      </c>
      <c r="J398" s="331" t="s">
        <v>378</v>
      </c>
      <c r="K398" s="331" t="s">
        <v>2314</v>
      </c>
      <c r="L398" s="329"/>
      <c r="M398" s="329">
        <v>6</v>
      </c>
      <c r="N398" s="329">
        <v>0</v>
      </c>
      <c r="O398" s="329">
        <v>2.8</v>
      </c>
      <c r="P398" s="329"/>
      <c r="Q398" s="333">
        <v>43707.003472222219</v>
      </c>
      <c r="R398" s="329"/>
      <c r="S398" s="333">
        <v>43752</v>
      </c>
      <c r="T398" s="329">
        <v>55</v>
      </c>
      <c r="U398" s="333">
        <v>43752</v>
      </c>
      <c r="V398" s="333">
        <v>44109</v>
      </c>
      <c r="W398" s="329" t="b">
        <v>1</v>
      </c>
      <c r="X398" s="331" t="s">
        <v>905</v>
      </c>
      <c r="Y398" s="329">
        <v>747</v>
      </c>
      <c r="Z398" s="331" t="s">
        <v>25</v>
      </c>
      <c r="AA398" s="331" t="s">
        <v>919</v>
      </c>
      <c r="AB398" s="331" t="s">
        <v>920</v>
      </c>
      <c r="AC398" s="331" t="s">
        <v>2315</v>
      </c>
      <c r="AD398" s="331" t="s">
        <v>24</v>
      </c>
      <c r="AE398" s="329">
        <v>221</v>
      </c>
      <c r="AF398" s="331" t="s">
        <v>254</v>
      </c>
      <c r="AG398" s="329"/>
      <c r="AH398" s="329">
        <v>17</v>
      </c>
      <c r="AI398" s="331" t="s">
        <v>280</v>
      </c>
      <c r="AJ398" s="331" t="s">
        <v>281</v>
      </c>
      <c r="AK398" s="331" t="s">
        <v>416</v>
      </c>
      <c r="AL398" s="331" t="s">
        <v>2316</v>
      </c>
      <c r="AM398" s="331" t="s">
        <v>359</v>
      </c>
      <c r="AN398" s="331" t="s">
        <v>418</v>
      </c>
      <c r="AO398" s="331" t="s">
        <v>329</v>
      </c>
      <c r="AP398" s="329"/>
      <c r="AQ398" s="329"/>
      <c r="AR398" s="329"/>
      <c r="AS398" s="329"/>
      <c r="AT398" s="329" t="s">
        <v>861</v>
      </c>
      <c r="AU398" s="329" t="s">
        <v>283</v>
      </c>
      <c r="AV398" s="331" t="s">
        <v>378</v>
      </c>
      <c r="AW398" s="329"/>
      <c r="AX398" s="329"/>
      <c r="AY398" s="329"/>
      <c r="AZ398" s="329"/>
      <c r="BA398" s="329"/>
      <c r="BB398" s="329"/>
      <c r="BC398" s="329"/>
      <c r="BD398" s="329"/>
      <c r="BE398" s="329"/>
      <c r="BF398" s="329"/>
      <c r="BG398" s="329"/>
      <c r="BH398" s="329"/>
      <c r="BI398" s="329"/>
      <c r="BJ398" s="329"/>
      <c r="BK398" s="329">
        <v>0</v>
      </c>
      <c r="BL398" s="329"/>
      <c r="BM398" s="331" t="s">
        <v>323</v>
      </c>
      <c r="BN398" s="329" t="s">
        <v>922</v>
      </c>
      <c r="BO398" s="333">
        <v>43753</v>
      </c>
      <c r="BP398" s="329"/>
      <c r="BQ398" s="329"/>
      <c r="BR398" s="329"/>
      <c r="BS398" s="329"/>
      <c r="BT398" s="329"/>
      <c r="BU398" s="331" t="s">
        <v>261</v>
      </c>
      <c r="BV398" s="329"/>
      <c r="BW398" s="329"/>
      <c r="BX398" s="329"/>
      <c r="BY398" s="331" t="s">
        <v>2317</v>
      </c>
      <c r="BZ398" s="331" t="s">
        <v>2318</v>
      </c>
      <c r="CA398" s="331" t="s">
        <v>2319</v>
      </c>
      <c r="CB398" s="331" t="s">
        <v>378</v>
      </c>
      <c r="CC398" s="331" t="s">
        <v>2314</v>
      </c>
    </row>
    <row r="399" spans="1:81" x14ac:dyDescent="0.25">
      <c r="A399" s="329">
        <v>196368</v>
      </c>
      <c r="B399" s="331" t="s">
        <v>2320</v>
      </c>
      <c r="C399" s="329">
        <v>34623</v>
      </c>
      <c r="D399" s="331" t="s">
        <v>2321</v>
      </c>
      <c r="E399" s="331" t="s">
        <v>184</v>
      </c>
      <c r="F399" s="331" t="s">
        <v>2322</v>
      </c>
      <c r="G399" s="331" t="s">
        <v>2323</v>
      </c>
      <c r="H399" s="331" t="s">
        <v>2324</v>
      </c>
      <c r="I399" s="331" t="s">
        <v>2325</v>
      </c>
      <c r="J399" s="331" t="s">
        <v>496</v>
      </c>
      <c r="K399" s="331" t="s">
        <v>2326</v>
      </c>
      <c r="L399" s="329"/>
      <c r="M399" s="329">
        <v>6</v>
      </c>
      <c r="N399" s="329">
        <v>0</v>
      </c>
      <c r="O399" s="329">
        <v>3.3170000000000002</v>
      </c>
      <c r="P399" s="329"/>
      <c r="Q399" s="333">
        <v>43600.5</v>
      </c>
      <c r="R399" s="329"/>
      <c r="S399" s="333">
        <v>43752</v>
      </c>
      <c r="T399" s="329">
        <v>55</v>
      </c>
      <c r="U399" s="333">
        <v>43752</v>
      </c>
      <c r="V399" s="333">
        <v>44109</v>
      </c>
      <c r="W399" s="329" t="b">
        <v>1</v>
      </c>
      <c r="X399" s="331" t="s">
        <v>22</v>
      </c>
      <c r="Y399" s="329">
        <v>726</v>
      </c>
      <c r="Z399" s="331" t="s">
        <v>23</v>
      </c>
      <c r="AA399" s="331" t="s">
        <v>919</v>
      </c>
      <c r="AB399" s="331" t="s">
        <v>920</v>
      </c>
      <c r="AC399" s="331" t="s">
        <v>1264</v>
      </c>
      <c r="AD399" s="331" t="s">
        <v>24</v>
      </c>
      <c r="AE399" s="329">
        <v>221</v>
      </c>
      <c r="AF399" s="331" t="s">
        <v>254</v>
      </c>
      <c r="AG399" s="329"/>
      <c r="AH399" s="329">
        <v>17</v>
      </c>
      <c r="AI399" s="331" t="s">
        <v>280</v>
      </c>
      <c r="AJ399" s="331" t="s">
        <v>281</v>
      </c>
      <c r="AK399" s="329"/>
      <c r="AL399" s="329"/>
      <c r="AM399" s="329"/>
      <c r="AN399" s="329"/>
      <c r="AO399" s="329"/>
      <c r="AP399" s="331" t="s">
        <v>2327</v>
      </c>
      <c r="AQ399" s="329">
        <v>670</v>
      </c>
      <c r="AR399" s="329">
        <v>700</v>
      </c>
      <c r="AS399" s="329"/>
      <c r="AT399" s="329" t="s">
        <v>291</v>
      </c>
      <c r="AU399" s="329" t="s">
        <v>256</v>
      </c>
      <c r="AV399" s="331" t="s">
        <v>496</v>
      </c>
      <c r="AW399" s="329"/>
      <c r="AX399" s="329"/>
      <c r="AY399" s="329"/>
      <c r="AZ399" s="329"/>
      <c r="BA399" s="329"/>
      <c r="BB399" s="329"/>
      <c r="BC399" s="329"/>
      <c r="BD399" s="329"/>
      <c r="BE399" s="329" t="s">
        <v>257</v>
      </c>
      <c r="BF399" s="329" t="s">
        <v>834</v>
      </c>
      <c r="BG399" s="329"/>
      <c r="BH399" s="329"/>
      <c r="BI399" s="329"/>
      <c r="BJ399" s="329"/>
      <c r="BK399" s="329">
        <v>20400</v>
      </c>
      <c r="BL399" s="329"/>
      <c r="BM399" s="331" t="s">
        <v>278</v>
      </c>
      <c r="BN399" s="329" t="s">
        <v>922</v>
      </c>
      <c r="BO399" s="333">
        <v>43753</v>
      </c>
      <c r="BP399" s="329"/>
      <c r="BQ399" s="329"/>
      <c r="BR399" s="329"/>
      <c r="BS399" s="329"/>
      <c r="BT399" s="329"/>
      <c r="BU399" s="331" t="s">
        <v>261</v>
      </c>
      <c r="BV399" s="329"/>
      <c r="BW399" s="329"/>
      <c r="BX399" s="329"/>
      <c r="BY399" s="331" t="s">
        <v>2328</v>
      </c>
      <c r="BZ399" s="331" t="s">
        <v>2329</v>
      </c>
      <c r="CA399" s="331" t="s">
        <v>2325</v>
      </c>
      <c r="CB399" s="331" t="s">
        <v>496</v>
      </c>
      <c r="CC399" s="331" t="s">
        <v>2326</v>
      </c>
    </row>
    <row r="400" spans="1:81" x14ac:dyDescent="0.25">
      <c r="A400" s="329">
        <v>198030</v>
      </c>
      <c r="B400" s="331" t="s">
        <v>2330</v>
      </c>
      <c r="C400" s="329">
        <v>35065</v>
      </c>
      <c r="D400" s="331" t="s">
        <v>2331</v>
      </c>
      <c r="E400" s="331" t="s">
        <v>538</v>
      </c>
      <c r="F400" s="331" t="s">
        <v>2332</v>
      </c>
      <c r="G400" s="331" t="s">
        <v>2333</v>
      </c>
      <c r="H400" s="331" t="s">
        <v>2334</v>
      </c>
      <c r="I400" s="331" t="s">
        <v>527</v>
      </c>
      <c r="J400" s="331" t="s">
        <v>298</v>
      </c>
      <c r="K400" s="331" t="s">
        <v>2335</v>
      </c>
      <c r="L400" s="329"/>
      <c r="M400" s="329">
        <v>6</v>
      </c>
      <c r="N400" s="329">
        <v>0</v>
      </c>
      <c r="O400" s="329">
        <v>3.5</v>
      </c>
      <c r="P400" s="329"/>
      <c r="Q400" s="333">
        <v>43649.777777777781</v>
      </c>
      <c r="R400" s="329"/>
      <c r="S400" s="333">
        <v>43752</v>
      </c>
      <c r="T400" s="329">
        <v>55</v>
      </c>
      <c r="U400" s="333">
        <v>43752</v>
      </c>
      <c r="V400" s="333">
        <v>44109</v>
      </c>
      <c r="W400" s="329" t="b">
        <v>1</v>
      </c>
      <c r="X400" s="331" t="s">
        <v>22</v>
      </c>
      <c r="Y400" s="329">
        <v>429</v>
      </c>
      <c r="Z400" s="331" t="s">
        <v>23</v>
      </c>
      <c r="AA400" s="331" t="s">
        <v>919</v>
      </c>
      <c r="AB400" s="331" t="s">
        <v>920</v>
      </c>
      <c r="AC400" s="331" t="s">
        <v>1658</v>
      </c>
      <c r="AD400" s="331" t="s">
        <v>24</v>
      </c>
      <c r="AE400" s="329">
        <v>221</v>
      </c>
      <c r="AF400" s="331" t="s">
        <v>254</v>
      </c>
      <c r="AG400" s="329"/>
      <c r="AH400" s="329">
        <v>17</v>
      </c>
      <c r="AI400" s="331" t="s">
        <v>280</v>
      </c>
      <c r="AJ400" s="331" t="s">
        <v>281</v>
      </c>
      <c r="AK400" s="331" t="s">
        <v>331</v>
      </c>
      <c r="AL400" s="331" t="s">
        <v>299</v>
      </c>
      <c r="AM400" s="331" t="s">
        <v>363</v>
      </c>
      <c r="AN400" s="331" t="s">
        <v>275</v>
      </c>
      <c r="AO400" s="331" t="s">
        <v>328</v>
      </c>
      <c r="AP400" s="331" t="s">
        <v>473</v>
      </c>
      <c r="AQ400" s="329">
        <v>510</v>
      </c>
      <c r="AR400" s="329">
        <v>530</v>
      </c>
      <c r="AS400" s="329"/>
      <c r="AT400" s="329" t="s">
        <v>309</v>
      </c>
      <c r="AU400" s="329" t="s">
        <v>256</v>
      </c>
      <c r="AV400" s="331" t="s">
        <v>298</v>
      </c>
      <c r="AW400" s="329"/>
      <c r="AX400" s="329"/>
      <c r="AY400" s="329"/>
      <c r="AZ400" s="329"/>
      <c r="BA400" s="329"/>
      <c r="BB400" s="329"/>
      <c r="BC400" s="329"/>
      <c r="BD400" s="329"/>
      <c r="BE400" s="329" t="s">
        <v>257</v>
      </c>
      <c r="BF400" s="329" t="s">
        <v>836</v>
      </c>
      <c r="BG400" s="329"/>
      <c r="BH400" s="329"/>
      <c r="BI400" s="329"/>
      <c r="BJ400" s="329"/>
      <c r="BK400" s="329">
        <v>18000</v>
      </c>
      <c r="BL400" s="329"/>
      <c r="BM400" s="331" t="s">
        <v>310</v>
      </c>
      <c r="BN400" s="329" t="s">
        <v>922</v>
      </c>
      <c r="BO400" s="333">
        <v>43753</v>
      </c>
      <c r="BP400" s="329"/>
      <c r="BQ400" s="329"/>
      <c r="BR400" s="329"/>
      <c r="BS400" s="329"/>
      <c r="BT400" s="329"/>
      <c r="BU400" s="331" t="s">
        <v>261</v>
      </c>
      <c r="BV400" s="329"/>
      <c r="BW400" s="329"/>
      <c r="BX400" s="329"/>
      <c r="BY400" s="331" t="s">
        <v>2336</v>
      </c>
      <c r="BZ400" s="331" t="s">
        <v>2337</v>
      </c>
      <c r="CA400" s="331" t="s">
        <v>2338</v>
      </c>
      <c r="CB400" s="331" t="s">
        <v>298</v>
      </c>
      <c r="CC400" s="331" t="s">
        <v>2335</v>
      </c>
    </row>
    <row r="401" spans="1:81" x14ac:dyDescent="0.25">
      <c r="A401" s="329">
        <v>189129</v>
      </c>
      <c r="B401" s="331" t="s">
        <v>2368</v>
      </c>
      <c r="C401" s="329">
        <v>32731</v>
      </c>
      <c r="D401" s="331" t="s">
        <v>2369</v>
      </c>
      <c r="E401" s="331" t="s">
        <v>2370</v>
      </c>
      <c r="F401" s="331" t="s">
        <v>2371</v>
      </c>
      <c r="G401" s="331" t="s">
        <v>2372</v>
      </c>
      <c r="H401" s="331" t="s">
        <v>2373</v>
      </c>
      <c r="I401" s="331" t="s">
        <v>2374</v>
      </c>
      <c r="J401" s="331" t="s">
        <v>21</v>
      </c>
      <c r="K401" s="331" t="s">
        <v>2375</v>
      </c>
      <c r="L401" s="329"/>
      <c r="M401" s="329">
        <v>6</v>
      </c>
      <c r="N401" s="329">
        <v>0</v>
      </c>
      <c r="O401" s="329">
        <v>3.1509999999999998</v>
      </c>
      <c r="P401" s="329"/>
      <c r="Q401" s="333">
        <v>43403.729166666664</v>
      </c>
      <c r="R401" s="329"/>
      <c r="S401" s="333">
        <v>43752</v>
      </c>
      <c r="T401" s="329">
        <v>55</v>
      </c>
      <c r="U401" s="333">
        <v>43752</v>
      </c>
      <c r="V401" s="333">
        <v>44109</v>
      </c>
      <c r="W401" s="329" t="b">
        <v>1</v>
      </c>
      <c r="X401" s="331" t="s">
        <v>187</v>
      </c>
      <c r="Y401" s="329">
        <v>718</v>
      </c>
      <c r="Z401" s="331" t="s">
        <v>25</v>
      </c>
      <c r="AA401" s="331" t="s">
        <v>252</v>
      </c>
      <c r="AB401" s="331" t="s">
        <v>253</v>
      </c>
      <c r="AC401" s="331" t="s">
        <v>2376</v>
      </c>
      <c r="AD401" s="331" t="s">
        <v>24</v>
      </c>
      <c r="AE401" s="329">
        <v>221</v>
      </c>
      <c r="AF401" s="331" t="s">
        <v>254</v>
      </c>
      <c r="AG401" s="329"/>
      <c r="AH401" s="329">
        <v>17</v>
      </c>
      <c r="AI401" s="331" t="s">
        <v>280</v>
      </c>
      <c r="AJ401" s="331" t="s">
        <v>281</v>
      </c>
      <c r="AK401" s="331" t="s">
        <v>386</v>
      </c>
      <c r="AL401" s="331" t="s">
        <v>417</v>
      </c>
      <c r="AM401" s="331" t="s">
        <v>330</v>
      </c>
      <c r="AN401" s="331" t="s">
        <v>386</v>
      </c>
      <c r="AO401" s="331" t="s">
        <v>363</v>
      </c>
      <c r="AP401" s="329"/>
      <c r="AQ401" s="329"/>
      <c r="AR401" s="329"/>
      <c r="AS401" s="329"/>
      <c r="AT401" s="329" t="s">
        <v>382</v>
      </c>
      <c r="AU401" s="329" t="s">
        <v>283</v>
      </c>
      <c r="AV401" s="331" t="s">
        <v>21</v>
      </c>
      <c r="AW401" s="329"/>
      <c r="AX401" s="329"/>
      <c r="AY401" s="329"/>
      <c r="AZ401" s="329"/>
      <c r="BA401" s="329"/>
      <c r="BB401" s="329"/>
      <c r="BC401" s="329"/>
      <c r="BD401" s="329"/>
      <c r="BE401" s="329" t="s">
        <v>257</v>
      </c>
      <c r="BF401" s="329" t="s">
        <v>841</v>
      </c>
      <c r="BG401" s="329"/>
      <c r="BH401" s="329"/>
      <c r="BI401" s="329" t="s">
        <v>334</v>
      </c>
      <c r="BJ401" s="329" t="s">
        <v>831</v>
      </c>
      <c r="BK401" s="329">
        <v>45000</v>
      </c>
      <c r="BL401" s="329"/>
      <c r="BM401" s="331" t="s">
        <v>189</v>
      </c>
      <c r="BN401" s="329" t="s">
        <v>922</v>
      </c>
      <c r="BO401" s="333">
        <v>43753</v>
      </c>
      <c r="BP401" s="329"/>
      <c r="BQ401" s="335">
        <v>43720</v>
      </c>
      <c r="BR401" s="329"/>
      <c r="BS401" s="329"/>
      <c r="BT401" s="329"/>
      <c r="BU401" s="331" t="s">
        <v>261</v>
      </c>
      <c r="BV401" s="329"/>
      <c r="BW401" s="329"/>
      <c r="BX401" s="329"/>
      <c r="BY401" s="331" t="s">
        <v>2377</v>
      </c>
      <c r="BZ401" s="331" t="s">
        <v>2378</v>
      </c>
      <c r="CA401" s="331" t="s">
        <v>2379</v>
      </c>
      <c r="CB401" s="331" t="s">
        <v>21</v>
      </c>
      <c r="CC401" s="331" t="s">
        <v>2380</v>
      </c>
    </row>
    <row r="402" spans="1:81" x14ac:dyDescent="0.25">
      <c r="A402" s="329">
        <v>196178</v>
      </c>
      <c r="B402" s="331" t="s">
        <v>2381</v>
      </c>
      <c r="C402" s="329">
        <v>34543</v>
      </c>
      <c r="D402" s="331" t="s">
        <v>2382</v>
      </c>
      <c r="E402" s="331" t="s">
        <v>343</v>
      </c>
      <c r="F402" s="331" t="s">
        <v>2383</v>
      </c>
      <c r="G402" s="331" t="s">
        <v>2384</v>
      </c>
      <c r="H402" s="331" t="s">
        <v>2385</v>
      </c>
      <c r="I402" s="331" t="s">
        <v>2386</v>
      </c>
      <c r="J402" s="331" t="s">
        <v>306</v>
      </c>
      <c r="K402" s="331" t="s">
        <v>2387</v>
      </c>
      <c r="L402" s="329"/>
      <c r="M402" s="329">
        <v>6</v>
      </c>
      <c r="N402" s="329">
        <v>0</v>
      </c>
      <c r="O402" s="329">
        <v>2.8372000000000002</v>
      </c>
      <c r="P402" s="329"/>
      <c r="Q402" s="333">
        <v>43696.5625</v>
      </c>
      <c r="R402" s="329"/>
      <c r="S402" s="333">
        <v>43752</v>
      </c>
      <c r="T402" s="329">
        <v>55</v>
      </c>
      <c r="U402" s="333">
        <v>43752</v>
      </c>
      <c r="V402" s="333">
        <v>44109</v>
      </c>
      <c r="W402" s="329" t="b">
        <v>1</v>
      </c>
      <c r="X402" s="331" t="s">
        <v>22</v>
      </c>
      <c r="Y402" s="329">
        <v>726</v>
      </c>
      <c r="Z402" s="331" t="s">
        <v>23</v>
      </c>
      <c r="AA402" s="331" t="s">
        <v>919</v>
      </c>
      <c r="AB402" s="331" t="s">
        <v>920</v>
      </c>
      <c r="AC402" s="331" t="s">
        <v>962</v>
      </c>
      <c r="AD402" s="331" t="s">
        <v>24</v>
      </c>
      <c r="AE402" s="329">
        <v>221</v>
      </c>
      <c r="AF402" s="331" t="s">
        <v>254</v>
      </c>
      <c r="AG402" s="329"/>
      <c r="AH402" s="329">
        <v>17</v>
      </c>
      <c r="AI402" s="331" t="s">
        <v>280</v>
      </c>
      <c r="AJ402" s="331" t="s">
        <v>281</v>
      </c>
      <c r="AK402" s="331" t="s">
        <v>289</v>
      </c>
      <c r="AL402" s="331" t="s">
        <v>274</v>
      </c>
      <c r="AM402" s="331" t="s">
        <v>275</v>
      </c>
      <c r="AN402" s="331" t="s">
        <v>273</v>
      </c>
      <c r="AO402" s="331" t="s">
        <v>275</v>
      </c>
      <c r="AP402" s="329"/>
      <c r="AQ402" s="329"/>
      <c r="AR402" s="329"/>
      <c r="AS402" s="329"/>
      <c r="AT402" s="329" t="s">
        <v>426</v>
      </c>
      <c r="AU402" s="329" t="s">
        <v>256</v>
      </c>
      <c r="AV402" s="331" t="s">
        <v>306</v>
      </c>
      <c r="AW402" s="329"/>
      <c r="AX402" s="329"/>
      <c r="AY402" s="329"/>
      <c r="AZ402" s="329"/>
      <c r="BA402" s="329"/>
      <c r="BB402" s="329"/>
      <c r="BC402" s="329"/>
      <c r="BD402" s="329"/>
      <c r="BE402" s="329" t="s">
        <v>257</v>
      </c>
      <c r="BF402" s="329" t="s">
        <v>838</v>
      </c>
      <c r="BG402" s="329"/>
      <c r="BH402" s="329"/>
      <c r="BI402" s="329"/>
      <c r="BJ402" s="329"/>
      <c r="BK402" s="329">
        <v>15600</v>
      </c>
      <c r="BL402" s="329"/>
      <c r="BM402" s="331" t="s">
        <v>259</v>
      </c>
      <c r="BN402" s="329" t="s">
        <v>922</v>
      </c>
      <c r="BO402" s="333">
        <v>43753</v>
      </c>
      <c r="BP402" s="329"/>
      <c r="BQ402" s="329"/>
      <c r="BR402" s="329"/>
      <c r="BS402" s="329"/>
      <c r="BT402" s="329"/>
      <c r="BU402" s="331" t="s">
        <v>261</v>
      </c>
      <c r="BV402" s="329"/>
      <c r="BW402" s="329"/>
      <c r="BX402" s="329"/>
      <c r="BY402" s="331" t="s">
        <v>2388</v>
      </c>
      <c r="BZ402" s="331" t="s">
        <v>2389</v>
      </c>
      <c r="CA402" s="331" t="s">
        <v>2390</v>
      </c>
      <c r="CB402" s="331" t="s">
        <v>306</v>
      </c>
      <c r="CC402" s="331" t="s">
        <v>2391</v>
      </c>
    </row>
    <row r="403" spans="1:81" x14ac:dyDescent="0.25">
      <c r="A403" s="329">
        <v>192406</v>
      </c>
      <c r="B403" s="331" t="s">
        <v>2392</v>
      </c>
      <c r="C403" s="329">
        <v>33640</v>
      </c>
      <c r="D403" s="331" t="s">
        <v>2393</v>
      </c>
      <c r="E403" s="331" t="s">
        <v>2394</v>
      </c>
      <c r="F403" s="331" t="s">
        <v>2395</v>
      </c>
      <c r="G403" s="331" t="s">
        <v>2396</v>
      </c>
      <c r="H403" s="331" t="s">
        <v>2397</v>
      </c>
      <c r="I403" s="331" t="s">
        <v>2398</v>
      </c>
      <c r="J403" s="331" t="s">
        <v>354</v>
      </c>
      <c r="K403" s="331" t="s">
        <v>2399</v>
      </c>
      <c r="L403" s="329"/>
      <c r="M403" s="329">
        <v>6</v>
      </c>
      <c r="N403" s="329">
        <v>0</v>
      </c>
      <c r="O403" s="329">
        <v>3.5</v>
      </c>
      <c r="P403" s="329"/>
      <c r="Q403" s="333">
        <v>43599.461805555555</v>
      </c>
      <c r="R403" s="329"/>
      <c r="S403" s="333">
        <v>43752</v>
      </c>
      <c r="T403" s="329">
        <v>55</v>
      </c>
      <c r="U403" s="333">
        <v>43752</v>
      </c>
      <c r="V403" s="333">
        <v>44109</v>
      </c>
      <c r="W403" s="329" t="b">
        <v>1</v>
      </c>
      <c r="X403" s="331" t="s">
        <v>22</v>
      </c>
      <c r="Y403" s="329">
        <v>726</v>
      </c>
      <c r="Z403" s="331" t="s">
        <v>23</v>
      </c>
      <c r="AA403" s="331" t="s">
        <v>919</v>
      </c>
      <c r="AB403" s="331" t="s">
        <v>920</v>
      </c>
      <c r="AC403" s="331" t="s">
        <v>1329</v>
      </c>
      <c r="AD403" s="331" t="s">
        <v>24</v>
      </c>
      <c r="AE403" s="329">
        <v>221</v>
      </c>
      <c r="AF403" s="331" t="s">
        <v>254</v>
      </c>
      <c r="AG403" s="329"/>
      <c r="AH403" s="329">
        <v>17</v>
      </c>
      <c r="AI403" s="331" t="s">
        <v>280</v>
      </c>
      <c r="AJ403" s="331" t="s">
        <v>281</v>
      </c>
      <c r="AK403" s="329"/>
      <c r="AL403" s="329"/>
      <c r="AM403" s="329"/>
      <c r="AN403" s="329"/>
      <c r="AO403" s="329"/>
      <c r="AP403" s="329"/>
      <c r="AQ403" s="329"/>
      <c r="AR403" s="329"/>
      <c r="AS403" s="329"/>
      <c r="AT403" s="329" t="s">
        <v>258</v>
      </c>
      <c r="AU403" s="329" t="s">
        <v>256</v>
      </c>
      <c r="AV403" s="331" t="s">
        <v>354</v>
      </c>
      <c r="AW403" s="329"/>
      <c r="AX403" s="329"/>
      <c r="AY403" s="329"/>
      <c r="AZ403" s="329"/>
      <c r="BA403" s="329"/>
      <c r="BB403" s="329"/>
      <c r="BC403" s="329"/>
      <c r="BD403" s="329"/>
      <c r="BE403" s="329" t="s">
        <v>257</v>
      </c>
      <c r="BF403" s="329" t="s">
        <v>830</v>
      </c>
      <c r="BG403" s="329"/>
      <c r="BH403" s="329"/>
      <c r="BI403" s="329"/>
      <c r="BJ403" s="329"/>
      <c r="BK403" s="329">
        <v>12000</v>
      </c>
      <c r="BL403" s="329"/>
      <c r="BM403" s="331" t="s">
        <v>26</v>
      </c>
      <c r="BN403" s="329" t="s">
        <v>922</v>
      </c>
      <c r="BO403" s="333">
        <v>43753</v>
      </c>
      <c r="BP403" s="329"/>
      <c r="BQ403" s="329"/>
      <c r="BR403" s="329"/>
      <c r="BS403" s="329"/>
      <c r="BT403" s="329"/>
      <c r="BU403" s="331" t="s">
        <v>261</v>
      </c>
      <c r="BV403" s="329"/>
      <c r="BW403" s="329"/>
      <c r="BX403" s="329"/>
      <c r="BY403" s="331" t="s">
        <v>2400</v>
      </c>
      <c r="BZ403" s="331" t="s">
        <v>2401</v>
      </c>
      <c r="CA403" s="331" t="s">
        <v>2402</v>
      </c>
      <c r="CB403" s="331" t="s">
        <v>354</v>
      </c>
      <c r="CC403" s="331" t="s">
        <v>304</v>
      </c>
    </row>
    <row r="404" spans="1:81" x14ac:dyDescent="0.25">
      <c r="A404" s="329">
        <v>195573</v>
      </c>
      <c r="B404" s="331" t="s">
        <v>2403</v>
      </c>
      <c r="C404" s="329">
        <v>34362</v>
      </c>
      <c r="D404" s="331" t="s">
        <v>2404</v>
      </c>
      <c r="E404" s="331" t="s">
        <v>2405</v>
      </c>
      <c r="F404" s="331" t="s">
        <v>2406</v>
      </c>
      <c r="G404" s="331" t="s">
        <v>2407</v>
      </c>
      <c r="H404" s="331" t="s">
        <v>2408</v>
      </c>
      <c r="I404" s="331" t="s">
        <v>2409</v>
      </c>
      <c r="J404" s="331" t="s">
        <v>292</v>
      </c>
      <c r="K404" s="331" t="s">
        <v>2410</v>
      </c>
      <c r="L404" s="329"/>
      <c r="M404" s="329">
        <v>6</v>
      </c>
      <c r="N404" s="329">
        <v>0</v>
      </c>
      <c r="O404" s="329">
        <v>3.6</v>
      </c>
      <c r="P404" s="329"/>
      <c r="Q404" s="333">
        <v>43666.854166666664</v>
      </c>
      <c r="R404" s="329"/>
      <c r="S404" s="333">
        <v>43752</v>
      </c>
      <c r="T404" s="329">
        <v>55</v>
      </c>
      <c r="U404" s="333">
        <v>43752</v>
      </c>
      <c r="V404" s="333">
        <v>44109</v>
      </c>
      <c r="W404" s="329" t="b">
        <v>1</v>
      </c>
      <c r="X404" s="331" t="s">
        <v>22</v>
      </c>
      <c r="Y404" s="329">
        <v>726</v>
      </c>
      <c r="Z404" s="331" t="s">
        <v>25</v>
      </c>
      <c r="AA404" s="331" t="s">
        <v>919</v>
      </c>
      <c r="AB404" s="331" t="s">
        <v>920</v>
      </c>
      <c r="AC404" s="331" t="s">
        <v>962</v>
      </c>
      <c r="AD404" s="331" t="s">
        <v>24</v>
      </c>
      <c r="AE404" s="329">
        <v>221</v>
      </c>
      <c r="AF404" s="331" t="s">
        <v>254</v>
      </c>
      <c r="AG404" s="329"/>
      <c r="AH404" s="329">
        <v>17</v>
      </c>
      <c r="AI404" s="331" t="s">
        <v>280</v>
      </c>
      <c r="AJ404" s="331" t="s">
        <v>281</v>
      </c>
      <c r="AK404" s="331" t="s">
        <v>329</v>
      </c>
      <c r="AL404" s="331" t="s">
        <v>2316</v>
      </c>
      <c r="AM404" s="331" t="s">
        <v>386</v>
      </c>
      <c r="AN404" s="331" t="s">
        <v>386</v>
      </c>
      <c r="AO404" s="331" t="s">
        <v>363</v>
      </c>
      <c r="AP404" s="329"/>
      <c r="AQ404" s="329"/>
      <c r="AR404" s="329"/>
      <c r="AS404" s="329"/>
      <c r="AT404" s="329" t="s">
        <v>266</v>
      </c>
      <c r="AU404" s="329" t="s">
        <v>283</v>
      </c>
      <c r="AV404" s="331" t="s">
        <v>292</v>
      </c>
      <c r="AW404" s="329"/>
      <c r="AX404" s="329"/>
      <c r="AY404" s="329"/>
      <c r="AZ404" s="329"/>
      <c r="BA404" s="329"/>
      <c r="BB404" s="329"/>
      <c r="BC404" s="329"/>
      <c r="BD404" s="329"/>
      <c r="BE404" s="329" t="s">
        <v>257</v>
      </c>
      <c r="BF404" s="329" t="s">
        <v>837</v>
      </c>
      <c r="BG404" s="329"/>
      <c r="BH404" s="329"/>
      <c r="BI404" s="329"/>
      <c r="BJ404" s="329"/>
      <c r="BK404" s="329">
        <v>15000</v>
      </c>
      <c r="BL404" s="329"/>
      <c r="BM404" s="331" t="s">
        <v>295</v>
      </c>
      <c r="BN404" s="329" t="s">
        <v>922</v>
      </c>
      <c r="BO404" s="333">
        <v>43753</v>
      </c>
      <c r="BP404" s="329"/>
      <c r="BQ404" s="329"/>
      <c r="BR404" s="329"/>
      <c r="BS404" s="329"/>
      <c r="BT404" s="329"/>
      <c r="BU404" s="331" t="s">
        <v>261</v>
      </c>
      <c r="BV404" s="329"/>
      <c r="BW404" s="329"/>
      <c r="BX404" s="329"/>
      <c r="BY404" s="331" t="s">
        <v>2411</v>
      </c>
      <c r="BZ404" s="331" t="s">
        <v>2412</v>
      </c>
      <c r="CA404" s="331" t="s">
        <v>2413</v>
      </c>
      <c r="CB404" s="331" t="s">
        <v>292</v>
      </c>
      <c r="CC404" s="331" t="s">
        <v>2410</v>
      </c>
    </row>
    <row r="405" spans="1:81" x14ac:dyDescent="0.25">
      <c r="A405" s="329">
        <v>197677</v>
      </c>
      <c r="B405" s="331" t="s">
        <v>2414</v>
      </c>
      <c r="C405" s="329">
        <v>34947</v>
      </c>
      <c r="D405" s="331" t="s">
        <v>395</v>
      </c>
      <c r="E405" s="331" t="s">
        <v>2415</v>
      </c>
      <c r="F405" s="331" t="s">
        <v>2416</v>
      </c>
      <c r="G405" s="331" t="s">
        <v>2417</v>
      </c>
      <c r="H405" s="331" t="s">
        <v>2418</v>
      </c>
      <c r="I405" s="331" t="s">
        <v>2419</v>
      </c>
      <c r="J405" s="331" t="s">
        <v>480</v>
      </c>
      <c r="K405" s="331" t="s">
        <v>2420</v>
      </c>
      <c r="L405" s="329"/>
      <c r="M405" s="329">
        <v>6</v>
      </c>
      <c r="N405" s="329">
        <v>0</v>
      </c>
      <c r="O405" s="329">
        <v>3.4</v>
      </c>
      <c r="P405" s="329"/>
      <c r="Q405" s="333">
        <v>43723.440972222219</v>
      </c>
      <c r="R405" s="329"/>
      <c r="S405" s="333">
        <v>43752</v>
      </c>
      <c r="T405" s="329">
        <v>55</v>
      </c>
      <c r="U405" s="333">
        <v>43752</v>
      </c>
      <c r="V405" s="333">
        <v>44109</v>
      </c>
      <c r="W405" s="329" t="b">
        <v>1</v>
      </c>
      <c r="X405" s="331" t="s">
        <v>187</v>
      </c>
      <c r="Y405" s="329">
        <v>718</v>
      </c>
      <c r="Z405" s="331" t="s">
        <v>23</v>
      </c>
      <c r="AA405" s="331" t="s">
        <v>919</v>
      </c>
      <c r="AB405" s="331" t="s">
        <v>920</v>
      </c>
      <c r="AC405" s="331" t="s">
        <v>1064</v>
      </c>
      <c r="AD405" s="331" t="s">
        <v>24</v>
      </c>
      <c r="AE405" s="329">
        <v>221</v>
      </c>
      <c r="AF405" s="331" t="s">
        <v>254</v>
      </c>
      <c r="AG405" s="329"/>
      <c r="AH405" s="329">
        <v>17</v>
      </c>
      <c r="AI405" s="331" t="s">
        <v>280</v>
      </c>
      <c r="AJ405" s="331" t="s">
        <v>281</v>
      </c>
      <c r="AK405" s="329"/>
      <c r="AL405" s="329"/>
      <c r="AM405" s="329"/>
      <c r="AN405" s="329"/>
      <c r="AO405" s="329"/>
      <c r="AP405" s="331" t="s">
        <v>2421</v>
      </c>
      <c r="AQ405" s="329">
        <v>330</v>
      </c>
      <c r="AR405" s="329">
        <v>360</v>
      </c>
      <c r="AS405" s="329"/>
      <c r="AT405" s="329" t="s">
        <v>382</v>
      </c>
      <c r="AU405" s="329" t="s">
        <v>283</v>
      </c>
      <c r="AV405" s="331" t="s">
        <v>480</v>
      </c>
      <c r="AW405" s="329"/>
      <c r="AX405" s="329"/>
      <c r="AY405" s="329"/>
      <c r="AZ405" s="329"/>
      <c r="BA405" s="329"/>
      <c r="BB405" s="329"/>
      <c r="BC405" s="329"/>
      <c r="BD405" s="329"/>
      <c r="BE405" s="329"/>
      <c r="BF405" s="329"/>
      <c r="BG405" s="329"/>
      <c r="BH405" s="329"/>
      <c r="BI405" s="329"/>
      <c r="BJ405" s="329"/>
      <c r="BK405" s="329">
        <v>0</v>
      </c>
      <c r="BL405" s="329"/>
      <c r="BM405" s="331" t="s">
        <v>267</v>
      </c>
      <c r="BN405" s="329" t="s">
        <v>922</v>
      </c>
      <c r="BO405" s="333">
        <v>43753</v>
      </c>
      <c r="BP405" s="329"/>
      <c r="BQ405" s="329"/>
      <c r="BR405" s="329"/>
      <c r="BS405" s="329"/>
      <c r="BT405" s="329"/>
      <c r="BU405" s="331" t="s">
        <v>261</v>
      </c>
      <c r="BV405" s="329"/>
      <c r="BW405" s="329"/>
      <c r="BX405" s="329"/>
      <c r="BY405" s="331" t="s">
        <v>2422</v>
      </c>
      <c r="BZ405" s="331" t="s">
        <v>2423</v>
      </c>
      <c r="CA405" s="331" t="s">
        <v>2424</v>
      </c>
      <c r="CB405" s="331" t="s">
        <v>480</v>
      </c>
      <c r="CC405" s="331" t="s">
        <v>2420</v>
      </c>
    </row>
    <row r="406" spans="1:81" x14ac:dyDescent="0.25">
      <c r="A406" s="329">
        <v>196378</v>
      </c>
      <c r="B406" s="331" t="s">
        <v>2444</v>
      </c>
      <c r="C406" s="329">
        <v>34629</v>
      </c>
      <c r="D406" s="331" t="s">
        <v>2445</v>
      </c>
      <c r="E406" s="331" t="s">
        <v>374</v>
      </c>
      <c r="F406" s="331" t="s">
        <v>2446</v>
      </c>
      <c r="G406" s="331" t="s">
        <v>2447</v>
      </c>
      <c r="H406" s="331" t="s">
        <v>2448</v>
      </c>
      <c r="I406" s="331" t="s">
        <v>2449</v>
      </c>
      <c r="J406" s="331" t="s">
        <v>392</v>
      </c>
      <c r="K406" s="331" t="s">
        <v>2450</v>
      </c>
      <c r="L406" s="329"/>
      <c r="M406" s="329">
        <v>6</v>
      </c>
      <c r="N406" s="329">
        <v>0</v>
      </c>
      <c r="O406" s="329">
        <v>3.12</v>
      </c>
      <c r="P406" s="329"/>
      <c r="Q406" s="333">
        <v>43600.256944444445</v>
      </c>
      <c r="R406" s="329"/>
      <c r="S406" s="333">
        <v>43752</v>
      </c>
      <c r="T406" s="329">
        <v>55</v>
      </c>
      <c r="U406" s="333">
        <v>43752</v>
      </c>
      <c r="V406" s="333">
        <v>44109</v>
      </c>
      <c r="W406" s="329" t="b">
        <v>1</v>
      </c>
      <c r="X406" s="331" t="s">
        <v>22</v>
      </c>
      <c r="Y406" s="329">
        <v>726</v>
      </c>
      <c r="Z406" s="331" t="s">
        <v>23</v>
      </c>
      <c r="AA406" s="331" t="s">
        <v>919</v>
      </c>
      <c r="AB406" s="331" t="s">
        <v>920</v>
      </c>
      <c r="AC406" s="331" t="s">
        <v>1264</v>
      </c>
      <c r="AD406" s="331" t="s">
        <v>24</v>
      </c>
      <c r="AE406" s="329">
        <v>221</v>
      </c>
      <c r="AF406" s="331" t="s">
        <v>254</v>
      </c>
      <c r="AG406" s="329"/>
      <c r="AH406" s="329">
        <v>17</v>
      </c>
      <c r="AI406" s="331" t="s">
        <v>280</v>
      </c>
      <c r="AJ406" s="331" t="s">
        <v>281</v>
      </c>
      <c r="AK406" s="329"/>
      <c r="AL406" s="329"/>
      <c r="AM406" s="329"/>
      <c r="AN406" s="329"/>
      <c r="AO406" s="329"/>
      <c r="AP406" s="331" t="s">
        <v>371</v>
      </c>
      <c r="AQ406" s="329">
        <v>590</v>
      </c>
      <c r="AR406" s="329">
        <v>620</v>
      </c>
      <c r="AS406" s="329"/>
      <c r="AT406" s="329" t="s">
        <v>833</v>
      </c>
      <c r="AU406" s="329" t="s">
        <v>256</v>
      </c>
      <c r="AV406" s="331" t="s">
        <v>392</v>
      </c>
      <c r="AW406" s="329"/>
      <c r="AX406" s="329"/>
      <c r="AY406" s="329"/>
      <c r="AZ406" s="329"/>
      <c r="BA406" s="329"/>
      <c r="BB406" s="329"/>
      <c r="BC406" s="329"/>
      <c r="BD406" s="329"/>
      <c r="BE406" s="329" t="s">
        <v>257</v>
      </c>
      <c r="BF406" s="329" t="s">
        <v>837</v>
      </c>
      <c r="BG406" s="329"/>
      <c r="BH406" s="329"/>
      <c r="BI406" s="329"/>
      <c r="BJ406" s="329"/>
      <c r="BK406" s="329">
        <v>15000</v>
      </c>
      <c r="BL406" s="329"/>
      <c r="BM406" s="331" t="s">
        <v>295</v>
      </c>
      <c r="BN406" s="329" t="s">
        <v>922</v>
      </c>
      <c r="BO406" s="333">
        <v>43753</v>
      </c>
      <c r="BP406" s="329"/>
      <c r="BQ406" s="329"/>
      <c r="BR406" s="329"/>
      <c r="BS406" s="329"/>
      <c r="BT406" s="329"/>
      <c r="BU406" s="331" t="s">
        <v>261</v>
      </c>
      <c r="BV406" s="329"/>
      <c r="BW406" s="329"/>
      <c r="BX406" s="329"/>
      <c r="BY406" s="331" t="s">
        <v>2451</v>
      </c>
      <c r="BZ406" s="331" t="s">
        <v>2452</v>
      </c>
      <c r="CA406" s="331" t="s">
        <v>2453</v>
      </c>
      <c r="CB406" s="331" t="s">
        <v>392</v>
      </c>
      <c r="CC406" s="331" t="s">
        <v>2454</v>
      </c>
    </row>
    <row r="407" spans="1:81" x14ac:dyDescent="0.25">
      <c r="A407" s="329">
        <v>197833</v>
      </c>
      <c r="B407" s="331" t="s">
        <v>2464</v>
      </c>
      <c r="C407" s="329">
        <v>35008</v>
      </c>
      <c r="D407" s="331" t="s">
        <v>387</v>
      </c>
      <c r="E407" s="331" t="s">
        <v>2465</v>
      </c>
      <c r="F407" s="331" t="s">
        <v>2466</v>
      </c>
      <c r="G407" s="331" t="s">
        <v>2467</v>
      </c>
      <c r="H407" s="331" t="s">
        <v>4346</v>
      </c>
      <c r="I407" s="331" t="s">
        <v>4347</v>
      </c>
      <c r="J407" s="331" t="s">
        <v>20</v>
      </c>
      <c r="K407" s="331" t="s">
        <v>4348</v>
      </c>
      <c r="L407" s="329"/>
      <c r="M407" s="329">
        <v>6</v>
      </c>
      <c r="N407" s="329">
        <v>0</v>
      </c>
      <c r="O407" s="329">
        <v>3.5409999999999999</v>
      </c>
      <c r="P407" s="329"/>
      <c r="Q407" s="333">
        <v>43766.803182870368</v>
      </c>
      <c r="R407" s="329"/>
      <c r="S407" s="333">
        <v>43752</v>
      </c>
      <c r="T407" s="329">
        <v>55</v>
      </c>
      <c r="U407" s="333">
        <v>43752</v>
      </c>
      <c r="V407" s="333">
        <v>44109</v>
      </c>
      <c r="W407" s="329" t="b">
        <v>1</v>
      </c>
      <c r="X407" s="331" t="s">
        <v>187</v>
      </c>
      <c r="Y407" s="329">
        <v>718</v>
      </c>
      <c r="Z407" s="331" t="s">
        <v>23</v>
      </c>
      <c r="AA407" s="331" t="s">
        <v>919</v>
      </c>
      <c r="AB407" s="331" t="s">
        <v>920</v>
      </c>
      <c r="AC407" s="331" t="s">
        <v>346</v>
      </c>
      <c r="AD407" s="331" t="s">
        <v>24</v>
      </c>
      <c r="AE407" s="329">
        <v>221</v>
      </c>
      <c r="AF407" s="331" t="s">
        <v>254</v>
      </c>
      <c r="AG407" s="329"/>
      <c r="AH407" s="329">
        <v>17</v>
      </c>
      <c r="AI407" s="331" t="s">
        <v>280</v>
      </c>
      <c r="AJ407" s="331" t="s">
        <v>281</v>
      </c>
      <c r="AK407" s="329"/>
      <c r="AL407" s="329"/>
      <c r="AM407" s="329"/>
      <c r="AN407" s="329"/>
      <c r="AO407" s="329"/>
      <c r="AP407" s="331" t="s">
        <v>340</v>
      </c>
      <c r="AQ407" s="329">
        <v>580</v>
      </c>
      <c r="AR407" s="329">
        <v>570</v>
      </c>
      <c r="AS407" s="329"/>
      <c r="AT407" s="329" t="s">
        <v>338</v>
      </c>
      <c r="AU407" s="329" t="s">
        <v>283</v>
      </c>
      <c r="AV407" s="331" t="s">
        <v>20</v>
      </c>
      <c r="AW407" s="329"/>
      <c r="AX407" s="329"/>
      <c r="AY407" s="329"/>
      <c r="AZ407" s="329"/>
      <c r="BA407" s="329"/>
      <c r="BB407" s="329"/>
      <c r="BC407" s="329"/>
      <c r="BD407" s="329"/>
      <c r="BE407" s="329" t="s">
        <v>257</v>
      </c>
      <c r="BF407" s="329" t="s">
        <v>841</v>
      </c>
      <c r="BG407" s="329"/>
      <c r="BH407" s="329"/>
      <c r="BI407" s="329"/>
      <c r="BJ407" s="329"/>
      <c r="BK407" s="329">
        <v>9000</v>
      </c>
      <c r="BL407" s="329"/>
      <c r="BM407" s="331" t="s">
        <v>189</v>
      </c>
      <c r="BN407" s="329" t="s">
        <v>922</v>
      </c>
      <c r="BO407" s="333">
        <v>43753</v>
      </c>
      <c r="BP407" s="329"/>
      <c r="BQ407" s="329"/>
      <c r="BR407" s="329"/>
      <c r="BS407" s="329"/>
      <c r="BT407" s="329"/>
      <c r="BU407" s="331" t="s">
        <v>261</v>
      </c>
      <c r="BV407" s="329"/>
      <c r="BW407" s="329"/>
      <c r="BX407" s="329"/>
      <c r="BY407" s="331" t="s">
        <v>2468</v>
      </c>
      <c r="BZ407" s="331" t="s">
        <v>2469</v>
      </c>
      <c r="CA407" s="331" t="s">
        <v>2470</v>
      </c>
      <c r="CB407" s="331" t="s">
        <v>20</v>
      </c>
      <c r="CC407" s="331" t="s">
        <v>2471</v>
      </c>
    </row>
    <row r="408" spans="1:81" x14ac:dyDescent="0.25">
      <c r="A408" s="329">
        <v>195541</v>
      </c>
      <c r="B408" s="331" t="s">
        <v>2483</v>
      </c>
      <c r="C408" s="329">
        <v>34352</v>
      </c>
      <c r="D408" s="331" t="s">
        <v>2484</v>
      </c>
      <c r="E408" s="331" t="s">
        <v>787</v>
      </c>
      <c r="F408" s="331" t="s">
        <v>2485</v>
      </c>
      <c r="G408" s="331" t="s">
        <v>2486</v>
      </c>
      <c r="H408" s="331" t="s">
        <v>2487</v>
      </c>
      <c r="I408" s="331" t="s">
        <v>2488</v>
      </c>
      <c r="J408" s="331" t="s">
        <v>298</v>
      </c>
      <c r="K408" s="331" t="s">
        <v>2489</v>
      </c>
      <c r="L408" s="329"/>
      <c r="M408" s="329">
        <v>6</v>
      </c>
      <c r="N408" s="329">
        <v>0</v>
      </c>
      <c r="O408" s="329">
        <v>3.2683</v>
      </c>
      <c r="P408" s="329"/>
      <c r="Q408" s="333">
        <v>43665.597222222219</v>
      </c>
      <c r="R408" s="329"/>
      <c r="S408" s="333">
        <v>43752</v>
      </c>
      <c r="T408" s="329">
        <v>55</v>
      </c>
      <c r="U408" s="333">
        <v>43752</v>
      </c>
      <c r="V408" s="333">
        <v>44109</v>
      </c>
      <c r="W408" s="329" t="b">
        <v>1</v>
      </c>
      <c r="X408" s="331" t="s">
        <v>22</v>
      </c>
      <c r="Y408" s="329">
        <v>726</v>
      </c>
      <c r="Z408" s="331" t="s">
        <v>23</v>
      </c>
      <c r="AA408" s="331" t="s">
        <v>919</v>
      </c>
      <c r="AB408" s="331" t="s">
        <v>920</v>
      </c>
      <c r="AC408" s="331" t="s">
        <v>264</v>
      </c>
      <c r="AD408" s="331" t="s">
        <v>24</v>
      </c>
      <c r="AE408" s="329">
        <v>221</v>
      </c>
      <c r="AF408" s="331" t="s">
        <v>254</v>
      </c>
      <c r="AG408" s="329"/>
      <c r="AH408" s="329">
        <v>17</v>
      </c>
      <c r="AI408" s="331" t="s">
        <v>280</v>
      </c>
      <c r="AJ408" s="331" t="s">
        <v>281</v>
      </c>
      <c r="AK408" s="329"/>
      <c r="AL408" s="329"/>
      <c r="AM408" s="329"/>
      <c r="AN408" s="329"/>
      <c r="AO408" s="329"/>
      <c r="AP408" s="331" t="s">
        <v>490</v>
      </c>
      <c r="AQ408" s="329">
        <v>550</v>
      </c>
      <c r="AR408" s="329">
        <v>520</v>
      </c>
      <c r="AS408" s="329"/>
      <c r="AT408" s="329" t="s">
        <v>255</v>
      </c>
      <c r="AU408" s="329" t="s">
        <v>283</v>
      </c>
      <c r="AV408" s="331" t="s">
        <v>298</v>
      </c>
      <c r="AW408" s="329"/>
      <c r="AX408" s="329"/>
      <c r="AY408" s="329"/>
      <c r="AZ408" s="329"/>
      <c r="BA408" s="329"/>
      <c r="BB408" s="329"/>
      <c r="BC408" s="329"/>
      <c r="BD408" s="329"/>
      <c r="BE408" s="329" t="s">
        <v>257</v>
      </c>
      <c r="BF408" s="329" t="s">
        <v>836</v>
      </c>
      <c r="BG408" s="329"/>
      <c r="BH408" s="329"/>
      <c r="BI408" s="329"/>
      <c r="BJ408" s="329"/>
      <c r="BK408" s="329">
        <v>18000</v>
      </c>
      <c r="BL408" s="329"/>
      <c r="BM408" s="331" t="s">
        <v>310</v>
      </c>
      <c r="BN408" s="329" t="s">
        <v>922</v>
      </c>
      <c r="BO408" s="333">
        <v>43753</v>
      </c>
      <c r="BP408" s="329"/>
      <c r="BQ408" s="329"/>
      <c r="BR408" s="329"/>
      <c r="BS408" s="329"/>
      <c r="BT408" s="329"/>
      <c r="BU408" s="331" t="s">
        <v>261</v>
      </c>
      <c r="BV408" s="329"/>
      <c r="BW408" s="329"/>
      <c r="BX408" s="329"/>
      <c r="BY408" s="331" t="s">
        <v>2490</v>
      </c>
      <c r="BZ408" s="331" t="s">
        <v>2491</v>
      </c>
      <c r="CA408" s="331" t="s">
        <v>2492</v>
      </c>
      <c r="CB408" s="331" t="s">
        <v>298</v>
      </c>
      <c r="CC408" s="331" t="s">
        <v>2493</v>
      </c>
    </row>
    <row r="409" spans="1:81" x14ac:dyDescent="0.25">
      <c r="A409" s="329">
        <v>195732</v>
      </c>
      <c r="B409" s="331" t="s">
        <v>2494</v>
      </c>
      <c r="C409" s="329">
        <v>34394</v>
      </c>
      <c r="D409" s="331" t="s">
        <v>2495</v>
      </c>
      <c r="E409" s="331" t="s">
        <v>2496</v>
      </c>
      <c r="F409" s="331" t="s">
        <v>2497</v>
      </c>
      <c r="G409" s="331" t="s">
        <v>2498</v>
      </c>
      <c r="H409" s="331" t="s">
        <v>2499</v>
      </c>
      <c r="I409" s="331" t="s">
        <v>2500</v>
      </c>
      <c r="J409" s="331" t="s">
        <v>441</v>
      </c>
      <c r="K409" s="331" t="s">
        <v>2501</v>
      </c>
      <c r="L409" s="329"/>
      <c r="M409" s="329">
        <v>6</v>
      </c>
      <c r="N409" s="329">
        <v>0</v>
      </c>
      <c r="O409" s="329">
        <v>2.6135999999999999</v>
      </c>
      <c r="P409" s="329"/>
      <c r="Q409" s="333">
        <v>43633.8</v>
      </c>
      <c r="R409" s="329"/>
      <c r="S409" s="333">
        <v>43752</v>
      </c>
      <c r="T409" s="329">
        <v>55</v>
      </c>
      <c r="U409" s="333">
        <v>43752</v>
      </c>
      <c r="V409" s="333">
        <v>44109</v>
      </c>
      <c r="W409" s="329" t="b">
        <v>1</v>
      </c>
      <c r="X409" s="331" t="s">
        <v>187</v>
      </c>
      <c r="Y409" s="329">
        <v>718</v>
      </c>
      <c r="Z409" s="331" t="s">
        <v>23</v>
      </c>
      <c r="AA409" s="331" t="s">
        <v>919</v>
      </c>
      <c r="AB409" s="331" t="s">
        <v>920</v>
      </c>
      <c r="AC409" s="331" t="s">
        <v>1688</v>
      </c>
      <c r="AD409" s="331" t="s">
        <v>24</v>
      </c>
      <c r="AE409" s="329">
        <v>221</v>
      </c>
      <c r="AF409" s="331" t="s">
        <v>254</v>
      </c>
      <c r="AG409" s="329"/>
      <c r="AH409" s="329">
        <v>17</v>
      </c>
      <c r="AI409" s="331" t="s">
        <v>280</v>
      </c>
      <c r="AJ409" s="331" t="s">
        <v>281</v>
      </c>
      <c r="AK409" s="331" t="s">
        <v>275</v>
      </c>
      <c r="AL409" s="331" t="s">
        <v>290</v>
      </c>
      <c r="AM409" s="331" t="s">
        <v>274</v>
      </c>
      <c r="AN409" s="331" t="s">
        <v>301</v>
      </c>
      <c r="AO409" s="331" t="s">
        <v>289</v>
      </c>
      <c r="AP409" s="329"/>
      <c r="AQ409" s="329"/>
      <c r="AR409" s="329"/>
      <c r="AS409" s="329"/>
      <c r="AT409" s="329" t="s">
        <v>266</v>
      </c>
      <c r="AU409" s="329" t="s">
        <v>283</v>
      </c>
      <c r="AV409" s="331" t="s">
        <v>441</v>
      </c>
      <c r="AW409" s="329"/>
      <c r="AX409" s="329"/>
      <c r="AY409" s="329"/>
      <c r="AZ409" s="329"/>
      <c r="BA409" s="329"/>
      <c r="BB409" s="329"/>
      <c r="BC409" s="329"/>
      <c r="BD409" s="329"/>
      <c r="BE409" s="329" t="s">
        <v>257</v>
      </c>
      <c r="BF409" s="329" t="s">
        <v>841</v>
      </c>
      <c r="BG409" s="329"/>
      <c r="BH409" s="329"/>
      <c r="BI409" s="329"/>
      <c r="BJ409" s="329"/>
      <c r="BK409" s="329">
        <v>9000</v>
      </c>
      <c r="BL409" s="329"/>
      <c r="BM409" s="331" t="s">
        <v>189</v>
      </c>
      <c r="BN409" s="329" t="s">
        <v>922</v>
      </c>
      <c r="BO409" s="333">
        <v>43753</v>
      </c>
      <c r="BP409" s="329"/>
      <c r="BQ409" s="329"/>
      <c r="BR409" s="329"/>
      <c r="BS409" s="329"/>
      <c r="BT409" s="329"/>
      <c r="BU409" s="331" t="s">
        <v>261</v>
      </c>
      <c r="BV409" s="329"/>
      <c r="BW409" s="329"/>
      <c r="BX409" s="329"/>
      <c r="BY409" s="331" t="s">
        <v>2502</v>
      </c>
      <c r="BZ409" s="331" t="s">
        <v>2503</v>
      </c>
      <c r="CA409" s="331" t="s">
        <v>2504</v>
      </c>
      <c r="CB409" s="331" t="s">
        <v>441</v>
      </c>
      <c r="CC409" s="331" t="s">
        <v>2501</v>
      </c>
    </row>
    <row r="410" spans="1:81" x14ac:dyDescent="0.25">
      <c r="A410" s="329">
        <v>197956</v>
      </c>
      <c r="B410" s="331" t="s">
        <v>2505</v>
      </c>
      <c r="C410" s="329">
        <v>35038</v>
      </c>
      <c r="D410" s="331" t="s">
        <v>2506</v>
      </c>
      <c r="E410" s="331" t="s">
        <v>2507</v>
      </c>
      <c r="F410" s="331" t="s">
        <v>2508</v>
      </c>
      <c r="G410" s="331" t="s">
        <v>2509</v>
      </c>
      <c r="H410" s="331" t="s">
        <v>2510</v>
      </c>
      <c r="I410" s="331" t="s">
        <v>529</v>
      </c>
      <c r="J410" s="331" t="s">
        <v>335</v>
      </c>
      <c r="K410" s="331" t="s">
        <v>530</v>
      </c>
      <c r="L410" s="329"/>
      <c r="M410" s="329">
        <v>6</v>
      </c>
      <c r="N410" s="329">
        <v>0</v>
      </c>
      <c r="O410" s="329">
        <v>4</v>
      </c>
      <c r="P410" s="329"/>
      <c r="Q410" s="333">
        <v>43713.816666666666</v>
      </c>
      <c r="R410" s="329"/>
      <c r="S410" s="333">
        <v>43752</v>
      </c>
      <c r="T410" s="329">
        <v>55</v>
      </c>
      <c r="U410" s="333">
        <v>43752</v>
      </c>
      <c r="V410" s="333">
        <v>44109</v>
      </c>
      <c r="W410" s="329" t="b">
        <v>1</v>
      </c>
      <c r="X410" s="331" t="s">
        <v>187</v>
      </c>
      <c r="Y410" s="329">
        <v>718</v>
      </c>
      <c r="Z410" s="331" t="s">
        <v>23</v>
      </c>
      <c r="AA410" s="331" t="s">
        <v>919</v>
      </c>
      <c r="AB410" s="331" t="s">
        <v>920</v>
      </c>
      <c r="AC410" s="331" t="s">
        <v>2511</v>
      </c>
      <c r="AD410" s="331" t="s">
        <v>24</v>
      </c>
      <c r="AE410" s="329">
        <v>221</v>
      </c>
      <c r="AF410" s="331" t="s">
        <v>254</v>
      </c>
      <c r="AG410" s="329"/>
      <c r="AH410" s="329">
        <v>17</v>
      </c>
      <c r="AI410" s="331" t="s">
        <v>280</v>
      </c>
      <c r="AJ410" s="331" t="s">
        <v>281</v>
      </c>
      <c r="AK410" s="329"/>
      <c r="AL410" s="329"/>
      <c r="AM410" s="329"/>
      <c r="AN410" s="329"/>
      <c r="AO410" s="329"/>
      <c r="AP410" s="331" t="s">
        <v>490</v>
      </c>
      <c r="AQ410" s="329">
        <v>570</v>
      </c>
      <c r="AR410" s="329">
        <v>500</v>
      </c>
      <c r="AS410" s="329"/>
      <c r="AT410" s="329" t="s">
        <v>855</v>
      </c>
      <c r="AU410" s="329" t="s">
        <v>283</v>
      </c>
      <c r="AV410" s="331" t="s">
        <v>335</v>
      </c>
      <c r="AW410" s="329"/>
      <c r="AX410" s="329"/>
      <c r="AY410" s="329"/>
      <c r="AZ410" s="329"/>
      <c r="BA410" s="329"/>
      <c r="BB410" s="329"/>
      <c r="BC410" s="329"/>
      <c r="BD410" s="329"/>
      <c r="BE410" s="329" t="s">
        <v>257</v>
      </c>
      <c r="BF410" s="329" t="s">
        <v>834</v>
      </c>
      <c r="BG410" s="329"/>
      <c r="BH410" s="329"/>
      <c r="BI410" s="329"/>
      <c r="BJ410" s="329"/>
      <c r="BK410" s="329">
        <v>20400</v>
      </c>
      <c r="BL410" s="329"/>
      <c r="BM410" s="331" t="s">
        <v>278</v>
      </c>
      <c r="BN410" s="329" t="s">
        <v>922</v>
      </c>
      <c r="BO410" s="333">
        <v>43753</v>
      </c>
      <c r="BP410" s="329"/>
      <c r="BQ410" s="329"/>
      <c r="BR410" s="329"/>
      <c r="BS410" s="329"/>
      <c r="BT410" s="329"/>
      <c r="BU410" s="331" t="s">
        <v>261</v>
      </c>
      <c r="BV410" s="329"/>
      <c r="BW410" s="329"/>
      <c r="BX410" s="329"/>
      <c r="BY410" s="331" t="s">
        <v>2512</v>
      </c>
      <c r="BZ410" s="331" t="s">
        <v>2513</v>
      </c>
      <c r="CA410" s="331" t="s">
        <v>529</v>
      </c>
      <c r="CB410" s="331" t="s">
        <v>335</v>
      </c>
      <c r="CC410" s="331" t="s">
        <v>530</v>
      </c>
    </row>
    <row r="411" spans="1:81" x14ac:dyDescent="0.25">
      <c r="A411" s="329">
        <v>195167</v>
      </c>
      <c r="B411" s="331" t="s">
        <v>2523</v>
      </c>
      <c r="C411" s="329">
        <v>34255</v>
      </c>
      <c r="D411" s="331" t="s">
        <v>2524</v>
      </c>
      <c r="E411" s="331" t="s">
        <v>2525</v>
      </c>
      <c r="F411" s="331" t="s">
        <v>2526</v>
      </c>
      <c r="G411" s="331" t="s">
        <v>2527</v>
      </c>
      <c r="H411" s="331" t="s">
        <v>2528</v>
      </c>
      <c r="I411" s="331" t="s">
        <v>2529</v>
      </c>
      <c r="J411" s="331" t="s">
        <v>397</v>
      </c>
      <c r="K411" s="331" t="s">
        <v>2530</v>
      </c>
      <c r="L411" s="329"/>
      <c r="M411" s="329">
        <v>6</v>
      </c>
      <c r="N411" s="329">
        <v>0</v>
      </c>
      <c r="O411" s="329">
        <v>3.254</v>
      </c>
      <c r="P411" s="329"/>
      <c r="Q411" s="333">
        <v>43650.781261574077</v>
      </c>
      <c r="R411" s="329"/>
      <c r="S411" s="333">
        <v>43752</v>
      </c>
      <c r="T411" s="329">
        <v>55</v>
      </c>
      <c r="U411" s="333">
        <v>43752</v>
      </c>
      <c r="V411" s="333">
        <v>44109</v>
      </c>
      <c r="W411" s="329" t="b">
        <v>1</v>
      </c>
      <c r="X411" s="331" t="s">
        <v>22</v>
      </c>
      <c r="Y411" s="329">
        <v>726</v>
      </c>
      <c r="Z411" s="331" t="s">
        <v>23</v>
      </c>
      <c r="AA411" s="331" t="s">
        <v>919</v>
      </c>
      <c r="AB411" s="331" t="s">
        <v>920</v>
      </c>
      <c r="AC411" s="331" t="s">
        <v>1011</v>
      </c>
      <c r="AD411" s="331" t="s">
        <v>24</v>
      </c>
      <c r="AE411" s="329">
        <v>221</v>
      </c>
      <c r="AF411" s="331" t="s">
        <v>254</v>
      </c>
      <c r="AG411" s="329"/>
      <c r="AH411" s="329">
        <v>17</v>
      </c>
      <c r="AI411" s="331" t="s">
        <v>280</v>
      </c>
      <c r="AJ411" s="331" t="s">
        <v>281</v>
      </c>
      <c r="AK411" s="331" t="s">
        <v>289</v>
      </c>
      <c r="AL411" s="331" t="s">
        <v>287</v>
      </c>
      <c r="AM411" s="331" t="s">
        <v>272</v>
      </c>
      <c r="AN411" s="331" t="s">
        <v>290</v>
      </c>
      <c r="AO411" s="331" t="s">
        <v>274</v>
      </c>
      <c r="AP411" s="329"/>
      <c r="AQ411" s="329"/>
      <c r="AR411" s="329"/>
      <c r="AS411" s="329"/>
      <c r="AT411" s="329" t="s">
        <v>294</v>
      </c>
      <c r="AU411" s="329" t="s">
        <v>579</v>
      </c>
      <c r="AV411" s="331" t="s">
        <v>397</v>
      </c>
      <c r="AW411" s="329"/>
      <c r="AX411" s="329"/>
      <c r="AY411" s="329"/>
      <c r="AZ411" s="329"/>
      <c r="BA411" s="329"/>
      <c r="BB411" s="329"/>
      <c r="BC411" s="329"/>
      <c r="BD411" s="329"/>
      <c r="BE411" s="329" t="s">
        <v>257</v>
      </c>
      <c r="BF411" s="329" t="s">
        <v>834</v>
      </c>
      <c r="BG411" s="329"/>
      <c r="BH411" s="329"/>
      <c r="BI411" s="329"/>
      <c r="BJ411" s="329"/>
      <c r="BK411" s="329">
        <v>20400</v>
      </c>
      <c r="BL411" s="329"/>
      <c r="BM411" s="331" t="s">
        <v>278</v>
      </c>
      <c r="BN411" s="329" t="s">
        <v>922</v>
      </c>
      <c r="BO411" s="333">
        <v>43753</v>
      </c>
      <c r="BP411" s="329"/>
      <c r="BQ411" s="329"/>
      <c r="BR411" s="329"/>
      <c r="BS411" s="329"/>
      <c r="BT411" s="329"/>
      <c r="BU411" s="331" t="s">
        <v>261</v>
      </c>
      <c r="BV411" s="329"/>
      <c r="BW411" s="329"/>
      <c r="BX411" s="329"/>
      <c r="BY411" s="331" t="s">
        <v>2531</v>
      </c>
      <c r="BZ411" s="331" t="s">
        <v>2532</v>
      </c>
      <c r="CA411" s="331" t="s">
        <v>2533</v>
      </c>
      <c r="CB411" s="331" t="s">
        <v>397</v>
      </c>
      <c r="CC411" s="331" t="s">
        <v>2530</v>
      </c>
    </row>
    <row r="412" spans="1:81" x14ac:dyDescent="0.25">
      <c r="A412" s="329">
        <v>196576</v>
      </c>
      <c r="B412" s="331" t="s">
        <v>2567</v>
      </c>
      <c r="C412" s="329">
        <v>34694</v>
      </c>
      <c r="D412" s="331" t="s">
        <v>2568</v>
      </c>
      <c r="E412" s="331" t="s">
        <v>2569</v>
      </c>
      <c r="F412" s="331" t="s">
        <v>2570</v>
      </c>
      <c r="G412" s="331" t="s">
        <v>2571</v>
      </c>
      <c r="H412" s="331" t="s">
        <v>2572</v>
      </c>
      <c r="I412" s="331" t="s">
        <v>548</v>
      </c>
      <c r="J412" s="331" t="s">
        <v>298</v>
      </c>
      <c r="K412" s="331" t="s">
        <v>588</v>
      </c>
      <c r="L412" s="329"/>
      <c r="M412" s="329">
        <v>6</v>
      </c>
      <c r="N412" s="329">
        <v>0</v>
      </c>
      <c r="O412" s="329">
        <v>3.86</v>
      </c>
      <c r="P412" s="329"/>
      <c r="Q412" s="333">
        <v>43633.79791666667</v>
      </c>
      <c r="R412" s="329"/>
      <c r="S412" s="333">
        <v>43755</v>
      </c>
      <c r="T412" s="329">
        <v>55</v>
      </c>
      <c r="U412" s="333">
        <v>43755</v>
      </c>
      <c r="V412" s="333">
        <v>44109</v>
      </c>
      <c r="W412" s="329" t="b">
        <v>1</v>
      </c>
      <c r="X412" s="331" t="s">
        <v>22</v>
      </c>
      <c r="Y412" s="329">
        <v>429</v>
      </c>
      <c r="Z412" s="331" t="s">
        <v>23</v>
      </c>
      <c r="AA412" s="331" t="s">
        <v>919</v>
      </c>
      <c r="AB412" s="331" t="s">
        <v>920</v>
      </c>
      <c r="AC412" s="331" t="s">
        <v>2573</v>
      </c>
      <c r="AD412" s="331" t="s">
        <v>24</v>
      </c>
      <c r="AE412" s="329">
        <v>221</v>
      </c>
      <c r="AF412" s="331" t="s">
        <v>254</v>
      </c>
      <c r="AG412" s="329"/>
      <c r="AH412" s="329">
        <v>17</v>
      </c>
      <c r="AI412" s="331" t="s">
        <v>280</v>
      </c>
      <c r="AJ412" s="331" t="s">
        <v>281</v>
      </c>
      <c r="AK412" s="329"/>
      <c r="AL412" s="329"/>
      <c r="AM412" s="329"/>
      <c r="AN412" s="329"/>
      <c r="AO412" s="329"/>
      <c r="AP412" s="331" t="s">
        <v>371</v>
      </c>
      <c r="AQ412" s="329">
        <v>620</v>
      </c>
      <c r="AR412" s="329">
        <v>590</v>
      </c>
      <c r="AS412" s="329"/>
      <c r="AT412" s="329" t="s">
        <v>398</v>
      </c>
      <c r="AU412" s="329" t="s">
        <v>283</v>
      </c>
      <c r="AV412" s="331" t="s">
        <v>298</v>
      </c>
      <c r="AW412" s="329"/>
      <c r="AX412" s="329"/>
      <c r="AY412" s="329"/>
      <c r="AZ412" s="329"/>
      <c r="BA412" s="329"/>
      <c r="BB412" s="329"/>
      <c r="BC412" s="329"/>
      <c r="BD412" s="329"/>
      <c r="BE412" s="329" t="s">
        <v>257</v>
      </c>
      <c r="BF412" s="329" t="s">
        <v>834</v>
      </c>
      <c r="BG412" s="329"/>
      <c r="BH412" s="329"/>
      <c r="BI412" s="329"/>
      <c r="BJ412" s="329"/>
      <c r="BK412" s="329">
        <v>20400</v>
      </c>
      <c r="BL412" s="329"/>
      <c r="BM412" s="331" t="s">
        <v>278</v>
      </c>
      <c r="BN412" s="329" t="s">
        <v>922</v>
      </c>
      <c r="BO412" s="333">
        <v>43753</v>
      </c>
      <c r="BP412" s="329"/>
      <c r="BQ412" s="329"/>
      <c r="BR412" s="329"/>
      <c r="BS412" s="329"/>
      <c r="BT412" s="329"/>
      <c r="BU412" s="331" t="s">
        <v>261</v>
      </c>
      <c r="BV412" s="329"/>
      <c r="BW412" s="329"/>
      <c r="BX412" s="329"/>
      <c r="BY412" s="331" t="s">
        <v>1470</v>
      </c>
      <c r="BZ412" s="331" t="s">
        <v>1471</v>
      </c>
      <c r="CA412" s="331" t="s">
        <v>1472</v>
      </c>
      <c r="CB412" s="331" t="s">
        <v>298</v>
      </c>
      <c r="CC412" s="331" t="s">
        <v>1473</v>
      </c>
    </row>
    <row r="413" spans="1:81" x14ac:dyDescent="0.25">
      <c r="A413" s="329">
        <v>196422</v>
      </c>
      <c r="B413" s="331" t="s">
        <v>2574</v>
      </c>
      <c r="C413" s="329">
        <v>34642</v>
      </c>
      <c r="D413" s="331" t="s">
        <v>2575</v>
      </c>
      <c r="E413" s="331" t="s">
        <v>503</v>
      </c>
      <c r="F413" s="331" t="s">
        <v>2576</v>
      </c>
      <c r="G413" s="331" t="s">
        <v>2577</v>
      </c>
      <c r="H413" s="331" t="s">
        <v>2578</v>
      </c>
      <c r="I413" s="331" t="s">
        <v>2579</v>
      </c>
      <c r="J413" s="331" t="s">
        <v>378</v>
      </c>
      <c r="K413" s="331" t="s">
        <v>2580</v>
      </c>
      <c r="L413" s="329"/>
      <c r="M413" s="329">
        <v>6</v>
      </c>
      <c r="N413" s="329">
        <v>0</v>
      </c>
      <c r="O413" s="329">
        <v>3.8730000000000002</v>
      </c>
      <c r="P413" s="329"/>
      <c r="Q413" s="333">
        <v>43702.42083333333</v>
      </c>
      <c r="R413" s="329"/>
      <c r="S413" s="333">
        <v>43753</v>
      </c>
      <c r="T413" s="329">
        <v>55</v>
      </c>
      <c r="U413" s="333">
        <v>43753</v>
      </c>
      <c r="V413" s="333">
        <v>44109</v>
      </c>
      <c r="W413" s="329" t="b">
        <v>1</v>
      </c>
      <c r="X413" s="331" t="s">
        <v>187</v>
      </c>
      <c r="Y413" s="329">
        <v>718</v>
      </c>
      <c r="Z413" s="331" t="s">
        <v>23</v>
      </c>
      <c r="AA413" s="331" t="s">
        <v>919</v>
      </c>
      <c r="AB413" s="331" t="s">
        <v>920</v>
      </c>
      <c r="AC413" s="331" t="s">
        <v>264</v>
      </c>
      <c r="AD413" s="331" t="s">
        <v>24</v>
      </c>
      <c r="AE413" s="329">
        <v>221</v>
      </c>
      <c r="AF413" s="331" t="s">
        <v>254</v>
      </c>
      <c r="AG413" s="329"/>
      <c r="AH413" s="329">
        <v>17</v>
      </c>
      <c r="AI413" s="331" t="s">
        <v>280</v>
      </c>
      <c r="AJ413" s="331" t="s">
        <v>281</v>
      </c>
      <c r="AK413" s="331" t="s">
        <v>348</v>
      </c>
      <c r="AL413" s="331" t="s">
        <v>286</v>
      </c>
      <c r="AM413" s="331" t="s">
        <v>348</v>
      </c>
      <c r="AN413" s="331" t="s">
        <v>286</v>
      </c>
      <c r="AO413" s="331" t="s">
        <v>348</v>
      </c>
      <c r="AP413" s="329"/>
      <c r="AQ413" s="329"/>
      <c r="AR413" s="329"/>
      <c r="AS413" s="329"/>
      <c r="AT413" s="329" t="s">
        <v>2581</v>
      </c>
      <c r="AU413" s="329" t="s">
        <v>256</v>
      </c>
      <c r="AV413" s="331" t="s">
        <v>378</v>
      </c>
      <c r="AW413" s="329"/>
      <c r="AX413" s="329"/>
      <c r="AY413" s="329"/>
      <c r="AZ413" s="329"/>
      <c r="BA413" s="329"/>
      <c r="BB413" s="329"/>
      <c r="BC413" s="329"/>
      <c r="BD413" s="329"/>
      <c r="BE413" s="329" t="s">
        <v>257</v>
      </c>
      <c r="BF413" s="329" t="s">
        <v>834</v>
      </c>
      <c r="BG413" s="329"/>
      <c r="BH413" s="329"/>
      <c r="BI413" s="329"/>
      <c r="BJ413" s="329"/>
      <c r="BK413" s="329">
        <v>20400</v>
      </c>
      <c r="BL413" s="329"/>
      <c r="BM413" s="331" t="s">
        <v>278</v>
      </c>
      <c r="BN413" s="329" t="s">
        <v>922</v>
      </c>
      <c r="BO413" s="333">
        <v>43753</v>
      </c>
      <c r="BP413" s="329"/>
      <c r="BQ413" s="329"/>
      <c r="BR413" s="329"/>
      <c r="BS413" s="329"/>
      <c r="BT413" s="329"/>
      <c r="BU413" s="331" t="s">
        <v>261</v>
      </c>
      <c r="BV413" s="329"/>
      <c r="BW413" s="329"/>
      <c r="BX413" s="329"/>
      <c r="BY413" s="331" t="s">
        <v>2582</v>
      </c>
      <c r="BZ413" s="331" t="s">
        <v>2583</v>
      </c>
      <c r="CA413" s="331" t="s">
        <v>2584</v>
      </c>
      <c r="CB413" s="331" t="s">
        <v>378</v>
      </c>
      <c r="CC413" s="331" t="s">
        <v>2585</v>
      </c>
    </row>
    <row r="414" spans="1:81" x14ac:dyDescent="0.25">
      <c r="A414" s="329">
        <v>198359</v>
      </c>
      <c r="B414" s="331" t="s">
        <v>2597</v>
      </c>
      <c r="C414" s="329">
        <v>35242</v>
      </c>
      <c r="D414" s="331" t="s">
        <v>2598</v>
      </c>
      <c r="E414" s="331" t="s">
        <v>500</v>
      </c>
      <c r="F414" s="331" t="s">
        <v>2599</v>
      </c>
      <c r="G414" s="331" t="s">
        <v>2600</v>
      </c>
      <c r="H414" s="331" t="s">
        <v>2601</v>
      </c>
      <c r="I414" s="331" t="s">
        <v>2602</v>
      </c>
      <c r="J414" s="331" t="s">
        <v>321</v>
      </c>
      <c r="K414" s="331" t="s">
        <v>2603</v>
      </c>
      <c r="L414" s="329"/>
      <c r="M414" s="329">
        <v>6</v>
      </c>
      <c r="N414" s="329">
        <v>0</v>
      </c>
      <c r="O414" s="329">
        <v>3.1276999999999999</v>
      </c>
      <c r="P414" s="329"/>
      <c r="Q414" s="333">
        <v>43739.79791666667</v>
      </c>
      <c r="R414" s="329"/>
      <c r="S414" s="333">
        <v>43752</v>
      </c>
      <c r="T414" s="329">
        <v>55</v>
      </c>
      <c r="U414" s="333">
        <v>43752</v>
      </c>
      <c r="V414" s="333">
        <v>44109</v>
      </c>
      <c r="W414" s="329" t="b">
        <v>1</v>
      </c>
      <c r="X414" s="331" t="s">
        <v>187</v>
      </c>
      <c r="Y414" s="329">
        <v>718</v>
      </c>
      <c r="Z414" s="331" t="s">
        <v>23</v>
      </c>
      <c r="AA414" s="331" t="s">
        <v>919</v>
      </c>
      <c r="AB414" s="331" t="s">
        <v>920</v>
      </c>
      <c r="AC414" s="331" t="s">
        <v>264</v>
      </c>
      <c r="AD414" s="331" t="s">
        <v>24</v>
      </c>
      <c r="AE414" s="329">
        <v>221</v>
      </c>
      <c r="AF414" s="331" t="s">
        <v>254</v>
      </c>
      <c r="AG414" s="329"/>
      <c r="AH414" s="329">
        <v>17</v>
      </c>
      <c r="AI414" s="331" t="s">
        <v>280</v>
      </c>
      <c r="AJ414" s="331" t="s">
        <v>281</v>
      </c>
      <c r="AK414" s="329"/>
      <c r="AL414" s="329"/>
      <c r="AM414" s="329"/>
      <c r="AN414" s="329"/>
      <c r="AO414" s="329"/>
      <c r="AP414" s="329"/>
      <c r="AQ414" s="329"/>
      <c r="AR414" s="329"/>
      <c r="AS414" s="329"/>
      <c r="AT414" s="329" t="s">
        <v>258</v>
      </c>
      <c r="AU414" s="329" t="s">
        <v>256</v>
      </c>
      <c r="AV414" s="331" t="s">
        <v>321</v>
      </c>
      <c r="AW414" s="329"/>
      <c r="AX414" s="329"/>
      <c r="AY414" s="329"/>
      <c r="AZ414" s="329"/>
      <c r="BA414" s="329"/>
      <c r="BB414" s="329"/>
      <c r="BC414" s="329"/>
      <c r="BD414" s="329"/>
      <c r="BE414" s="329"/>
      <c r="BF414" s="329"/>
      <c r="BG414" s="329"/>
      <c r="BH414" s="329"/>
      <c r="BI414" s="329"/>
      <c r="BJ414" s="329"/>
      <c r="BK414" s="329">
        <v>0</v>
      </c>
      <c r="BL414" s="329"/>
      <c r="BM414" s="331" t="s">
        <v>323</v>
      </c>
      <c r="BN414" s="329" t="s">
        <v>922</v>
      </c>
      <c r="BO414" s="333">
        <v>43753</v>
      </c>
      <c r="BP414" s="329"/>
      <c r="BQ414" s="329"/>
      <c r="BR414" s="329"/>
      <c r="BS414" s="329"/>
      <c r="BT414" s="329"/>
      <c r="BU414" s="331" t="s">
        <v>261</v>
      </c>
      <c r="BV414" s="329"/>
      <c r="BW414" s="329"/>
      <c r="BX414" s="329"/>
      <c r="BY414" s="331" t="s">
        <v>2604</v>
      </c>
      <c r="BZ414" s="331" t="s">
        <v>2605</v>
      </c>
      <c r="CA414" s="331" t="s">
        <v>2606</v>
      </c>
      <c r="CB414" s="331" t="s">
        <v>321</v>
      </c>
      <c r="CC414" s="331" t="s">
        <v>2607</v>
      </c>
    </row>
    <row r="415" spans="1:81" x14ac:dyDescent="0.25">
      <c r="A415" s="329">
        <v>196211</v>
      </c>
      <c r="B415" s="331" t="s">
        <v>2608</v>
      </c>
      <c r="C415" s="329">
        <v>34556</v>
      </c>
      <c r="D415" s="331" t="s">
        <v>2609</v>
      </c>
      <c r="E415" s="331" t="s">
        <v>2610</v>
      </c>
      <c r="F415" s="331" t="s">
        <v>2611</v>
      </c>
      <c r="G415" s="331" t="s">
        <v>2612</v>
      </c>
      <c r="H415" s="331" t="s">
        <v>2613</v>
      </c>
      <c r="I415" s="331" t="s">
        <v>2614</v>
      </c>
      <c r="J415" s="331" t="s">
        <v>298</v>
      </c>
      <c r="K415" s="331" t="s">
        <v>2615</v>
      </c>
      <c r="L415" s="329"/>
      <c r="M415" s="329">
        <v>6</v>
      </c>
      <c r="N415" s="329">
        <v>0</v>
      </c>
      <c r="O415" s="329">
        <v>3.83</v>
      </c>
      <c r="P415" s="329"/>
      <c r="Q415" s="333">
        <v>43670.729166666664</v>
      </c>
      <c r="R415" s="329"/>
      <c r="S415" s="333">
        <v>43752</v>
      </c>
      <c r="T415" s="329">
        <v>55</v>
      </c>
      <c r="U415" s="333">
        <v>43752</v>
      </c>
      <c r="V415" s="333">
        <v>44109</v>
      </c>
      <c r="W415" s="329" t="b">
        <v>1</v>
      </c>
      <c r="X415" s="331" t="s">
        <v>22</v>
      </c>
      <c r="Y415" s="329">
        <v>429</v>
      </c>
      <c r="Z415" s="331" t="s">
        <v>25</v>
      </c>
      <c r="AA415" s="331" t="s">
        <v>919</v>
      </c>
      <c r="AB415" s="331" t="s">
        <v>920</v>
      </c>
      <c r="AC415" s="331" t="s">
        <v>1218</v>
      </c>
      <c r="AD415" s="331" t="s">
        <v>24</v>
      </c>
      <c r="AE415" s="329">
        <v>221</v>
      </c>
      <c r="AF415" s="331" t="s">
        <v>254</v>
      </c>
      <c r="AG415" s="329"/>
      <c r="AH415" s="329">
        <v>17</v>
      </c>
      <c r="AI415" s="331" t="s">
        <v>280</v>
      </c>
      <c r="AJ415" s="331" t="s">
        <v>281</v>
      </c>
      <c r="AK415" s="329"/>
      <c r="AL415" s="329"/>
      <c r="AM415" s="329"/>
      <c r="AN415" s="329"/>
      <c r="AO415" s="329"/>
      <c r="AP415" s="331" t="s">
        <v>457</v>
      </c>
      <c r="AQ415" s="329">
        <v>590</v>
      </c>
      <c r="AR415" s="329">
        <v>590</v>
      </c>
      <c r="AS415" s="329"/>
      <c r="AT415" s="329" t="s">
        <v>291</v>
      </c>
      <c r="AU415" s="329" t="s">
        <v>283</v>
      </c>
      <c r="AV415" s="331" t="s">
        <v>298</v>
      </c>
      <c r="AW415" s="329"/>
      <c r="AX415" s="329"/>
      <c r="AY415" s="329"/>
      <c r="AZ415" s="329"/>
      <c r="BA415" s="329"/>
      <c r="BB415" s="329"/>
      <c r="BC415" s="329"/>
      <c r="BD415" s="329"/>
      <c r="BE415" s="329" t="s">
        <v>257</v>
      </c>
      <c r="BF415" s="329" t="s">
        <v>834</v>
      </c>
      <c r="BG415" s="329"/>
      <c r="BH415" s="329"/>
      <c r="BI415" s="329"/>
      <c r="BJ415" s="329"/>
      <c r="BK415" s="329">
        <v>20400</v>
      </c>
      <c r="BL415" s="329"/>
      <c r="BM415" s="331" t="s">
        <v>278</v>
      </c>
      <c r="BN415" s="329" t="s">
        <v>922</v>
      </c>
      <c r="BO415" s="333">
        <v>43753</v>
      </c>
      <c r="BP415" s="329"/>
      <c r="BQ415" s="329"/>
      <c r="BR415" s="329"/>
      <c r="BS415" s="329"/>
      <c r="BT415" s="329"/>
      <c r="BU415" s="331" t="s">
        <v>261</v>
      </c>
      <c r="BV415" s="329"/>
      <c r="BW415" s="329"/>
      <c r="BX415" s="329"/>
      <c r="BY415" s="331" t="s">
        <v>2616</v>
      </c>
      <c r="BZ415" s="331" t="s">
        <v>2617</v>
      </c>
      <c r="CA415" s="331" t="s">
        <v>2618</v>
      </c>
      <c r="CB415" s="331" t="s">
        <v>298</v>
      </c>
      <c r="CC415" s="331" t="s">
        <v>783</v>
      </c>
    </row>
    <row r="416" spans="1:81" x14ac:dyDescent="0.25">
      <c r="A416" s="329">
        <v>197603</v>
      </c>
      <c r="B416" s="331" t="s">
        <v>2619</v>
      </c>
      <c r="C416" s="329">
        <v>34921</v>
      </c>
      <c r="D416" s="331" t="s">
        <v>2620</v>
      </c>
      <c r="E416" s="331" t="s">
        <v>2621</v>
      </c>
      <c r="F416" s="331" t="s">
        <v>2622</v>
      </c>
      <c r="G416" s="331" t="s">
        <v>2623</v>
      </c>
      <c r="H416" s="331" t="s">
        <v>2624</v>
      </c>
      <c r="I416" s="331" t="s">
        <v>2625</v>
      </c>
      <c r="J416" s="331" t="s">
        <v>378</v>
      </c>
      <c r="K416" s="331" t="s">
        <v>2626</v>
      </c>
      <c r="L416" s="329"/>
      <c r="M416" s="329">
        <v>6</v>
      </c>
      <c r="N416" s="329">
        <v>0</v>
      </c>
      <c r="O416" s="329">
        <v>3.66</v>
      </c>
      <c r="P416" s="329"/>
      <c r="Q416" s="333">
        <v>43717.638935185183</v>
      </c>
      <c r="R416" s="329"/>
      <c r="S416" s="333">
        <v>43752</v>
      </c>
      <c r="T416" s="329">
        <v>55</v>
      </c>
      <c r="U416" s="333">
        <v>43752</v>
      </c>
      <c r="V416" s="333">
        <v>44109</v>
      </c>
      <c r="W416" s="329" t="b">
        <v>1</v>
      </c>
      <c r="X416" s="331" t="s">
        <v>187</v>
      </c>
      <c r="Y416" s="329">
        <v>718</v>
      </c>
      <c r="Z416" s="331" t="s">
        <v>25</v>
      </c>
      <c r="AA416" s="331" t="s">
        <v>919</v>
      </c>
      <c r="AB416" s="331" t="s">
        <v>920</v>
      </c>
      <c r="AC416" s="331" t="s">
        <v>1446</v>
      </c>
      <c r="AD416" s="331" t="s">
        <v>24</v>
      </c>
      <c r="AE416" s="329">
        <v>221</v>
      </c>
      <c r="AF416" s="331" t="s">
        <v>254</v>
      </c>
      <c r="AG416" s="329"/>
      <c r="AH416" s="329">
        <v>17</v>
      </c>
      <c r="AI416" s="331" t="s">
        <v>280</v>
      </c>
      <c r="AJ416" s="331" t="s">
        <v>281</v>
      </c>
      <c r="AK416" s="331" t="s">
        <v>287</v>
      </c>
      <c r="AL416" s="331" t="s">
        <v>273</v>
      </c>
      <c r="AM416" s="331" t="s">
        <v>274</v>
      </c>
      <c r="AN416" s="331" t="s">
        <v>286</v>
      </c>
      <c r="AO416" s="331" t="s">
        <v>289</v>
      </c>
      <c r="AP416" s="329"/>
      <c r="AQ416" s="329"/>
      <c r="AR416" s="329"/>
      <c r="AS416" s="329"/>
      <c r="AT416" s="329" t="s">
        <v>398</v>
      </c>
      <c r="AU416" s="329" t="s">
        <v>283</v>
      </c>
      <c r="AV416" s="331" t="s">
        <v>378</v>
      </c>
      <c r="AW416" s="329"/>
      <c r="AX416" s="329"/>
      <c r="AY416" s="329"/>
      <c r="AZ416" s="329"/>
      <c r="BA416" s="329"/>
      <c r="BB416" s="329"/>
      <c r="BC416" s="329"/>
      <c r="BD416" s="329"/>
      <c r="BE416" s="329" t="s">
        <v>257</v>
      </c>
      <c r="BF416" s="329" t="s">
        <v>834</v>
      </c>
      <c r="BG416" s="329"/>
      <c r="BH416" s="329"/>
      <c r="BI416" s="329"/>
      <c r="BJ416" s="329"/>
      <c r="BK416" s="329">
        <v>20400</v>
      </c>
      <c r="BL416" s="329"/>
      <c r="BM416" s="331" t="s">
        <v>278</v>
      </c>
      <c r="BN416" s="329" t="s">
        <v>922</v>
      </c>
      <c r="BO416" s="333">
        <v>43753</v>
      </c>
      <c r="BP416" s="329"/>
      <c r="BQ416" s="329"/>
      <c r="BR416" s="329"/>
      <c r="BS416" s="329"/>
      <c r="BT416" s="329"/>
      <c r="BU416" s="331" t="s">
        <v>261</v>
      </c>
      <c r="BV416" s="329"/>
      <c r="BW416" s="329"/>
      <c r="BX416" s="329"/>
      <c r="BY416" s="331" t="s">
        <v>2627</v>
      </c>
      <c r="BZ416" s="331" t="s">
        <v>2628</v>
      </c>
      <c r="CA416" s="331" t="s">
        <v>2629</v>
      </c>
      <c r="CB416" s="331" t="s">
        <v>378</v>
      </c>
      <c r="CC416" s="331" t="s">
        <v>2630</v>
      </c>
    </row>
    <row r="417" spans="1:81" x14ac:dyDescent="0.25">
      <c r="A417" s="329">
        <v>195554</v>
      </c>
      <c r="B417" s="331" t="s">
        <v>2631</v>
      </c>
      <c r="C417" s="329">
        <v>34357</v>
      </c>
      <c r="D417" s="331" t="s">
        <v>2632</v>
      </c>
      <c r="E417" s="331" t="s">
        <v>2633</v>
      </c>
      <c r="F417" s="331" t="s">
        <v>2634</v>
      </c>
      <c r="G417" s="331" t="s">
        <v>2635</v>
      </c>
      <c r="H417" s="331" t="s">
        <v>2636</v>
      </c>
      <c r="I417" s="331" t="s">
        <v>2637</v>
      </c>
      <c r="J417" s="331" t="s">
        <v>297</v>
      </c>
      <c r="K417" s="331" t="s">
        <v>2638</v>
      </c>
      <c r="L417" s="329"/>
      <c r="M417" s="329">
        <v>6</v>
      </c>
      <c r="N417" s="329">
        <v>0</v>
      </c>
      <c r="O417" s="329">
        <v>3</v>
      </c>
      <c r="P417" s="329"/>
      <c r="Q417" s="333">
        <v>43665.993055555555</v>
      </c>
      <c r="R417" s="329"/>
      <c r="S417" s="333">
        <v>43752</v>
      </c>
      <c r="T417" s="329">
        <v>55</v>
      </c>
      <c r="U417" s="333">
        <v>43752</v>
      </c>
      <c r="V417" s="333">
        <v>44109</v>
      </c>
      <c r="W417" s="329" t="b">
        <v>1</v>
      </c>
      <c r="X417" s="331" t="s">
        <v>22</v>
      </c>
      <c r="Y417" s="329">
        <v>726</v>
      </c>
      <c r="Z417" s="331" t="s">
        <v>23</v>
      </c>
      <c r="AA417" s="331" t="s">
        <v>919</v>
      </c>
      <c r="AB417" s="331" t="s">
        <v>920</v>
      </c>
      <c r="AC417" s="331" t="s">
        <v>375</v>
      </c>
      <c r="AD417" s="331" t="s">
        <v>24</v>
      </c>
      <c r="AE417" s="329">
        <v>221</v>
      </c>
      <c r="AF417" s="331" t="s">
        <v>254</v>
      </c>
      <c r="AG417" s="329"/>
      <c r="AH417" s="329">
        <v>17</v>
      </c>
      <c r="AI417" s="331" t="s">
        <v>280</v>
      </c>
      <c r="AJ417" s="331" t="s">
        <v>281</v>
      </c>
      <c r="AK417" s="331" t="s">
        <v>299</v>
      </c>
      <c r="AL417" s="331" t="s">
        <v>299</v>
      </c>
      <c r="AM417" s="331" t="s">
        <v>331</v>
      </c>
      <c r="AN417" s="331" t="s">
        <v>331</v>
      </c>
      <c r="AO417" s="331" t="s">
        <v>290</v>
      </c>
      <c r="AP417" s="329"/>
      <c r="AQ417" s="329"/>
      <c r="AR417" s="329"/>
      <c r="AS417" s="329"/>
      <c r="AT417" s="329" t="s">
        <v>266</v>
      </c>
      <c r="AU417" s="329" t="s">
        <v>256</v>
      </c>
      <c r="AV417" s="331" t="s">
        <v>297</v>
      </c>
      <c r="AW417" s="329"/>
      <c r="AX417" s="329"/>
      <c r="AY417" s="329"/>
      <c r="AZ417" s="329"/>
      <c r="BA417" s="329"/>
      <c r="BB417" s="329"/>
      <c r="BC417" s="329"/>
      <c r="BD417" s="329"/>
      <c r="BE417" s="329" t="s">
        <v>257</v>
      </c>
      <c r="BF417" s="329" t="s">
        <v>841</v>
      </c>
      <c r="BG417" s="329"/>
      <c r="BH417" s="329"/>
      <c r="BI417" s="329"/>
      <c r="BJ417" s="329"/>
      <c r="BK417" s="329">
        <v>9000</v>
      </c>
      <c r="BL417" s="329"/>
      <c r="BM417" s="331" t="s">
        <v>189</v>
      </c>
      <c r="BN417" s="329" t="s">
        <v>922</v>
      </c>
      <c r="BO417" s="333">
        <v>43753</v>
      </c>
      <c r="BP417" s="329"/>
      <c r="BQ417" s="329"/>
      <c r="BR417" s="329"/>
      <c r="BS417" s="329"/>
      <c r="BT417" s="329"/>
      <c r="BU417" s="331" t="s">
        <v>261</v>
      </c>
      <c r="BV417" s="329"/>
      <c r="BW417" s="329"/>
      <c r="BX417" s="329"/>
      <c r="BY417" s="331" t="s">
        <v>2639</v>
      </c>
      <c r="BZ417" s="331" t="s">
        <v>2640</v>
      </c>
      <c r="CA417" s="331" t="s">
        <v>2641</v>
      </c>
      <c r="CB417" s="331" t="s">
        <v>297</v>
      </c>
      <c r="CC417" s="331" t="s">
        <v>2642</v>
      </c>
    </row>
    <row r="418" spans="1:81" x14ac:dyDescent="0.25">
      <c r="A418" s="329">
        <v>198280</v>
      </c>
      <c r="B418" s="331" t="s">
        <v>2643</v>
      </c>
      <c r="C418" s="329">
        <v>35193</v>
      </c>
      <c r="D418" s="331" t="s">
        <v>2644</v>
      </c>
      <c r="E418" s="331" t="s">
        <v>2645</v>
      </c>
      <c r="F418" s="331" t="s">
        <v>2646</v>
      </c>
      <c r="G418" s="331" t="s">
        <v>2647</v>
      </c>
      <c r="H418" s="331" t="s">
        <v>2648</v>
      </c>
      <c r="I418" s="331" t="s">
        <v>2649</v>
      </c>
      <c r="J418" s="331" t="s">
        <v>298</v>
      </c>
      <c r="K418" s="331" t="s">
        <v>2650</v>
      </c>
      <c r="L418" s="329"/>
      <c r="M418" s="329">
        <v>6</v>
      </c>
      <c r="N418" s="329">
        <v>0</v>
      </c>
      <c r="O418" s="329">
        <v>3.0556000000000001</v>
      </c>
      <c r="P418" s="329"/>
      <c r="Q418" s="333">
        <v>43641.673622685186</v>
      </c>
      <c r="R418" s="329"/>
      <c r="S418" s="333">
        <v>43752</v>
      </c>
      <c r="T418" s="329">
        <v>55</v>
      </c>
      <c r="U418" s="333">
        <v>43752</v>
      </c>
      <c r="V418" s="333">
        <v>44109</v>
      </c>
      <c r="W418" s="329" t="b">
        <v>1</v>
      </c>
      <c r="X418" s="331" t="s">
        <v>187</v>
      </c>
      <c r="Y418" s="329">
        <v>718</v>
      </c>
      <c r="Z418" s="331" t="s">
        <v>23</v>
      </c>
      <c r="AA418" s="331" t="s">
        <v>919</v>
      </c>
      <c r="AB418" s="331" t="s">
        <v>920</v>
      </c>
      <c r="AC418" s="331" t="s">
        <v>1097</v>
      </c>
      <c r="AD418" s="331" t="s">
        <v>24</v>
      </c>
      <c r="AE418" s="329">
        <v>221</v>
      </c>
      <c r="AF418" s="331" t="s">
        <v>254</v>
      </c>
      <c r="AG418" s="329"/>
      <c r="AH418" s="329">
        <v>17</v>
      </c>
      <c r="AI418" s="331" t="s">
        <v>280</v>
      </c>
      <c r="AJ418" s="331" t="s">
        <v>281</v>
      </c>
      <c r="AK418" s="329"/>
      <c r="AL418" s="329"/>
      <c r="AM418" s="329"/>
      <c r="AN418" s="329"/>
      <c r="AO418" s="329"/>
      <c r="AP418" s="331" t="s">
        <v>474</v>
      </c>
      <c r="AQ418" s="329"/>
      <c r="AR418" s="329"/>
      <c r="AS418" s="329"/>
      <c r="AT418" s="329" t="s">
        <v>833</v>
      </c>
      <c r="AU418" s="329" t="s">
        <v>963</v>
      </c>
      <c r="AV418" s="331" t="s">
        <v>298</v>
      </c>
      <c r="AW418" s="329"/>
      <c r="AX418" s="329"/>
      <c r="AY418" s="329"/>
      <c r="AZ418" s="329"/>
      <c r="BA418" s="329"/>
      <c r="BB418" s="329"/>
      <c r="BC418" s="329"/>
      <c r="BD418" s="329"/>
      <c r="BE418" s="329" t="s">
        <v>257</v>
      </c>
      <c r="BF418" s="329" t="s">
        <v>838</v>
      </c>
      <c r="BG418" s="329"/>
      <c r="BH418" s="329"/>
      <c r="BI418" s="329"/>
      <c r="BJ418" s="329"/>
      <c r="BK418" s="329">
        <v>15600</v>
      </c>
      <c r="BL418" s="329"/>
      <c r="BM418" s="331" t="s">
        <v>259</v>
      </c>
      <c r="BN418" s="329" t="s">
        <v>922</v>
      </c>
      <c r="BO418" s="333">
        <v>43753</v>
      </c>
      <c r="BP418" s="329"/>
      <c r="BQ418" s="329"/>
      <c r="BR418" s="329"/>
      <c r="BS418" s="329"/>
      <c r="BT418" s="329"/>
      <c r="BU418" s="331" t="s">
        <v>261</v>
      </c>
      <c r="BV418" s="329"/>
      <c r="BW418" s="329"/>
      <c r="BX418" s="329"/>
      <c r="BY418" s="331" t="s">
        <v>2651</v>
      </c>
      <c r="BZ418" s="331" t="s">
        <v>2652</v>
      </c>
      <c r="CA418" s="331" t="s">
        <v>2653</v>
      </c>
      <c r="CB418" s="331" t="s">
        <v>298</v>
      </c>
      <c r="CC418" s="331" t="s">
        <v>2654</v>
      </c>
    </row>
    <row r="419" spans="1:81" x14ac:dyDescent="0.25">
      <c r="A419" s="329">
        <v>197552</v>
      </c>
      <c r="B419" s="331" t="s">
        <v>2655</v>
      </c>
      <c r="C419" s="329">
        <v>34903</v>
      </c>
      <c r="D419" s="331" t="s">
        <v>2656</v>
      </c>
      <c r="E419" s="331" t="s">
        <v>563</v>
      </c>
      <c r="F419" s="331" t="s">
        <v>2657</v>
      </c>
      <c r="G419" s="331" t="s">
        <v>2658</v>
      </c>
      <c r="H419" s="331" t="s">
        <v>2659</v>
      </c>
      <c r="I419" s="331" t="s">
        <v>2660</v>
      </c>
      <c r="J419" s="331" t="s">
        <v>322</v>
      </c>
      <c r="K419" s="331" t="s">
        <v>2661</v>
      </c>
      <c r="L419" s="329"/>
      <c r="M419" s="329">
        <v>6</v>
      </c>
      <c r="N419" s="329">
        <v>0</v>
      </c>
      <c r="O419" s="329">
        <v>3.34</v>
      </c>
      <c r="P419" s="329"/>
      <c r="Q419" s="333">
        <v>43710.554861111108</v>
      </c>
      <c r="R419" s="329"/>
      <c r="S419" s="333">
        <v>43752</v>
      </c>
      <c r="T419" s="329">
        <v>55</v>
      </c>
      <c r="U419" s="333">
        <v>43752</v>
      </c>
      <c r="V419" s="333">
        <v>44109</v>
      </c>
      <c r="W419" s="329" t="b">
        <v>1</v>
      </c>
      <c r="X419" s="331" t="s">
        <v>187</v>
      </c>
      <c r="Y419" s="329">
        <v>718</v>
      </c>
      <c r="Z419" s="331" t="s">
        <v>23</v>
      </c>
      <c r="AA419" s="331" t="s">
        <v>919</v>
      </c>
      <c r="AB419" s="331" t="s">
        <v>920</v>
      </c>
      <c r="AC419" s="331" t="s">
        <v>337</v>
      </c>
      <c r="AD419" s="331" t="s">
        <v>24</v>
      </c>
      <c r="AE419" s="329">
        <v>221</v>
      </c>
      <c r="AF419" s="331" t="s">
        <v>254</v>
      </c>
      <c r="AG419" s="329"/>
      <c r="AH419" s="329">
        <v>17</v>
      </c>
      <c r="AI419" s="331" t="s">
        <v>280</v>
      </c>
      <c r="AJ419" s="331" t="s">
        <v>281</v>
      </c>
      <c r="AK419" s="331" t="s">
        <v>300</v>
      </c>
      <c r="AL419" s="331" t="s">
        <v>300</v>
      </c>
      <c r="AM419" s="331" t="s">
        <v>331</v>
      </c>
      <c r="AN419" s="331" t="s">
        <v>274</v>
      </c>
      <c r="AO419" s="331" t="s">
        <v>275</v>
      </c>
      <c r="AP419" s="329"/>
      <c r="AQ419" s="329"/>
      <c r="AR419" s="329"/>
      <c r="AS419" s="329"/>
      <c r="AT419" s="329" t="s">
        <v>309</v>
      </c>
      <c r="AU419" s="329" t="s">
        <v>283</v>
      </c>
      <c r="AV419" s="331" t="s">
        <v>322</v>
      </c>
      <c r="AW419" s="329"/>
      <c r="AX419" s="329"/>
      <c r="AY419" s="329"/>
      <c r="AZ419" s="329"/>
      <c r="BA419" s="329"/>
      <c r="BB419" s="329"/>
      <c r="BC419" s="329"/>
      <c r="BD419" s="329"/>
      <c r="BE419" s="329" t="s">
        <v>257</v>
      </c>
      <c r="BF419" s="329" t="s">
        <v>838</v>
      </c>
      <c r="BG419" s="329"/>
      <c r="BH419" s="329"/>
      <c r="BI419" s="329"/>
      <c r="BJ419" s="329"/>
      <c r="BK419" s="329">
        <v>15600</v>
      </c>
      <c r="BL419" s="329"/>
      <c r="BM419" s="331" t="s">
        <v>259</v>
      </c>
      <c r="BN419" s="329" t="s">
        <v>922</v>
      </c>
      <c r="BO419" s="333">
        <v>43753</v>
      </c>
      <c r="BP419" s="329"/>
      <c r="BQ419" s="329"/>
      <c r="BR419" s="329"/>
      <c r="BS419" s="329"/>
      <c r="BT419" s="329"/>
      <c r="BU419" s="331" t="s">
        <v>261</v>
      </c>
      <c r="BV419" s="329"/>
      <c r="BW419" s="329"/>
      <c r="BX419" s="329"/>
      <c r="BY419" s="331" t="s">
        <v>2662</v>
      </c>
      <c r="BZ419" s="331" t="s">
        <v>2663</v>
      </c>
      <c r="CA419" s="331" t="s">
        <v>2664</v>
      </c>
      <c r="CB419" s="331" t="s">
        <v>322</v>
      </c>
      <c r="CC419" s="331" t="s">
        <v>2665</v>
      </c>
    </row>
    <row r="420" spans="1:81" x14ac:dyDescent="0.25">
      <c r="A420" s="329">
        <v>194584</v>
      </c>
      <c r="B420" s="331" t="s">
        <v>2676</v>
      </c>
      <c r="C420" s="329">
        <v>34143</v>
      </c>
      <c r="D420" s="331" t="s">
        <v>2677</v>
      </c>
      <c r="E420" s="331" t="s">
        <v>380</v>
      </c>
      <c r="F420" s="331" t="s">
        <v>2678</v>
      </c>
      <c r="G420" s="331" t="s">
        <v>2679</v>
      </c>
      <c r="H420" s="331" t="s">
        <v>2680</v>
      </c>
      <c r="I420" s="331" t="s">
        <v>2681</v>
      </c>
      <c r="J420" s="331" t="s">
        <v>354</v>
      </c>
      <c r="K420" s="331" t="s">
        <v>2682</v>
      </c>
      <c r="L420" s="329"/>
      <c r="M420" s="329">
        <v>6</v>
      </c>
      <c r="N420" s="329">
        <v>0</v>
      </c>
      <c r="O420" s="329">
        <v>3.8</v>
      </c>
      <c r="P420" s="329"/>
      <c r="Q420" s="333">
        <v>43704.684039351851</v>
      </c>
      <c r="R420" s="329"/>
      <c r="S420" s="333">
        <v>43752</v>
      </c>
      <c r="T420" s="329">
        <v>55</v>
      </c>
      <c r="U420" s="333">
        <v>43752</v>
      </c>
      <c r="V420" s="333">
        <v>44109</v>
      </c>
      <c r="W420" s="329" t="b">
        <v>1</v>
      </c>
      <c r="X420" s="331" t="s">
        <v>22</v>
      </c>
      <c r="Y420" s="329">
        <v>726</v>
      </c>
      <c r="Z420" s="331" t="s">
        <v>23</v>
      </c>
      <c r="AA420" s="331" t="s">
        <v>919</v>
      </c>
      <c r="AB420" s="331" t="s">
        <v>920</v>
      </c>
      <c r="AC420" s="331" t="s">
        <v>2683</v>
      </c>
      <c r="AD420" s="331" t="s">
        <v>24</v>
      </c>
      <c r="AE420" s="329">
        <v>221</v>
      </c>
      <c r="AF420" s="331" t="s">
        <v>254</v>
      </c>
      <c r="AG420" s="329"/>
      <c r="AH420" s="329">
        <v>17</v>
      </c>
      <c r="AI420" s="331" t="s">
        <v>280</v>
      </c>
      <c r="AJ420" s="331" t="s">
        <v>281</v>
      </c>
      <c r="AK420" s="329"/>
      <c r="AL420" s="329"/>
      <c r="AM420" s="329"/>
      <c r="AN420" s="329"/>
      <c r="AO420" s="329"/>
      <c r="AP420" s="331" t="s">
        <v>361</v>
      </c>
      <c r="AQ420" s="329">
        <v>660</v>
      </c>
      <c r="AR420" s="329">
        <v>590</v>
      </c>
      <c r="AS420" s="329"/>
      <c r="AT420" s="329" t="s">
        <v>398</v>
      </c>
      <c r="AU420" s="329" t="s">
        <v>256</v>
      </c>
      <c r="AV420" s="331" t="s">
        <v>354</v>
      </c>
      <c r="AW420" s="329"/>
      <c r="AX420" s="329"/>
      <c r="AY420" s="329"/>
      <c r="AZ420" s="329"/>
      <c r="BA420" s="329"/>
      <c r="BB420" s="329"/>
      <c r="BC420" s="329"/>
      <c r="BD420" s="329"/>
      <c r="BE420" s="329" t="s">
        <v>257</v>
      </c>
      <c r="BF420" s="329" t="s">
        <v>834</v>
      </c>
      <c r="BG420" s="329"/>
      <c r="BH420" s="329"/>
      <c r="BI420" s="329"/>
      <c r="BJ420" s="329"/>
      <c r="BK420" s="329">
        <v>20400</v>
      </c>
      <c r="BL420" s="329"/>
      <c r="BM420" s="331" t="s">
        <v>278</v>
      </c>
      <c r="BN420" s="329" t="s">
        <v>922</v>
      </c>
      <c r="BO420" s="333">
        <v>43753</v>
      </c>
      <c r="BP420" s="329"/>
      <c r="BQ420" s="329"/>
      <c r="BR420" s="329"/>
      <c r="BS420" s="329"/>
      <c r="BT420" s="329"/>
      <c r="BU420" s="331" t="s">
        <v>261</v>
      </c>
      <c r="BV420" s="329"/>
      <c r="BW420" s="329"/>
      <c r="BX420" s="329"/>
      <c r="BY420" s="331" t="s">
        <v>2684</v>
      </c>
      <c r="BZ420" s="331" t="s">
        <v>2685</v>
      </c>
      <c r="CA420" s="331" t="s">
        <v>2686</v>
      </c>
      <c r="CB420" s="331" t="s">
        <v>354</v>
      </c>
      <c r="CC420" s="331" t="s">
        <v>2682</v>
      </c>
    </row>
    <row r="421" spans="1:81" x14ac:dyDescent="0.25">
      <c r="A421" s="329">
        <v>197553</v>
      </c>
      <c r="B421" s="331" t="s">
        <v>2687</v>
      </c>
      <c r="C421" s="329">
        <v>34905</v>
      </c>
      <c r="D421" s="331" t="s">
        <v>2688</v>
      </c>
      <c r="E421" s="331" t="s">
        <v>2689</v>
      </c>
      <c r="F421" s="331" t="s">
        <v>2690</v>
      </c>
      <c r="G421" s="331" t="s">
        <v>2691</v>
      </c>
      <c r="H421" s="331" t="s">
        <v>2692</v>
      </c>
      <c r="I421" s="331" t="s">
        <v>2693</v>
      </c>
      <c r="J421" s="331" t="s">
        <v>376</v>
      </c>
      <c r="K421" s="331" t="s">
        <v>2694</v>
      </c>
      <c r="L421" s="329"/>
      <c r="M421" s="329">
        <v>6</v>
      </c>
      <c r="N421" s="329">
        <v>0</v>
      </c>
      <c r="O421" s="329">
        <v>3.9</v>
      </c>
      <c r="P421" s="329"/>
      <c r="Q421" s="333">
        <v>43704.649305555555</v>
      </c>
      <c r="R421" s="329"/>
      <c r="S421" s="333">
        <v>43752</v>
      </c>
      <c r="T421" s="329">
        <v>55</v>
      </c>
      <c r="U421" s="333">
        <v>43752</v>
      </c>
      <c r="V421" s="333">
        <v>44109</v>
      </c>
      <c r="W421" s="329" t="b">
        <v>1</v>
      </c>
      <c r="X421" s="331" t="s">
        <v>905</v>
      </c>
      <c r="Y421" s="329">
        <v>747</v>
      </c>
      <c r="Z421" s="331" t="s">
        <v>23</v>
      </c>
      <c r="AA421" s="331" t="s">
        <v>919</v>
      </c>
      <c r="AB421" s="331" t="s">
        <v>920</v>
      </c>
      <c r="AC421" s="331" t="s">
        <v>2683</v>
      </c>
      <c r="AD421" s="331" t="s">
        <v>24</v>
      </c>
      <c r="AE421" s="329">
        <v>221</v>
      </c>
      <c r="AF421" s="331" t="s">
        <v>254</v>
      </c>
      <c r="AG421" s="329"/>
      <c r="AH421" s="329">
        <v>17</v>
      </c>
      <c r="AI421" s="331" t="s">
        <v>280</v>
      </c>
      <c r="AJ421" s="331" t="s">
        <v>281</v>
      </c>
      <c r="AK421" s="331" t="s">
        <v>347</v>
      </c>
      <c r="AL421" s="331" t="s">
        <v>347</v>
      </c>
      <c r="AM421" s="331" t="s">
        <v>289</v>
      </c>
      <c r="AN421" s="331" t="s">
        <v>347</v>
      </c>
      <c r="AO421" s="331" t="s">
        <v>285</v>
      </c>
      <c r="AP421" s="329"/>
      <c r="AQ421" s="329"/>
      <c r="AR421" s="329"/>
      <c r="AS421" s="329"/>
      <c r="AT421" s="329" t="s">
        <v>367</v>
      </c>
      <c r="AU421" s="329" t="s">
        <v>283</v>
      </c>
      <c r="AV421" s="331" t="s">
        <v>376</v>
      </c>
      <c r="AW421" s="329"/>
      <c r="AX421" s="329"/>
      <c r="AY421" s="329"/>
      <c r="AZ421" s="329"/>
      <c r="BA421" s="329"/>
      <c r="BB421" s="329"/>
      <c r="BC421" s="329"/>
      <c r="BD421" s="329"/>
      <c r="BE421" s="329" t="s">
        <v>257</v>
      </c>
      <c r="BF421" s="329" t="s">
        <v>834</v>
      </c>
      <c r="BG421" s="329"/>
      <c r="BH421" s="329"/>
      <c r="BI421" s="329"/>
      <c r="BJ421" s="329"/>
      <c r="BK421" s="329">
        <v>20400</v>
      </c>
      <c r="BL421" s="329"/>
      <c r="BM421" s="331" t="s">
        <v>278</v>
      </c>
      <c r="BN421" s="329" t="s">
        <v>922</v>
      </c>
      <c r="BO421" s="333">
        <v>43753</v>
      </c>
      <c r="BP421" s="329"/>
      <c r="BQ421" s="329"/>
      <c r="BR421" s="329"/>
      <c r="BS421" s="329"/>
      <c r="BT421" s="329"/>
      <c r="BU421" s="331" t="s">
        <v>261</v>
      </c>
      <c r="BV421" s="329"/>
      <c r="BW421" s="329"/>
      <c r="BX421" s="329"/>
      <c r="BY421" s="331" t="s">
        <v>2695</v>
      </c>
      <c r="BZ421" s="331" t="s">
        <v>2696</v>
      </c>
      <c r="CA421" s="331" t="s">
        <v>2697</v>
      </c>
      <c r="CB421" s="331" t="s">
        <v>376</v>
      </c>
      <c r="CC421" s="331" t="s">
        <v>2694</v>
      </c>
    </row>
    <row r="422" spans="1:81" x14ac:dyDescent="0.25">
      <c r="A422" s="329">
        <v>196981</v>
      </c>
      <c r="B422" s="331" t="s">
        <v>2709</v>
      </c>
      <c r="C422" s="329">
        <v>34779</v>
      </c>
      <c r="D422" s="331" t="s">
        <v>2710</v>
      </c>
      <c r="E422" s="331" t="s">
        <v>305</v>
      </c>
      <c r="F422" s="331" t="s">
        <v>2711</v>
      </c>
      <c r="G422" s="331" t="s">
        <v>2712</v>
      </c>
      <c r="H422" s="331" t="s">
        <v>2713</v>
      </c>
      <c r="I422" s="331" t="s">
        <v>2714</v>
      </c>
      <c r="J422" s="331" t="s">
        <v>498</v>
      </c>
      <c r="K422" s="331" t="s">
        <v>2715</v>
      </c>
      <c r="L422" s="329"/>
      <c r="M422" s="329">
        <v>6</v>
      </c>
      <c r="N422" s="329">
        <v>0</v>
      </c>
      <c r="O422" s="329">
        <v>3.7</v>
      </c>
      <c r="P422" s="329"/>
      <c r="Q422" s="333">
        <v>43709.850694444445</v>
      </c>
      <c r="R422" s="329"/>
      <c r="S422" s="333">
        <v>43752</v>
      </c>
      <c r="T422" s="329">
        <v>55</v>
      </c>
      <c r="U422" s="333">
        <v>43752</v>
      </c>
      <c r="V422" s="333">
        <v>44109</v>
      </c>
      <c r="W422" s="329" t="b">
        <v>1</v>
      </c>
      <c r="X422" s="331" t="s">
        <v>905</v>
      </c>
      <c r="Y422" s="329">
        <v>747</v>
      </c>
      <c r="Z422" s="331" t="s">
        <v>23</v>
      </c>
      <c r="AA422" s="331" t="s">
        <v>919</v>
      </c>
      <c r="AB422" s="331" t="s">
        <v>920</v>
      </c>
      <c r="AC422" s="331" t="s">
        <v>1405</v>
      </c>
      <c r="AD422" s="331" t="s">
        <v>24</v>
      </c>
      <c r="AE422" s="329">
        <v>221</v>
      </c>
      <c r="AF422" s="331" t="s">
        <v>254</v>
      </c>
      <c r="AG422" s="329"/>
      <c r="AH422" s="329">
        <v>17</v>
      </c>
      <c r="AI422" s="331" t="s">
        <v>280</v>
      </c>
      <c r="AJ422" s="331" t="s">
        <v>281</v>
      </c>
      <c r="AK422" s="331" t="s">
        <v>300</v>
      </c>
      <c r="AL422" s="331" t="s">
        <v>331</v>
      </c>
      <c r="AM422" s="331" t="s">
        <v>290</v>
      </c>
      <c r="AN422" s="331" t="s">
        <v>272</v>
      </c>
      <c r="AO422" s="331" t="s">
        <v>300</v>
      </c>
      <c r="AP422" s="331" t="s">
        <v>405</v>
      </c>
      <c r="AQ422" s="329">
        <v>670</v>
      </c>
      <c r="AR422" s="329">
        <v>570</v>
      </c>
      <c r="AS422" s="329"/>
      <c r="AT422" s="329" t="s">
        <v>258</v>
      </c>
      <c r="AU422" s="329" t="s">
        <v>283</v>
      </c>
      <c r="AV422" s="331" t="s">
        <v>498</v>
      </c>
      <c r="AW422" s="329"/>
      <c r="AX422" s="329"/>
      <c r="AY422" s="329"/>
      <c r="AZ422" s="329"/>
      <c r="BA422" s="329"/>
      <c r="BB422" s="329"/>
      <c r="BC422" s="329"/>
      <c r="BD422" s="329"/>
      <c r="BE422" s="329" t="s">
        <v>257</v>
      </c>
      <c r="BF422" s="329" t="s">
        <v>834</v>
      </c>
      <c r="BG422" s="329"/>
      <c r="BH422" s="329"/>
      <c r="BI422" s="329"/>
      <c r="BJ422" s="329"/>
      <c r="BK422" s="329">
        <v>20400</v>
      </c>
      <c r="BL422" s="329"/>
      <c r="BM422" s="331" t="s">
        <v>278</v>
      </c>
      <c r="BN422" s="329" t="s">
        <v>922</v>
      </c>
      <c r="BO422" s="333">
        <v>43753</v>
      </c>
      <c r="BP422" s="329"/>
      <c r="BQ422" s="329"/>
      <c r="BR422" s="329"/>
      <c r="BS422" s="329"/>
      <c r="BT422" s="329"/>
      <c r="BU422" s="331" t="s">
        <v>261</v>
      </c>
      <c r="BV422" s="329"/>
      <c r="BW422" s="329"/>
      <c r="BX422" s="329"/>
      <c r="BY422" s="331" t="s">
        <v>2716</v>
      </c>
      <c r="BZ422" s="331" t="s">
        <v>821</v>
      </c>
      <c r="CA422" s="331" t="s">
        <v>822</v>
      </c>
      <c r="CB422" s="331" t="s">
        <v>498</v>
      </c>
      <c r="CC422" s="331" t="s">
        <v>2717</v>
      </c>
    </row>
    <row r="423" spans="1:81" x14ac:dyDescent="0.25">
      <c r="A423" s="329">
        <v>197892</v>
      </c>
      <c r="B423" s="331" t="s">
        <v>2718</v>
      </c>
      <c r="C423" s="329">
        <v>35029</v>
      </c>
      <c r="D423" s="331" t="s">
        <v>2719</v>
      </c>
      <c r="E423" s="331" t="s">
        <v>528</v>
      </c>
      <c r="F423" s="331" t="s">
        <v>2720</v>
      </c>
      <c r="G423" s="331" t="s">
        <v>2721</v>
      </c>
      <c r="H423" s="331" t="s">
        <v>2722</v>
      </c>
      <c r="I423" s="331" t="s">
        <v>694</v>
      </c>
      <c r="J423" s="331" t="s">
        <v>288</v>
      </c>
      <c r="K423" s="331" t="s">
        <v>2723</v>
      </c>
      <c r="L423" s="329"/>
      <c r="M423" s="329">
        <v>6</v>
      </c>
      <c r="N423" s="329">
        <v>0</v>
      </c>
      <c r="O423" s="329">
        <v>4</v>
      </c>
      <c r="P423" s="329"/>
      <c r="Q423" s="333">
        <v>43577.84375</v>
      </c>
      <c r="R423" s="329"/>
      <c r="S423" s="333">
        <v>43752</v>
      </c>
      <c r="T423" s="329">
        <v>55</v>
      </c>
      <c r="U423" s="333">
        <v>43752</v>
      </c>
      <c r="V423" s="333">
        <v>44109</v>
      </c>
      <c r="W423" s="329" t="b">
        <v>1</v>
      </c>
      <c r="X423" s="331" t="s">
        <v>22</v>
      </c>
      <c r="Y423" s="329">
        <v>726</v>
      </c>
      <c r="Z423" s="331" t="s">
        <v>23</v>
      </c>
      <c r="AA423" s="331" t="s">
        <v>919</v>
      </c>
      <c r="AB423" s="331" t="s">
        <v>920</v>
      </c>
      <c r="AC423" s="331" t="s">
        <v>1329</v>
      </c>
      <c r="AD423" s="331" t="s">
        <v>24</v>
      </c>
      <c r="AE423" s="329">
        <v>221</v>
      </c>
      <c r="AF423" s="331" t="s">
        <v>254</v>
      </c>
      <c r="AG423" s="329"/>
      <c r="AH423" s="329">
        <v>17</v>
      </c>
      <c r="AI423" s="331" t="s">
        <v>280</v>
      </c>
      <c r="AJ423" s="331" t="s">
        <v>281</v>
      </c>
      <c r="AK423" s="331" t="s">
        <v>347</v>
      </c>
      <c r="AL423" s="331" t="s">
        <v>347</v>
      </c>
      <c r="AM423" s="331" t="s">
        <v>347</v>
      </c>
      <c r="AN423" s="331" t="s">
        <v>351</v>
      </c>
      <c r="AO423" s="331" t="s">
        <v>287</v>
      </c>
      <c r="AP423" s="329"/>
      <c r="AQ423" s="329"/>
      <c r="AR423" s="329"/>
      <c r="AS423" s="329"/>
      <c r="AT423" s="329" t="s">
        <v>352</v>
      </c>
      <c r="AU423" s="329" t="s">
        <v>283</v>
      </c>
      <c r="AV423" s="331" t="s">
        <v>288</v>
      </c>
      <c r="AW423" s="329"/>
      <c r="AX423" s="329"/>
      <c r="AY423" s="329"/>
      <c r="AZ423" s="329"/>
      <c r="BA423" s="329"/>
      <c r="BB423" s="329"/>
      <c r="BC423" s="329"/>
      <c r="BD423" s="329"/>
      <c r="BE423" s="329" t="s">
        <v>257</v>
      </c>
      <c r="BF423" s="329" t="s">
        <v>834</v>
      </c>
      <c r="BG423" s="329"/>
      <c r="BH423" s="329"/>
      <c r="BI423" s="329"/>
      <c r="BJ423" s="329"/>
      <c r="BK423" s="329">
        <v>20400</v>
      </c>
      <c r="BL423" s="329"/>
      <c r="BM423" s="331" t="s">
        <v>278</v>
      </c>
      <c r="BN423" s="329" t="s">
        <v>922</v>
      </c>
      <c r="BO423" s="333">
        <v>43753</v>
      </c>
      <c r="BP423" s="329"/>
      <c r="BQ423" s="329"/>
      <c r="BR423" s="329"/>
      <c r="BS423" s="329"/>
      <c r="BT423" s="329"/>
      <c r="BU423" s="331" t="s">
        <v>261</v>
      </c>
      <c r="BV423" s="329"/>
      <c r="BW423" s="329"/>
      <c r="BX423" s="329"/>
      <c r="BY423" s="331" t="s">
        <v>2724</v>
      </c>
      <c r="BZ423" s="331" t="s">
        <v>2725</v>
      </c>
      <c r="CA423" s="331" t="s">
        <v>2726</v>
      </c>
      <c r="CB423" s="331" t="s">
        <v>288</v>
      </c>
      <c r="CC423" s="331" t="s">
        <v>2723</v>
      </c>
    </row>
    <row r="424" spans="1:81" x14ac:dyDescent="0.25">
      <c r="A424" s="329">
        <v>197275</v>
      </c>
      <c r="B424" s="331" t="s">
        <v>2727</v>
      </c>
      <c r="C424" s="329">
        <v>34835</v>
      </c>
      <c r="D424" s="331" t="s">
        <v>2728</v>
      </c>
      <c r="E424" s="331" t="s">
        <v>2729</v>
      </c>
      <c r="F424" s="331" t="s">
        <v>2730</v>
      </c>
      <c r="G424" s="331" t="s">
        <v>2731</v>
      </c>
      <c r="H424" s="331" t="s">
        <v>2732</v>
      </c>
      <c r="I424" s="331" t="s">
        <v>776</v>
      </c>
      <c r="J424" s="331" t="s">
        <v>292</v>
      </c>
      <c r="K424" s="331" t="s">
        <v>2733</v>
      </c>
      <c r="L424" s="329"/>
      <c r="M424" s="329">
        <v>6</v>
      </c>
      <c r="N424" s="329">
        <v>0</v>
      </c>
      <c r="O424" s="329">
        <v>3.7</v>
      </c>
      <c r="P424" s="329"/>
      <c r="Q424" s="333">
        <v>43642.513888888891</v>
      </c>
      <c r="R424" s="329"/>
      <c r="S424" s="333">
        <v>43752</v>
      </c>
      <c r="T424" s="329">
        <v>55</v>
      </c>
      <c r="U424" s="333">
        <v>43752</v>
      </c>
      <c r="V424" s="333">
        <v>44109</v>
      </c>
      <c r="W424" s="329" t="b">
        <v>1</v>
      </c>
      <c r="X424" s="331" t="s">
        <v>905</v>
      </c>
      <c r="Y424" s="329">
        <v>747</v>
      </c>
      <c r="Z424" s="331" t="s">
        <v>23</v>
      </c>
      <c r="AA424" s="331" t="s">
        <v>919</v>
      </c>
      <c r="AB424" s="331" t="s">
        <v>920</v>
      </c>
      <c r="AC424" s="331" t="s">
        <v>1097</v>
      </c>
      <c r="AD424" s="331" t="s">
        <v>24</v>
      </c>
      <c r="AE424" s="329">
        <v>221</v>
      </c>
      <c r="AF424" s="331" t="s">
        <v>254</v>
      </c>
      <c r="AG424" s="329"/>
      <c r="AH424" s="329">
        <v>17</v>
      </c>
      <c r="AI424" s="331" t="s">
        <v>280</v>
      </c>
      <c r="AJ424" s="331" t="s">
        <v>281</v>
      </c>
      <c r="AK424" s="329"/>
      <c r="AL424" s="329"/>
      <c r="AM424" s="329"/>
      <c r="AN424" s="329"/>
      <c r="AO424" s="329"/>
      <c r="AP424" s="329"/>
      <c r="AQ424" s="329"/>
      <c r="AR424" s="329"/>
      <c r="AS424" s="329"/>
      <c r="AT424" s="329" t="s">
        <v>258</v>
      </c>
      <c r="AU424" s="329" t="s">
        <v>283</v>
      </c>
      <c r="AV424" s="331" t="s">
        <v>292</v>
      </c>
      <c r="AW424" s="329"/>
      <c r="AX424" s="329"/>
      <c r="AY424" s="329"/>
      <c r="AZ424" s="329"/>
      <c r="BA424" s="329"/>
      <c r="BB424" s="329"/>
      <c r="BC424" s="329"/>
      <c r="BD424" s="329"/>
      <c r="BE424" s="329"/>
      <c r="BF424" s="329"/>
      <c r="BG424" s="329"/>
      <c r="BH424" s="329"/>
      <c r="BI424" s="329"/>
      <c r="BJ424" s="329"/>
      <c r="BK424" s="329">
        <v>0</v>
      </c>
      <c r="BL424" s="329"/>
      <c r="BM424" s="331" t="s">
        <v>267</v>
      </c>
      <c r="BN424" s="329" t="s">
        <v>922</v>
      </c>
      <c r="BO424" s="333">
        <v>43753</v>
      </c>
      <c r="BP424" s="329"/>
      <c r="BQ424" s="329"/>
      <c r="BR424" s="329"/>
      <c r="BS424" s="329"/>
      <c r="BT424" s="329"/>
      <c r="BU424" s="331" t="s">
        <v>261</v>
      </c>
      <c r="BV424" s="329"/>
      <c r="BW424" s="329"/>
      <c r="BX424" s="329"/>
      <c r="BY424" s="331" t="s">
        <v>2734</v>
      </c>
      <c r="BZ424" s="331" t="s">
        <v>2735</v>
      </c>
      <c r="CA424" s="331" t="s">
        <v>2295</v>
      </c>
      <c r="CB424" s="331" t="s">
        <v>292</v>
      </c>
      <c r="CC424" s="331" t="s">
        <v>2736</v>
      </c>
    </row>
    <row r="425" spans="1:81" x14ac:dyDescent="0.25">
      <c r="A425" s="329">
        <v>197634</v>
      </c>
      <c r="B425" s="331" t="s">
        <v>2737</v>
      </c>
      <c r="C425" s="329">
        <v>34931</v>
      </c>
      <c r="D425" s="331" t="s">
        <v>2738</v>
      </c>
      <c r="E425" s="331" t="s">
        <v>2739</v>
      </c>
      <c r="F425" s="331" t="s">
        <v>2740</v>
      </c>
      <c r="G425" s="331" t="s">
        <v>2741</v>
      </c>
      <c r="H425" s="331" t="s">
        <v>2742</v>
      </c>
      <c r="I425" s="331" t="s">
        <v>1899</v>
      </c>
      <c r="J425" s="331" t="s">
        <v>288</v>
      </c>
      <c r="K425" s="331" t="s">
        <v>2743</v>
      </c>
      <c r="L425" s="329"/>
      <c r="M425" s="329">
        <v>6</v>
      </c>
      <c r="N425" s="329">
        <v>0</v>
      </c>
      <c r="O425" s="329">
        <v>2.71</v>
      </c>
      <c r="P425" s="329"/>
      <c r="Q425" s="333">
        <v>43590.895833333336</v>
      </c>
      <c r="R425" s="329"/>
      <c r="S425" s="333">
        <v>43752</v>
      </c>
      <c r="T425" s="329">
        <v>55</v>
      </c>
      <c r="U425" s="333">
        <v>43752</v>
      </c>
      <c r="V425" s="333">
        <v>44109</v>
      </c>
      <c r="W425" s="329" t="b">
        <v>1</v>
      </c>
      <c r="X425" s="331" t="s">
        <v>22</v>
      </c>
      <c r="Y425" s="329">
        <v>726</v>
      </c>
      <c r="Z425" s="331" t="s">
        <v>23</v>
      </c>
      <c r="AA425" s="331" t="s">
        <v>919</v>
      </c>
      <c r="AB425" s="331" t="s">
        <v>920</v>
      </c>
      <c r="AC425" s="331" t="s">
        <v>2744</v>
      </c>
      <c r="AD425" s="331" t="s">
        <v>24</v>
      </c>
      <c r="AE425" s="329">
        <v>221</v>
      </c>
      <c r="AF425" s="331" t="s">
        <v>254</v>
      </c>
      <c r="AG425" s="329"/>
      <c r="AH425" s="329">
        <v>17</v>
      </c>
      <c r="AI425" s="331" t="s">
        <v>280</v>
      </c>
      <c r="AJ425" s="331" t="s">
        <v>281</v>
      </c>
      <c r="AK425" s="329"/>
      <c r="AL425" s="329"/>
      <c r="AM425" s="329"/>
      <c r="AN425" s="329"/>
      <c r="AO425" s="329"/>
      <c r="AP425" s="329"/>
      <c r="AQ425" s="329"/>
      <c r="AR425" s="329"/>
      <c r="AS425" s="329"/>
      <c r="AT425" s="329" t="s">
        <v>258</v>
      </c>
      <c r="AU425" s="329" t="s">
        <v>256</v>
      </c>
      <c r="AV425" s="331" t="s">
        <v>288</v>
      </c>
      <c r="AW425" s="329"/>
      <c r="AX425" s="329"/>
      <c r="AY425" s="329"/>
      <c r="AZ425" s="329"/>
      <c r="BA425" s="329"/>
      <c r="BB425" s="329"/>
      <c r="BC425" s="329"/>
      <c r="BD425" s="329"/>
      <c r="BE425" s="329"/>
      <c r="BF425" s="329"/>
      <c r="BG425" s="329"/>
      <c r="BH425" s="329"/>
      <c r="BI425" s="329"/>
      <c r="BJ425" s="329"/>
      <c r="BK425" s="329">
        <v>0</v>
      </c>
      <c r="BL425" s="329"/>
      <c r="BM425" s="331" t="s">
        <v>323</v>
      </c>
      <c r="BN425" s="329" t="s">
        <v>922</v>
      </c>
      <c r="BO425" s="333">
        <v>43753</v>
      </c>
      <c r="BP425" s="329"/>
      <c r="BQ425" s="329"/>
      <c r="BR425" s="329"/>
      <c r="BS425" s="329"/>
      <c r="BT425" s="329"/>
      <c r="BU425" s="331" t="s">
        <v>261</v>
      </c>
      <c r="BV425" s="329"/>
      <c r="BW425" s="329"/>
      <c r="BX425" s="329"/>
      <c r="BY425" s="331" t="s">
        <v>2745</v>
      </c>
      <c r="BZ425" s="331" t="s">
        <v>2746</v>
      </c>
      <c r="CA425" s="331" t="s">
        <v>1903</v>
      </c>
      <c r="CB425" s="331" t="s">
        <v>288</v>
      </c>
      <c r="CC425" s="331" t="s">
        <v>2747</v>
      </c>
    </row>
    <row r="426" spans="1:81" x14ac:dyDescent="0.25">
      <c r="A426" s="329">
        <v>196448</v>
      </c>
      <c r="B426" s="331" t="s">
        <v>2748</v>
      </c>
      <c r="C426" s="329">
        <v>34652</v>
      </c>
      <c r="D426" s="331" t="s">
        <v>2749</v>
      </c>
      <c r="E426" s="331" t="s">
        <v>2750</v>
      </c>
      <c r="F426" s="331" t="s">
        <v>2751</v>
      </c>
      <c r="G426" s="331" t="s">
        <v>2752</v>
      </c>
      <c r="H426" s="331" t="s">
        <v>2753</v>
      </c>
      <c r="I426" s="331" t="s">
        <v>2754</v>
      </c>
      <c r="J426" s="331" t="s">
        <v>321</v>
      </c>
      <c r="K426" s="331" t="s">
        <v>2755</v>
      </c>
      <c r="L426" s="329"/>
      <c r="M426" s="329">
        <v>6</v>
      </c>
      <c r="N426" s="329">
        <v>0</v>
      </c>
      <c r="O426" s="329">
        <v>2.9</v>
      </c>
      <c r="P426" s="329"/>
      <c r="Q426" s="333">
        <v>43702.909733796296</v>
      </c>
      <c r="R426" s="329"/>
      <c r="S426" s="333">
        <v>43752</v>
      </c>
      <c r="T426" s="329">
        <v>55</v>
      </c>
      <c r="U426" s="333">
        <v>43752</v>
      </c>
      <c r="V426" s="333">
        <v>44109</v>
      </c>
      <c r="W426" s="329" t="b">
        <v>1</v>
      </c>
      <c r="X426" s="331" t="s">
        <v>187</v>
      </c>
      <c r="Y426" s="329">
        <v>718</v>
      </c>
      <c r="Z426" s="331" t="s">
        <v>23</v>
      </c>
      <c r="AA426" s="331" t="s">
        <v>919</v>
      </c>
      <c r="AB426" s="331" t="s">
        <v>920</v>
      </c>
      <c r="AC426" s="331" t="s">
        <v>2683</v>
      </c>
      <c r="AD426" s="331" t="s">
        <v>24</v>
      </c>
      <c r="AE426" s="329">
        <v>221</v>
      </c>
      <c r="AF426" s="331" t="s">
        <v>254</v>
      </c>
      <c r="AG426" s="329"/>
      <c r="AH426" s="329">
        <v>17</v>
      </c>
      <c r="AI426" s="331" t="s">
        <v>280</v>
      </c>
      <c r="AJ426" s="331" t="s">
        <v>281</v>
      </c>
      <c r="AK426" s="331" t="s">
        <v>363</v>
      </c>
      <c r="AL426" s="331" t="s">
        <v>329</v>
      </c>
      <c r="AM426" s="331" t="s">
        <v>329</v>
      </c>
      <c r="AN426" s="331" t="s">
        <v>330</v>
      </c>
      <c r="AO426" s="331" t="s">
        <v>330</v>
      </c>
      <c r="AP426" s="329"/>
      <c r="AQ426" s="329"/>
      <c r="AR426" s="329"/>
      <c r="AS426" s="329"/>
      <c r="AT426" s="329" t="s">
        <v>845</v>
      </c>
      <c r="AU426" s="329" t="s">
        <v>283</v>
      </c>
      <c r="AV426" s="331" t="s">
        <v>321</v>
      </c>
      <c r="AW426" s="329"/>
      <c r="AX426" s="329"/>
      <c r="AY426" s="329"/>
      <c r="AZ426" s="329"/>
      <c r="BA426" s="329"/>
      <c r="BB426" s="329"/>
      <c r="BC426" s="329"/>
      <c r="BD426" s="329"/>
      <c r="BE426" s="329"/>
      <c r="BF426" s="329"/>
      <c r="BG426" s="329"/>
      <c r="BH426" s="329"/>
      <c r="BI426" s="329"/>
      <c r="BJ426" s="329"/>
      <c r="BK426" s="329">
        <v>0</v>
      </c>
      <c r="BL426" s="329"/>
      <c r="BM426" s="331" t="s">
        <v>28</v>
      </c>
      <c r="BN426" s="329" t="s">
        <v>922</v>
      </c>
      <c r="BO426" s="333">
        <v>43753</v>
      </c>
      <c r="BP426" s="329"/>
      <c r="BQ426" s="329"/>
      <c r="BR426" s="329"/>
      <c r="BS426" s="329"/>
      <c r="BT426" s="329"/>
      <c r="BU426" s="331" t="s">
        <v>261</v>
      </c>
      <c r="BV426" s="329"/>
      <c r="BW426" s="329"/>
      <c r="BX426" s="329"/>
      <c r="BY426" s="331" t="s">
        <v>2756</v>
      </c>
      <c r="BZ426" s="331" t="s">
        <v>2757</v>
      </c>
      <c r="CA426" s="331" t="s">
        <v>2758</v>
      </c>
      <c r="CB426" s="331" t="s">
        <v>321</v>
      </c>
      <c r="CC426" s="331" t="s">
        <v>2759</v>
      </c>
    </row>
    <row r="427" spans="1:81" x14ac:dyDescent="0.25">
      <c r="A427" s="329">
        <v>195082</v>
      </c>
      <c r="B427" s="331" t="s">
        <v>2765</v>
      </c>
      <c r="C427" s="329">
        <v>34228</v>
      </c>
      <c r="D427" s="331" t="s">
        <v>2766</v>
      </c>
      <c r="E427" s="331" t="s">
        <v>758</v>
      </c>
      <c r="F427" s="331" t="s">
        <v>2767</v>
      </c>
      <c r="G427" s="331" t="s">
        <v>2768</v>
      </c>
      <c r="H427" s="331" t="s">
        <v>2769</v>
      </c>
      <c r="I427" s="331" t="s">
        <v>774</v>
      </c>
      <c r="J427" s="331" t="s">
        <v>292</v>
      </c>
      <c r="K427" s="331" t="s">
        <v>2770</v>
      </c>
      <c r="L427" s="329"/>
      <c r="M427" s="329">
        <v>6</v>
      </c>
      <c r="N427" s="329">
        <v>0</v>
      </c>
      <c r="O427" s="329">
        <v>3.2</v>
      </c>
      <c r="P427" s="329"/>
      <c r="Q427" s="333">
        <v>43614.819444444445</v>
      </c>
      <c r="R427" s="329"/>
      <c r="S427" s="333">
        <v>43752</v>
      </c>
      <c r="T427" s="329">
        <v>55</v>
      </c>
      <c r="U427" s="333">
        <v>43752</v>
      </c>
      <c r="V427" s="333">
        <v>44109</v>
      </c>
      <c r="W427" s="329" t="b">
        <v>1</v>
      </c>
      <c r="X427" s="331" t="s">
        <v>905</v>
      </c>
      <c r="Y427" s="329">
        <v>747</v>
      </c>
      <c r="Z427" s="331" t="s">
        <v>23</v>
      </c>
      <c r="AA427" s="331" t="s">
        <v>919</v>
      </c>
      <c r="AB427" s="331" t="s">
        <v>920</v>
      </c>
      <c r="AC427" s="331" t="s">
        <v>1361</v>
      </c>
      <c r="AD427" s="331" t="s">
        <v>24</v>
      </c>
      <c r="AE427" s="329">
        <v>221</v>
      </c>
      <c r="AF427" s="331" t="s">
        <v>254</v>
      </c>
      <c r="AG427" s="329"/>
      <c r="AH427" s="329">
        <v>17</v>
      </c>
      <c r="AI427" s="331" t="s">
        <v>280</v>
      </c>
      <c r="AJ427" s="331" t="s">
        <v>281</v>
      </c>
      <c r="AK427" s="329"/>
      <c r="AL427" s="329"/>
      <c r="AM427" s="329"/>
      <c r="AN427" s="329"/>
      <c r="AO427" s="329"/>
      <c r="AP427" s="331" t="s">
        <v>534</v>
      </c>
      <c r="AQ427" s="329">
        <v>620</v>
      </c>
      <c r="AR427" s="329">
        <v>650</v>
      </c>
      <c r="AS427" s="329"/>
      <c r="AT427" s="329" t="s">
        <v>338</v>
      </c>
      <c r="AU427" s="329" t="s">
        <v>283</v>
      </c>
      <c r="AV427" s="331" t="s">
        <v>292</v>
      </c>
      <c r="AW427" s="329"/>
      <c r="AX427" s="329"/>
      <c r="AY427" s="329"/>
      <c r="AZ427" s="329"/>
      <c r="BA427" s="329"/>
      <c r="BB427" s="329"/>
      <c r="BC427" s="329"/>
      <c r="BD427" s="329"/>
      <c r="BE427" s="329" t="s">
        <v>257</v>
      </c>
      <c r="BF427" s="329" t="s">
        <v>834</v>
      </c>
      <c r="BG427" s="329"/>
      <c r="BH427" s="329"/>
      <c r="BI427" s="329"/>
      <c r="BJ427" s="329"/>
      <c r="BK427" s="329">
        <v>20400</v>
      </c>
      <c r="BL427" s="329"/>
      <c r="BM427" s="331" t="s">
        <v>278</v>
      </c>
      <c r="BN427" s="329" t="s">
        <v>922</v>
      </c>
      <c r="BO427" s="333">
        <v>43753</v>
      </c>
      <c r="BP427" s="329"/>
      <c r="BQ427" s="329"/>
      <c r="BR427" s="329"/>
      <c r="BS427" s="329"/>
      <c r="BT427" s="329"/>
      <c r="BU427" s="331" t="s">
        <v>261</v>
      </c>
      <c r="BV427" s="329"/>
      <c r="BW427" s="329"/>
      <c r="BX427" s="329"/>
      <c r="BY427" s="331" t="s">
        <v>2771</v>
      </c>
      <c r="BZ427" s="331" t="s">
        <v>2772</v>
      </c>
      <c r="CA427" s="331" t="s">
        <v>2773</v>
      </c>
      <c r="CB427" s="331" t="s">
        <v>292</v>
      </c>
      <c r="CC427" s="331" t="s">
        <v>2774</v>
      </c>
    </row>
    <row r="428" spans="1:81" x14ac:dyDescent="0.25">
      <c r="A428" s="329">
        <v>195461</v>
      </c>
      <c r="B428" s="331" t="s">
        <v>2786</v>
      </c>
      <c r="C428" s="329">
        <v>34341</v>
      </c>
      <c r="D428" s="331" t="s">
        <v>2787</v>
      </c>
      <c r="E428" s="331" t="s">
        <v>2788</v>
      </c>
      <c r="F428" s="331" t="s">
        <v>2789</v>
      </c>
      <c r="G428" s="331" t="s">
        <v>2790</v>
      </c>
      <c r="H428" s="331" t="s">
        <v>2791</v>
      </c>
      <c r="I428" s="331" t="s">
        <v>2792</v>
      </c>
      <c r="J428" s="331" t="s">
        <v>292</v>
      </c>
      <c r="K428" s="331" t="s">
        <v>2793</v>
      </c>
      <c r="L428" s="329"/>
      <c r="M428" s="329">
        <v>6</v>
      </c>
      <c r="N428" s="329">
        <v>0</v>
      </c>
      <c r="O428" s="329">
        <v>2.95</v>
      </c>
      <c r="P428" s="329"/>
      <c r="Q428" s="333">
        <v>43664.496527777781</v>
      </c>
      <c r="R428" s="329"/>
      <c r="S428" s="333">
        <v>43752</v>
      </c>
      <c r="T428" s="329">
        <v>55</v>
      </c>
      <c r="U428" s="333">
        <v>43752</v>
      </c>
      <c r="V428" s="333">
        <v>44109</v>
      </c>
      <c r="W428" s="329" t="b">
        <v>1</v>
      </c>
      <c r="X428" s="331" t="s">
        <v>187</v>
      </c>
      <c r="Y428" s="329">
        <v>718</v>
      </c>
      <c r="Z428" s="331" t="s">
        <v>23</v>
      </c>
      <c r="AA428" s="331" t="s">
        <v>919</v>
      </c>
      <c r="AB428" s="331" t="s">
        <v>920</v>
      </c>
      <c r="AC428" s="331" t="s">
        <v>962</v>
      </c>
      <c r="AD428" s="331" t="s">
        <v>24</v>
      </c>
      <c r="AE428" s="329">
        <v>221</v>
      </c>
      <c r="AF428" s="331" t="s">
        <v>254</v>
      </c>
      <c r="AG428" s="329"/>
      <c r="AH428" s="329">
        <v>17</v>
      </c>
      <c r="AI428" s="331" t="s">
        <v>280</v>
      </c>
      <c r="AJ428" s="331" t="s">
        <v>281</v>
      </c>
      <c r="AK428" s="331" t="s">
        <v>330</v>
      </c>
      <c r="AL428" s="331" t="s">
        <v>328</v>
      </c>
      <c r="AM428" s="331" t="s">
        <v>386</v>
      </c>
      <c r="AN428" s="331" t="s">
        <v>301</v>
      </c>
      <c r="AO428" s="331" t="s">
        <v>329</v>
      </c>
      <c r="AP428" s="329"/>
      <c r="AQ428" s="329"/>
      <c r="AR428" s="329"/>
      <c r="AS428" s="329"/>
      <c r="AT428" s="329" t="s">
        <v>859</v>
      </c>
      <c r="AU428" s="329" t="s">
        <v>256</v>
      </c>
      <c r="AV428" s="331" t="s">
        <v>292</v>
      </c>
      <c r="AW428" s="329"/>
      <c r="AX428" s="329"/>
      <c r="AY428" s="329"/>
      <c r="AZ428" s="329"/>
      <c r="BA428" s="329"/>
      <c r="BB428" s="329"/>
      <c r="BC428" s="329"/>
      <c r="BD428" s="329"/>
      <c r="BE428" s="329"/>
      <c r="BF428" s="329"/>
      <c r="BG428" s="329"/>
      <c r="BH428" s="329"/>
      <c r="BI428" s="329"/>
      <c r="BJ428" s="329"/>
      <c r="BK428" s="329">
        <v>0</v>
      </c>
      <c r="BL428" s="329"/>
      <c r="BM428" s="331" t="s">
        <v>27</v>
      </c>
      <c r="BN428" s="329" t="s">
        <v>922</v>
      </c>
      <c r="BO428" s="333">
        <v>43753</v>
      </c>
      <c r="BP428" s="329"/>
      <c r="BQ428" s="329"/>
      <c r="BR428" s="329"/>
      <c r="BS428" s="329"/>
      <c r="BT428" s="329"/>
      <c r="BU428" s="331" t="s">
        <v>261</v>
      </c>
      <c r="BV428" s="329"/>
      <c r="BW428" s="329"/>
      <c r="BX428" s="329"/>
      <c r="BY428" s="331" t="s">
        <v>2794</v>
      </c>
      <c r="BZ428" s="331" t="s">
        <v>2795</v>
      </c>
      <c r="CA428" s="331" t="s">
        <v>2796</v>
      </c>
      <c r="CB428" s="331" t="s">
        <v>292</v>
      </c>
      <c r="CC428" s="331" t="s">
        <v>2793</v>
      </c>
    </row>
    <row r="429" spans="1:81" x14ac:dyDescent="0.25">
      <c r="A429" s="329">
        <v>195990</v>
      </c>
      <c r="B429" s="331" t="s">
        <v>2809</v>
      </c>
      <c r="C429" s="329">
        <v>34456</v>
      </c>
      <c r="D429" s="331" t="s">
        <v>2810</v>
      </c>
      <c r="E429" s="331" t="s">
        <v>758</v>
      </c>
      <c r="F429" s="331" t="s">
        <v>2811</v>
      </c>
      <c r="G429" s="331" t="s">
        <v>2812</v>
      </c>
      <c r="H429" s="331" t="s">
        <v>2813</v>
      </c>
      <c r="I429" s="331" t="s">
        <v>2814</v>
      </c>
      <c r="J429" s="331" t="s">
        <v>298</v>
      </c>
      <c r="K429" s="331" t="s">
        <v>2815</v>
      </c>
      <c r="L429" s="329"/>
      <c r="M429" s="329">
        <v>6</v>
      </c>
      <c r="N429" s="329">
        <v>0</v>
      </c>
      <c r="O429" s="329">
        <v>2.5758000000000001</v>
      </c>
      <c r="P429" s="329"/>
      <c r="Q429" s="333">
        <v>43686.81527777778</v>
      </c>
      <c r="R429" s="329"/>
      <c r="S429" s="333">
        <v>43752</v>
      </c>
      <c r="T429" s="329">
        <v>55</v>
      </c>
      <c r="U429" s="333">
        <v>43752</v>
      </c>
      <c r="V429" s="333">
        <v>44109</v>
      </c>
      <c r="W429" s="329" t="b">
        <v>1</v>
      </c>
      <c r="X429" s="331" t="s">
        <v>187</v>
      </c>
      <c r="Y429" s="329">
        <v>718</v>
      </c>
      <c r="Z429" s="331" t="s">
        <v>23</v>
      </c>
      <c r="AA429" s="331" t="s">
        <v>919</v>
      </c>
      <c r="AB429" s="331" t="s">
        <v>920</v>
      </c>
      <c r="AC429" s="331" t="s">
        <v>264</v>
      </c>
      <c r="AD429" s="331" t="s">
        <v>24</v>
      </c>
      <c r="AE429" s="329">
        <v>221</v>
      </c>
      <c r="AF429" s="331" t="s">
        <v>254</v>
      </c>
      <c r="AG429" s="329"/>
      <c r="AH429" s="329">
        <v>17</v>
      </c>
      <c r="AI429" s="331" t="s">
        <v>280</v>
      </c>
      <c r="AJ429" s="331" t="s">
        <v>281</v>
      </c>
      <c r="AK429" s="329"/>
      <c r="AL429" s="329"/>
      <c r="AM429" s="329"/>
      <c r="AN429" s="329"/>
      <c r="AO429" s="329"/>
      <c r="AP429" s="329"/>
      <c r="AQ429" s="329"/>
      <c r="AR429" s="329"/>
      <c r="AS429" s="329"/>
      <c r="AT429" s="329" t="s">
        <v>258</v>
      </c>
      <c r="AU429" s="329" t="s">
        <v>283</v>
      </c>
      <c r="AV429" s="331" t="s">
        <v>298</v>
      </c>
      <c r="AW429" s="329"/>
      <c r="AX429" s="329"/>
      <c r="AY429" s="329"/>
      <c r="AZ429" s="329"/>
      <c r="BA429" s="329"/>
      <c r="BB429" s="329"/>
      <c r="BC429" s="329"/>
      <c r="BD429" s="329"/>
      <c r="BE429" s="329"/>
      <c r="BF429" s="329"/>
      <c r="BG429" s="329"/>
      <c r="BH429" s="329"/>
      <c r="BI429" s="329"/>
      <c r="BJ429" s="329"/>
      <c r="BK429" s="329">
        <v>0</v>
      </c>
      <c r="BL429" s="329"/>
      <c r="BM429" s="331" t="s">
        <v>323</v>
      </c>
      <c r="BN429" s="329" t="s">
        <v>922</v>
      </c>
      <c r="BO429" s="333">
        <v>43753</v>
      </c>
      <c r="BP429" s="329"/>
      <c r="BQ429" s="329"/>
      <c r="BR429" s="329"/>
      <c r="BS429" s="329"/>
      <c r="BT429" s="329"/>
      <c r="BU429" s="331" t="s">
        <v>261</v>
      </c>
      <c r="BV429" s="329"/>
      <c r="BW429" s="329"/>
      <c r="BX429" s="329"/>
      <c r="BY429" s="331" t="s">
        <v>2816</v>
      </c>
      <c r="BZ429" s="331" t="s">
        <v>2817</v>
      </c>
      <c r="CA429" s="331" t="s">
        <v>2814</v>
      </c>
      <c r="CB429" s="331" t="s">
        <v>298</v>
      </c>
      <c r="CC429" s="331" t="s">
        <v>2815</v>
      </c>
    </row>
    <row r="430" spans="1:81" x14ac:dyDescent="0.25">
      <c r="A430" s="329">
        <v>192885</v>
      </c>
      <c r="B430" s="331" t="s">
        <v>2818</v>
      </c>
      <c r="C430" s="329">
        <v>33711</v>
      </c>
      <c r="D430" s="331" t="s">
        <v>2810</v>
      </c>
      <c r="E430" s="331" t="s">
        <v>2819</v>
      </c>
      <c r="F430" s="331" t="s">
        <v>2820</v>
      </c>
      <c r="G430" s="331" t="s">
        <v>2821</v>
      </c>
      <c r="H430" s="331" t="s">
        <v>2822</v>
      </c>
      <c r="I430" s="331" t="s">
        <v>2488</v>
      </c>
      <c r="J430" s="331" t="s">
        <v>298</v>
      </c>
      <c r="K430" s="331" t="s">
        <v>2823</v>
      </c>
      <c r="L430" s="329"/>
      <c r="M430" s="329">
        <v>6</v>
      </c>
      <c r="N430" s="329">
        <v>0</v>
      </c>
      <c r="O430" s="329">
        <v>2.75</v>
      </c>
      <c r="P430" s="329"/>
      <c r="Q430" s="333">
        <v>43626.729861111111</v>
      </c>
      <c r="R430" s="329"/>
      <c r="S430" s="333">
        <v>43752</v>
      </c>
      <c r="T430" s="329">
        <v>55</v>
      </c>
      <c r="U430" s="333">
        <v>43752</v>
      </c>
      <c r="V430" s="333">
        <v>44109</v>
      </c>
      <c r="W430" s="329" t="b">
        <v>1</v>
      </c>
      <c r="X430" s="331" t="s">
        <v>22</v>
      </c>
      <c r="Y430" s="329">
        <v>726</v>
      </c>
      <c r="Z430" s="331" t="s">
        <v>23</v>
      </c>
      <c r="AA430" s="331" t="s">
        <v>919</v>
      </c>
      <c r="AB430" s="331" t="s">
        <v>920</v>
      </c>
      <c r="AC430" s="331" t="s">
        <v>1658</v>
      </c>
      <c r="AD430" s="331" t="s">
        <v>24</v>
      </c>
      <c r="AE430" s="329">
        <v>221</v>
      </c>
      <c r="AF430" s="331" t="s">
        <v>254</v>
      </c>
      <c r="AG430" s="329"/>
      <c r="AH430" s="329">
        <v>17</v>
      </c>
      <c r="AI430" s="331" t="s">
        <v>280</v>
      </c>
      <c r="AJ430" s="331" t="s">
        <v>281</v>
      </c>
      <c r="AK430" s="329"/>
      <c r="AL430" s="329"/>
      <c r="AM430" s="329"/>
      <c r="AN430" s="329"/>
      <c r="AO430" s="329"/>
      <c r="AP430" s="331" t="s">
        <v>432</v>
      </c>
      <c r="AQ430" s="329">
        <v>540</v>
      </c>
      <c r="AR430" s="329">
        <v>440</v>
      </c>
      <c r="AS430" s="329"/>
      <c r="AT430" s="329" t="s">
        <v>315</v>
      </c>
      <c r="AU430" s="329" t="s">
        <v>283</v>
      </c>
      <c r="AV430" s="331" t="s">
        <v>298</v>
      </c>
      <c r="AW430" s="329"/>
      <c r="AX430" s="329"/>
      <c r="AY430" s="329"/>
      <c r="AZ430" s="329"/>
      <c r="BA430" s="329"/>
      <c r="BB430" s="329"/>
      <c r="BC430" s="329"/>
      <c r="BD430" s="329"/>
      <c r="BE430" s="329" t="s">
        <v>257</v>
      </c>
      <c r="BF430" s="329" t="s">
        <v>841</v>
      </c>
      <c r="BG430" s="329"/>
      <c r="BH430" s="329"/>
      <c r="BI430" s="329"/>
      <c r="BJ430" s="329"/>
      <c r="BK430" s="329">
        <v>9000</v>
      </c>
      <c r="BL430" s="329"/>
      <c r="BM430" s="331" t="s">
        <v>189</v>
      </c>
      <c r="BN430" s="329" t="s">
        <v>922</v>
      </c>
      <c r="BO430" s="333">
        <v>43753</v>
      </c>
      <c r="BP430" s="329"/>
      <c r="BQ430" s="329"/>
      <c r="BR430" s="329"/>
      <c r="BS430" s="329"/>
      <c r="BT430" s="329"/>
      <c r="BU430" s="331" t="s">
        <v>261</v>
      </c>
      <c r="BV430" s="329"/>
      <c r="BW430" s="329"/>
      <c r="BX430" s="329"/>
      <c r="BY430" s="331" t="s">
        <v>2824</v>
      </c>
      <c r="BZ430" s="331" t="s">
        <v>2825</v>
      </c>
      <c r="CA430" s="331" t="s">
        <v>2488</v>
      </c>
      <c r="CB430" s="331" t="s">
        <v>298</v>
      </c>
      <c r="CC430" s="331" t="s">
        <v>2826</v>
      </c>
    </row>
    <row r="431" spans="1:81" x14ac:dyDescent="0.25">
      <c r="A431" s="329">
        <v>194422</v>
      </c>
      <c r="B431" s="331" t="s">
        <v>2827</v>
      </c>
      <c r="C431" s="329">
        <v>34126</v>
      </c>
      <c r="D431" s="331" t="s">
        <v>2810</v>
      </c>
      <c r="E431" s="331" t="s">
        <v>2828</v>
      </c>
      <c r="F431" s="331" t="s">
        <v>2829</v>
      </c>
      <c r="G431" s="331" t="s">
        <v>2830</v>
      </c>
      <c r="H431" s="331" t="s">
        <v>2831</v>
      </c>
      <c r="I431" s="331" t="s">
        <v>2213</v>
      </c>
      <c r="J431" s="331" t="s">
        <v>298</v>
      </c>
      <c r="K431" s="331" t="s">
        <v>2832</v>
      </c>
      <c r="L431" s="329"/>
      <c r="M431" s="329">
        <v>6</v>
      </c>
      <c r="N431" s="329">
        <v>0</v>
      </c>
      <c r="O431" s="329">
        <v>3.32</v>
      </c>
      <c r="P431" s="329"/>
      <c r="Q431" s="333">
        <v>43630.730393518519</v>
      </c>
      <c r="R431" s="329"/>
      <c r="S431" s="333">
        <v>43752</v>
      </c>
      <c r="T431" s="329">
        <v>55</v>
      </c>
      <c r="U431" s="333">
        <v>43752</v>
      </c>
      <c r="V431" s="333">
        <v>44109</v>
      </c>
      <c r="W431" s="329" t="b">
        <v>1</v>
      </c>
      <c r="X431" s="331" t="s">
        <v>22</v>
      </c>
      <c r="Y431" s="329">
        <v>726</v>
      </c>
      <c r="Z431" s="331" t="s">
        <v>25</v>
      </c>
      <c r="AA431" s="331" t="s">
        <v>919</v>
      </c>
      <c r="AB431" s="331" t="s">
        <v>920</v>
      </c>
      <c r="AC431" s="331" t="s">
        <v>1889</v>
      </c>
      <c r="AD431" s="331" t="s">
        <v>24</v>
      </c>
      <c r="AE431" s="329">
        <v>221</v>
      </c>
      <c r="AF431" s="331" t="s">
        <v>254</v>
      </c>
      <c r="AG431" s="329"/>
      <c r="AH431" s="329">
        <v>17</v>
      </c>
      <c r="AI431" s="331" t="s">
        <v>280</v>
      </c>
      <c r="AJ431" s="331" t="s">
        <v>281</v>
      </c>
      <c r="AK431" s="329"/>
      <c r="AL431" s="329"/>
      <c r="AM431" s="329"/>
      <c r="AN431" s="329"/>
      <c r="AO431" s="329"/>
      <c r="AP431" s="331" t="s">
        <v>356</v>
      </c>
      <c r="AQ431" s="329">
        <v>520</v>
      </c>
      <c r="AR431" s="329">
        <v>530</v>
      </c>
      <c r="AS431" s="329"/>
      <c r="AT431" s="329" t="s">
        <v>255</v>
      </c>
      <c r="AU431" s="329" t="s">
        <v>283</v>
      </c>
      <c r="AV431" s="331" t="s">
        <v>298</v>
      </c>
      <c r="AW431" s="329"/>
      <c r="AX431" s="329"/>
      <c r="AY431" s="329"/>
      <c r="AZ431" s="329"/>
      <c r="BA431" s="329"/>
      <c r="BB431" s="329"/>
      <c r="BC431" s="329"/>
      <c r="BD431" s="329"/>
      <c r="BE431" s="329" t="s">
        <v>257</v>
      </c>
      <c r="BF431" s="329" t="s">
        <v>838</v>
      </c>
      <c r="BG431" s="329"/>
      <c r="BH431" s="329"/>
      <c r="BI431" s="329"/>
      <c r="BJ431" s="329"/>
      <c r="BK431" s="329">
        <v>15600</v>
      </c>
      <c r="BL431" s="329"/>
      <c r="BM431" s="331" t="s">
        <v>259</v>
      </c>
      <c r="BN431" s="329" t="s">
        <v>922</v>
      </c>
      <c r="BO431" s="333">
        <v>43753</v>
      </c>
      <c r="BP431" s="329"/>
      <c r="BQ431" s="329"/>
      <c r="BR431" s="329"/>
      <c r="BS431" s="329"/>
      <c r="BT431" s="329"/>
      <c r="BU431" s="331" t="s">
        <v>261</v>
      </c>
      <c r="BV431" s="329"/>
      <c r="BW431" s="329"/>
      <c r="BX431" s="329"/>
      <c r="BY431" s="331" t="s">
        <v>2833</v>
      </c>
      <c r="BZ431" s="331" t="s">
        <v>2834</v>
      </c>
      <c r="CA431" s="331" t="s">
        <v>2217</v>
      </c>
      <c r="CB431" s="331" t="s">
        <v>298</v>
      </c>
      <c r="CC431" s="331" t="s">
        <v>2835</v>
      </c>
    </row>
    <row r="432" spans="1:81" x14ac:dyDescent="0.25">
      <c r="A432" s="329">
        <v>196525</v>
      </c>
      <c r="B432" s="331" t="s">
        <v>2847</v>
      </c>
      <c r="C432" s="329">
        <v>34675</v>
      </c>
      <c r="D432" s="331" t="s">
        <v>2848</v>
      </c>
      <c r="E432" s="331" t="s">
        <v>2849</v>
      </c>
      <c r="F432" s="331" t="s">
        <v>2850</v>
      </c>
      <c r="G432" s="331" t="s">
        <v>2851</v>
      </c>
      <c r="H432" s="331" t="s">
        <v>2852</v>
      </c>
      <c r="I432" s="331" t="s">
        <v>2853</v>
      </c>
      <c r="J432" s="331" t="s">
        <v>397</v>
      </c>
      <c r="K432" s="331" t="s">
        <v>2854</v>
      </c>
      <c r="L432" s="329"/>
      <c r="M432" s="329">
        <v>6</v>
      </c>
      <c r="N432" s="329">
        <v>0</v>
      </c>
      <c r="O432" s="329">
        <v>3.1280000000000001</v>
      </c>
      <c r="P432" s="329"/>
      <c r="Q432" s="333">
        <v>43673.982638888891</v>
      </c>
      <c r="R432" s="329"/>
      <c r="S432" s="333">
        <v>43752</v>
      </c>
      <c r="T432" s="329">
        <v>55</v>
      </c>
      <c r="U432" s="333">
        <v>43752</v>
      </c>
      <c r="V432" s="333">
        <v>44109</v>
      </c>
      <c r="W432" s="329" t="b">
        <v>1</v>
      </c>
      <c r="X432" s="331" t="s">
        <v>22</v>
      </c>
      <c r="Y432" s="329">
        <v>429</v>
      </c>
      <c r="Z432" s="331" t="s">
        <v>23</v>
      </c>
      <c r="AA432" s="331" t="s">
        <v>919</v>
      </c>
      <c r="AB432" s="331" t="s">
        <v>920</v>
      </c>
      <c r="AC432" s="331" t="s">
        <v>1011</v>
      </c>
      <c r="AD432" s="331" t="s">
        <v>24</v>
      </c>
      <c r="AE432" s="329">
        <v>221</v>
      </c>
      <c r="AF432" s="331" t="s">
        <v>254</v>
      </c>
      <c r="AG432" s="329"/>
      <c r="AH432" s="329">
        <v>17</v>
      </c>
      <c r="AI432" s="331" t="s">
        <v>280</v>
      </c>
      <c r="AJ432" s="331" t="s">
        <v>281</v>
      </c>
      <c r="AK432" s="331" t="s">
        <v>347</v>
      </c>
      <c r="AL432" s="331" t="s">
        <v>287</v>
      </c>
      <c r="AM432" s="331" t="s">
        <v>289</v>
      </c>
      <c r="AN432" s="331" t="s">
        <v>285</v>
      </c>
      <c r="AO432" s="331" t="s">
        <v>287</v>
      </c>
      <c r="AP432" s="329"/>
      <c r="AQ432" s="329"/>
      <c r="AR432" s="329"/>
      <c r="AS432" s="329"/>
      <c r="AT432" s="329" t="s">
        <v>319</v>
      </c>
      <c r="AU432" s="329" t="s">
        <v>256</v>
      </c>
      <c r="AV432" s="331" t="s">
        <v>397</v>
      </c>
      <c r="AW432" s="329"/>
      <c r="AX432" s="329"/>
      <c r="AY432" s="329"/>
      <c r="AZ432" s="329"/>
      <c r="BA432" s="329"/>
      <c r="BB432" s="329"/>
      <c r="BC432" s="329"/>
      <c r="BD432" s="329"/>
      <c r="BE432" s="329" t="s">
        <v>257</v>
      </c>
      <c r="BF432" s="329" t="s">
        <v>834</v>
      </c>
      <c r="BG432" s="329"/>
      <c r="BH432" s="329"/>
      <c r="BI432" s="329"/>
      <c r="BJ432" s="329"/>
      <c r="BK432" s="329">
        <v>20400</v>
      </c>
      <c r="BL432" s="329"/>
      <c r="BM432" s="331" t="s">
        <v>278</v>
      </c>
      <c r="BN432" s="329" t="s">
        <v>922</v>
      </c>
      <c r="BO432" s="333">
        <v>43753</v>
      </c>
      <c r="BP432" s="329"/>
      <c r="BQ432" s="329"/>
      <c r="BR432" s="329"/>
      <c r="BS432" s="329"/>
      <c r="BT432" s="329"/>
      <c r="BU432" s="331" t="s">
        <v>261</v>
      </c>
      <c r="BV432" s="329"/>
      <c r="BW432" s="329"/>
      <c r="BX432" s="329"/>
      <c r="BY432" s="331" t="s">
        <v>2855</v>
      </c>
      <c r="BZ432" s="331" t="s">
        <v>2856</v>
      </c>
      <c r="CA432" s="331" t="s">
        <v>2857</v>
      </c>
      <c r="CB432" s="331" t="s">
        <v>397</v>
      </c>
      <c r="CC432" s="331" t="s">
        <v>2854</v>
      </c>
    </row>
    <row r="433" spans="1:81" x14ac:dyDescent="0.25">
      <c r="A433" s="329">
        <v>196712</v>
      </c>
      <c r="B433" s="331" t="s">
        <v>2858</v>
      </c>
      <c r="C433" s="329">
        <v>34715</v>
      </c>
      <c r="D433" s="331" t="s">
        <v>410</v>
      </c>
      <c r="E433" s="331" t="s">
        <v>387</v>
      </c>
      <c r="F433" s="331" t="s">
        <v>2859</v>
      </c>
      <c r="G433" s="331" t="s">
        <v>2860</v>
      </c>
      <c r="H433" s="331" t="s">
        <v>2861</v>
      </c>
      <c r="I433" s="331" t="s">
        <v>2862</v>
      </c>
      <c r="J433" s="331" t="s">
        <v>321</v>
      </c>
      <c r="K433" s="331" t="s">
        <v>2863</v>
      </c>
      <c r="L433" s="329"/>
      <c r="M433" s="329">
        <v>6</v>
      </c>
      <c r="N433" s="329">
        <v>0</v>
      </c>
      <c r="O433" s="329">
        <v>3.4</v>
      </c>
      <c r="P433" s="329"/>
      <c r="Q433" s="333">
        <v>43696.711805555555</v>
      </c>
      <c r="R433" s="329"/>
      <c r="S433" s="333">
        <v>43752</v>
      </c>
      <c r="T433" s="329">
        <v>55</v>
      </c>
      <c r="U433" s="333">
        <v>43752</v>
      </c>
      <c r="V433" s="333">
        <v>44109</v>
      </c>
      <c r="W433" s="329" t="b">
        <v>1</v>
      </c>
      <c r="X433" s="331" t="s">
        <v>905</v>
      </c>
      <c r="Y433" s="329">
        <v>747</v>
      </c>
      <c r="Z433" s="331" t="s">
        <v>23</v>
      </c>
      <c r="AA433" s="331" t="s">
        <v>919</v>
      </c>
      <c r="AB433" s="331" t="s">
        <v>920</v>
      </c>
      <c r="AC433" s="331" t="s">
        <v>2015</v>
      </c>
      <c r="AD433" s="331" t="s">
        <v>24</v>
      </c>
      <c r="AE433" s="329">
        <v>221</v>
      </c>
      <c r="AF433" s="331" t="s">
        <v>254</v>
      </c>
      <c r="AG433" s="329"/>
      <c r="AH433" s="329">
        <v>17</v>
      </c>
      <c r="AI433" s="331" t="s">
        <v>280</v>
      </c>
      <c r="AJ433" s="331" t="s">
        <v>281</v>
      </c>
      <c r="AK433" s="329"/>
      <c r="AL433" s="329"/>
      <c r="AM433" s="329"/>
      <c r="AN433" s="329"/>
      <c r="AO433" s="329"/>
      <c r="AP433" s="329"/>
      <c r="AQ433" s="329"/>
      <c r="AR433" s="329"/>
      <c r="AS433" s="329"/>
      <c r="AT433" s="329" t="s">
        <v>258</v>
      </c>
      <c r="AU433" s="329" t="s">
        <v>283</v>
      </c>
      <c r="AV433" s="331" t="s">
        <v>321</v>
      </c>
      <c r="AW433" s="329"/>
      <c r="AX433" s="329"/>
      <c r="AY433" s="329"/>
      <c r="AZ433" s="329"/>
      <c r="BA433" s="329"/>
      <c r="BB433" s="329"/>
      <c r="BC433" s="329"/>
      <c r="BD433" s="329"/>
      <c r="BE433" s="329"/>
      <c r="BF433" s="329"/>
      <c r="BG433" s="329"/>
      <c r="BH433" s="329"/>
      <c r="BI433" s="329"/>
      <c r="BJ433" s="329"/>
      <c r="BK433" s="329">
        <v>0</v>
      </c>
      <c r="BL433" s="329"/>
      <c r="BM433" s="331" t="s">
        <v>28</v>
      </c>
      <c r="BN433" s="329" t="s">
        <v>922</v>
      </c>
      <c r="BO433" s="333">
        <v>43753</v>
      </c>
      <c r="BP433" s="329"/>
      <c r="BQ433" s="329"/>
      <c r="BR433" s="329"/>
      <c r="BS433" s="329"/>
      <c r="BT433" s="329"/>
      <c r="BU433" s="331" t="s">
        <v>261</v>
      </c>
      <c r="BV433" s="329"/>
      <c r="BW433" s="329"/>
      <c r="BX433" s="329"/>
      <c r="BY433" s="331" t="s">
        <v>2864</v>
      </c>
      <c r="BZ433" s="331" t="s">
        <v>2865</v>
      </c>
      <c r="CA433" s="331" t="s">
        <v>2866</v>
      </c>
      <c r="CB433" s="331" t="s">
        <v>321</v>
      </c>
      <c r="CC433" s="331" t="s">
        <v>2863</v>
      </c>
    </row>
    <row r="434" spans="1:81" x14ac:dyDescent="0.25">
      <c r="A434" s="329">
        <v>196762</v>
      </c>
      <c r="B434" s="331" t="s">
        <v>2867</v>
      </c>
      <c r="C434" s="329">
        <v>34729</v>
      </c>
      <c r="D434" s="331" t="s">
        <v>411</v>
      </c>
      <c r="E434" s="331" t="s">
        <v>2868</v>
      </c>
      <c r="F434" s="331" t="s">
        <v>2869</v>
      </c>
      <c r="G434" s="331" t="s">
        <v>2870</v>
      </c>
      <c r="H434" s="331" t="s">
        <v>2871</v>
      </c>
      <c r="I434" s="331" t="s">
        <v>2872</v>
      </c>
      <c r="J434" s="331" t="s">
        <v>284</v>
      </c>
      <c r="K434" s="331" t="s">
        <v>2873</v>
      </c>
      <c r="L434" s="329"/>
      <c r="M434" s="329">
        <v>6</v>
      </c>
      <c r="N434" s="329">
        <v>0</v>
      </c>
      <c r="O434" s="329">
        <v>2.5127999999999999</v>
      </c>
      <c r="P434" s="329"/>
      <c r="Q434" s="333">
        <v>43704.729861111111</v>
      </c>
      <c r="R434" s="329"/>
      <c r="S434" s="333">
        <v>43752</v>
      </c>
      <c r="T434" s="329">
        <v>55</v>
      </c>
      <c r="U434" s="333">
        <v>43752</v>
      </c>
      <c r="V434" s="333">
        <v>44109</v>
      </c>
      <c r="W434" s="329" t="b">
        <v>1</v>
      </c>
      <c r="X434" s="331" t="s">
        <v>22</v>
      </c>
      <c r="Y434" s="329">
        <v>726</v>
      </c>
      <c r="Z434" s="331" t="s">
        <v>23</v>
      </c>
      <c r="AA434" s="331" t="s">
        <v>919</v>
      </c>
      <c r="AB434" s="331" t="s">
        <v>920</v>
      </c>
      <c r="AC434" s="331" t="s">
        <v>921</v>
      </c>
      <c r="AD434" s="331" t="s">
        <v>24</v>
      </c>
      <c r="AE434" s="329">
        <v>221</v>
      </c>
      <c r="AF434" s="331" t="s">
        <v>254</v>
      </c>
      <c r="AG434" s="329"/>
      <c r="AH434" s="329">
        <v>17</v>
      </c>
      <c r="AI434" s="331" t="s">
        <v>280</v>
      </c>
      <c r="AJ434" s="331" t="s">
        <v>281</v>
      </c>
      <c r="AK434" s="329"/>
      <c r="AL434" s="329"/>
      <c r="AM434" s="329"/>
      <c r="AN434" s="329"/>
      <c r="AO434" s="329"/>
      <c r="AP434" s="331" t="s">
        <v>432</v>
      </c>
      <c r="AQ434" s="329">
        <v>460</v>
      </c>
      <c r="AR434" s="329">
        <v>520</v>
      </c>
      <c r="AS434" s="329"/>
      <c r="AT434" s="329" t="s">
        <v>845</v>
      </c>
      <c r="AU434" s="329" t="s">
        <v>283</v>
      </c>
      <c r="AV434" s="331" t="s">
        <v>284</v>
      </c>
      <c r="AW434" s="329"/>
      <c r="AX434" s="329"/>
      <c r="AY434" s="329"/>
      <c r="AZ434" s="329"/>
      <c r="BA434" s="329"/>
      <c r="BB434" s="329"/>
      <c r="BC434" s="329"/>
      <c r="BD434" s="329"/>
      <c r="BE434" s="329"/>
      <c r="BF434" s="329"/>
      <c r="BG434" s="329"/>
      <c r="BH434" s="329"/>
      <c r="BI434" s="329"/>
      <c r="BJ434" s="329"/>
      <c r="BK434" s="329">
        <v>0</v>
      </c>
      <c r="BL434" s="329"/>
      <c r="BM434" s="331" t="s">
        <v>28</v>
      </c>
      <c r="BN434" s="329" t="s">
        <v>922</v>
      </c>
      <c r="BO434" s="333">
        <v>43753</v>
      </c>
      <c r="BP434" s="329"/>
      <c r="BQ434" s="329"/>
      <c r="BR434" s="329"/>
      <c r="BS434" s="329"/>
      <c r="BT434" s="329"/>
      <c r="BU434" s="331" t="s">
        <v>261</v>
      </c>
      <c r="BV434" s="329"/>
      <c r="BW434" s="329"/>
      <c r="BX434" s="329"/>
      <c r="BY434" s="331" t="s">
        <v>2874</v>
      </c>
      <c r="BZ434" s="331" t="s">
        <v>2875</v>
      </c>
      <c r="CA434" s="331" t="s">
        <v>2876</v>
      </c>
      <c r="CB434" s="331" t="s">
        <v>284</v>
      </c>
      <c r="CC434" s="331" t="s">
        <v>2877</v>
      </c>
    </row>
    <row r="435" spans="1:81" x14ac:dyDescent="0.25">
      <c r="A435" s="329">
        <v>197824</v>
      </c>
      <c r="B435" s="331" t="s">
        <v>2878</v>
      </c>
      <c r="C435" s="329">
        <v>35004</v>
      </c>
      <c r="D435" s="331" t="s">
        <v>2879</v>
      </c>
      <c r="E435" s="331" t="s">
        <v>485</v>
      </c>
      <c r="F435" s="331" t="s">
        <v>2880</v>
      </c>
      <c r="G435" s="331" t="s">
        <v>2881</v>
      </c>
      <c r="H435" s="331" t="s">
        <v>2882</v>
      </c>
      <c r="I435" s="331" t="s">
        <v>2883</v>
      </c>
      <c r="J435" s="331" t="s">
        <v>335</v>
      </c>
      <c r="K435" s="331" t="s">
        <v>2884</v>
      </c>
      <c r="L435" s="329"/>
      <c r="M435" s="329">
        <v>6</v>
      </c>
      <c r="N435" s="329">
        <v>0</v>
      </c>
      <c r="O435" s="329">
        <v>3.1</v>
      </c>
      <c r="P435" s="329"/>
      <c r="Q435" s="333">
        <v>43719.614594907405</v>
      </c>
      <c r="R435" s="329"/>
      <c r="S435" s="333">
        <v>43752</v>
      </c>
      <c r="T435" s="329">
        <v>55</v>
      </c>
      <c r="U435" s="333">
        <v>43752</v>
      </c>
      <c r="V435" s="333">
        <v>44109</v>
      </c>
      <c r="W435" s="329" t="b">
        <v>1</v>
      </c>
      <c r="X435" s="331" t="s">
        <v>22</v>
      </c>
      <c r="Y435" s="329">
        <v>429</v>
      </c>
      <c r="Z435" s="331" t="s">
        <v>23</v>
      </c>
      <c r="AA435" s="331" t="s">
        <v>919</v>
      </c>
      <c r="AB435" s="331" t="s">
        <v>920</v>
      </c>
      <c r="AC435" s="331" t="s">
        <v>2683</v>
      </c>
      <c r="AD435" s="331" t="s">
        <v>24</v>
      </c>
      <c r="AE435" s="329">
        <v>221</v>
      </c>
      <c r="AF435" s="331" t="s">
        <v>254</v>
      </c>
      <c r="AG435" s="329"/>
      <c r="AH435" s="329">
        <v>17</v>
      </c>
      <c r="AI435" s="331" t="s">
        <v>280</v>
      </c>
      <c r="AJ435" s="331" t="s">
        <v>281</v>
      </c>
      <c r="AK435" s="329"/>
      <c r="AL435" s="329"/>
      <c r="AM435" s="329"/>
      <c r="AN435" s="329"/>
      <c r="AO435" s="329"/>
      <c r="AP435" s="331" t="s">
        <v>402</v>
      </c>
      <c r="AQ435" s="329">
        <v>650</v>
      </c>
      <c r="AR435" s="329">
        <v>610</v>
      </c>
      <c r="AS435" s="329"/>
      <c r="AT435" s="329" t="s">
        <v>394</v>
      </c>
      <c r="AU435" s="329" t="s">
        <v>256</v>
      </c>
      <c r="AV435" s="331" t="s">
        <v>335</v>
      </c>
      <c r="AW435" s="329"/>
      <c r="AX435" s="329"/>
      <c r="AY435" s="329"/>
      <c r="AZ435" s="329"/>
      <c r="BA435" s="329"/>
      <c r="BB435" s="329"/>
      <c r="BC435" s="329"/>
      <c r="BD435" s="329"/>
      <c r="BE435" s="329" t="s">
        <v>257</v>
      </c>
      <c r="BF435" s="329" t="s">
        <v>837</v>
      </c>
      <c r="BG435" s="329"/>
      <c r="BH435" s="329"/>
      <c r="BI435" s="329"/>
      <c r="BJ435" s="329"/>
      <c r="BK435" s="329">
        <v>15000</v>
      </c>
      <c r="BL435" s="329"/>
      <c r="BM435" s="331" t="s">
        <v>295</v>
      </c>
      <c r="BN435" s="329" t="s">
        <v>922</v>
      </c>
      <c r="BO435" s="333">
        <v>43753</v>
      </c>
      <c r="BP435" s="329"/>
      <c r="BQ435" s="329"/>
      <c r="BR435" s="329"/>
      <c r="BS435" s="329"/>
      <c r="BT435" s="329"/>
      <c r="BU435" s="331" t="s">
        <v>261</v>
      </c>
      <c r="BV435" s="329"/>
      <c r="BW435" s="329"/>
      <c r="BX435" s="329"/>
      <c r="BY435" s="331" t="s">
        <v>2885</v>
      </c>
      <c r="BZ435" s="331" t="s">
        <v>2886</v>
      </c>
      <c r="CA435" s="331" t="s">
        <v>2887</v>
      </c>
      <c r="CB435" s="331" t="s">
        <v>335</v>
      </c>
      <c r="CC435" s="331" t="s">
        <v>2884</v>
      </c>
    </row>
    <row r="436" spans="1:81" x14ac:dyDescent="0.25">
      <c r="A436" s="329">
        <v>198357</v>
      </c>
      <c r="B436" s="331" t="s">
        <v>2888</v>
      </c>
      <c r="C436" s="329">
        <v>35241</v>
      </c>
      <c r="D436" s="331" t="s">
        <v>2889</v>
      </c>
      <c r="E436" s="331" t="s">
        <v>2890</v>
      </c>
      <c r="F436" s="331" t="s">
        <v>2891</v>
      </c>
      <c r="G436" s="331" t="s">
        <v>2892</v>
      </c>
      <c r="H436" s="331" t="s">
        <v>2893</v>
      </c>
      <c r="I436" s="331" t="s">
        <v>2894</v>
      </c>
      <c r="J436" s="331" t="s">
        <v>298</v>
      </c>
      <c r="K436" s="331" t="s">
        <v>2895</v>
      </c>
      <c r="L436" s="329"/>
      <c r="M436" s="329">
        <v>6</v>
      </c>
      <c r="N436" s="329">
        <v>0</v>
      </c>
      <c r="O436" s="329">
        <v>3.54</v>
      </c>
      <c r="P436" s="329"/>
      <c r="Q436" s="333">
        <v>43707.731249999997</v>
      </c>
      <c r="R436" s="329"/>
      <c r="S436" s="333">
        <v>43752</v>
      </c>
      <c r="T436" s="329">
        <v>55</v>
      </c>
      <c r="U436" s="333">
        <v>43752</v>
      </c>
      <c r="V436" s="333">
        <v>44109</v>
      </c>
      <c r="W436" s="329" t="b">
        <v>1</v>
      </c>
      <c r="X436" s="331" t="s">
        <v>22</v>
      </c>
      <c r="Y436" s="329">
        <v>429</v>
      </c>
      <c r="Z436" s="331" t="s">
        <v>25</v>
      </c>
      <c r="AA436" s="331" t="s">
        <v>919</v>
      </c>
      <c r="AB436" s="331" t="s">
        <v>920</v>
      </c>
      <c r="AC436" s="331" t="s">
        <v>1818</v>
      </c>
      <c r="AD436" s="331" t="s">
        <v>24</v>
      </c>
      <c r="AE436" s="329">
        <v>221</v>
      </c>
      <c r="AF436" s="331" t="s">
        <v>254</v>
      </c>
      <c r="AG436" s="329"/>
      <c r="AH436" s="329">
        <v>17</v>
      </c>
      <c r="AI436" s="331" t="s">
        <v>280</v>
      </c>
      <c r="AJ436" s="331" t="s">
        <v>281</v>
      </c>
      <c r="AK436" s="329"/>
      <c r="AL436" s="329"/>
      <c r="AM436" s="329"/>
      <c r="AN436" s="329"/>
      <c r="AO436" s="329"/>
      <c r="AP436" s="329"/>
      <c r="AQ436" s="329"/>
      <c r="AR436" s="329"/>
      <c r="AS436" s="329"/>
      <c r="AT436" s="329" t="s">
        <v>258</v>
      </c>
      <c r="AU436" s="329" t="s">
        <v>277</v>
      </c>
      <c r="AV436" s="331" t="s">
        <v>298</v>
      </c>
      <c r="AW436" s="329"/>
      <c r="AX436" s="329"/>
      <c r="AY436" s="329"/>
      <c r="AZ436" s="329"/>
      <c r="BA436" s="329"/>
      <c r="BB436" s="329"/>
      <c r="BC436" s="329"/>
      <c r="BD436" s="329"/>
      <c r="BE436" s="329"/>
      <c r="BF436" s="329"/>
      <c r="BG436" s="329"/>
      <c r="BH436" s="329"/>
      <c r="BI436" s="329"/>
      <c r="BJ436" s="329"/>
      <c r="BK436" s="329">
        <v>0</v>
      </c>
      <c r="BL436" s="329"/>
      <c r="BM436" s="331" t="s">
        <v>267</v>
      </c>
      <c r="BN436" s="329" t="s">
        <v>922</v>
      </c>
      <c r="BO436" s="333">
        <v>43753</v>
      </c>
      <c r="BP436" s="329"/>
      <c r="BQ436" s="329"/>
      <c r="BR436" s="329"/>
      <c r="BS436" s="329"/>
      <c r="BT436" s="329"/>
      <c r="BU436" s="331" t="s">
        <v>261</v>
      </c>
      <c r="BV436" s="329"/>
      <c r="BW436" s="329"/>
      <c r="BX436" s="329"/>
      <c r="BY436" s="331" t="s">
        <v>2896</v>
      </c>
      <c r="BZ436" s="331" t="s">
        <v>2897</v>
      </c>
      <c r="CA436" s="331" t="s">
        <v>2898</v>
      </c>
      <c r="CB436" s="331" t="s">
        <v>298</v>
      </c>
      <c r="CC436" s="331" t="s">
        <v>2895</v>
      </c>
    </row>
    <row r="437" spans="1:81" x14ac:dyDescent="0.25">
      <c r="A437" s="329">
        <v>195571</v>
      </c>
      <c r="B437" s="331" t="s">
        <v>2908</v>
      </c>
      <c r="C437" s="329">
        <v>34361</v>
      </c>
      <c r="D437" s="331" t="s">
        <v>2909</v>
      </c>
      <c r="E437" s="331" t="s">
        <v>758</v>
      </c>
      <c r="F437" s="331" t="s">
        <v>2910</v>
      </c>
      <c r="G437" s="331" t="s">
        <v>2911</v>
      </c>
      <c r="H437" s="331" t="s">
        <v>2912</v>
      </c>
      <c r="I437" s="331" t="s">
        <v>2913</v>
      </c>
      <c r="J437" s="331" t="s">
        <v>298</v>
      </c>
      <c r="K437" s="331" t="s">
        <v>2914</v>
      </c>
      <c r="L437" s="329"/>
      <c r="M437" s="329">
        <v>6</v>
      </c>
      <c r="N437" s="329">
        <v>0</v>
      </c>
      <c r="O437" s="329">
        <v>3.4</v>
      </c>
      <c r="P437" s="329"/>
      <c r="Q437" s="333">
        <v>43648.795138888891</v>
      </c>
      <c r="R437" s="329"/>
      <c r="S437" s="333">
        <v>43752</v>
      </c>
      <c r="T437" s="329">
        <v>55</v>
      </c>
      <c r="U437" s="333">
        <v>43752</v>
      </c>
      <c r="V437" s="333">
        <v>44109</v>
      </c>
      <c r="W437" s="329" t="b">
        <v>1</v>
      </c>
      <c r="X437" s="331" t="s">
        <v>905</v>
      </c>
      <c r="Y437" s="329">
        <v>747</v>
      </c>
      <c r="Z437" s="331" t="s">
        <v>23</v>
      </c>
      <c r="AA437" s="331" t="s">
        <v>919</v>
      </c>
      <c r="AB437" s="331" t="s">
        <v>920</v>
      </c>
      <c r="AC437" s="331" t="s">
        <v>1064</v>
      </c>
      <c r="AD437" s="331" t="s">
        <v>24</v>
      </c>
      <c r="AE437" s="329">
        <v>221</v>
      </c>
      <c r="AF437" s="331" t="s">
        <v>254</v>
      </c>
      <c r="AG437" s="329"/>
      <c r="AH437" s="329">
        <v>17</v>
      </c>
      <c r="AI437" s="331" t="s">
        <v>280</v>
      </c>
      <c r="AJ437" s="331" t="s">
        <v>281</v>
      </c>
      <c r="AK437" s="329"/>
      <c r="AL437" s="329"/>
      <c r="AM437" s="329"/>
      <c r="AN437" s="329"/>
      <c r="AO437" s="329"/>
      <c r="AP437" s="329"/>
      <c r="AQ437" s="329"/>
      <c r="AR437" s="329"/>
      <c r="AS437" s="329"/>
      <c r="AT437" s="329" t="s">
        <v>258</v>
      </c>
      <c r="AU437" s="329" t="s">
        <v>283</v>
      </c>
      <c r="AV437" s="331" t="s">
        <v>298</v>
      </c>
      <c r="AW437" s="329"/>
      <c r="AX437" s="329"/>
      <c r="AY437" s="329"/>
      <c r="AZ437" s="329"/>
      <c r="BA437" s="329"/>
      <c r="BB437" s="329"/>
      <c r="BC437" s="329"/>
      <c r="BD437" s="329"/>
      <c r="BE437" s="329"/>
      <c r="BF437" s="329"/>
      <c r="BG437" s="329"/>
      <c r="BH437" s="329"/>
      <c r="BI437" s="329"/>
      <c r="BJ437" s="329"/>
      <c r="BK437" s="329">
        <v>0</v>
      </c>
      <c r="BL437" s="329"/>
      <c r="BM437" s="331" t="s">
        <v>27</v>
      </c>
      <c r="BN437" s="329" t="s">
        <v>922</v>
      </c>
      <c r="BO437" s="333">
        <v>43753</v>
      </c>
      <c r="BP437" s="329"/>
      <c r="BQ437" s="329"/>
      <c r="BR437" s="329"/>
      <c r="BS437" s="329"/>
      <c r="BT437" s="329"/>
      <c r="BU437" s="331" t="s">
        <v>261</v>
      </c>
      <c r="BV437" s="329"/>
      <c r="BW437" s="329"/>
      <c r="BX437" s="329"/>
      <c r="BY437" s="331" t="s">
        <v>2915</v>
      </c>
      <c r="BZ437" s="331" t="s">
        <v>2916</v>
      </c>
      <c r="CA437" s="331" t="s">
        <v>2917</v>
      </c>
      <c r="CB437" s="331" t="s">
        <v>298</v>
      </c>
      <c r="CC437" s="331" t="s">
        <v>2918</v>
      </c>
    </row>
    <row r="438" spans="1:81" x14ac:dyDescent="0.25">
      <c r="A438" s="329">
        <v>194764</v>
      </c>
      <c r="B438" s="331" t="s">
        <v>2919</v>
      </c>
      <c r="C438" s="329">
        <v>34165</v>
      </c>
      <c r="D438" s="331" t="s">
        <v>2920</v>
      </c>
      <c r="E438" s="331" t="s">
        <v>2921</v>
      </c>
      <c r="F438" s="331" t="s">
        <v>2922</v>
      </c>
      <c r="G438" s="331" t="s">
        <v>2923</v>
      </c>
      <c r="H438" s="331" t="s">
        <v>2924</v>
      </c>
      <c r="I438" s="331" t="s">
        <v>2925</v>
      </c>
      <c r="J438" s="331" t="s">
        <v>263</v>
      </c>
      <c r="K438" s="331" t="s">
        <v>2926</v>
      </c>
      <c r="L438" s="329"/>
      <c r="M438" s="329">
        <v>6</v>
      </c>
      <c r="N438" s="329">
        <v>0</v>
      </c>
      <c r="O438" s="329">
        <v>4</v>
      </c>
      <c r="P438" s="329"/>
      <c r="Q438" s="333">
        <v>43641.5625</v>
      </c>
      <c r="R438" s="329"/>
      <c r="S438" s="333">
        <v>43752</v>
      </c>
      <c r="T438" s="329">
        <v>55</v>
      </c>
      <c r="U438" s="333">
        <v>43752</v>
      </c>
      <c r="V438" s="333">
        <v>44109</v>
      </c>
      <c r="W438" s="329" t="b">
        <v>1</v>
      </c>
      <c r="X438" s="331" t="s">
        <v>22</v>
      </c>
      <c r="Y438" s="329">
        <v>726</v>
      </c>
      <c r="Z438" s="331" t="s">
        <v>25</v>
      </c>
      <c r="AA438" s="331" t="s">
        <v>919</v>
      </c>
      <c r="AB438" s="331" t="s">
        <v>920</v>
      </c>
      <c r="AC438" s="331" t="s">
        <v>1097</v>
      </c>
      <c r="AD438" s="331" t="s">
        <v>24</v>
      </c>
      <c r="AE438" s="329">
        <v>221</v>
      </c>
      <c r="AF438" s="331" t="s">
        <v>254</v>
      </c>
      <c r="AG438" s="329"/>
      <c r="AH438" s="329">
        <v>17</v>
      </c>
      <c r="AI438" s="331" t="s">
        <v>280</v>
      </c>
      <c r="AJ438" s="331" t="s">
        <v>281</v>
      </c>
      <c r="AK438" s="329"/>
      <c r="AL438" s="329"/>
      <c r="AM438" s="329"/>
      <c r="AN438" s="329"/>
      <c r="AO438" s="329"/>
      <c r="AP438" s="331" t="s">
        <v>2927</v>
      </c>
      <c r="AQ438" s="329">
        <v>700</v>
      </c>
      <c r="AR438" s="329">
        <v>690</v>
      </c>
      <c r="AS438" s="329"/>
      <c r="AT438" s="329" t="s">
        <v>385</v>
      </c>
      <c r="AU438" s="329" t="s">
        <v>283</v>
      </c>
      <c r="AV438" s="331" t="s">
        <v>263</v>
      </c>
      <c r="AW438" s="329"/>
      <c r="AX438" s="329"/>
      <c r="AY438" s="329"/>
      <c r="AZ438" s="329"/>
      <c r="BA438" s="329"/>
      <c r="BB438" s="329"/>
      <c r="BC438" s="329"/>
      <c r="BD438" s="329"/>
      <c r="BE438" s="329" t="s">
        <v>257</v>
      </c>
      <c r="BF438" s="329" t="s">
        <v>834</v>
      </c>
      <c r="BG438" s="329"/>
      <c r="BH438" s="329"/>
      <c r="BI438" s="329"/>
      <c r="BJ438" s="329"/>
      <c r="BK438" s="329">
        <v>20400</v>
      </c>
      <c r="BL438" s="329"/>
      <c r="BM438" s="331" t="s">
        <v>278</v>
      </c>
      <c r="BN438" s="329" t="s">
        <v>922</v>
      </c>
      <c r="BO438" s="333">
        <v>43753</v>
      </c>
      <c r="BP438" s="329"/>
      <c r="BQ438" s="329"/>
      <c r="BR438" s="329"/>
      <c r="BS438" s="329"/>
      <c r="BT438" s="329"/>
      <c r="BU438" s="331" t="s">
        <v>261</v>
      </c>
      <c r="BV438" s="329"/>
      <c r="BW438" s="329"/>
      <c r="BX438" s="329"/>
      <c r="BY438" s="331" t="s">
        <v>2928</v>
      </c>
      <c r="BZ438" s="331" t="s">
        <v>2929</v>
      </c>
      <c r="CA438" s="331" t="s">
        <v>2930</v>
      </c>
      <c r="CB438" s="331" t="s">
        <v>263</v>
      </c>
      <c r="CC438" s="331" t="s">
        <v>2931</v>
      </c>
    </row>
    <row r="439" spans="1:81" x14ac:dyDescent="0.25">
      <c r="A439" s="329">
        <v>197750</v>
      </c>
      <c r="B439" s="331" t="s">
        <v>2932</v>
      </c>
      <c r="C439" s="329">
        <v>34977</v>
      </c>
      <c r="D439" s="331" t="s">
        <v>2933</v>
      </c>
      <c r="E439" s="331" t="s">
        <v>754</v>
      </c>
      <c r="F439" s="331" t="s">
        <v>2934</v>
      </c>
      <c r="G439" s="331" t="s">
        <v>2935</v>
      </c>
      <c r="H439" s="331" t="s">
        <v>2936</v>
      </c>
      <c r="I439" s="331" t="s">
        <v>737</v>
      </c>
      <c r="J439" s="331" t="s">
        <v>307</v>
      </c>
      <c r="K439" s="331" t="s">
        <v>2937</v>
      </c>
      <c r="L439" s="329"/>
      <c r="M439" s="329">
        <v>6</v>
      </c>
      <c r="N439" s="329">
        <v>0</v>
      </c>
      <c r="O439" s="329">
        <v>3.8</v>
      </c>
      <c r="P439" s="329"/>
      <c r="Q439" s="333">
        <v>43724.827777777777</v>
      </c>
      <c r="R439" s="329"/>
      <c r="S439" s="333">
        <v>43752</v>
      </c>
      <c r="T439" s="329">
        <v>55</v>
      </c>
      <c r="U439" s="333">
        <v>43752</v>
      </c>
      <c r="V439" s="333">
        <v>44109</v>
      </c>
      <c r="W439" s="329" t="b">
        <v>1</v>
      </c>
      <c r="X439" s="331" t="s">
        <v>905</v>
      </c>
      <c r="Y439" s="329">
        <v>747</v>
      </c>
      <c r="Z439" s="331" t="s">
        <v>25</v>
      </c>
      <c r="AA439" s="331" t="s">
        <v>919</v>
      </c>
      <c r="AB439" s="331" t="s">
        <v>920</v>
      </c>
      <c r="AC439" s="331" t="s">
        <v>375</v>
      </c>
      <c r="AD439" s="331" t="s">
        <v>24</v>
      </c>
      <c r="AE439" s="329">
        <v>221</v>
      </c>
      <c r="AF439" s="331" t="s">
        <v>254</v>
      </c>
      <c r="AG439" s="329"/>
      <c r="AH439" s="329">
        <v>17</v>
      </c>
      <c r="AI439" s="331" t="s">
        <v>280</v>
      </c>
      <c r="AJ439" s="331" t="s">
        <v>281</v>
      </c>
      <c r="AK439" s="329"/>
      <c r="AL439" s="329"/>
      <c r="AM439" s="329"/>
      <c r="AN439" s="329"/>
      <c r="AO439" s="329"/>
      <c r="AP439" s="329"/>
      <c r="AQ439" s="329"/>
      <c r="AR439" s="329"/>
      <c r="AS439" s="329"/>
      <c r="AT439" s="329" t="s">
        <v>258</v>
      </c>
      <c r="AU439" s="329" t="s">
        <v>283</v>
      </c>
      <c r="AV439" s="331" t="s">
        <v>307</v>
      </c>
      <c r="AW439" s="329"/>
      <c r="AX439" s="329"/>
      <c r="AY439" s="329"/>
      <c r="AZ439" s="329"/>
      <c r="BA439" s="329"/>
      <c r="BB439" s="329"/>
      <c r="BC439" s="329"/>
      <c r="BD439" s="329"/>
      <c r="BE439" s="329" t="s">
        <v>257</v>
      </c>
      <c r="BF439" s="329" t="s">
        <v>838</v>
      </c>
      <c r="BG439" s="329"/>
      <c r="BH439" s="329"/>
      <c r="BI439" s="329"/>
      <c r="BJ439" s="329"/>
      <c r="BK439" s="329">
        <v>15600</v>
      </c>
      <c r="BL439" s="329"/>
      <c r="BM439" s="331" t="s">
        <v>259</v>
      </c>
      <c r="BN439" s="329" t="s">
        <v>922</v>
      </c>
      <c r="BO439" s="333">
        <v>43753</v>
      </c>
      <c r="BP439" s="329"/>
      <c r="BQ439" s="329"/>
      <c r="BR439" s="329"/>
      <c r="BS439" s="329"/>
      <c r="BT439" s="329"/>
      <c r="BU439" s="331" t="s">
        <v>261</v>
      </c>
      <c r="BV439" s="329"/>
      <c r="BW439" s="329"/>
      <c r="BX439" s="329"/>
      <c r="BY439" s="331" t="s">
        <v>2938</v>
      </c>
      <c r="BZ439" s="331" t="s">
        <v>2939</v>
      </c>
      <c r="CA439" s="331" t="s">
        <v>2940</v>
      </c>
      <c r="CB439" s="331" t="s">
        <v>307</v>
      </c>
      <c r="CC439" s="331" t="s">
        <v>2941</v>
      </c>
    </row>
    <row r="440" spans="1:81" x14ac:dyDescent="0.25">
      <c r="A440" s="329">
        <v>195955</v>
      </c>
      <c r="B440" s="331" t="s">
        <v>2942</v>
      </c>
      <c r="C440" s="329">
        <v>34443</v>
      </c>
      <c r="D440" s="331" t="s">
        <v>2943</v>
      </c>
      <c r="E440" s="331" t="s">
        <v>2944</v>
      </c>
      <c r="F440" s="331" t="s">
        <v>2945</v>
      </c>
      <c r="G440" s="331" t="s">
        <v>2946</v>
      </c>
      <c r="H440" s="331" t="s">
        <v>2947</v>
      </c>
      <c r="I440" s="331" t="s">
        <v>2948</v>
      </c>
      <c r="J440" s="331" t="s">
        <v>279</v>
      </c>
      <c r="K440" s="331" t="s">
        <v>2949</v>
      </c>
      <c r="L440" s="329"/>
      <c r="M440" s="329">
        <v>6</v>
      </c>
      <c r="N440" s="329">
        <v>0</v>
      </c>
      <c r="O440" s="329">
        <v>3.6665999999999999</v>
      </c>
      <c r="P440" s="329"/>
      <c r="Q440" s="333">
        <v>43611.458333333336</v>
      </c>
      <c r="R440" s="329"/>
      <c r="S440" s="333">
        <v>43752</v>
      </c>
      <c r="T440" s="329">
        <v>55</v>
      </c>
      <c r="U440" s="333">
        <v>43752</v>
      </c>
      <c r="V440" s="333">
        <v>44109</v>
      </c>
      <c r="W440" s="329" t="b">
        <v>1</v>
      </c>
      <c r="X440" s="331" t="s">
        <v>187</v>
      </c>
      <c r="Y440" s="329">
        <v>718</v>
      </c>
      <c r="Z440" s="331" t="s">
        <v>23</v>
      </c>
      <c r="AA440" s="331" t="s">
        <v>919</v>
      </c>
      <c r="AB440" s="331" t="s">
        <v>920</v>
      </c>
      <c r="AC440" s="331" t="s">
        <v>1329</v>
      </c>
      <c r="AD440" s="331" t="s">
        <v>24</v>
      </c>
      <c r="AE440" s="329">
        <v>221</v>
      </c>
      <c r="AF440" s="331" t="s">
        <v>254</v>
      </c>
      <c r="AG440" s="329"/>
      <c r="AH440" s="329">
        <v>17</v>
      </c>
      <c r="AI440" s="331" t="s">
        <v>280</v>
      </c>
      <c r="AJ440" s="331" t="s">
        <v>281</v>
      </c>
      <c r="AK440" s="329"/>
      <c r="AL440" s="329"/>
      <c r="AM440" s="329"/>
      <c r="AN440" s="329"/>
      <c r="AO440" s="329"/>
      <c r="AP440" s="331" t="s">
        <v>850</v>
      </c>
      <c r="AQ440" s="329">
        <v>800</v>
      </c>
      <c r="AR440" s="329">
        <v>750</v>
      </c>
      <c r="AS440" s="329"/>
      <c r="AT440" s="329" t="s">
        <v>2950</v>
      </c>
      <c r="AU440" s="329" t="s">
        <v>256</v>
      </c>
      <c r="AV440" s="331" t="s">
        <v>279</v>
      </c>
      <c r="AW440" s="329"/>
      <c r="AX440" s="329"/>
      <c r="AY440" s="329"/>
      <c r="AZ440" s="329"/>
      <c r="BA440" s="329"/>
      <c r="BB440" s="329"/>
      <c r="BC440" s="329"/>
      <c r="BD440" s="329"/>
      <c r="BE440" s="329" t="s">
        <v>257</v>
      </c>
      <c r="BF440" s="329" t="s">
        <v>834</v>
      </c>
      <c r="BG440" s="329"/>
      <c r="BH440" s="329"/>
      <c r="BI440" s="329"/>
      <c r="BJ440" s="329"/>
      <c r="BK440" s="329">
        <v>20400</v>
      </c>
      <c r="BL440" s="329"/>
      <c r="BM440" s="331" t="s">
        <v>278</v>
      </c>
      <c r="BN440" s="329" t="s">
        <v>922</v>
      </c>
      <c r="BO440" s="333">
        <v>43753</v>
      </c>
      <c r="BP440" s="329"/>
      <c r="BQ440" s="329"/>
      <c r="BR440" s="329"/>
      <c r="BS440" s="329"/>
      <c r="BT440" s="329"/>
      <c r="BU440" s="331" t="s">
        <v>261</v>
      </c>
      <c r="BV440" s="329"/>
      <c r="BW440" s="329"/>
      <c r="BX440" s="329"/>
      <c r="BY440" s="331" t="s">
        <v>2951</v>
      </c>
      <c r="BZ440" s="331" t="s">
        <v>2952</v>
      </c>
      <c r="CA440" s="331" t="s">
        <v>2953</v>
      </c>
      <c r="CB440" s="331" t="s">
        <v>279</v>
      </c>
      <c r="CC440" s="331" t="s">
        <v>2954</v>
      </c>
    </row>
    <row r="441" spans="1:81" x14ac:dyDescent="0.25">
      <c r="A441" s="329">
        <v>193933</v>
      </c>
      <c r="B441" s="331" t="s">
        <v>2955</v>
      </c>
      <c r="C441" s="329">
        <v>34030</v>
      </c>
      <c r="D441" s="331" t="s">
        <v>2956</v>
      </c>
      <c r="E441" s="331" t="s">
        <v>2957</v>
      </c>
      <c r="F441" s="331" t="s">
        <v>2958</v>
      </c>
      <c r="G441" s="331" t="s">
        <v>2959</v>
      </c>
      <c r="H441" s="331" t="s">
        <v>2960</v>
      </c>
      <c r="I441" s="331" t="s">
        <v>2961</v>
      </c>
      <c r="J441" s="331" t="s">
        <v>393</v>
      </c>
      <c r="K441" s="331" t="s">
        <v>2962</v>
      </c>
      <c r="L441" s="329"/>
      <c r="M441" s="329">
        <v>6</v>
      </c>
      <c r="N441" s="329">
        <v>0</v>
      </c>
      <c r="O441" s="329">
        <v>3.6</v>
      </c>
      <c r="P441" s="329"/>
      <c r="Q441" s="333">
        <v>43628.52107638889</v>
      </c>
      <c r="R441" s="329"/>
      <c r="S441" s="333">
        <v>43752</v>
      </c>
      <c r="T441" s="329">
        <v>55</v>
      </c>
      <c r="U441" s="333">
        <v>43752</v>
      </c>
      <c r="V441" s="333">
        <v>44109</v>
      </c>
      <c r="W441" s="329" t="b">
        <v>1</v>
      </c>
      <c r="X441" s="331" t="s">
        <v>905</v>
      </c>
      <c r="Y441" s="329">
        <v>747</v>
      </c>
      <c r="Z441" s="331" t="s">
        <v>25</v>
      </c>
      <c r="AA441" s="331" t="s">
        <v>919</v>
      </c>
      <c r="AB441" s="331" t="s">
        <v>920</v>
      </c>
      <c r="AC441" s="331" t="s">
        <v>1252</v>
      </c>
      <c r="AD441" s="331" t="s">
        <v>24</v>
      </c>
      <c r="AE441" s="329">
        <v>221</v>
      </c>
      <c r="AF441" s="331" t="s">
        <v>254</v>
      </c>
      <c r="AG441" s="329"/>
      <c r="AH441" s="329">
        <v>17</v>
      </c>
      <c r="AI441" s="331" t="s">
        <v>280</v>
      </c>
      <c r="AJ441" s="331" t="s">
        <v>281</v>
      </c>
      <c r="AK441" s="331" t="s">
        <v>301</v>
      </c>
      <c r="AL441" s="331" t="s">
        <v>290</v>
      </c>
      <c r="AM441" s="331" t="s">
        <v>331</v>
      </c>
      <c r="AN441" s="331" t="s">
        <v>299</v>
      </c>
      <c r="AO441" s="331" t="s">
        <v>290</v>
      </c>
      <c r="AP441" s="329"/>
      <c r="AQ441" s="329"/>
      <c r="AR441" s="329"/>
      <c r="AS441" s="329"/>
      <c r="AT441" s="329" t="s">
        <v>833</v>
      </c>
      <c r="AU441" s="329" t="s">
        <v>283</v>
      </c>
      <c r="AV441" s="331" t="s">
        <v>393</v>
      </c>
      <c r="AW441" s="329"/>
      <c r="AX441" s="329"/>
      <c r="AY441" s="329"/>
      <c r="AZ441" s="329"/>
      <c r="BA441" s="329"/>
      <c r="BB441" s="329"/>
      <c r="BC441" s="329"/>
      <c r="BD441" s="329"/>
      <c r="BE441" s="329" t="s">
        <v>257</v>
      </c>
      <c r="BF441" s="329" t="s">
        <v>838</v>
      </c>
      <c r="BG441" s="329"/>
      <c r="BH441" s="329"/>
      <c r="BI441" s="329"/>
      <c r="BJ441" s="329"/>
      <c r="BK441" s="329">
        <v>15600</v>
      </c>
      <c r="BL441" s="329"/>
      <c r="BM441" s="331" t="s">
        <v>259</v>
      </c>
      <c r="BN441" s="329" t="s">
        <v>922</v>
      </c>
      <c r="BO441" s="333">
        <v>43753</v>
      </c>
      <c r="BP441" s="329"/>
      <c r="BQ441" s="329"/>
      <c r="BR441" s="329"/>
      <c r="BS441" s="329"/>
      <c r="BT441" s="329"/>
      <c r="BU441" s="331" t="s">
        <v>261</v>
      </c>
      <c r="BV441" s="329"/>
      <c r="BW441" s="329"/>
      <c r="BX441" s="329"/>
      <c r="BY441" s="331" t="s">
        <v>2963</v>
      </c>
      <c r="BZ441" s="331" t="s">
        <v>2964</v>
      </c>
      <c r="CA441" s="331" t="s">
        <v>2965</v>
      </c>
      <c r="CB441" s="331" t="s">
        <v>393</v>
      </c>
      <c r="CC441" s="331" t="s">
        <v>2966</v>
      </c>
    </row>
    <row r="442" spans="1:81" x14ac:dyDescent="0.25">
      <c r="A442" s="329">
        <v>193767</v>
      </c>
      <c r="B442" s="331" t="s">
        <v>2967</v>
      </c>
      <c r="C442" s="329">
        <v>33981</v>
      </c>
      <c r="D442" s="331" t="s">
        <v>2968</v>
      </c>
      <c r="E442" s="331" t="s">
        <v>2969</v>
      </c>
      <c r="F442" s="331" t="s">
        <v>2970</v>
      </c>
      <c r="G442" s="331" t="s">
        <v>2971</v>
      </c>
      <c r="H442" s="331" t="s">
        <v>2972</v>
      </c>
      <c r="I442" s="331" t="s">
        <v>2973</v>
      </c>
      <c r="J442" s="331" t="s">
        <v>306</v>
      </c>
      <c r="K442" s="331" t="s">
        <v>2974</v>
      </c>
      <c r="L442" s="329"/>
      <c r="M442" s="329">
        <v>6</v>
      </c>
      <c r="N442" s="329">
        <v>0</v>
      </c>
      <c r="O442" s="329">
        <v>3.65</v>
      </c>
      <c r="P442" s="329"/>
      <c r="Q442" s="333">
        <v>43627.323611111111</v>
      </c>
      <c r="R442" s="329"/>
      <c r="S442" s="333">
        <v>43752</v>
      </c>
      <c r="T442" s="329">
        <v>55</v>
      </c>
      <c r="U442" s="333">
        <v>43752</v>
      </c>
      <c r="V442" s="333">
        <v>44109</v>
      </c>
      <c r="W442" s="329" t="b">
        <v>1</v>
      </c>
      <c r="X442" s="331" t="s">
        <v>22</v>
      </c>
      <c r="Y442" s="329">
        <v>429</v>
      </c>
      <c r="Z442" s="331" t="s">
        <v>23</v>
      </c>
      <c r="AA442" s="331" t="s">
        <v>919</v>
      </c>
      <c r="AB442" s="331" t="s">
        <v>920</v>
      </c>
      <c r="AC442" s="331" t="s">
        <v>346</v>
      </c>
      <c r="AD442" s="331" t="s">
        <v>24</v>
      </c>
      <c r="AE442" s="329">
        <v>221</v>
      </c>
      <c r="AF442" s="331" t="s">
        <v>254</v>
      </c>
      <c r="AG442" s="329"/>
      <c r="AH442" s="329">
        <v>17</v>
      </c>
      <c r="AI442" s="331" t="s">
        <v>280</v>
      </c>
      <c r="AJ442" s="331" t="s">
        <v>281</v>
      </c>
      <c r="AK442" s="331" t="s">
        <v>289</v>
      </c>
      <c r="AL442" s="331" t="s">
        <v>289</v>
      </c>
      <c r="AM442" s="331" t="s">
        <v>272</v>
      </c>
      <c r="AN442" s="331" t="s">
        <v>300</v>
      </c>
      <c r="AO442" s="331" t="s">
        <v>300</v>
      </c>
      <c r="AP442" s="329"/>
      <c r="AQ442" s="329"/>
      <c r="AR442" s="329"/>
      <c r="AS442" s="329"/>
      <c r="AT442" s="329" t="s">
        <v>312</v>
      </c>
      <c r="AU442" s="329" t="s">
        <v>283</v>
      </c>
      <c r="AV442" s="331" t="s">
        <v>306</v>
      </c>
      <c r="AW442" s="329"/>
      <c r="AX442" s="329"/>
      <c r="AY442" s="329"/>
      <c r="AZ442" s="329"/>
      <c r="BA442" s="329"/>
      <c r="BB442" s="329"/>
      <c r="BC442" s="329"/>
      <c r="BD442" s="329"/>
      <c r="BE442" s="329" t="s">
        <v>257</v>
      </c>
      <c r="BF442" s="329" t="s">
        <v>834</v>
      </c>
      <c r="BG442" s="329"/>
      <c r="BH442" s="329"/>
      <c r="BI442" s="329"/>
      <c r="BJ442" s="329"/>
      <c r="BK442" s="329">
        <v>20400</v>
      </c>
      <c r="BL442" s="329"/>
      <c r="BM442" s="331" t="s">
        <v>278</v>
      </c>
      <c r="BN442" s="329" t="s">
        <v>922</v>
      </c>
      <c r="BO442" s="333">
        <v>43753</v>
      </c>
      <c r="BP442" s="329"/>
      <c r="BQ442" s="329"/>
      <c r="BR442" s="329"/>
      <c r="BS442" s="329"/>
      <c r="BT442" s="329"/>
      <c r="BU442" s="331" t="s">
        <v>261</v>
      </c>
      <c r="BV442" s="329"/>
      <c r="BW442" s="329"/>
      <c r="BX442" s="329"/>
      <c r="BY442" s="331" t="s">
        <v>2975</v>
      </c>
      <c r="BZ442" s="331" t="s">
        <v>2976</v>
      </c>
      <c r="CA442" s="331" t="s">
        <v>2977</v>
      </c>
      <c r="CB442" s="331" t="s">
        <v>306</v>
      </c>
      <c r="CC442" s="331" t="s">
        <v>2978</v>
      </c>
    </row>
    <row r="443" spans="1:81" x14ac:dyDescent="0.25">
      <c r="A443" s="329">
        <v>197837</v>
      </c>
      <c r="B443" s="331" t="s">
        <v>2979</v>
      </c>
      <c r="C443" s="329">
        <v>35011</v>
      </c>
      <c r="D443" s="331" t="s">
        <v>2980</v>
      </c>
      <c r="E443" s="331" t="s">
        <v>380</v>
      </c>
      <c r="F443" s="331" t="s">
        <v>2981</v>
      </c>
      <c r="G443" s="331" t="s">
        <v>2982</v>
      </c>
      <c r="H443" s="331" t="s">
        <v>2983</v>
      </c>
      <c r="I443" s="331" t="s">
        <v>2984</v>
      </c>
      <c r="J443" s="331" t="s">
        <v>378</v>
      </c>
      <c r="K443" s="331" t="s">
        <v>2985</v>
      </c>
      <c r="L443" s="329"/>
      <c r="M443" s="329">
        <v>6</v>
      </c>
      <c r="N443" s="329">
        <v>0</v>
      </c>
      <c r="O443" s="329">
        <v>3.1363599999999998</v>
      </c>
      <c r="P443" s="329"/>
      <c r="Q443" s="333">
        <v>43726.757638888892</v>
      </c>
      <c r="R443" s="329"/>
      <c r="S443" s="333">
        <v>43752</v>
      </c>
      <c r="T443" s="329">
        <v>55</v>
      </c>
      <c r="U443" s="333">
        <v>43752</v>
      </c>
      <c r="V443" s="333">
        <v>44109</v>
      </c>
      <c r="W443" s="329" t="b">
        <v>1</v>
      </c>
      <c r="X443" s="331" t="s">
        <v>187</v>
      </c>
      <c r="Y443" s="329">
        <v>718</v>
      </c>
      <c r="Z443" s="331" t="s">
        <v>23</v>
      </c>
      <c r="AA443" s="331" t="s">
        <v>919</v>
      </c>
      <c r="AB443" s="331" t="s">
        <v>920</v>
      </c>
      <c r="AC443" s="331" t="s">
        <v>264</v>
      </c>
      <c r="AD443" s="331" t="s">
        <v>24</v>
      </c>
      <c r="AE443" s="329">
        <v>221</v>
      </c>
      <c r="AF443" s="331" t="s">
        <v>254</v>
      </c>
      <c r="AG443" s="329"/>
      <c r="AH443" s="329">
        <v>17</v>
      </c>
      <c r="AI443" s="331" t="s">
        <v>280</v>
      </c>
      <c r="AJ443" s="331" t="s">
        <v>281</v>
      </c>
      <c r="AK443" s="329"/>
      <c r="AL443" s="329"/>
      <c r="AM443" s="329"/>
      <c r="AN443" s="329"/>
      <c r="AO443" s="329"/>
      <c r="AP443" s="329"/>
      <c r="AQ443" s="329"/>
      <c r="AR443" s="329"/>
      <c r="AS443" s="329"/>
      <c r="AT443" s="329" t="s">
        <v>258</v>
      </c>
      <c r="AU443" s="329" t="s">
        <v>283</v>
      </c>
      <c r="AV443" s="331" t="s">
        <v>378</v>
      </c>
      <c r="AW443" s="329"/>
      <c r="AX443" s="329"/>
      <c r="AY443" s="329"/>
      <c r="AZ443" s="329"/>
      <c r="BA443" s="329"/>
      <c r="BB443" s="329"/>
      <c r="BC443" s="329"/>
      <c r="BD443" s="329"/>
      <c r="BE443" s="329"/>
      <c r="BF443" s="329"/>
      <c r="BG443" s="329"/>
      <c r="BH443" s="329"/>
      <c r="BI443" s="329"/>
      <c r="BJ443" s="329"/>
      <c r="BK443" s="329">
        <v>0</v>
      </c>
      <c r="BL443" s="329"/>
      <c r="BM443" s="331" t="s">
        <v>28</v>
      </c>
      <c r="BN443" s="329" t="s">
        <v>922</v>
      </c>
      <c r="BO443" s="333">
        <v>43753</v>
      </c>
      <c r="BP443" s="329"/>
      <c r="BQ443" s="329"/>
      <c r="BR443" s="329"/>
      <c r="BS443" s="329"/>
      <c r="BT443" s="329"/>
      <c r="BU443" s="331" t="s">
        <v>261</v>
      </c>
      <c r="BV443" s="329"/>
      <c r="BW443" s="329"/>
      <c r="BX443" s="329"/>
      <c r="BY443" s="331" t="s">
        <v>2986</v>
      </c>
      <c r="BZ443" s="331" t="s">
        <v>2987</v>
      </c>
      <c r="CA443" s="331" t="s">
        <v>2988</v>
      </c>
      <c r="CB443" s="331" t="s">
        <v>378</v>
      </c>
      <c r="CC443" s="331" t="s">
        <v>2985</v>
      </c>
    </row>
    <row r="444" spans="1:81" x14ac:dyDescent="0.25">
      <c r="A444" s="329">
        <v>195417</v>
      </c>
      <c r="B444" s="331" t="s">
        <v>2989</v>
      </c>
      <c r="C444" s="329">
        <v>34328</v>
      </c>
      <c r="D444" s="331" t="s">
        <v>523</v>
      </c>
      <c r="E444" s="331" t="s">
        <v>470</v>
      </c>
      <c r="F444" s="331" t="s">
        <v>2990</v>
      </c>
      <c r="G444" s="331" t="s">
        <v>2991</v>
      </c>
      <c r="H444" s="331" t="s">
        <v>2992</v>
      </c>
      <c r="I444" s="331" t="s">
        <v>479</v>
      </c>
      <c r="J444" s="331" t="s">
        <v>396</v>
      </c>
      <c r="K444" s="331" t="s">
        <v>2993</v>
      </c>
      <c r="L444" s="329"/>
      <c r="M444" s="329">
        <v>6</v>
      </c>
      <c r="N444" s="329">
        <v>0</v>
      </c>
      <c r="O444" s="329">
        <v>3.1667000000000001</v>
      </c>
      <c r="P444" s="329"/>
      <c r="Q444" s="333">
        <v>43598.684027777781</v>
      </c>
      <c r="R444" s="329"/>
      <c r="S444" s="333">
        <v>43752</v>
      </c>
      <c r="T444" s="329">
        <v>55</v>
      </c>
      <c r="U444" s="333">
        <v>43752</v>
      </c>
      <c r="V444" s="333">
        <v>44109</v>
      </c>
      <c r="W444" s="329" t="b">
        <v>1</v>
      </c>
      <c r="X444" s="331" t="s">
        <v>187</v>
      </c>
      <c r="Y444" s="329">
        <v>718</v>
      </c>
      <c r="Z444" s="331" t="s">
        <v>23</v>
      </c>
      <c r="AA444" s="331" t="s">
        <v>919</v>
      </c>
      <c r="AB444" s="331" t="s">
        <v>920</v>
      </c>
      <c r="AC444" s="331" t="s">
        <v>1329</v>
      </c>
      <c r="AD444" s="331" t="s">
        <v>24</v>
      </c>
      <c r="AE444" s="329">
        <v>221</v>
      </c>
      <c r="AF444" s="331" t="s">
        <v>254</v>
      </c>
      <c r="AG444" s="329"/>
      <c r="AH444" s="329">
        <v>17</v>
      </c>
      <c r="AI444" s="331" t="s">
        <v>280</v>
      </c>
      <c r="AJ444" s="331" t="s">
        <v>281</v>
      </c>
      <c r="AK444" s="329"/>
      <c r="AL444" s="329"/>
      <c r="AM444" s="329"/>
      <c r="AN444" s="329"/>
      <c r="AO444" s="329"/>
      <c r="AP444" s="329"/>
      <c r="AQ444" s="329"/>
      <c r="AR444" s="329"/>
      <c r="AS444" s="329"/>
      <c r="AT444" s="329" t="s">
        <v>258</v>
      </c>
      <c r="AU444" s="329" t="s">
        <v>256</v>
      </c>
      <c r="AV444" s="331" t="s">
        <v>396</v>
      </c>
      <c r="AW444" s="329"/>
      <c r="AX444" s="329"/>
      <c r="AY444" s="329"/>
      <c r="AZ444" s="329"/>
      <c r="BA444" s="329"/>
      <c r="BB444" s="329"/>
      <c r="BC444" s="329"/>
      <c r="BD444" s="329"/>
      <c r="BE444" s="329"/>
      <c r="BF444" s="329"/>
      <c r="BG444" s="329"/>
      <c r="BH444" s="329"/>
      <c r="BI444" s="329"/>
      <c r="BJ444" s="329"/>
      <c r="BK444" s="329">
        <v>0</v>
      </c>
      <c r="BL444" s="329"/>
      <c r="BM444" s="331" t="s">
        <v>27</v>
      </c>
      <c r="BN444" s="329" t="s">
        <v>922</v>
      </c>
      <c r="BO444" s="333">
        <v>43753</v>
      </c>
      <c r="BP444" s="329"/>
      <c r="BQ444" s="329"/>
      <c r="BR444" s="329"/>
      <c r="BS444" s="329"/>
      <c r="BT444" s="329"/>
      <c r="BU444" s="331" t="s">
        <v>261</v>
      </c>
      <c r="BV444" s="329"/>
      <c r="BW444" s="329"/>
      <c r="BX444" s="329"/>
      <c r="BY444" s="331" t="s">
        <v>2994</v>
      </c>
      <c r="BZ444" s="331" t="s">
        <v>2995</v>
      </c>
      <c r="CA444" s="331" t="s">
        <v>2996</v>
      </c>
      <c r="CB444" s="331" t="s">
        <v>396</v>
      </c>
      <c r="CC444" s="331" t="s">
        <v>589</v>
      </c>
    </row>
    <row r="445" spans="1:81" x14ac:dyDescent="0.25">
      <c r="A445" s="329">
        <v>193609</v>
      </c>
      <c r="B445" s="331" t="s">
        <v>2997</v>
      </c>
      <c r="C445" s="329">
        <v>33912</v>
      </c>
      <c r="D445" s="331" t="s">
        <v>775</v>
      </c>
      <c r="E445" s="331" t="s">
        <v>2998</v>
      </c>
      <c r="F445" s="331" t="s">
        <v>2999</v>
      </c>
      <c r="G445" s="331" t="s">
        <v>6404</v>
      </c>
      <c r="H445" s="331" t="s">
        <v>6405</v>
      </c>
      <c r="I445" s="331" t="s">
        <v>522</v>
      </c>
      <c r="J445" s="331" t="s">
        <v>292</v>
      </c>
      <c r="K445" s="331" t="s">
        <v>3000</v>
      </c>
      <c r="L445" s="329"/>
      <c r="M445" s="329">
        <v>6</v>
      </c>
      <c r="N445" s="329">
        <v>0</v>
      </c>
      <c r="O445" s="329">
        <v>3.0889000000000002</v>
      </c>
      <c r="P445" s="329"/>
      <c r="Q445" s="333">
        <v>43629.833333333336</v>
      </c>
      <c r="R445" s="329"/>
      <c r="S445" s="333">
        <v>43752</v>
      </c>
      <c r="T445" s="329">
        <v>55</v>
      </c>
      <c r="U445" s="333">
        <v>43752</v>
      </c>
      <c r="V445" s="333">
        <v>44109</v>
      </c>
      <c r="W445" s="329" t="b">
        <v>1</v>
      </c>
      <c r="X445" s="331" t="s">
        <v>187</v>
      </c>
      <c r="Y445" s="329">
        <v>718</v>
      </c>
      <c r="Z445" s="331" t="s">
        <v>23</v>
      </c>
      <c r="AA445" s="331" t="s">
        <v>919</v>
      </c>
      <c r="AB445" s="331" t="s">
        <v>920</v>
      </c>
      <c r="AC445" s="331" t="s">
        <v>972</v>
      </c>
      <c r="AD445" s="331" t="s">
        <v>24</v>
      </c>
      <c r="AE445" s="329">
        <v>221</v>
      </c>
      <c r="AF445" s="331" t="s">
        <v>254</v>
      </c>
      <c r="AG445" s="329"/>
      <c r="AH445" s="329">
        <v>17</v>
      </c>
      <c r="AI445" s="331" t="s">
        <v>280</v>
      </c>
      <c r="AJ445" s="331" t="s">
        <v>281</v>
      </c>
      <c r="AK445" s="331" t="s">
        <v>274</v>
      </c>
      <c r="AL445" s="331" t="s">
        <v>289</v>
      </c>
      <c r="AM445" s="331" t="s">
        <v>274</v>
      </c>
      <c r="AN445" s="331" t="s">
        <v>275</v>
      </c>
      <c r="AO445" s="331" t="s">
        <v>300</v>
      </c>
      <c r="AP445" s="331" t="s">
        <v>457</v>
      </c>
      <c r="AQ445" s="329">
        <v>580</v>
      </c>
      <c r="AR445" s="329">
        <v>600</v>
      </c>
      <c r="AS445" s="329"/>
      <c r="AT445" s="329" t="s">
        <v>309</v>
      </c>
      <c r="AU445" s="329" t="s">
        <v>567</v>
      </c>
      <c r="AV445" s="331" t="s">
        <v>292</v>
      </c>
      <c r="AW445" s="329"/>
      <c r="AX445" s="329"/>
      <c r="AY445" s="329"/>
      <c r="AZ445" s="329"/>
      <c r="BA445" s="329"/>
      <c r="BB445" s="329"/>
      <c r="BC445" s="329"/>
      <c r="BD445" s="329"/>
      <c r="BE445" s="329" t="s">
        <v>257</v>
      </c>
      <c r="BF445" s="329" t="s">
        <v>836</v>
      </c>
      <c r="BG445" s="329"/>
      <c r="BH445" s="329"/>
      <c r="BI445" s="329"/>
      <c r="BJ445" s="329"/>
      <c r="BK445" s="329">
        <v>18000</v>
      </c>
      <c r="BL445" s="329"/>
      <c r="BM445" s="331" t="s">
        <v>310</v>
      </c>
      <c r="BN445" s="329" t="s">
        <v>922</v>
      </c>
      <c r="BO445" s="333">
        <v>43753</v>
      </c>
      <c r="BP445" s="329"/>
      <c r="BQ445" s="329"/>
      <c r="BR445" s="329"/>
      <c r="BS445" s="329"/>
      <c r="BT445" s="329"/>
      <c r="BU445" s="331" t="s">
        <v>261</v>
      </c>
      <c r="BV445" s="329"/>
      <c r="BW445" s="329"/>
      <c r="BX445" s="329"/>
      <c r="BY445" s="331" t="s">
        <v>3001</v>
      </c>
      <c r="BZ445" s="331" t="s">
        <v>3002</v>
      </c>
      <c r="CA445" s="331" t="s">
        <v>3003</v>
      </c>
      <c r="CB445" s="331" t="s">
        <v>292</v>
      </c>
      <c r="CC445" s="331" t="s">
        <v>3004</v>
      </c>
    </row>
    <row r="446" spans="1:81" x14ac:dyDescent="0.25">
      <c r="A446" s="329">
        <v>193841</v>
      </c>
      <c r="B446" s="331" t="s">
        <v>3005</v>
      </c>
      <c r="C446" s="329">
        <v>34001</v>
      </c>
      <c r="D446" s="331" t="s">
        <v>775</v>
      </c>
      <c r="E446" s="331" t="s">
        <v>3006</v>
      </c>
      <c r="F446" s="331" t="s">
        <v>3007</v>
      </c>
      <c r="G446" s="331" t="s">
        <v>3008</v>
      </c>
      <c r="H446" s="331" t="s">
        <v>3009</v>
      </c>
      <c r="I446" s="331" t="s">
        <v>3010</v>
      </c>
      <c r="J446" s="331" t="s">
        <v>396</v>
      </c>
      <c r="K446" s="331" t="s">
        <v>3011</v>
      </c>
      <c r="L446" s="329"/>
      <c r="M446" s="329">
        <v>6</v>
      </c>
      <c r="N446" s="329">
        <v>0</v>
      </c>
      <c r="O446" s="329">
        <v>4</v>
      </c>
      <c r="P446" s="329"/>
      <c r="Q446" s="333">
        <v>43632.379629629628</v>
      </c>
      <c r="R446" s="329"/>
      <c r="S446" s="333">
        <v>43752</v>
      </c>
      <c r="T446" s="329">
        <v>55</v>
      </c>
      <c r="U446" s="333">
        <v>43752</v>
      </c>
      <c r="V446" s="333">
        <v>44109</v>
      </c>
      <c r="W446" s="329" t="b">
        <v>1</v>
      </c>
      <c r="X446" s="331" t="s">
        <v>905</v>
      </c>
      <c r="Y446" s="329">
        <v>747</v>
      </c>
      <c r="Z446" s="331" t="s">
        <v>25</v>
      </c>
      <c r="AA446" s="331" t="s">
        <v>919</v>
      </c>
      <c r="AB446" s="331" t="s">
        <v>920</v>
      </c>
      <c r="AC446" s="331" t="s">
        <v>271</v>
      </c>
      <c r="AD446" s="331" t="s">
        <v>24</v>
      </c>
      <c r="AE446" s="329">
        <v>221</v>
      </c>
      <c r="AF446" s="331" t="s">
        <v>254</v>
      </c>
      <c r="AG446" s="329"/>
      <c r="AH446" s="329">
        <v>17</v>
      </c>
      <c r="AI446" s="331" t="s">
        <v>280</v>
      </c>
      <c r="AJ446" s="331" t="s">
        <v>281</v>
      </c>
      <c r="AK446" s="331" t="s">
        <v>287</v>
      </c>
      <c r="AL446" s="331" t="s">
        <v>351</v>
      </c>
      <c r="AM446" s="331" t="s">
        <v>289</v>
      </c>
      <c r="AN446" s="331" t="s">
        <v>351</v>
      </c>
      <c r="AO446" s="331" t="s">
        <v>275</v>
      </c>
      <c r="AP446" s="329"/>
      <c r="AQ446" s="329"/>
      <c r="AR446" s="329"/>
      <c r="AS446" s="329"/>
      <c r="AT446" s="329" t="s">
        <v>258</v>
      </c>
      <c r="AU446" s="329" t="s">
        <v>283</v>
      </c>
      <c r="AV446" s="331" t="s">
        <v>396</v>
      </c>
      <c r="AW446" s="329"/>
      <c r="AX446" s="329"/>
      <c r="AY446" s="329"/>
      <c r="AZ446" s="329"/>
      <c r="BA446" s="329"/>
      <c r="BB446" s="329"/>
      <c r="BC446" s="329"/>
      <c r="BD446" s="329"/>
      <c r="BE446" s="329" t="s">
        <v>257</v>
      </c>
      <c r="BF446" s="329" t="s">
        <v>834</v>
      </c>
      <c r="BG446" s="329"/>
      <c r="BH446" s="329"/>
      <c r="BI446" s="329"/>
      <c r="BJ446" s="329"/>
      <c r="BK446" s="329">
        <v>20400</v>
      </c>
      <c r="BL446" s="329"/>
      <c r="BM446" s="331" t="s">
        <v>278</v>
      </c>
      <c r="BN446" s="329" t="s">
        <v>922</v>
      </c>
      <c r="BO446" s="333">
        <v>43753</v>
      </c>
      <c r="BP446" s="329"/>
      <c r="BQ446" s="329"/>
      <c r="BR446" s="329"/>
      <c r="BS446" s="329"/>
      <c r="BT446" s="329"/>
      <c r="BU446" s="331" t="s">
        <v>261</v>
      </c>
      <c r="BV446" s="329"/>
      <c r="BW446" s="329"/>
      <c r="BX446" s="329"/>
      <c r="BY446" s="331" t="s">
        <v>3012</v>
      </c>
      <c r="BZ446" s="331" t="s">
        <v>3013</v>
      </c>
      <c r="CA446" s="329"/>
      <c r="CB446" s="331" t="s">
        <v>558</v>
      </c>
      <c r="CC446" s="331" t="s">
        <v>304</v>
      </c>
    </row>
    <row r="447" spans="1:81" x14ac:dyDescent="0.25">
      <c r="A447" s="329">
        <v>197893</v>
      </c>
      <c r="B447" s="331" t="s">
        <v>3014</v>
      </c>
      <c r="C447" s="329">
        <v>35030</v>
      </c>
      <c r="D447" s="331" t="s">
        <v>569</v>
      </c>
      <c r="E447" s="331" t="s">
        <v>3015</v>
      </c>
      <c r="F447" s="331" t="s">
        <v>3016</v>
      </c>
      <c r="G447" s="331" t="s">
        <v>3017</v>
      </c>
      <c r="H447" s="331" t="s">
        <v>3018</v>
      </c>
      <c r="I447" s="331" t="s">
        <v>3019</v>
      </c>
      <c r="J447" s="331" t="s">
        <v>322</v>
      </c>
      <c r="K447" s="331" t="s">
        <v>3020</v>
      </c>
      <c r="L447" s="329"/>
      <c r="M447" s="329">
        <v>6</v>
      </c>
      <c r="N447" s="329">
        <v>0</v>
      </c>
      <c r="O447" s="329">
        <v>3.8</v>
      </c>
      <c r="P447" s="329"/>
      <c r="Q447" s="333">
        <v>43705.428472222222</v>
      </c>
      <c r="R447" s="329"/>
      <c r="S447" s="333">
        <v>43752</v>
      </c>
      <c r="T447" s="329">
        <v>55</v>
      </c>
      <c r="U447" s="333">
        <v>43752</v>
      </c>
      <c r="V447" s="333">
        <v>44109</v>
      </c>
      <c r="W447" s="329" t="b">
        <v>1</v>
      </c>
      <c r="X447" s="331" t="s">
        <v>905</v>
      </c>
      <c r="Y447" s="329">
        <v>747</v>
      </c>
      <c r="Z447" s="331" t="s">
        <v>25</v>
      </c>
      <c r="AA447" s="331" t="s">
        <v>919</v>
      </c>
      <c r="AB447" s="331" t="s">
        <v>920</v>
      </c>
      <c r="AC447" s="331" t="s">
        <v>1750</v>
      </c>
      <c r="AD447" s="331" t="s">
        <v>24</v>
      </c>
      <c r="AE447" s="329">
        <v>221</v>
      </c>
      <c r="AF447" s="331" t="s">
        <v>254</v>
      </c>
      <c r="AG447" s="329"/>
      <c r="AH447" s="329">
        <v>17</v>
      </c>
      <c r="AI447" s="331" t="s">
        <v>280</v>
      </c>
      <c r="AJ447" s="331" t="s">
        <v>281</v>
      </c>
      <c r="AK447" s="331" t="s">
        <v>289</v>
      </c>
      <c r="AL447" s="331" t="s">
        <v>301</v>
      </c>
      <c r="AM447" s="331" t="s">
        <v>273</v>
      </c>
      <c r="AN447" s="331" t="s">
        <v>300</v>
      </c>
      <c r="AO447" s="331" t="s">
        <v>287</v>
      </c>
      <c r="AP447" s="329"/>
      <c r="AQ447" s="329"/>
      <c r="AR447" s="329"/>
      <c r="AS447" s="329"/>
      <c r="AT447" s="329" t="s">
        <v>556</v>
      </c>
      <c r="AU447" s="329" t="s">
        <v>283</v>
      </c>
      <c r="AV447" s="331" t="s">
        <v>322</v>
      </c>
      <c r="AW447" s="329"/>
      <c r="AX447" s="329"/>
      <c r="AY447" s="329"/>
      <c r="AZ447" s="329"/>
      <c r="BA447" s="329"/>
      <c r="BB447" s="329"/>
      <c r="BC447" s="329"/>
      <c r="BD447" s="329"/>
      <c r="BE447" s="329" t="s">
        <v>257</v>
      </c>
      <c r="BF447" s="329" t="s">
        <v>834</v>
      </c>
      <c r="BG447" s="329"/>
      <c r="BH447" s="329"/>
      <c r="BI447" s="329"/>
      <c r="BJ447" s="329"/>
      <c r="BK447" s="329">
        <v>20400</v>
      </c>
      <c r="BL447" s="329"/>
      <c r="BM447" s="331" t="s">
        <v>278</v>
      </c>
      <c r="BN447" s="329" t="s">
        <v>922</v>
      </c>
      <c r="BO447" s="333">
        <v>43753</v>
      </c>
      <c r="BP447" s="329"/>
      <c r="BQ447" s="329"/>
      <c r="BR447" s="329"/>
      <c r="BS447" s="329"/>
      <c r="BT447" s="329"/>
      <c r="BU447" s="331" t="s">
        <v>261</v>
      </c>
      <c r="BV447" s="329"/>
      <c r="BW447" s="329"/>
      <c r="BX447" s="329"/>
      <c r="BY447" s="331" t="s">
        <v>3021</v>
      </c>
      <c r="BZ447" s="331" t="s">
        <v>3022</v>
      </c>
      <c r="CA447" s="331" t="s">
        <v>3023</v>
      </c>
      <c r="CB447" s="331" t="s">
        <v>322</v>
      </c>
      <c r="CC447" s="331" t="s">
        <v>3024</v>
      </c>
    </row>
    <row r="448" spans="1:81" x14ac:dyDescent="0.25">
      <c r="A448" s="329">
        <v>196440</v>
      </c>
      <c r="B448" s="331" t="s">
        <v>3025</v>
      </c>
      <c r="C448" s="329">
        <v>34650</v>
      </c>
      <c r="D448" s="331" t="s">
        <v>3026</v>
      </c>
      <c r="E448" s="331" t="s">
        <v>516</v>
      </c>
      <c r="F448" s="331" t="s">
        <v>3027</v>
      </c>
      <c r="G448" s="331" t="s">
        <v>3028</v>
      </c>
      <c r="H448" s="331" t="s">
        <v>3029</v>
      </c>
      <c r="I448" s="331" t="s">
        <v>3030</v>
      </c>
      <c r="J448" s="331" t="s">
        <v>297</v>
      </c>
      <c r="K448" s="331" t="s">
        <v>3031</v>
      </c>
      <c r="L448" s="329"/>
      <c r="M448" s="329">
        <v>6</v>
      </c>
      <c r="N448" s="329">
        <v>0</v>
      </c>
      <c r="O448" s="329">
        <v>3.7</v>
      </c>
      <c r="P448" s="329"/>
      <c r="Q448" s="333">
        <v>43581.3125</v>
      </c>
      <c r="R448" s="329"/>
      <c r="S448" s="333">
        <v>43752</v>
      </c>
      <c r="T448" s="329">
        <v>55</v>
      </c>
      <c r="U448" s="333">
        <v>43752</v>
      </c>
      <c r="V448" s="333">
        <v>44109</v>
      </c>
      <c r="W448" s="329" t="b">
        <v>1</v>
      </c>
      <c r="X448" s="331" t="s">
        <v>905</v>
      </c>
      <c r="Y448" s="329">
        <v>747</v>
      </c>
      <c r="Z448" s="331" t="s">
        <v>23</v>
      </c>
      <c r="AA448" s="331" t="s">
        <v>919</v>
      </c>
      <c r="AB448" s="331" t="s">
        <v>920</v>
      </c>
      <c r="AC448" s="331" t="s">
        <v>1329</v>
      </c>
      <c r="AD448" s="331" t="s">
        <v>24</v>
      </c>
      <c r="AE448" s="329">
        <v>221</v>
      </c>
      <c r="AF448" s="331" t="s">
        <v>254</v>
      </c>
      <c r="AG448" s="329"/>
      <c r="AH448" s="329">
        <v>17</v>
      </c>
      <c r="AI448" s="331" t="s">
        <v>280</v>
      </c>
      <c r="AJ448" s="331" t="s">
        <v>281</v>
      </c>
      <c r="AK448" s="331" t="s">
        <v>272</v>
      </c>
      <c r="AL448" s="331" t="s">
        <v>272</v>
      </c>
      <c r="AM448" s="331" t="s">
        <v>347</v>
      </c>
      <c r="AN448" s="331" t="s">
        <v>272</v>
      </c>
      <c r="AO448" s="331" t="s">
        <v>275</v>
      </c>
      <c r="AP448" s="331" t="s">
        <v>760</v>
      </c>
      <c r="AQ448" s="329">
        <v>690</v>
      </c>
      <c r="AR448" s="329">
        <v>650</v>
      </c>
      <c r="AS448" s="329"/>
      <c r="AT448" s="329" t="s">
        <v>313</v>
      </c>
      <c r="AU448" s="329" t="s">
        <v>283</v>
      </c>
      <c r="AV448" s="331" t="s">
        <v>297</v>
      </c>
      <c r="AW448" s="329"/>
      <c r="AX448" s="329"/>
      <c r="AY448" s="329"/>
      <c r="AZ448" s="329"/>
      <c r="BA448" s="329"/>
      <c r="BB448" s="329"/>
      <c r="BC448" s="329"/>
      <c r="BD448" s="329"/>
      <c r="BE448" s="329" t="s">
        <v>257</v>
      </c>
      <c r="BF448" s="329" t="s">
        <v>834</v>
      </c>
      <c r="BG448" s="329"/>
      <c r="BH448" s="329"/>
      <c r="BI448" s="329"/>
      <c r="BJ448" s="329"/>
      <c r="BK448" s="329">
        <v>20400</v>
      </c>
      <c r="BL448" s="329"/>
      <c r="BM448" s="331" t="s">
        <v>278</v>
      </c>
      <c r="BN448" s="329" t="s">
        <v>922</v>
      </c>
      <c r="BO448" s="333">
        <v>43753</v>
      </c>
      <c r="BP448" s="329"/>
      <c r="BQ448" s="329"/>
      <c r="BR448" s="329"/>
      <c r="BS448" s="329"/>
      <c r="BT448" s="329"/>
      <c r="BU448" s="331" t="s">
        <v>261</v>
      </c>
      <c r="BV448" s="329"/>
      <c r="BW448" s="329"/>
      <c r="BX448" s="329"/>
      <c r="BY448" s="331" t="s">
        <v>3032</v>
      </c>
      <c r="BZ448" s="331" t="s">
        <v>3033</v>
      </c>
      <c r="CA448" s="331" t="s">
        <v>3030</v>
      </c>
      <c r="CB448" s="331" t="s">
        <v>297</v>
      </c>
      <c r="CC448" s="331" t="s">
        <v>3034</v>
      </c>
    </row>
    <row r="449" spans="1:81" x14ac:dyDescent="0.25">
      <c r="A449" s="329">
        <v>197799</v>
      </c>
      <c r="B449" s="331" t="s">
        <v>3047</v>
      </c>
      <c r="C449" s="329">
        <v>34995</v>
      </c>
      <c r="D449" s="331" t="s">
        <v>3048</v>
      </c>
      <c r="E449" s="331" t="s">
        <v>3049</v>
      </c>
      <c r="F449" s="331" t="s">
        <v>3050</v>
      </c>
      <c r="G449" s="331" t="s">
        <v>3051</v>
      </c>
      <c r="H449" s="331" t="s">
        <v>3052</v>
      </c>
      <c r="I449" s="331" t="s">
        <v>3053</v>
      </c>
      <c r="J449" s="331" t="s">
        <v>298</v>
      </c>
      <c r="K449" s="331" t="s">
        <v>3054</v>
      </c>
      <c r="L449" s="329"/>
      <c r="M449" s="329">
        <v>6</v>
      </c>
      <c r="N449" s="329">
        <v>0</v>
      </c>
      <c r="O449" s="329">
        <v>3.13</v>
      </c>
      <c r="P449" s="329"/>
      <c r="Q449" s="333">
        <v>43725.875</v>
      </c>
      <c r="R449" s="329"/>
      <c r="S449" s="333">
        <v>43752</v>
      </c>
      <c r="T449" s="329">
        <v>55</v>
      </c>
      <c r="U449" s="333">
        <v>43752</v>
      </c>
      <c r="V449" s="333">
        <v>44109</v>
      </c>
      <c r="W449" s="329" t="b">
        <v>1</v>
      </c>
      <c r="X449" s="331" t="s">
        <v>22</v>
      </c>
      <c r="Y449" s="329">
        <v>429</v>
      </c>
      <c r="Z449" s="331" t="s">
        <v>23</v>
      </c>
      <c r="AA449" s="331" t="s">
        <v>919</v>
      </c>
      <c r="AB449" s="331" t="s">
        <v>920</v>
      </c>
      <c r="AC449" s="331" t="s">
        <v>1329</v>
      </c>
      <c r="AD449" s="331" t="s">
        <v>24</v>
      </c>
      <c r="AE449" s="329">
        <v>221</v>
      </c>
      <c r="AF449" s="331" t="s">
        <v>254</v>
      </c>
      <c r="AG449" s="329"/>
      <c r="AH449" s="329">
        <v>17</v>
      </c>
      <c r="AI449" s="331" t="s">
        <v>280</v>
      </c>
      <c r="AJ449" s="331" t="s">
        <v>281</v>
      </c>
      <c r="AK449" s="329"/>
      <c r="AL449" s="329"/>
      <c r="AM449" s="329"/>
      <c r="AN449" s="329"/>
      <c r="AO449" s="329"/>
      <c r="AP449" s="329"/>
      <c r="AQ449" s="329"/>
      <c r="AR449" s="329"/>
      <c r="AS449" s="329"/>
      <c r="AT449" s="329" t="s">
        <v>258</v>
      </c>
      <c r="AU449" s="329" t="s">
        <v>256</v>
      </c>
      <c r="AV449" s="331" t="s">
        <v>298</v>
      </c>
      <c r="AW449" s="329"/>
      <c r="AX449" s="329"/>
      <c r="AY449" s="329"/>
      <c r="AZ449" s="329"/>
      <c r="BA449" s="329"/>
      <c r="BB449" s="329"/>
      <c r="BC449" s="329"/>
      <c r="BD449" s="329"/>
      <c r="BE449" s="329"/>
      <c r="BF449" s="329"/>
      <c r="BG449" s="329"/>
      <c r="BH449" s="329"/>
      <c r="BI449" s="329"/>
      <c r="BJ449" s="329"/>
      <c r="BK449" s="329">
        <v>0</v>
      </c>
      <c r="BL449" s="329"/>
      <c r="BM449" s="331" t="s">
        <v>28</v>
      </c>
      <c r="BN449" s="329" t="s">
        <v>922</v>
      </c>
      <c r="BO449" s="333">
        <v>43753</v>
      </c>
      <c r="BP449" s="329"/>
      <c r="BQ449" s="329"/>
      <c r="BR449" s="329"/>
      <c r="BS449" s="329"/>
      <c r="BT449" s="329"/>
      <c r="BU449" s="331" t="s">
        <v>261</v>
      </c>
      <c r="BV449" s="329"/>
      <c r="BW449" s="329"/>
      <c r="BX449" s="329"/>
      <c r="BY449" s="331" t="s">
        <v>3055</v>
      </c>
      <c r="BZ449" s="331" t="s">
        <v>3056</v>
      </c>
      <c r="CA449" s="331" t="s">
        <v>3057</v>
      </c>
      <c r="CB449" s="331" t="s">
        <v>298</v>
      </c>
      <c r="CC449" s="331" t="s">
        <v>3058</v>
      </c>
    </row>
    <row r="450" spans="1:81" x14ac:dyDescent="0.25">
      <c r="A450" s="329">
        <v>197675</v>
      </c>
      <c r="B450" s="331" t="s">
        <v>3059</v>
      </c>
      <c r="C450" s="329">
        <v>34946</v>
      </c>
      <c r="D450" s="331" t="s">
        <v>3060</v>
      </c>
      <c r="E450" s="331" t="s">
        <v>3061</v>
      </c>
      <c r="F450" s="331" t="s">
        <v>3062</v>
      </c>
      <c r="G450" s="331" t="s">
        <v>3063</v>
      </c>
      <c r="H450" s="331" t="s">
        <v>3064</v>
      </c>
      <c r="I450" s="331" t="s">
        <v>3065</v>
      </c>
      <c r="J450" s="331" t="s">
        <v>279</v>
      </c>
      <c r="K450" s="331" t="s">
        <v>3066</v>
      </c>
      <c r="L450" s="329"/>
      <c r="M450" s="329">
        <v>6</v>
      </c>
      <c r="N450" s="329">
        <v>0</v>
      </c>
      <c r="O450" s="329">
        <v>2.9</v>
      </c>
      <c r="P450" s="329"/>
      <c r="Q450" s="333">
        <v>43723.413206018522</v>
      </c>
      <c r="R450" s="329"/>
      <c r="S450" s="333">
        <v>43752</v>
      </c>
      <c r="T450" s="329">
        <v>55</v>
      </c>
      <c r="U450" s="333">
        <v>43752</v>
      </c>
      <c r="V450" s="333">
        <v>44109</v>
      </c>
      <c r="W450" s="329" t="b">
        <v>1</v>
      </c>
      <c r="X450" s="331" t="s">
        <v>22</v>
      </c>
      <c r="Y450" s="329">
        <v>726</v>
      </c>
      <c r="Z450" s="331" t="s">
        <v>23</v>
      </c>
      <c r="AA450" s="331" t="s">
        <v>919</v>
      </c>
      <c r="AB450" s="331" t="s">
        <v>920</v>
      </c>
      <c r="AC450" s="331" t="s">
        <v>3067</v>
      </c>
      <c r="AD450" s="331" t="s">
        <v>24</v>
      </c>
      <c r="AE450" s="329">
        <v>221</v>
      </c>
      <c r="AF450" s="331" t="s">
        <v>254</v>
      </c>
      <c r="AG450" s="329"/>
      <c r="AH450" s="329">
        <v>17</v>
      </c>
      <c r="AI450" s="331" t="s">
        <v>280</v>
      </c>
      <c r="AJ450" s="331" t="s">
        <v>281</v>
      </c>
      <c r="AK450" s="329"/>
      <c r="AL450" s="329"/>
      <c r="AM450" s="329"/>
      <c r="AN450" s="329"/>
      <c r="AO450" s="329"/>
      <c r="AP450" s="331" t="s">
        <v>340</v>
      </c>
      <c r="AQ450" s="329">
        <v>580</v>
      </c>
      <c r="AR450" s="329">
        <v>570</v>
      </c>
      <c r="AS450" s="329"/>
      <c r="AT450" s="329" t="s">
        <v>842</v>
      </c>
      <c r="AU450" s="329" t="s">
        <v>283</v>
      </c>
      <c r="AV450" s="331" t="s">
        <v>279</v>
      </c>
      <c r="AW450" s="329"/>
      <c r="AX450" s="329"/>
      <c r="AY450" s="329"/>
      <c r="AZ450" s="329"/>
      <c r="BA450" s="329"/>
      <c r="BB450" s="329"/>
      <c r="BC450" s="329"/>
      <c r="BD450" s="329"/>
      <c r="BE450" s="329" t="s">
        <v>257</v>
      </c>
      <c r="BF450" s="329" t="s">
        <v>841</v>
      </c>
      <c r="BG450" s="329"/>
      <c r="BH450" s="329"/>
      <c r="BI450" s="329"/>
      <c r="BJ450" s="329"/>
      <c r="BK450" s="329">
        <v>9000</v>
      </c>
      <c r="BL450" s="329"/>
      <c r="BM450" s="331" t="s">
        <v>189</v>
      </c>
      <c r="BN450" s="329" t="s">
        <v>922</v>
      </c>
      <c r="BO450" s="333">
        <v>43753</v>
      </c>
      <c r="BP450" s="329"/>
      <c r="BQ450" s="329"/>
      <c r="BR450" s="329"/>
      <c r="BS450" s="329"/>
      <c r="BT450" s="329"/>
      <c r="BU450" s="331" t="s">
        <v>261</v>
      </c>
      <c r="BV450" s="329"/>
      <c r="BW450" s="329"/>
      <c r="BX450" s="329"/>
      <c r="BY450" s="331" t="s">
        <v>3068</v>
      </c>
      <c r="BZ450" s="331" t="s">
        <v>3069</v>
      </c>
      <c r="CA450" s="331" t="s">
        <v>3070</v>
      </c>
      <c r="CB450" s="331" t="s">
        <v>279</v>
      </c>
      <c r="CC450" s="331" t="s">
        <v>3066</v>
      </c>
    </row>
    <row r="451" spans="1:81" x14ac:dyDescent="0.25">
      <c r="A451" s="329">
        <v>197783</v>
      </c>
      <c r="B451" s="331" t="s">
        <v>3071</v>
      </c>
      <c r="C451" s="329">
        <v>34991</v>
      </c>
      <c r="D451" s="331" t="s">
        <v>3072</v>
      </c>
      <c r="E451" s="331" t="s">
        <v>538</v>
      </c>
      <c r="F451" s="331" t="s">
        <v>3073</v>
      </c>
      <c r="G451" s="331" t="s">
        <v>3074</v>
      </c>
      <c r="H451" s="331" t="s">
        <v>3075</v>
      </c>
      <c r="I451" s="331" t="s">
        <v>725</v>
      </c>
      <c r="J451" s="331" t="s">
        <v>292</v>
      </c>
      <c r="K451" s="331" t="s">
        <v>3076</v>
      </c>
      <c r="L451" s="329"/>
      <c r="M451" s="329">
        <v>6</v>
      </c>
      <c r="N451" s="329">
        <v>0</v>
      </c>
      <c r="O451" s="329">
        <v>3.1</v>
      </c>
      <c r="P451" s="329"/>
      <c r="Q451" s="333">
        <v>43704.909722222219</v>
      </c>
      <c r="R451" s="329"/>
      <c r="S451" s="333">
        <v>43752</v>
      </c>
      <c r="T451" s="329">
        <v>55</v>
      </c>
      <c r="U451" s="333">
        <v>43752</v>
      </c>
      <c r="V451" s="333">
        <v>44109</v>
      </c>
      <c r="W451" s="329" t="b">
        <v>1</v>
      </c>
      <c r="X451" s="331" t="s">
        <v>22</v>
      </c>
      <c r="Y451" s="329">
        <v>726</v>
      </c>
      <c r="Z451" s="331" t="s">
        <v>23</v>
      </c>
      <c r="AA451" s="331" t="s">
        <v>919</v>
      </c>
      <c r="AB451" s="331" t="s">
        <v>920</v>
      </c>
      <c r="AC451" s="331" t="s">
        <v>3077</v>
      </c>
      <c r="AD451" s="331" t="s">
        <v>24</v>
      </c>
      <c r="AE451" s="329">
        <v>221</v>
      </c>
      <c r="AF451" s="331" t="s">
        <v>254</v>
      </c>
      <c r="AG451" s="329"/>
      <c r="AH451" s="329">
        <v>17</v>
      </c>
      <c r="AI451" s="331" t="s">
        <v>280</v>
      </c>
      <c r="AJ451" s="331" t="s">
        <v>281</v>
      </c>
      <c r="AK451" s="329"/>
      <c r="AL451" s="329"/>
      <c r="AM451" s="329"/>
      <c r="AN451" s="329"/>
      <c r="AO451" s="329"/>
      <c r="AP451" s="331" t="s">
        <v>719</v>
      </c>
      <c r="AQ451" s="329">
        <v>500</v>
      </c>
      <c r="AR451" s="329">
        <v>440</v>
      </c>
      <c r="AS451" s="329"/>
      <c r="AT451" s="329" t="s">
        <v>266</v>
      </c>
      <c r="AU451" s="329" t="s">
        <v>283</v>
      </c>
      <c r="AV451" s="331" t="s">
        <v>292</v>
      </c>
      <c r="AW451" s="329"/>
      <c r="AX451" s="329"/>
      <c r="AY451" s="329"/>
      <c r="AZ451" s="329"/>
      <c r="BA451" s="329"/>
      <c r="BB451" s="329"/>
      <c r="BC451" s="329"/>
      <c r="BD451" s="329"/>
      <c r="BE451" s="329" t="s">
        <v>257</v>
      </c>
      <c r="BF451" s="329" t="s">
        <v>837</v>
      </c>
      <c r="BG451" s="329"/>
      <c r="BH451" s="329"/>
      <c r="BI451" s="329"/>
      <c r="BJ451" s="329"/>
      <c r="BK451" s="329">
        <v>15000</v>
      </c>
      <c r="BL451" s="329"/>
      <c r="BM451" s="331" t="s">
        <v>295</v>
      </c>
      <c r="BN451" s="329" t="s">
        <v>922</v>
      </c>
      <c r="BO451" s="333">
        <v>43753</v>
      </c>
      <c r="BP451" s="329"/>
      <c r="BQ451" s="329"/>
      <c r="BR451" s="329"/>
      <c r="BS451" s="329"/>
      <c r="BT451" s="329"/>
      <c r="BU451" s="331" t="s">
        <v>261</v>
      </c>
      <c r="BV451" s="329"/>
      <c r="BW451" s="329"/>
      <c r="BX451" s="329"/>
      <c r="BY451" s="331" t="s">
        <v>1659</v>
      </c>
      <c r="BZ451" s="331" t="s">
        <v>1660</v>
      </c>
      <c r="CA451" s="331" t="s">
        <v>1661</v>
      </c>
      <c r="CB451" s="331" t="s">
        <v>292</v>
      </c>
      <c r="CC451" s="331" t="s">
        <v>1662</v>
      </c>
    </row>
    <row r="452" spans="1:81" x14ac:dyDescent="0.25">
      <c r="A452" s="329">
        <v>196776</v>
      </c>
      <c r="B452" s="331" t="s">
        <v>3089</v>
      </c>
      <c r="C452" s="329">
        <v>34734</v>
      </c>
      <c r="D452" s="331" t="s">
        <v>3090</v>
      </c>
      <c r="E452" s="331" t="s">
        <v>458</v>
      </c>
      <c r="F452" s="331" t="s">
        <v>3091</v>
      </c>
      <c r="G452" s="331" t="s">
        <v>5136</v>
      </c>
      <c r="H452" s="331" t="s">
        <v>3092</v>
      </c>
      <c r="I452" s="331" t="s">
        <v>3093</v>
      </c>
      <c r="J452" s="331" t="s">
        <v>279</v>
      </c>
      <c r="K452" s="331" t="s">
        <v>3094</v>
      </c>
      <c r="L452" s="329"/>
      <c r="M452" s="329">
        <v>6</v>
      </c>
      <c r="N452" s="329">
        <v>0</v>
      </c>
      <c r="O452" s="329">
        <v>3.0652200000000001</v>
      </c>
      <c r="P452" s="329"/>
      <c r="Q452" s="333">
        <v>43686.729166666664</v>
      </c>
      <c r="R452" s="329"/>
      <c r="S452" s="333">
        <v>43752</v>
      </c>
      <c r="T452" s="329">
        <v>55</v>
      </c>
      <c r="U452" s="333">
        <v>43752</v>
      </c>
      <c r="V452" s="333">
        <v>44109</v>
      </c>
      <c r="W452" s="329" t="b">
        <v>1</v>
      </c>
      <c r="X452" s="331" t="s">
        <v>187</v>
      </c>
      <c r="Y452" s="329">
        <v>718</v>
      </c>
      <c r="Z452" s="331" t="s">
        <v>23</v>
      </c>
      <c r="AA452" s="331" t="s">
        <v>919</v>
      </c>
      <c r="AB452" s="331" t="s">
        <v>920</v>
      </c>
      <c r="AC452" s="331" t="s">
        <v>2683</v>
      </c>
      <c r="AD452" s="331" t="s">
        <v>24</v>
      </c>
      <c r="AE452" s="329">
        <v>221</v>
      </c>
      <c r="AF452" s="331" t="s">
        <v>254</v>
      </c>
      <c r="AG452" s="329"/>
      <c r="AH452" s="329">
        <v>17</v>
      </c>
      <c r="AI452" s="331" t="s">
        <v>280</v>
      </c>
      <c r="AJ452" s="331" t="s">
        <v>281</v>
      </c>
      <c r="AK452" s="329"/>
      <c r="AL452" s="329"/>
      <c r="AM452" s="329"/>
      <c r="AN452" s="329"/>
      <c r="AO452" s="329"/>
      <c r="AP452" s="331" t="s">
        <v>302</v>
      </c>
      <c r="AQ452" s="329">
        <v>610</v>
      </c>
      <c r="AR452" s="329">
        <v>500</v>
      </c>
      <c r="AS452" s="329"/>
      <c r="AT452" s="329" t="s">
        <v>400</v>
      </c>
      <c r="AU452" s="329" t="s">
        <v>256</v>
      </c>
      <c r="AV452" s="331" t="s">
        <v>279</v>
      </c>
      <c r="AW452" s="329"/>
      <c r="AX452" s="329"/>
      <c r="AY452" s="329"/>
      <c r="AZ452" s="329"/>
      <c r="BA452" s="329"/>
      <c r="BB452" s="329"/>
      <c r="BC452" s="329"/>
      <c r="BD452" s="329"/>
      <c r="BE452" s="329" t="s">
        <v>257</v>
      </c>
      <c r="BF452" s="329" t="s">
        <v>837</v>
      </c>
      <c r="BG452" s="329"/>
      <c r="BH452" s="329"/>
      <c r="BI452" s="329"/>
      <c r="BJ452" s="329"/>
      <c r="BK452" s="329">
        <v>15000</v>
      </c>
      <c r="BL452" s="329"/>
      <c r="BM452" s="331" t="s">
        <v>295</v>
      </c>
      <c r="BN452" s="329" t="s">
        <v>922</v>
      </c>
      <c r="BO452" s="333">
        <v>43753</v>
      </c>
      <c r="BP452" s="329"/>
      <c r="BQ452" s="329"/>
      <c r="BR452" s="329"/>
      <c r="BS452" s="329"/>
      <c r="BT452" s="329"/>
      <c r="BU452" s="331" t="s">
        <v>261</v>
      </c>
      <c r="BV452" s="329"/>
      <c r="BW452" s="329"/>
      <c r="BX452" s="329"/>
      <c r="BY452" s="331" t="s">
        <v>3095</v>
      </c>
      <c r="BZ452" s="331" t="s">
        <v>3096</v>
      </c>
      <c r="CA452" s="331" t="s">
        <v>3097</v>
      </c>
      <c r="CB452" s="331" t="s">
        <v>279</v>
      </c>
      <c r="CC452" s="331" t="s">
        <v>3098</v>
      </c>
    </row>
    <row r="453" spans="1:81" x14ac:dyDescent="0.25">
      <c r="A453" s="329">
        <v>198092</v>
      </c>
      <c r="B453" s="331" t="s">
        <v>3099</v>
      </c>
      <c r="C453" s="329">
        <v>35089</v>
      </c>
      <c r="D453" s="331" t="s">
        <v>3100</v>
      </c>
      <c r="E453" s="331" t="s">
        <v>470</v>
      </c>
      <c r="F453" s="331" t="s">
        <v>3101</v>
      </c>
      <c r="G453" s="331" t="s">
        <v>3102</v>
      </c>
      <c r="H453" s="331" t="s">
        <v>3103</v>
      </c>
      <c r="I453" s="331" t="s">
        <v>536</v>
      </c>
      <c r="J453" s="331" t="s">
        <v>297</v>
      </c>
      <c r="K453" s="331" t="s">
        <v>3104</v>
      </c>
      <c r="L453" s="329"/>
      <c r="M453" s="329">
        <v>6</v>
      </c>
      <c r="N453" s="329">
        <v>0</v>
      </c>
      <c r="O453" s="329">
        <v>3.8571399999999998</v>
      </c>
      <c r="P453" s="329"/>
      <c r="Q453" s="333">
        <v>43712.913194444445</v>
      </c>
      <c r="R453" s="329"/>
      <c r="S453" s="333">
        <v>43752</v>
      </c>
      <c r="T453" s="329">
        <v>55</v>
      </c>
      <c r="U453" s="333">
        <v>43752</v>
      </c>
      <c r="V453" s="333">
        <v>44109</v>
      </c>
      <c r="W453" s="329" t="b">
        <v>1</v>
      </c>
      <c r="X453" s="331" t="s">
        <v>22</v>
      </c>
      <c r="Y453" s="329">
        <v>726</v>
      </c>
      <c r="Z453" s="331" t="s">
        <v>23</v>
      </c>
      <c r="AA453" s="331" t="s">
        <v>919</v>
      </c>
      <c r="AB453" s="331" t="s">
        <v>920</v>
      </c>
      <c r="AC453" s="331" t="s">
        <v>364</v>
      </c>
      <c r="AD453" s="331" t="s">
        <v>24</v>
      </c>
      <c r="AE453" s="329">
        <v>221</v>
      </c>
      <c r="AF453" s="331" t="s">
        <v>254</v>
      </c>
      <c r="AG453" s="329"/>
      <c r="AH453" s="329">
        <v>17</v>
      </c>
      <c r="AI453" s="331" t="s">
        <v>280</v>
      </c>
      <c r="AJ453" s="331" t="s">
        <v>281</v>
      </c>
      <c r="AK453" s="329"/>
      <c r="AL453" s="329"/>
      <c r="AM453" s="329"/>
      <c r="AN453" s="329"/>
      <c r="AO453" s="329"/>
      <c r="AP453" s="329"/>
      <c r="AQ453" s="329"/>
      <c r="AR453" s="329"/>
      <c r="AS453" s="329"/>
      <c r="AT453" s="329" t="s">
        <v>258</v>
      </c>
      <c r="AU453" s="329" t="s">
        <v>283</v>
      </c>
      <c r="AV453" s="331" t="s">
        <v>297</v>
      </c>
      <c r="AW453" s="329"/>
      <c r="AX453" s="329"/>
      <c r="AY453" s="329"/>
      <c r="AZ453" s="329"/>
      <c r="BA453" s="329"/>
      <c r="BB453" s="329"/>
      <c r="BC453" s="329"/>
      <c r="BD453" s="329"/>
      <c r="BE453" s="329" t="s">
        <v>257</v>
      </c>
      <c r="BF453" s="329" t="s">
        <v>830</v>
      </c>
      <c r="BG453" s="329"/>
      <c r="BH453" s="329"/>
      <c r="BI453" s="329"/>
      <c r="BJ453" s="329"/>
      <c r="BK453" s="329">
        <v>12000</v>
      </c>
      <c r="BL453" s="329"/>
      <c r="BM453" s="331" t="s">
        <v>26</v>
      </c>
      <c r="BN453" s="329" t="s">
        <v>922</v>
      </c>
      <c r="BO453" s="333">
        <v>43753</v>
      </c>
      <c r="BP453" s="329"/>
      <c r="BQ453" s="329"/>
      <c r="BR453" s="329"/>
      <c r="BS453" s="329"/>
      <c r="BT453" s="329"/>
      <c r="BU453" s="331" t="s">
        <v>261</v>
      </c>
      <c r="BV453" s="329"/>
      <c r="BW453" s="329"/>
      <c r="BX453" s="329"/>
      <c r="BY453" s="331" t="s">
        <v>3105</v>
      </c>
      <c r="BZ453" s="331" t="s">
        <v>3106</v>
      </c>
      <c r="CA453" s="331" t="s">
        <v>3107</v>
      </c>
      <c r="CB453" s="331" t="s">
        <v>297</v>
      </c>
      <c r="CC453" s="331" t="s">
        <v>3108</v>
      </c>
    </row>
    <row r="454" spans="1:81" x14ac:dyDescent="0.25">
      <c r="A454" s="329">
        <v>194131</v>
      </c>
      <c r="B454" s="331" t="s">
        <v>3109</v>
      </c>
      <c r="C454" s="329">
        <v>34041</v>
      </c>
      <c r="D454" s="331" t="s">
        <v>3110</v>
      </c>
      <c r="E454" s="331" t="s">
        <v>504</v>
      </c>
      <c r="F454" s="331" t="s">
        <v>3111</v>
      </c>
      <c r="G454" s="331" t="s">
        <v>3112</v>
      </c>
      <c r="H454" s="331" t="s">
        <v>3113</v>
      </c>
      <c r="I454" s="331" t="s">
        <v>548</v>
      </c>
      <c r="J454" s="331" t="s">
        <v>298</v>
      </c>
      <c r="K454" s="331" t="s">
        <v>1473</v>
      </c>
      <c r="L454" s="329"/>
      <c r="M454" s="329">
        <v>6</v>
      </c>
      <c r="N454" s="329">
        <v>0</v>
      </c>
      <c r="O454" s="329">
        <v>3.5</v>
      </c>
      <c r="P454" s="329"/>
      <c r="Q454" s="333">
        <v>43630.729861111111</v>
      </c>
      <c r="R454" s="329"/>
      <c r="S454" s="333">
        <v>43752</v>
      </c>
      <c r="T454" s="329">
        <v>55</v>
      </c>
      <c r="U454" s="333">
        <v>43752</v>
      </c>
      <c r="V454" s="333">
        <v>44109</v>
      </c>
      <c r="W454" s="329" t="b">
        <v>1</v>
      </c>
      <c r="X454" s="331" t="s">
        <v>905</v>
      </c>
      <c r="Y454" s="329">
        <v>747</v>
      </c>
      <c r="Z454" s="331" t="s">
        <v>23</v>
      </c>
      <c r="AA454" s="331" t="s">
        <v>919</v>
      </c>
      <c r="AB454" s="331" t="s">
        <v>920</v>
      </c>
      <c r="AC454" s="331" t="s">
        <v>1658</v>
      </c>
      <c r="AD454" s="331" t="s">
        <v>24</v>
      </c>
      <c r="AE454" s="329">
        <v>221</v>
      </c>
      <c r="AF454" s="331" t="s">
        <v>254</v>
      </c>
      <c r="AG454" s="329"/>
      <c r="AH454" s="329">
        <v>17</v>
      </c>
      <c r="AI454" s="331" t="s">
        <v>280</v>
      </c>
      <c r="AJ454" s="331" t="s">
        <v>281</v>
      </c>
      <c r="AK454" s="329"/>
      <c r="AL454" s="329"/>
      <c r="AM454" s="329"/>
      <c r="AN454" s="329"/>
      <c r="AO454" s="329"/>
      <c r="AP454" s="331" t="s">
        <v>437</v>
      </c>
      <c r="AQ454" s="329">
        <v>550</v>
      </c>
      <c r="AR454" s="329">
        <v>510</v>
      </c>
      <c r="AS454" s="329"/>
      <c r="AT454" s="329" t="s">
        <v>353</v>
      </c>
      <c r="AU454" s="329" t="s">
        <v>283</v>
      </c>
      <c r="AV454" s="331" t="s">
        <v>298</v>
      </c>
      <c r="AW454" s="329"/>
      <c r="AX454" s="329"/>
      <c r="AY454" s="329"/>
      <c r="AZ454" s="329"/>
      <c r="BA454" s="329"/>
      <c r="BB454" s="329"/>
      <c r="BC454" s="329"/>
      <c r="BD454" s="329"/>
      <c r="BE454" s="329" t="s">
        <v>257</v>
      </c>
      <c r="BF454" s="329" t="s">
        <v>838</v>
      </c>
      <c r="BG454" s="329"/>
      <c r="BH454" s="329"/>
      <c r="BI454" s="329"/>
      <c r="BJ454" s="329"/>
      <c r="BK454" s="329">
        <v>15600</v>
      </c>
      <c r="BL454" s="329"/>
      <c r="BM454" s="331" t="s">
        <v>259</v>
      </c>
      <c r="BN454" s="329" t="s">
        <v>922</v>
      </c>
      <c r="BO454" s="333">
        <v>43753</v>
      </c>
      <c r="BP454" s="329"/>
      <c r="BQ454" s="329"/>
      <c r="BR454" s="329"/>
      <c r="BS454" s="329"/>
      <c r="BT454" s="329"/>
      <c r="BU454" s="331" t="s">
        <v>261</v>
      </c>
      <c r="BV454" s="329"/>
      <c r="BW454" s="329"/>
      <c r="BX454" s="329"/>
      <c r="BY454" s="331" t="s">
        <v>3114</v>
      </c>
      <c r="BZ454" s="331" t="s">
        <v>3115</v>
      </c>
      <c r="CA454" s="329"/>
      <c r="CB454" s="331" t="s">
        <v>558</v>
      </c>
      <c r="CC454" s="331" t="s">
        <v>304</v>
      </c>
    </row>
    <row r="455" spans="1:81" x14ac:dyDescent="0.25">
      <c r="A455" s="329">
        <v>197503</v>
      </c>
      <c r="B455" s="331" t="s">
        <v>3126</v>
      </c>
      <c r="C455" s="329">
        <v>34891</v>
      </c>
      <c r="D455" s="331" t="s">
        <v>3127</v>
      </c>
      <c r="E455" s="331" t="s">
        <v>518</v>
      </c>
      <c r="F455" s="331" t="s">
        <v>3128</v>
      </c>
      <c r="G455" s="331" t="s">
        <v>3129</v>
      </c>
      <c r="H455" s="331" t="s">
        <v>3130</v>
      </c>
      <c r="I455" s="331" t="s">
        <v>1074</v>
      </c>
      <c r="J455" s="331" t="s">
        <v>298</v>
      </c>
      <c r="K455" s="331" t="s">
        <v>3131</v>
      </c>
      <c r="L455" s="329"/>
      <c r="M455" s="329">
        <v>6</v>
      </c>
      <c r="N455" s="329">
        <v>0</v>
      </c>
      <c r="O455" s="329">
        <v>3.6</v>
      </c>
      <c r="P455" s="329"/>
      <c r="Q455" s="333">
        <v>43718.506944444445</v>
      </c>
      <c r="R455" s="329"/>
      <c r="S455" s="333">
        <v>43752</v>
      </c>
      <c r="T455" s="329">
        <v>55</v>
      </c>
      <c r="U455" s="333">
        <v>43752</v>
      </c>
      <c r="V455" s="333">
        <v>44109</v>
      </c>
      <c r="W455" s="329" t="b">
        <v>1</v>
      </c>
      <c r="X455" s="331" t="s">
        <v>905</v>
      </c>
      <c r="Y455" s="329">
        <v>747</v>
      </c>
      <c r="Z455" s="331" t="s">
        <v>23</v>
      </c>
      <c r="AA455" s="331" t="s">
        <v>919</v>
      </c>
      <c r="AB455" s="331" t="s">
        <v>920</v>
      </c>
      <c r="AC455" s="331" t="s">
        <v>720</v>
      </c>
      <c r="AD455" s="331" t="s">
        <v>24</v>
      </c>
      <c r="AE455" s="329">
        <v>221</v>
      </c>
      <c r="AF455" s="331" t="s">
        <v>254</v>
      </c>
      <c r="AG455" s="329"/>
      <c r="AH455" s="329">
        <v>17</v>
      </c>
      <c r="AI455" s="331" t="s">
        <v>280</v>
      </c>
      <c r="AJ455" s="331" t="s">
        <v>281</v>
      </c>
      <c r="AK455" s="329"/>
      <c r="AL455" s="329"/>
      <c r="AM455" s="329"/>
      <c r="AN455" s="329"/>
      <c r="AO455" s="329"/>
      <c r="AP455" s="331" t="s">
        <v>483</v>
      </c>
      <c r="AQ455" s="329">
        <v>620</v>
      </c>
      <c r="AR455" s="329">
        <v>520</v>
      </c>
      <c r="AS455" s="329"/>
      <c r="AT455" s="329" t="s">
        <v>319</v>
      </c>
      <c r="AU455" s="329" t="s">
        <v>283</v>
      </c>
      <c r="AV455" s="331" t="s">
        <v>298</v>
      </c>
      <c r="AW455" s="329"/>
      <c r="AX455" s="329"/>
      <c r="AY455" s="329"/>
      <c r="AZ455" s="329"/>
      <c r="BA455" s="329"/>
      <c r="BB455" s="329"/>
      <c r="BC455" s="329"/>
      <c r="BD455" s="329"/>
      <c r="BE455" s="329" t="s">
        <v>257</v>
      </c>
      <c r="BF455" s="329" t="s">
        <v>834</v>
      </c>
      <c r="BG455" s="329"/>
      <c r="BH455" s="329"/>
      <c r="BI455" s="329"/>
      <c r="BJ455" s="329"/>
      <c r="BK455" s="329">
        <v>20400</v>
      </c>
      <c r="BL455" s="329"/>
      <c r="BM455" s="331" t="s">
        <v>278</v>
      </c>
      <c r="BN455" s="329" t="s">
        <v>922</v>
      </c>
      <c r="BO455" s="333">
        <v>43753</v>
      </c>
      <c r="BP455" s="329"/>
      <c r="BQ455" s="329"/>
      <c r="BR455" s="329"/>
      <c r="BS455" s="329"/>
      <c r="BT455" s="329"/>
      <c r="BU455" s="331" t="s">
        <v>261</v>
      </c>
      <c r="BV455" s="329"/>
      <c r="BW455" s="329"/>
      <c r="BX455" s="329"/>
      <c r="BY455" s="331" t="s">
        <v>3132</v>
      </c>
      <c r="BZ455" s="331" t="s">
        <v>3133</v>
      </c>
      <c r="CA455" s="331" t="s">
        <v>3134</v>
      </c>
      <c r="CB455" s="331" t="s">
        <v>298</v>
      </c>
      <c r="CC455" s="331" t="s">
        <v>3131</v>
      </c>
    </row>
    <row r="456" spans="1:81" x14ac:dyDescent="0.25">
      <c r="A456" s="329">
        <v>198277</v>
      </c>
      <c r="B456" s="331" t="s">
        <v>3135</v>
      </c>
      <c r="C456" s="329">
        <v>35190</v>
      </c>
      <c r="D456" s="331" t="s">
        <v>3136</v>
      </c>
      <c r="E456" s="331" t="s">
        <v>1399</v>
      </c>
      <c r="F456" s="331" t="s">
        <v>3137</v>
      </c>
      <c r="G456" s="331" t="s">
        <v>3138</v>
      </c>
      <c r="H456" s="331" t="s">
        <v>3139</v>
      </c>
      <c r="I456" s="331" t="s">
        <v>370</v>
      </c>
      <c r="J456" s="331" t="s">
        <v>251</v>
      </c>
      <c r="K456" s="331" t="s">
        <v>3140</v>
      </c>
      <c r="L456" s="329"/>
      <c r="M456" s="329">
        <v>6</v>
      </c>
      <c r="N456" s="329">
        <v>0</v>
      </c>
      <c r="O456" s="329">
        <v>4</v>
      </c>
      <c r="P456" s="329"/>
      <c r="Q456" s="333">
        <v>43631.427129629628</v>
      </c>
      <c r="R456" s="329"/>
      <c r="S456" s="333">
        <v>43752</v>
      </c>
      <c r="T456" s="329">
        <v>55</v>
      </c>
      <c r="U456" s="333">
        <v>43752</v>
      </c>
      <c r="V456" s="333">
        <v>44109</v>
      </c>
      <c r="W456" s="329" t="b">
        <v>1</v>
      </c>
      <c r="X456" s="331" t="s">
        <v>22</v>
      </c>
      <c r="Y456" s="329">
        <v>726</v>
      </c>
      <c r="Z456" s="331" t="s">
        <v>23</v>
      </c>
      <c r="AA456" s="331" t="s">
        <v>919</v>
      </c>
      <c r="AB456" s="331" t="s">
        <v>920</v>
      </c>
      <c r="AC456" s="331" t="s">
        <v>1670</v>
      </c>
      <c r="AD456" s="331" t="s">
        <v>24</v>
      </c>
      <c r="AE456" s="329">
        <v>221</v>
      </c>
      <c r="AF456" s="331" t="s">
        <v>254</v>
      </c>
      <c r="AG456" s="329"/>
      <c r="AH456" s="329">
        <v>17</v>
      </c>
      <c r="AI456" s="331" t="s">
        <v>280</v>
      </c>
      <c r="AJ456" s="331" t="s">
        <v>281</v>
      </c>
      <c r="AK456" s="329"/>
      <c r="AL456" s="329"/>
      <c r="AM456" s="329"/>
      <c r="AN456" s="329"/>
      <c r="AO456" s="329"/>
      <c r="AP456" s="331" t="s">
        <v>752</v>
      </c>
      <c r="AQ456" s="329">
        <v>690</v>
      </c>
      <c r="AR456" s="329"/>
      <c r="AS456" s="329">
        <v>610</v>
      </c>
      <c r="AT456" s="329" t="s">
        <v>367</v>
      </c>
      <c r="AU456" s="329" t="s">
        <v>256</v>
      </c>
      <c r="AV456" s="331" t="s">
        <v>251</v>
      </c>
      <c r="AW456" s="329"/>
      <c r="AX456" s="329"/>
      <c r="AY456" s="329"/>
      <c r="AZ456" s="329"/>
      <c r="BA456" s="329"/>
      <c r="BB456" s="329"/>
      <c r="BC456" s="329"/>
      <c r="BD456" s="329"/>
      <c r="BE456" s="329" t="s">
        <v>257</v>
      </c>
      <c r="BF456" s="329" t="s">
        <v>834</v>
      </c>
      <c r="BG456" s="329"/>
      <c r="BH456" s="329"/>
      <c r="BI456" s="329"/>
      <c r="BJ456" s="329"/>
      <c r="BK456" s="329">
        <v>20400</v>
      </c>
      <c r="BL456" s="329"/>
      <c r="BM456" s="331" t="s">
        <v>278</v>
      </c>
      <c r="BN456" s="329" t="s">
        <v>922</v>
      </c>
      <c r="BO456" s="333">
        <v>43753</v>
      </c>
      <c r="BP456" s="329"/>
      <c r="BQ456" s="329"/>
      <c r="BR456" s="329"/>
      <c r="BS456" s="329"/>
      <c r="BT456" s="329"/>
      <c r="BU456" s="331" t="s">
        <v>261</v>
      </c>
      <c r="BV456" s="329"/>
      <c r="BW456" s="329"/>
      <c r="BX456" s="329"/>
      <c r="BY456" s="331" t="s">
        <v>3141</v>
      </c>
      <c r="BZ456" s="331" t="s">
        <v>3142</v>
      </c>
      <c r="CA456" s="331" t="s">
        <v>1753</v>
      </c>
      <c r="CB456" s="331" t="s">
        <v>251</v>
      </c>
      <c r="CC456" s="331" t="s">
        <v>3140</v>
      </c>
    </row>
    <row r="457" spans="1:81" x14ac:dyDescent="0.25">
      <c r="A457" s="329">
        <v>198029</v>
      </c>
      <c r="B457" s="331" t="s">
        <v>3143</v>
      </c>
      <c r="C457" s="329">
        <v>35064</v>
      </c>
      <c r="D457" s="331" t="s">
        <v>3144</v>
      </c>
      <c r="E457" s="331" t="s">
        <v>777</v>
      </c>
      <c r="F457" s="331" t="s">
        <v>3145</v>
      </c>
      <c r="G457" s="331" t="s">
        <v>3146</v>
      </c>
      <c r="H457" s="331" t="s">
        <v>3147</v>
      </c>
      <c r="I457" s="331" t="s">
        <v>3148</v>
      </c>
      <c r="J457" s="331" t="s">
        <v>298</v>
      </c>
      <c r="K457" s="331" t="s">
        <v>3149</v>
      </c>
      <c r="L457" s="329"/>
      <c r="M457" s="329">
        <v>6</v>
      </c>
      <c r="N457" s="329">
        <v>0</v>
      </c>
      <c r="O457" s="329">
        <v>3.91</v>
      </c>
      <c r="P457" s="329"/>
      <c r="Q457" s="333">
        <v>43732.430555555555</v>
      </c>
      <c r="R457" s="329"/>
      <c r="S457" s="333">
        <v>43752</v>
      </c>
      <c r="T457" s="329">
        <v>55</v>
      </c>
      <c r="U457" s="333">
        <v>43752</v>
      </c>
      <c r="V457" s="333">
        <v>44109</v>
      </c>
      <c r="W457" s="329" t="b">
        <v>1</v>
      </c>
      <c r="X457" s="331" t="s">
        <v>187</v>
      </c>
      <c r="Y457" s="329">
        <v>718</v>
      </c>
      <c r="Z457" s="331" t="s">
        <v>23</v>
      </c>
      <c r="AA457" s="331" t="s">
        <v>919</v>
      </c>
      <c r="AB457" s="331" t="s">
        <v>920</v>
      </c>
      <c r="AC457" s="331" t="s">
        <v>372</v>
      </c>
      <c r="AD457" s="331" t="s">
        <v>24</v>
      </c>
      <c r="AE457" s="329">
        <v>221</v>
      </c>
      <c r="AF457" s="331" t="s">
        <v>254</v>
      </c>
      <c r="AG457" s="329"/>
      <c r="AH457" s="329">
        <v>17</v>
      </c>
      <c r="AI457" s="331" t="s">
        <v>280</v>
      </c>
      <c r="AJ457" s="331" t="s">
        <v>281</v>
      </c>
      <c r="AK457" s="329"/>
      <c r="AL457" s="329"/>
      <c r="AM457" s="329"/>
      <c r="AN457" s="329"/>
      <c r="AO457" s="329"/>
      <c r="AP457" s="331" t="s">
        <v>361</v>
      </c>
      <c r="AQ457" s="329">
        <v>650</v>
      </c>
      <c r="AR457" s="329">
        <v>600</v>
      </c>
      <c r="AS457" s="329"/>
      <c r="AT457" s="329" t="s">
        <v>843</v>
      </c>
      <c r="AU457" s="329" t="s">
        <v>283</v>
      </c>
      <c r="AV457" s="331" t="s">
        <v>298</v>
      </c>
      <c r="AW457" s="329"/>
      <c r="AX457" s="329"/>
      <c r="AY457" s="329"/>
      <c r="AZ457" s="329"/>
      <c r="BA457" s="329"/>
      <c r="BB457" s="329"/>
      <c r="BC457" s="329"/>
      <c r="BD457" s="329"/>
      <c r="BE457" s="329" t="s">
        <v>257</v>
      </c>
      <c r="BF457" s="329" t="s">
        <v>834</v>
      </c>
      <c r="BG457" s="329"/>
      <c r="BH457" s="329"/>
      <c r="BI457" s="329"/>
      <c r="BJ457" s="329"/>
      <c r="BK457" s="329">
        <v>20400</v>
      </c>
      <c r="BL457" s="329"/>
      <c r="BM457" s="331" t="s">
        <v>278</v>
      </c>
      <c r="BN457" s="329" t="s">
        <v>922</v>
      </c>
      <c r="BO457" s="333">
        <v>43753</v>
      </c>
      <c r="BP457" s="329"/>
      <c r="BQ457" s="329"/>
      <c r="BR457" s="329"/>
      <c r="BS457" s="329"/>
      <c r="BT457" s="329"/>
      <c r="BU457" s="331" t="s">
        <v>261</v>
      </c>
      <c r="BV457" s="329"/>
      <c r="BW457" s="329"/>
      <c r="BX457" s="329"/>
      <c r="BY457" s="331" t="s">
        <v>934</v>
      </c>
      <c r="BZ457" s="331" t="s">
        <v>935</v>
      </c>
      <c r="CA457" s="331" t="s">
        <v>936</v>
      </c>
      <c r="CB457" s="331" t="s">
        <v>298</v>
      </c>
      <c r="CC457" s="331" t="s">
        <v>937</v>
      </c>
    </row>
    <row r="458" spans="1:81" x14ac:dyDescent="0.25">
      <c r="A458" s="329">
        <v>196002</v>
      </c>
      <c r="B458" s="331" t="s">
        <v>3150</v>
      </c>
      <c r="C458" s="329">
        <v>34461</v>
      </c>
      <c r="D458" s="331" t="s">
        <v>3151</v>
      </c>
      <c r="E458" s="331" t="s">
        <v>3152</v>
      </c>
      <c r="F458" s="331" t="s">
        <v>3153</v>
      </c>
      <c r="G458" s="331" t="s">
        <v>3154</v>
      </c>
      <c r="H458" s="331" t="s">
        <v>3155</v>
      </c>
      <c r="I458" s="331" t="s">
        <v>539</v>
      </c>
      <c r="J458" s="331" t="s">
        <v>298</v>
      </c>
      <c r="K458" s="331" t="s">
        <v>3156</v>
      </c>
      <c r="L458" s="329"/>
      <c r="M458" s="329">
        <v>6</v>
      </c>
      <c r="N458" s="329">
        <v>0</v>
      </c>
      <c r="O458" s="329">
        <v>3.02</v>
      </c>
      <c r="P458" s="329"/>
      <c r="Q458" s="333">
        <v>43585.729166666664</v>
      </c>
      <c r="R458" s="329"/>
      <c r="S458" s="333">
        <v>43752</v>
      </c>
      <c r="T458" s="329">
        <v>55</v>
      </c>
      <c r="U458" s="333">
        <v>43752</v>
      </c>
      <c r="V458" s="333">
        <v>44109</v>
      </c>
      <c r="W458" s="329" t="b">
        <v>1</v>
      </c>
      <c r="X458" s="331" t="s">
        <v>22</v>
      </c>
      <c r="Y458" s="329">
        <v>726</v>
      </c>
      <c r="Z458" s="331" t="s">
        <v>23</v>
      </c>
      <c r="AA458" s="331" t="s">
        <v>919</v>
      </c>
      <c r="AB458" s="331" t="s">
        <v>920</v>
      </c>
      <c r="AC458" s="331" t="s">
        <v>1361</v>
      </c>
      <c r="AD458" s="331" t="s">
        <v>24</v>
      </c>
      <c r="AE458" s="329">
        <v>221</v>
      </c>
      <c r="AF458" s="331" t="s">
        <v>254</v>
      </c>
      <c r="AG458" s="329"/>
      <c r="AH458" s="329">
        <v>17</v>
      </c>
      <c r="AI458" s="331" t="s">
        <v>280</v>
      </c>
      <c r="AJ458" s="331" t="s">
        <v>281</v>
      </c>
      <c r="AK458" s="329"/>
      <c r="AL458" s="329"/>
      <c r="AM458" s="329"/>
      <c r="AN458" s="329"/>
      <c r="AO458" s="329"/>
      <c r="AP458" s="331" t="s">
        <v>494</v>
      </c>
      <c r="AQ458" s="329">
        <v>530</v>
      </c>
      <c r="AR458" s="329">
        <v>420</v>
      </c>
      <c r="AS458" s="329"/>
      <c r="AT458" s="329" t="s">
        <v>409</v>
      </c>
      <c r="AU458" s="329" t="s">
        <v>283</v>
      </c>
      <c r="AV458" s="331" t="s">
        <v>298</v>
      </c>
      <c r="AW458" s="329"/>
      <c r="AX458" s="329"/>
      <c r="AY458" s="329"/>
      <c r="AZ458" s="329"/>
      <c r="BA458" s="329"/>
      <c r="BB458" s="329"/>
      <c r="BC458" s="329"/>
      <c r="BD458" s="329"/>
      <c r="BE458" s="329" t="s">
        <v>257</v>
      </c>
      <c r="BF458" s="329" t="s">
        <v>837</v>
      </c>
      <c r="BG458" s="329"/>
      <c r="BH458" s="329"/>
      <c r="BI458" s="329"/>
      <c r="BJ458" s="329"/>
      <c r="BK458" s="329">
        <v>15000</v>
      </c>
      <c r="BL458" s="329"/>
      <c r="BM458" s="331" t="s">
        <v>295</v>
      </c>
      <c r="BN458" s="329" t="s">
        <v>922</v>
      </c>
      <c r="BO458" s="333">
        <v>43753</v>
      </c>
      <c r="BP458" s="329"/>
      <c r="BQ458" s="329"/>
      <c r="BR458" s="329"/>
      <c r="BS458" s="329"/>
      <c r="BT458" s="329"/>
      <c r="BU458" s="331" t="s">
        <v>261</v>
      </c>
      <c r="BV458" s="329"/>
      <c r="BW458" s="329"/>
      <c r="BX458" s="329"/>
      <c r="BY458" s="331" t="s">
        <v>3157</v>
      </c>
      <c r="BZ458" s="331" t="s">
        <v>3158</v>
      </c>
      <c r="CA458" s="331" t="s">
        <v>3159</v>
      </c>
      <c r="CB458" s="331" t="s">
        <v>298</v>
      </c>
      <c r="CC458" s="331" t="s">
        <v>587</v>
      </c>
    </row>
    <row r="459" spans="1:81" x14ac:dyDescent="0.25">
      <c r="A459" s="329">
        <v>193867</v>
      </c>
      <c r="B459" s="331" t="s">
        <v>3170</v>
      </c>
      <c r="C459" s="329">
        <v>34009</v>
      </c>
      <c r="D459" s="331" t="s">
        <v>898</v>
      </c>
      <c r="E459" s="331" t="s">
        <v>524</v>
      </c>
      <c r="F459" s="331" t="s">
        <v>3171</v>
      </c>
      <c r="G459" s="331" t="s">
        <v>3172</v>
      </c>
      <c r="H459" s="331" t="s">
        <v>3173</v>
      </c>
      <c r="I459" s="331" t="s">
        <v>377</v>
      </c>
      <c r="J459" s="331" t="s">
        <v>251</v>
      </c>
      <c r="K459" s="331" t="s">
        <v>3174</v>
      </c>
      <c r="L459" s="329"/>
      <c r="M459" s="329">
        <v>6</v>
      </c>
      <c r="N459" s="329">
        <v>0</v>
      </c>
      <c r="O459" s="329">
        <v>2.4700000000000002</v>
      </c>
      <c r="P459" s="329"/>
      <c r="Q459" s="333">
        <v>43632.677083333336</v>
      </c>
      <c r="R459" s="329"/>
      <c r="S459" s="333">
        <v>43752</v>
      </c>
      <c r="T459" s="329">
        <v>55</v>
      </c>
      <c r="U459" s="333">
        <v>43752</v>
      </c>
      <c r="V459" s="333">
        <v>44109</v>
      </c>
      <c r="W459" s="329" t="b">
        <v>1</v>
      </c>
      <c r="X459" s="331" t="s">
        <v>22</v>
      </c>
      <c r="Y459" s="329">
        <v>429</v>
      </c>
      <c r="Z459" s="331" t="s">
        <v>23</v>
      </c>
      <c r="AA459" s="331" t="s">
        <v>919</v>
      </c>
      <c r="AB459" s="331" t="s">
        <v>920</v>
      </c>
      <c r="AC459" s="331" t="s">
        <v>1011</v>
      </c>
      <c r="AD459" s="331" t="s">
        <v>24</v>
      </c>
      <c r="AE459" s="329">
        <v>221</v>
      </c>
      <c r="AF459" s="331" t="s">
        <v>254</v>
      </c>
      <c r="AG459" s="329"/>
      <c r="AH459" s="329">
        <v>17</v>
      </c>
      <c r="AI459" s="331" t="s">
        <v>280</v>
      </c>
      <c r="AJ459" s="331" t="s">
        <v>281</v>
      </c>
      <c r="AK459" s="329"/>
      <c r="AL459" s="329"/>
      <c r="AM459" s="329"/>
      <c r="AN459" s="329"/>
      <c r="AO459" s="329"/>
      <c r="AP459" s="331" t="s">
        <v>405</v>
      </c>
      <c r="AQ459" s="329">
        <v>650</v>
      </c>
      <c r="AR459" s="329">
        <v>590</v>
      </c>
      <c r="AS459" s="329"/>
      <c r="AT459" s="329" t="s">
        <v>365</v>
      </c>
      <c r="AU459" s="329" t="s">
        <v>283</v>
      </c>
      <c r="AV459" s="331" t="s">
        <v>251</v>
      </c>
      <c r="AW459" s="329"/>
      <c r="AX459" s="329"/>
      <c r="AY459" s="329"/>
      <c r="AZ459" s="329"/>
      <c r="BA459" s="329"/>
      <c r="BB459" s="329"/>
      <c r="BC459" s="329"/>
      <c r="BD459" s="329"/>
      <c r="BE459" s="329"/>
      <c r="BF459" s="329"/>
      <c r="BG459" s="329"/>
      <c r="BH459" s="329"/>
      <c r="BI459" s="329"/>
      <c r="BJ459" s="329"/>
      <c r="BK459" s="329">
        <v>0</v>
      </c>
      <c r="BL459" s="329"/>
      <c r="BM459" s="331" t="s">
        <v>27</v>
      </c>
      <c r="BN459" s="329" t="s">
        <v>922</v>
      </c>
      <c r="BO459" s="333">
        <v>43753</v>
      </c>
      <c r="BP459" s="329"/>
      <c r="BQ459" s="329"/>
      <c r="BR459" s="329"/>
      <c r="BS459" s="329"/>
      <c r="BT459" s="329"/>
      <c r="BU459" s="331" t="s">
        <v>261</v>
      </c>
      <c r="BV459" s="329"/>
      <c r="BW459" s="329"/>
      <c r="BX459" s="329"/>
      <c r="BY459" s="331" t="s">
        <v>3175</v>
      </c>
      <c r="BZ459" s="331" t="s">
        <v>3176</v>
      </c>
      <c r="CA459" s="329"/>
      <c r="CB459" s="331" t="s">
        <v>558</v>
      </c>
      <c r="CC459" s="331" t="s">
        <v>304</v>
      </c>
    </row>
    <row r="460" spans="1:81" x14ac:dyDescent="0.25">
      <c r="A460" s="329">
        <v>195008</v>
      </c>
      <c r="B460" s="331" t="s">
        <v>3177</v>
      </c>
      <c r="C460" s="329">
        <v>34220</v>
      </c>
      <c r="D460" s="331" t="s">
        <v>3178</v>
      </c>
      <c r="E460" s="331" t="s">
        <v>525</v>
      </c>
      <c r="F460" s="331" t="s">
        <v>3179</v>
      </c>
      <c r="G460" s="331" t="s">
        <v>3180</v>
      </c>
      <c r="H460" s="331" t="s">
        <v>3181</v>
      </c>
      <c r="I460" s="331" t="s">
        <v>1771</v>
      </c>
      <c r="J460" s="331" t="s">
        <v>292</v>
      </c>
      <c r="K460" s="331" t="s">
        <v>3182</v>
      </c>
      <c r="L460" s="329"/>
      <c r="M460" s="329">
        <v>6</v>
      </c>
      <c r="N460" s="329">
        <v>0</v>
      </c>
      <c r="O460" s="329">
        <v>2.75</v>
      </c>
      <c r="P460" s="329"/>
      <c r="Q460" s="333">
        <v>43634.739583333336</v>
      </c>
      <c r="R460" s="329"/>
      <c r="S460" s="333">
        <v>43752</v>
      </c>
      <c r="T460" s="329">
        <v>55</v>
      </c>
      <c r="U460" s="333">
        <v>43752</v>
      </c>
      <c r="V460" s="333">
        <v>44109</v>
      </c>
      <c r="W460" s="329" t="b">
        <v>1</v>
      </c>
      <c r="X460" s="331" t="s">
        <v>22</v>
      </c>
      <c r="Y460" s="329">
        <v>429</v>
      </c>
      <c r="Z460" s="331" t="s">
        <v>23</v>
      </c>
      <c r="AA460" s="331" t="s">
        <v>919</v>
      </c>
      <c r="AB460" s="331" t="s">
        <v>920</v>
      </c>
      <c r="AC460" s="331" t="s">
        <v>972</v>
      </c>
      <c r="AD460" s="331" t="s">
        <v>24</v>
      </c>
      <c r="AE460" s="329">
        <v>221</v>
      </c>
      <c r="AF460" s="331" t="s">
        <v>254</v>
      </c>
      <c r="AG460" s="329"/>
      <c r="AH460" s="329">
        <v>17</v>
      </c>
      <c r="AI460" s="331" t="s">
        <v>280</v>
      </c>
      <c r="AJ460" s="331" t="s">
        <v>281</v>
      </c>
      <c r="AK460" s="331" t="s">
        <v>328</v>
      </c>
      <c r="AL460" s="331" t="s">
        <v>386</v>
      </c>
      <c r="AM460" s="331" t="s">
        <v>386</v>
      </c>
      <c r="AN460" s="331" t="s">
        <v>330</v>
      </c>
      <c r="AO460" s="331" t="s">
        <v>300</v>
      </c>
      <c r="AP460" s="329"/>
      <c r="AQ460" s="329"/>
      <c r="AR460" s="329"/>
      <c r="AS460" s="329"/>
      <c r="AT460" s="329" t="s">
        <v>492</v>
      </c>
      <c r="AU460" s="329" t="s">
        <v>256</v>
      </c>
      <c r="AV460" s="331" t="s">
        <v>292</v>
      </c>
      <c r="AW460" s="329"/>
      <c r="AX460" s="329"/>
      <c r="AY460" s="329"/>
      <c r="AZ460" s="329"/>
      <c r="BA460" s="329"/>
      <c r="BB460" s="329"/>
      <c r="BC460" s="329"/>
      <c r="BD460" s="329"/>
      <c r="BE460" s="329"/>
      <c r="BF460" s="329"/>
      <c r="BG460" s="329"/>
      <c r="BH460" s="329"/>
      <c r="BI460" s="329"/>
      <c r="BJ460" s="329"/>
      <c r="BK460" s="329">
        <v>0</v>
      </c>
      <c r="BL460" s="329"/>
      <c r="BM460" s="331" t="s">
        <v>267</v>
      </c>
      <c r="BN460" s="329" t="s">
        <v>922</v>
      </c>
      <c r="BO460" s="333">
        <v>43753</v>
      </c>
      <c r="BP460" s="329"/>
      <c r="BQ460" s="329"/>
      <c r="BR460" s="329"/>
      <c r="BS460" s="329"/>
      <c r="BT460" s="329"/>
      <c r="BU460" s="331" t="s">
        <v>261</v>
      </c>
      <c r="BV460" s="329"/>
      <c r="BW460" s="329"/>
      <c r="BX460" s="329"/>
      <c r="BY460" s="331" t="s">
        <v>3183</v>
      </c>
      <c r="BZ460" s="331" t="s">
        <v>3184</v>
      </c>
      <c r="CA460" s="331" t="s">
        <v>3185</v>
      </c>
      <c r="CB460" s="331" t="s">
        <v>292</v>
      </c>
      <c r="CC460" s="331" t="s">
        <v>3186</v>
      </c>
    </row>
    <row r="461" spans="1:81" x14ac:dyDescent="0.25">
      <c r="A461" s="329">
        <v>195928</v>
      </c>
      <c r="B461" s="331" t="s">
        <v>3187</v>
      </c>
      <c r="C461" s="329">
        <v>34432</v>
      </c>
      <c r="D461" s="331" t="s">
        <v>436</v>
      </c>
      <c r="E461" s="331" t="s">
        <v>3188</v>
      </c>
      <c r="F461" s="331" t="s">
        <v>3189</v>
      </c>
      <c r="G461" s="331" t="s">
        <v>3190</v>
      </c>
      <c r="H461" s="331" t="s">
        <v>3191</v>
      </c>
      <c r="I461" s="331" t="s">
        <v>932</v>
      </c>
      <c r="J461" s="331" t="s">
        <v>298</v>
      </c>
      <c r="K461" s="331" t="s">
        <v>3192</v>
      </c>
      <c r="L461" s="329"/>
      <c r="M461" s="329">
        <v>6</v>
      </c>
      <c r="N461" s="329">
        <v>0</v>
      </c>
      <c r="O461" s="329">
        <v>3.7919999999999998</v>
      </c>
      <c r="P461" s="329"/>
      <c r="Q461" s="333">
        <v>43633.798611111109</v>
      </c>
      <c r="R461" s="329"/>
      <c r="S461" s="333">
        <v>43752</v>
      </c>
      <c r="T461" s="329">
        <v>55</v>
      </c>
      <c r="U461" s="333">
        <v>43752</v>
      </c>
      <c r="V461" s="333">
        <v>44109</v>
      </c>
      <c r="W461" s="329" t="b">
        <v>1</v>
      </c>
      <c r="X461" s="331" t="s">
        <v>187</v>
      </c>
      <c r="Y461" s="329">
        <v>718</v>
      </c>
      <c r="Z461" s="331" t="s">
        <v>23</v>
      </c>
      <c r="AA461" s="331" t="s">
        <v>919</v>
      </c>
      <c r="AB461" s="331" t="s">
        <v>920</v>
      </c>
      <c r="AC461" s="331" t="s">
        <v>1658</v>
      </c>
      <c r="AD461" s="331" t="s">
        <v>24</v>
      </c>
      <c r="AE461" s="329">
        <v>221</v>
      </c>
      <c r="AF461" s="331" t="s">
        <v>254</v>
      </c>
      <c r="AG461" s="329"/>
      <c r="AH461" s="329">
        <v>17</v>
      </c>
      <c r="AI461" s="331" t="s">
        <v>280</v>
      </c>
      <c r="AJ461" s="331" t="s">
        <v>281</v>
      </c>
      <c r="AK461" s="329"/>
      <c r="AL461" s="329"/>
      <c r="AM461" s="329"/>
      <c r="AN461" s="329"/>
      <c r="AO461" s="329"/>
      <c r="AP461" s="331" t="s">
        <v>476</v>
      </c>
      <c r="AQ461" s="329">
        <v>490</v>
      </c>
      <c r="AR461" s="329">
        <v>470</v>
      </c>
      <c r="AS461" s="329"/>
      <c r="AT461" s="329" t="s">
        <v>833</v>
      </c>
      <c r="AU461" s="329" t="s">
        <v>283</v>
      </c>
      <c r="AV461" s="331" t="s">
        <v>298</v>
      </c>
      <c r="AW461" s="329"/>
      <c r="AX461" s="329"/>
      <c r="AY461" s="329"/>
      <c r="AZ461" s="329"/>
      <c r="BA461" s="329"/>
      <c r="BB461" s="329"/>
      <c r="BC461" s="329"/>
      <c r="BD461" s="329"/>
      <c r="BE461" s="329" t="s">
        <v>257</v>
      </c>
      <c r="BF461" s="329" t="s">
        <v>838</v>
      </c>
      <c r="BG461" s="329"/>
      <c r="BH461" s="329"/>
      <c r="BI461" s="329"/>
      <c r="BJ461" s="329"/>
      <c r="BK461" s="329">
        <v>15600</v>
      </c>
      <c r="BL461" s="329"/>
      <c r="BM461" s="331" t="s">
        <v>259</v>
      </c>
      <c r="BN461" s="329" t="s">
        <v>922</v>
      </c>
      <c r="BO461" s="333">
        <v>43753</v>
      </c>
      <c r="BP461" s="329"/>
      <c r="BQ461" s="329"/>
      <c r="BR461" s="329"/>
      <c r="BS461" s="329"/>
      <c r="BT461" s="329"/>
      <c r="BU461" s="331" t="s">
        <v>261</v>
      </c>
      <c r="BV461" s="329"/>
      <c r="BW461" s="329"/>
      <c r="BX461" s="329"/>
      <c r="BY461" s="331" t="s">
        <v>3193</v>
      </c>
      <c r="BZ461" s="331" t="s">
        <v>3194</v>
      </c>
      <c r="CA461" s="331" t="s">
        <v>932</v>
      </c>
      <c r="CB461" s="331" t="s">
        <v>298</v>
      </c>
      <c r="CC461" s="331" t="s">
        <v>3192</v>
      </c>
    </row>
    <row r="462" spans="1:81" x14ac:dyDescent="0.25">
      <c r="A462" s="329">
        <v>197842</v>
      </c>
      <c r="B462" s="331" t="s">
        <v>3195</v>
      </c>
      <c r="C462" s="329">
        <v>35013</v>
      </c>
      <c r="D462" s="331" t="s">
        <v>436</v>
      </c>
      <c r="E462" s="331" t="s">
        <v>3196</v>
      </c>
      <c r="F462" s="331" t="s">
        <v>3197</v>
      </c>
      <c r="G462" s="331" t="s">
        <v>3198</v>
      </c>
      <c r="H462" s="331" t="s">
        <v>3199</v>
      </c>
      <c r="I462" s="331" t="s">
        <v>420</v>
      </c>
      <c r="J462" s="331" t="s">
        <v>298</v>
      </c>
      <c r="K462" s="331" t="s">
        <v>3200</v>
      </c>
      <c r="L462" s="329"/>
      <c r="M462" s="329">
        <v>6</v>
      </c>
      <c r="N462" s="329">
        <v>0</v>
      </c>
      <c r="O462" s="329">
        <v>2.8</v>
      </c>
      <c r="P462" s="329"/>
      <c r="Q462" s="333">
        <v>43645.951388888891</v>
      </c>
      <c r="R462" s="329"/>
      <c r="S462" s="333">
        <v>43752</v>
      </c>
      <c r="T462" s="329">
        <v>55</v>
      </c>
      <c r="U462" s="333">
        <v>43752</v>
      </c>
      <c r="V462" s="333">
        <v>44109</v>
      </c>
      <c r="W462" s="329" t="b">
        <v>1</v>
      </c>
      <c r="X462" s="331" t="s">
        <v>22</v>
      </c>
      <c r="Y462" s="329">
        <v>726</v>
      </c>
      <c r="Z462" s="331" t="s">
        <v>23</v>
      </c>
      <c r="AA462" s="331" t="s">
        <v>919</v>
      </c>
      <c r="AB462" s="331" t="s">
        <v>920</v>
      </c>
      <c r="AC462" s="331" t="s">
        <v>1670</v>
      </c>
      <c r="AD462" s="331" t="s">
        <v>24</v>
      </c>
      <c r="AE462" s="329">
        <v>221</v>
      </c>
      <c r="AF462" s="331" t="s">
        <v>254</v>
      </c>
      <c r="AG462" s="329"/>
      <c r="AH462" s="329">
        <v>17</v>
      </c>
      <c r="AI462" s="331" t="s">
        <v>280</v>
      </c>
      <c r="AJ462" s="331" t="s">
        <v>281</v>
      </c>
      <c r="AK462" s="329"/>
      <c r="AL462" s="329"/>
      <c r="AM462" s="329"/>
      <c r="AN462" s="329"/>
      <c r="AO462" s="329"/>
      <c r="AP462" s="331" t="s">
        <v>293</v>
      </c>
      <c r="AQ462" s="329">
        <v>520</v>
      </c>
      <c r="AR462" s="329">
        <v>510</v>
      </c>
      <c r="AS462" s="329"/>
      <c r="AT462" s="329" t="s">
        <v>431</v>
      </c>
      <c r="AU462" s="329" t="s">
        <v>256</v>
      </c>
      <c r="AV462" s="331" t="s">
        <v>298</v>
      </c>
      <c r="AW462" s="329"/>
      <c r="AX462" s="329"/>
      <c r="AY462" s="329"/>
      <c r="AZ462" s="329"/>
      <c r="BA462" s="329"/>
      <c r="BB462" s="329"/>
      <c r="BC462" s="329"/>
      <c r="BD462" s="329"/>
      <c r="BE462" s="329" t="s">
        <v>257</v>
      </c>
      <c r="BF462" s="329" t="s">
        <v>838</v>
      </c>
      <c r="BG462" s="329"/>
      <c r="BH462" s="329"/>
      <c r="BI462" s="329"/>
      <c r="BJ462" s="329"/>
      <c r="BK462" s="329">
        <v>15600</v>
      </c>
      <c r="BL462" s="329"/>
      <c r="BM462" s="331" t="s">
        <v>259</v>
      </c>
      <c r="BN462" s="329" t="s">
        <v>922</v>
      </c>
      <c r="BO462" s="333">
        <v>43753</v>
      </c>
      <c r="BP462" s="329"/>
      <c r="BQ462" s="329"/>
      <c r="BR462" s="329"/>
      <c r="BS462" s="329"/>
      <c r="BT462" s="329"/>
      <c r="BU462" s="331" t="s">
        <v>261</v>
      </c>
      <c r="BV462" s="329"/>
      <c r="BW462" s="329"/>
      <c r="BX462" s="329"/>
      <c r="BY462" s="331" t="s">
        <v>3201</v>
      </c>
      <c r="BZ462" s="331" t="s">
        <v>3202</v>
      </c>
      <c r="CA462" s="331" t="s">
        <v>3203</v>
      </c>
      <c r="CB462" s="331" t="s">
        <v>298</v>
      </c>
      <c r="CC462" s="331" t="s">
        <v>3204</v>
      </c>
    </row>
    <row r="463" spans="1:81" x14ac:dyDescent="0.25">
      <c r="A463" s="329">
        <v>196658</v>
      </c>
      <c r="B463" s="331" t="s">
        <v>3205</v>
      </c>
      <c r="C463" s="329">
        <v>34703</v>
      </c>
      <c r="D463" s="331" t="s">
        <v>3206</v>
      </c>
      <c r="E463" s="331" t="s">
        <v>3207</v>
      </c>
      <c r="F463" s="331" t="s">
        <v>3208</v>
      </c>
      <c r="G463" s="331" t="s">
        <v>3209</v>
      </c>
      <c r="H463" s="331" t="s">
        <v>3210</v>
      </c>
      <c r="I463" s="331" t="s">
        <v>1573</v>
      </c>
      <c r="J463" s="331" t="s">
        <v>396</v>
      </c>
      <c r="K463" s="331" t="s">
        <v>3211</v>
      </c>
      <c r="L463" s="329"/>
      <c r="M463" s="329">
        <v>6</v>
      </c>
      <c r="N463" s="329">
        <v>0</v>
      </c>
      <c r="O463" s="329">
        <v>3.875</v>
      </c>
      <c r="P463" s="329"/>
      <c r="Q463" s="333">
        <v>43704.767361111109</v>
      </c>
      <c r="R463" s="329"/>
      <c r="S463" s="333">
        <v>43752</v>
      </c>
      <c r="T463" s="329">
        <v>55</v>
      </c>
      <c r="U463" s="333">
        <v>43752</v>
      </c>
      <c r="V463" s="333">
        <v>44109</v>
      </c>
      <c r="W463" s="329" t="b">
        <v>1</v>
      </c>
      <c r="X463" s="331" t="s">
        <v>22</v>
      </c>
      <c r="Y463" s="329">
        <v>726</v>
      </c>
      <c r="Z463" s="331" t="s">
        <v>23</v>
      </c>
      <c r="AA463" s="331" t="s">
        <v>919</v>
      </c>
      <c r="AB463" s="331" t="s">
        <v>920</v>
      </c>
      <c r="AC463" s="331" t="s">
        <v>1405</v>
      </c>
      <c r="AD463" s="331" t="s">
        <v>24</v>
      </c>
      <c r="AE463" s="329">
        <v>221</v>
      </c>
      <c r="AF463" s="331" t="s">
        <v>254</v>
      </c>
      <c r="AG463" s="329"/>
      <c r="AH463" s="329">
        <v>17</v>
      </c>
      <c r="AI463" s="331" t="s">
        <v>280</v>
      </c>
      <c r="AJ463" s="331" t="s">
        <v>281</v>
      </c>
      <c r="AK463" s="329"/>
      <c r="AL463" s="329"/>
      <c r="AM463" s="329"/>
      <c r="AN463" s="329"/>
      <c r="AO463" s="329"/>
      <c r="AP463" s="329"/>
      <c r="AQ463" s="329"/>
      <c r="AR463" s="329"/>
      <c r="AS463" s="329"/>
      <c r="AT463" s="329" t="s">
        <v>258</v>
      </c>
      <c r="AU463" s="329" t="s">
        <v>256</v>
      </c>
      <c r="AV463" s="331" t="s">
        <v>396</v>
      </c>
      <c r="AW463" s="329"/>
      <c r="AX463" s="329"/>
      <c r="AY463" s="329"/>
      <c r="AZ463" s="329"/>
      <c r="BA463" s="329"/>
      <c r="BB463" s="329"/>
      <c r="BC463" s="329"/>
      <c r="BD463" s="329"/>
      <c r="BE463" s="329" t="s">
        <v>257</v>
      </c>
      <c r="BF463" s="329" t="s">
        <v>841</v>
      </c>
      <c r="BG463" s="329"/>
      <c r="BH463" s="329"/>
      <c r="BI463" s="329"/>
      <c r="BJ463" s="329"/>
      <c r="BK463" s="329">
        <v>9000</v>
      </c>
      <c r="BL463" s="329"/>
      <c r="BM463" s="331" t="s">
        <v>189</v>
      </c>
      <c r="BN463" s="329" t="s">
        <v>922</v>
      </c>
      <c r="BO463" s="333">
        <v>43753</v>
      </c>
      <c r="BP463" s="329"/>
      <c r="BQ463" s="329"/>
      <c r="BR463" s="329"/>
      <c r="BS463" s="329"/>
      <c r="BT463" s="329"/>
      <c r="BU463" s="331" t="s">
        <v>261</v>
      </c>
      <c r="BV463" s="329"/>
      <c r="BW463" s="329"/>
      <c r="BX463" s="329"/>
      <c r="BY463" s="331" t="s">
        <v>3212</v>
      </c>
      <c r="BZ463" s="331" t="s">
        <v>3213</v>
      </c>
      <c r="CA463" s="331" t="s">
        <v>3214</v>
      </c>
      <c r="CB463" s="331" t="s">
        <v>396</v>
      </c>
      <c r="CC463" s="331" t="s">
        <v>3215</v>
      </c>
    </row>
    <row r="464" spans="1:81" x14ac:dyDescent="0.25">
      <c r="A464" s="329">
        <v>195988</v>
      </c>
      <c r="B464" s="331" t="s">
        <v>3216</v>
      </c>
      <c r="C464" s="329">
        <v>34454</v>
      </c>
      <c r="D464" s="331" t="s">
        <v>3217</v>
      </c>
      <c r="E464" s="331" t="s">
        <v>3218</v>
      </c>
      <c r="F464" s="331" t="s">
        <v>3219</v>
      </c>
      <c r="G464" s="331" t="s">
        <v>3220</v>
      </c>
      <c r="H464" s="331" t="s">
        <v>3221</v>
      </c>
      <c r="I464" s="331" t="s">
        <v>3222</v>
      </c>
      <c r="J464" s="331" t="s">
        <v>746</v>
      </c>
      <c r="K464" s="331" t="s">
        <v>3223</v>
      </c>
      <c r="L464" s="329"/>
      <c r="M464" s="329">
        <v>6</v>
      </c>
      <c r="N464" s="329">
        <v>0</v>
      </c>
      <c r="O464" s="329">
        <v>3.67</v>
      </c>
      <c r="P464" s="329"/>
      <c r="Q464" s="333">
        <v>43686.75</v>
      </c>
      <c r="R464" s="329"/>
      <c r="S464" s="333">
        <v>43752</v>
      </c>
      <c r="T464" s="329">
        <v>55</v>
      </c>
      <c r="U464" s="333">
        <v>43752</v>
      </c>
      <c r="V464" s="333">
        <v>44109</v>
      </c>
      <c r="W464" s="329" t="b">
        <v>1</v>
      </c>
      <c r="X464" s="331" t="s">
        <v>187</v>
      </c>
      <c r="Y464" s="329">
        <v>718</v>
      </c>
      <c r="Z464" s="331" t="s">
        <v>25</v>
      </c>
      <c r="AA464" s="331" t="s">
        <v>919</v>
      </c>
      <c r="AB464" s="331" t="s">
        <v>920</v>
      </c>
      <c r="AC464" s="331" t="s">
        <v>1252</v>
      </c>
      <c r="AD464" s="331" t="s">
        <v>24</v>
      </c>
      <c r="AE464" s="329">
        <v>221</v>
      </c>
      <c r="AF464" s="331" t="s">
        <v>254</v>
      </c>
      <c r="AG464" s="329"/>
      <c r="AH464" s="329">
        <v>17</v>
      </c>
      <c r="AI464" s="331" t="s">
        <v>280</v>
      </c>
      <c r="AJ464" s="331" t="s">
        <v>281</v>
      </c>
      <c r="AK464" s="329"/>
      <c r="AL464" s="329"/>
      <c r="AM464" s="329"/>
      <c r="AN464" s="329"/>
      <c r="AO464" s="329"/>
      <c r="AP464" s="329"/>
      <c r="AQ464" s="329"/>
      <c r="AR464" s="329"/>
      <c r="AS464" s="329"/>
      <c r="AT464" s="329" t="s">
        <v>258</v>
      </c>
      <c r="AU464" s="329" t="s">
        <v>256</v>
      </c>
      <c r="AV464" s="331" t="s">
        <v>746</v>
      </c>
      <c r="AW464" s="329"/>
      <c r="AX464" s="329"/>
      <c r="AY464" s="329"/>
      <c r="AZ464" s="329"/>
      <c r="BA464" s="329"/>
      <c r="BB464" s="329"/>
      <c r="BC464" s="329"/>
      <c r="BD464" s="329"/>
      <c r="BE464" s="329" t="s">
        <v>257</v>
      </c>
      <c r="BF464" s="329" t="s">
        <v>830</v>
      </c>
      <c r="BG464" s="329"/>
      <c r="BH464" s="329"/>
      <c r="BI464" s="329"/>
      <c r="BJ464" s="329"/>
      <c r="BK464" s="329">
        <v>12000</v>
      </c>
      <c r="BL464" s="329"/>
      <c r="BM464" s="331" t="s">
        <v>26</v>
      </c>
      <c r="BN464" s="329" t="s">
        <v>922</v>
      </c>
      <c r="BO464" s="333">
        <v>43753</v>
      </c>
      <c r="BP464" s="329"/>
      <c r="BQ464" s="329"/>
      <c r="BR464" s="329"/>
      <c r="BS464" s="329"/>
      <c r="BT464" s="329"/>
      <c r="BU464" s="331" t="s">
        <v>261</v>
      </c>
      <c r="BV464" s="329"/>
      <c r="BW464" s="329"/>
      <c r="BX464" s="329"/>
      <c r="BY464" s="331" t="s">
        <v>3224</v>
      </c>
      <c r="BZ464" s="331" t="s">
        <v>3225</v>
      </c>
      <c r="CA464" s="331" t="s">
        <v>3226</v>
      </c>
      <c r="CB464" s="331" t="s">
        <v>746</v>
      </c>
      <c r="CC464" s="331" t="s">
        <v>3223</v>
      </c>
    </row>
    <row r="465" spans="1:81" x14ac:dyDescent="0.25">
      <c r="A465" s="329">
        <v>196949</v>
      </c>
      <c r="B465" s="331" t="s">
        <v>3227</v>
      </c>
      <c r="C465" s="329">
        <v>34769</v>
      </c>
      <c r="D465" s="331" t="s">
        <v>780</v>
      </c>
      <c r="E465" s="331" t="s">
        <v>3228</v>
      </c>
      <c r="F465" s="331" t="s">
        <v>3229</v>
      </c>
      <c r="G465" s="331" t="s">
        <v>3230</v>
      </c>
      <c r="H465" s="331" t="s">
        <v>3231</v>
      </c>
      <c r="I465" s="331" t="s">
        <v>2598</v>
      </c>
      <c r="J465" s="331" t="s">
        <v>755</v>
      </c>
      <c r="K465" s="331" t="s">
        <v>3232</v>
      </c>
      <c r="L465" s="329"/>
      <c r="M465" s="329">
        <v>6</v>
      </c>
      <c r="N465" s="329">
        <v>0</v>
      </c>
      <c r="O465" s="329">
        <v>2.8</v>
      </c>
      <c r="P465" s="329"/>
      <c r="Q465" s="333">
        <v>43635.718761574077</v>
      </c>
      <c r="R465" s="329"/>
      <c r="S465" s="333">
        <v>43752</v>
      </c>
      <c r="T465" s="329">
        <v>55</v>
      </c>
      <c r="U465" s="333">
        <v>43752</v>
      </c>
      <c r="V465" s="333">
        <v>44109</v>
      </c>
      <c r="W465" s="329" t="b">
        <v>1</v>
      </c>
      <c r="X465" s="331" t="s">
        <v>905</v>
      </c>
      <c r="Y465" s="329">
        <v>747</v>
      </c>
      <c r="Z465" s="331" t="s">
        <v>25</v>
      </c>
      <c r="AA465" s="331" t="s">
        <v>919</v>
      </c>
      <c r="AB465" s="331" t="s">
        <v>920</v>
      </c>
      <c r="AC465" s="331" t="s">
        <v>972</v>
      </c>
      <c r="AD465" s="331" t="s">
        <v>24</v>
      </c>
      <c r="AE465" s="329">
        <v>221</v>
      </c>
      <c r="AF465" s="331" t="s">
        <v>254</v>
      </c>
      <c r="AG465" s="329"/>
      <c r="AH465" s="329">
        <v>17</v>
      </c>
      <c r="AI465" s="331" t="s">
        <v>280</v>
      </c>
      <c r="AJ465" s="331" t="s">
        <v>281</v>
      </c>
      <c r="AK465" s="329"/>
      <c r="AL465" s="329"/>
      <c r="AM465" s="329"/>
      <c r="AN465" s="329"/>
      <c r="AO465" s="329"/>
      <c r="AP465" s="329"/>
      <c r="AQ465" s="329"/>
      <c r="AR465" s="329"/>
      <c r="AS465" s="329"/>
      <c r="AT465" s="329" t="s">
        <v>258</v>
      </c>
      <c r="AU465" s="329" t="s">
        <v>283</v>
      </c>
      <c r="AV465" s="331" t="s">
        <v>755</v>
      </c>
      <c r="AW465" s="329"/>
      <c r="AX465" s="329"/>
      <c r="AY465" s="329"/>
      <c r="AZ465" s="329"/>
      <c r="BA465" s="329"/>
      <c r="BB465" s="329"/>
      <c r="BC465" s="329"/>
      <c r="BD465" s="329"/>
      <c r="BE465" s="329"/>
      <c r="BF465" s="329"/>
      <c r="BG465" s="329"/>
      <c r="BH465" s="329"/>
      <c r="BI465" s="329"/>
      <c r="BJ465" s="329"/>
      <c r="BK465" s="329">
        <v>0</v>
      </c>
      <c r="BL465" s="329"/>
      <c r="BM465" s="331" t="s">
        <v>28</v>
      </c>
      <c r="BN465" s="329" t="s">
        <v>922</v>
      </c>
      <c r="BO465" s="333">
        <v>43753</v>
      </c>
      <c r="BP465" s="329"/>
      <c r="BQ465" s="329"/>
      <c r="BR465" s="329"/>
      <c r="BS465" s="329"/>
      <c r="BT465" s="329"/>
      <c r="BU465" s="331" t="s">
        <v>261</v>
      </c>
      <c r="BV465" s="329"/>
      <c r="BW465" s="329"/>
      <c r="BX465" s="329"/>
      <c r="BY465" s="331" t="s">
        <v>3233</v>
      </c>
      <c r="BZ465" s="331" t="s">
        <v>3234</v>
      </c>
      <c r="CA465" s="331" t="s">
        <v>3235</v>
      </c>
      <c r="CB465" s="331" t="s">
        <v>755</v>
      </c>
      <c r="CC465" s="331" t="s">
        <v>3236</v>
      </c>
    </row>
    <row r="466" spans="1:81" x14ac:dyDescent="0.25">
      <c r="A466" s="329">
        <v>193556</v>
      </c>
      <c r="B466" s="331" t="s">
        <v>3237</v>
      </c>
      <c r="C466" s="329">
        <v>33891</v>
      </c>
      <c r="D466" s="331" t="s">
        <v>3238</v>
      </c>
      <c r="E466" s="331" t="s">
        <v>3239</v>
      </c>
      <c r="F466" s="331" t="s">
        <v>3240</v>
      </c>
      <c r="G466" s="331" t="s">
        <v>3241</v>
      </c>
      <c r="H466" s="331" t="s">
        <v>3242</v>
      </c>
      <c r="I466" s="331" t="s">
        <v>3243</v>
      </c>
      <c r="J466" s="331" t="s">
        <v>498</v>
      </c>
      <c r="K466" s="331" t="s">
        <v>3244</v>
      </c>
      <c r="L466" s="329"/>
      <c r="M466" s="329">
        <v>6</v>
      </c>
      <c r="N466" s="329">
        <v>0</v>
      </c>
      <c r="O466" s="329">
        <v>1.9</v>
      </c>
      <c r="P466" s="329"/>
      <c r="Q466" s="333">
        <v>43629.572916666664</v>
      </c>
      <c r="R466" s="329"/>
      <c r="S466" s="333">
        <v>43752</v>
      </c>
      <c r="T466" s="329">
        <v>55</v>
      </c>
      <c r="U466" s="333">
        <v>43752</v>
      </c>
      <c r="V466" s="333">
        <v>44109</v>
      </c>
      <c r="W466" s="329" t="b">
        <v>1</v>
      </c>
      <c r="X466" s="331" t="s">
        <v>905</v>
      </c>
      <c r="Y466" s="329">
        <v>747</v>
      </c>
      <c r="Z466" s="331" t="s">
        <v>23</v>
      </c>
      <c r="AA466" s="331" t="s">
        <v>919</v>
      </c>
      <c r="AB466" s="331" t="s">
        <v>920</v>
      </c>
      <c r="AC466" s="331" t="s">
        <v>1658</v>
      </c>
      <c r="AD466" s="331" t="s">
        <v>24</v>
      </c>
      <c r="AE466" s="329">
        <v>221</v>
      </c>
      <c r="AF466" s="331" t="s">
        <v>254</v>
      </c>
      <c r="AG466" s="329"/>
      <c r="AH466" s="329">
        <v>17</v>
      </c>
      <c r="AI466" s="331" t="s">
        <v>280</v>
      </c>
      <c r="AJ466" s="331" t="s">
        <v>281</v>
      </c>
      <c r="AK466" s="329"/>
      <c r="AL466" s="329"/>
      <c r="AM466" s="329"/>
      <c r="AN466" s="329"/>
      <c r="AO466" s="329"/>
      <c r="AP466" s="331" t="s">
        <v>461</v>
      </c>
      <c r="AQ466" s="329">
        <v>490</v>
      </c>
      <c r="AR466" s="329">
        <v>520</v>
      </c>
      <c r="AS466" s="329"/>
      <c r="AT466" s="329" t="s">
        <v>493</v>
      </c>
      <c r="AU466" s="329" t="s">
        <v>283</v>
      </c>
      <c r="AV466" s="331" t="s">
        <v>498</v>
      </c>
      <c r="AW466" s="329"/>
      <c r="AX466" s="329"/>
      <c r="AY466" s="329"/>
      <c r="AZ466" s="329"/>
      <c r="BA466" s="329"/>
      <c r="BB466" s="329"/>
      <c r="BC466" s="329"/>
      <c r="BD466" s="329"/>
      <c r="BE466" s="329"/>
      <c r="BF466" s="329"/>
      <c r="BG466" s="329"/>
      <c r="BH466" s="329"/>
      <c r="BI466" s="329"/>
      <c r="BJ466" s="329"/>
      <c r="BK466" s="329">
        <v>0</v>
      </c>
      <c r="BL466" s="329"/>
      <c r="BM466" s="331" t="s">
        <v>323</v>
      </c>
      <c r="BN466" s="329" t="s">
        <v>922</v>
      </c>
      <c r="BO466" s="333">
        <v>43753</v>
      </c>
      <c r="BP466" s="329"/>
      <c r="BQ466" s="329"/>
      <c r="BR466" s="329"/>
      <c r="BS466" s="329"/>
      <c r="BT466" s="329"/>
      <c r="BU466" s="331" t="s">
        <v>261</v>
      </c>
      <c r="BV466" s="329"/>
      <c r="BW466" s="329"/>
      <c r="BX466" s="329"/>
      <c r="BY466" s="331" t="s">
        <v>3245</v>
      </c>
      <c r="BZ466" s="331" t="s">
        <v>3246</v>
      </c>
      <c r="CA466" s="331" t="s">
        <v>3247</v>
      </c>
      <c r="CB466" s="331" t="s">
        <v>498</v>
      </c>
      <c r="CC466" s="331" t="s">
        <v>3248</v>
      </c>
    </row>
    <row r="467" spans="1:81" x14ac:dyDescent="0.25">
      <c r="A467" s="329">
        <v>193827</v>
      </c>
      <c r="B467" s="331" t="s">
        <v>3249</v>
      </c>
      <c r="C467" s="329">
        <v>33996</v>
      </c>
      <c r="D467" s="331" t="s">
        <v>3250</v>
      </c>
      <c r="E467" s="331" t="s">
        <v>3251</v>
      </c>
      <c r="F467" s="331" t="s">
        <v>3252</v>
      </c>
      <c r="G467" s="331" t="s">
        <v>3253</v>
      </c>
      <c r="H467" s="331" t="s">
        <v>3254</v>
      </c>
      <c r="I467" s="331" t="s">
        <v>3255</v>
      </c>
      <c r="J467" s="331" t="s">
        <v>297</v>
      </c>
      <c r="K467" s="331" t="s">
        <v>3256</v>
      </c>
      <c r="L467" s="329"/>
      <c r="M467" s="329">
        <v>6</v>
      </c>
      <c r="N467" s="329">
        <v>0</v>
      </c>
      <c r="O467" s="329">
        <v>2.605</v>
      </c>
      <c r="P467" s="329"/>
      <c r="Q467" s="333">
        <v>43623.739583333336</v>
      </c>
      <c r="R467" s="329"/>
      <c r="S467" s="333">
        <v>43752</v>
      </c>
      <c r="T467" s="329">
        <v>55</v>
      </c>
      <c r="U467" s="333">
        <v>43752</v>
      </c>
      <c r="V467" s="333">
        <v>44109</v>
      </c>
      <c r="W467" s="329" t="b">
        <v>1</v>
      </c>
      <c r="X467" s="331" t="s">
        <v>187</v>
      </c>
      <c r="Y467" s="329">
        <v>718</v>
      </c>
      <c r="Z467" s="331" t="s">
        <v>23</v>
      </c>
      <c r="AA467" s="331" t="s">
        <v>919</v>
      </c>
      <c r="AB467" s="331" t="s">
        <v>920</v>
      </c>
      <c r="AC467" s="331" t="s">
        <v>1670</v>
      </c>
      <c r="AD467" s="331" t="s">
        <v>24</v>
      </c>
      <c r="AE467" s="329">
        <v>221</v>
      </c>
      <c r="AF467" s="331" t="s">
        <v>254</v>
      </c>
      <c r="AG467" s="329"/>
      <c r="AH467" s="329">
        <v>17</v>
      </c>
      <c r="AI467" s="331" t="s">
        <v>280</v>
      </c>
      <c r="AJ467" s="331" t="s">
        <v>281</v>
      </c>
      <c r="AK467" s="331" t="s">
        <v>386</v>
      </c>
      <c r="AL467" s="331" t="s">
        <v>363</v>
      </c>
      <c r="AM467" s="331" t="s">
        <v>330</v>
      </c>
      <c r="AN467" s="331" t="s">
        <v>359</v>
      </c>
      <c r="AO467" s="331" t="s">
        <v>329</v>
      </c>
      <c r="AP467" s="329"/>
      <c r="AQ467" s="329"/>
      <c r="AR467" s="329"/>
      <c r="AS467" s="329"/>
      <c r="AT467" s="329" t="s">
        <v>860</v>
      </c>
      <c r="AU467" s="329" t="s">
        <v>567</v>
      </c>
      <c r="AV467" s="331" t="s">
        <v>297</v>
      </c>
      <c r="AW467" s="329"/>
      <c r="AX467" s="329"/>
      <c r="AY467" s="329"/>
      <c r="AZ467" s="329"/>
      <c r="BA467" s="329"/>
      <c r="BB467" s="329"/>
      <c r="BC467" s="329"/>
      <c r="BD467" s="329"/>
      <c r="BE467" s="329"/>
      <c r="BF467" s="329"/>
      <c r="BG467" s="329"/>
      <c r="BH467" s="329"/>
      <c r="BI467" s="329"/>
      <c r="BJ467" s="329"/>
      <c r="BK467" s="329">
        <v>0</v>
      </c>
      <c r="BL467" s="329"/>
      <c r="BM467" s="331" t="s">
        <v>28</v>
      </c>
      <c r="BN467" s="329" t="s">
        <v>922</v>
      </c>
      <c r="BO467" s="333">
        <v>43753</v>
      </c>
      <c r="BP467" s="329"/>
      <c r="BQ467" s="329"/>
      <c r="BR467" s="329"/>
      <c r="BS467" s="329"/>
      <c r="BT467" s="329"/>
      <c r="BU467" s="331" t="s">
        <v>261</v>
      </c>
      <c r="BV467" s="329"/>
      <c r="BW467" s="329"/>
      <c r="BX467" s="329"/>
      <c r="BY467" s="331" t="s">
        <v>3257</v>
      </c>
      <c r="BZ467" s="331" t="s">
        <v>3258</v>
      </c>
      <c r="CA467" s="331" t="s">
        <v>3259</v>
      </c>
      <c r="CB467" s="331" t="s">
        <v>297</v>
      </c>
      <c r="CC467" s="331" t="s">
        <v>3256</v>
      </c>
    </row>
    <row r="468" spans="1:81" x14ac:dyDescent="0.25">
      <c r="A468" s="329">
        <v>196652</v>
      </c>
      <c r="B468" s="331" t="s">
        <v>3260</v>
      </c>
      <c r="C468" s="329">
        <v>34702</v>
      </c>
      <c r="D468" s="331" t="s">
        <v>3261</v>
      </c>
      <c r="E468" s="331" t="s">
        <v>3262</v>
      </c>
      <c r="F468" s="331" t="s">
        <v>3263</v>
      </c>
      <c r="G468" s="331" t="s">
        <v>3264</v>
      </c>
      <c r="H468" s="331" t="s">
        <v>3265</v>
      </c>
      <c r="I468" s="331" t="s">
        <v>3266</v>
      </c>
      <c r="J468" s="331" t="s">
        <v>307</v>
      </c>
      <c r="K468" s="331" t="s">
        <v>3267</v>
      </c>
      <c r="L468" s="329"/>
      <c r="M468" s="329">
        <v>6</v>
      </c>
      <c r="N468" s="329">
        <v>0</v>
      </c>
      <c r="O468" s="329">
        <v>3</v>
      </c>
      <c r="P468" s="329"/>
      <c r="Q468" s="333">
        <v>43704.73333333333</v>
      </c>
      <c r="R468" s="329"/>
      <c r="S468" s="333">
        <v>43752</v>
      </c>
      <c r="T468" s="329">
        <v>55</v>
      </c>
      <c r="U468" s="333">
        <v>43752</v>
      </c>
      <c r="V468" s="333">
        <v>44109</v>
      </c>
      <c r="W468" s="329" t="b">
        <v>1</v>
      </c>
      <c r="X468" s="331" t="s">
        <v>905</v>
      </c>
      <c r="Y468" s="329">
        <v>747</v>
      </c>
      <c r="Z468" s="331" t="s">
        <v>23</v>
      </c>
      <c r="AA468" s="331" t="s">
        <v>919</v>
      </c>
      <c r="AB468" s="331" t="s">
        <v>920</v>
      </c>
      <c r="AC468" s="331" t="s">
        <v>264</v>
      </c>
      <c r="AD468" s="331" t="s">
        <v>24</v>
      </c>
      <c r="AE468" s="329">
        <v>221</v>
      </c>
      <c r="AF468" s="331" t="s">
        <v>254</v>
      </c>
      <c r="AG468" s="329"/>
      <c r="AH468" s="329">
        <v>17</v>
      </c>
      <c r="AI468" s="331" t="s">
        <v>280</v>
      </c>
      <c r="AJ468" s="331" t="s">
        <v>281</v>
      </c>
      <c r="AK468" s="331" t="s">
        <v>301</v>
      </c>
      <c r="AL468" s="331" t="s">
        <v>300</v>
      </c>
      <c r="AM468" s="331" t="s">
        <v>363</v>
      </c>
      <c r="AN468" s="331" t="s">
        <v>300</v>
      </c>
      <c r="AO468" s="331" t="s">
        <v>300</v>
      </c>
      <c r="AP468" s="329"/>
      <c r="AQ468" s="329"/>
      <c r="AR468" s="329"/>
      <c r="AS468" s="329"/>
      <c r="AT468" s="329" t="s">
        <v>365</v>
      </c>
      <c r="AU468" s="329" t="s">
        <v>283</v>
      </c>
      <c r="AV468" s="331" t="s">
        <v>307</v>
      </c>
      <c r="AW468" s="329"/>
      <c r="AX468" s="329"/>
      <c r="AY468" s="329"/>
      <c r="AZ468" s="329"/>
      <c r="BA468" s="329"/>
      <c r="BB468" s="329"/>
      <c r="BC468" s="329"/>
      <c r="BD468" s="329"/>
      <c r="BE468" s="329" t="s">
        <v>257</v>
      </c>
      <c r="BF468" s="329" t="s">
        <v>838</v>
      </c>
      <c r="BG468" s="329"/>
      <c r="BH468" s="329"/>
      <c r="BI468" s="329"/>
      <c r="BJ468" s="329"/>
      <c r="BK468" s="329">
        <v>15600</v>
      </c>
      <c r="BL468" s="329"/>
      <c r="BM468" s="331" t="s">
        <v>259</v>
      </c>
      <c r="BN468" s="329" t="s">
        <v>922</v>
      </c>
      <c r="BO468" s="333">
        <v>43753</v>
      </c>
      <c r="BP468" s="329"/>
      <c r="BQ468" s="329"/>
      <c r="BR468" s="329"/>
      <c r="BS468" s="329"/>
      <c r="BT468" s="329"/>
      <c r="BU468" s="331" t="s">
        <v>261</v>
      </c>
      <c r="BV468" s="329"/>
      <c r="BW468" s="329"/>
      <c r="BX468" s="329"/>
      <c r="BY468" s="331" t="s">
        <v>3268</v>
      </c>
      <c r="BZ468" s="331" t="s">
        <v>3269</v>
      </c>
      <c r="CA468" s="331" t="s">
        <v>3270</v>
      </c>
      <c r="CB468" s="331" t="s">
        <v>307</v>
      </c>
      <c r="CC468" s="331" t="s">
        <v>3271</v>
      </c>
    </row>
    <row r="469" spans="1:81" x14ac:dyDescent="0.25">
      <c r="A469" s="329">
        <v>196842</v>
      </c>
      <c r="B469" s="331" t="s">
        <v>3272</v>
      </c>
      <c r="C469" s="329">
        <v>34756</v>
      </c>
      <c r="D469" s="331" t="s">
        <v>3273</v>
      </c>
      <c r="E469" s="331" t="s">
        <v>3274</v>
      </c>
      <c r="F469" s="331" t="s">
        <v>3275</v>
      </c>
      <c r="G469" s="331" t="s">
        <v>3276</v>
      </c>
      <c r="H469" s="331" t="s">
        <v>3277</v>
      </c>
      <c r="I469" s="331" t="s">
        <v>879</v>
      </c>
      <c r="J469" s="331" t="s">
        <v>297</v>
      </c>
      <c r="K469" s="331" t="s">
        <v>3278</v>
      </c>
      <c r="L469" s="329"/>
      <c r="M469" s="329">
        <v>6</v>
      </c>
      <c r="N469" s="329">
        <v>0</v>
      </c>
      <c r="O469" s="329">
        <v>3.13</v>
      </c>
      <c r="P469" s="329"/>
      <c r="Q469" s="333">
        <v>43702.875694444447</v>
      </c>
      <c r="R469" s="329"/>
      <c r="S469" s="333">
        <v>43752</v>
      </c>
      <c r="T469" s="329">
        <v>55</v>
      </c>
      <c r="U469" s="333">
        <v>43752</v>
      </c>
      <c r="V469" s="333">
        <v>44109</v>
      </c>
      <c r="W469" s="329" t="b">
        <v>1</v>
      </c>
      <c r="X469" s="331" t="s">
        <v>22</v>
      </c>
      <c r="Y469" s="329">
        <v>429</v>
      </c>
      <c r="Z469" s="331" t="s">
        <v>25</v>
      </c>
      <c r="AA469" s="331" t="s">
        <v>919</v>
      </c>
      <c r="AB469" s="331" t="s">
        <v>920</v>
      </c>
      <c r="AC469" s="331" t="s">
        <v>337</v>
      </c>
      <c r="AD469" s="331" t="s">
        <v>24</v>
      </c>
      <c r="AE469" s="329">
        <v>221</v>
      </c>
      <c r="AF469" s="331" t="s">
        <v>254</v>
      </c>
      <c r="AG469" s="329"/>
      <c r="AH469" s="329">
        <v>17</v>
      </c>
      <c r="AI469" s="331" t="s">
        <v>280</v>
      </c>
      <c r="AJ469" s="331" t="s">
        <v>281</v>
      </c>
      <c r="AK469" s="331" t="s">
        <v>290</v>
      </c>
      <c r="AL469" s="331" t="s">
        <v>290</v>
      </c>
      <c r="AM469" s="331" t="s">
        <v>290</v>
      </c>
      <c r="AN469" s="331" t="s">
        <v>290</v>
      </c>
      <c r="AO469" s="331" t="s">
        <v>300</v>
      </c>
      <c r="AP469" s="329"/>
      <c r="AQ469" s="329"/>
      <c r="AR469" s="329"/>
      <c r="AS469" s="329"/>
      <c r="AT469" s="329" t="s">
        <v>453</v>
      </c>
      <c r="AU469" s="329" t="s">
        <v>283</v>
      </c>
      <c r="AV469" s="331" t="s">
        <v>297</v>
      </c>
      <c r="AW469" s="329"/>
      <c r="AX469" s="329"/>
      <c r="AY469" s="329"/>
      <c r="AZ469" s="329"/>
      <c r="BA469" s="329"/>
      <c r="BB469" s="329"/>
      <c r="BC469" s="329"/>
      <c r="BD469" s="329"/>
      <c r="BE469" s="329" t="s">
        <v>257</v>
      </c>
      <c r="BF469" s="329" t="s">
        <v>838</v>
      </c>
      <c r="BG469" s="329"/>
      <c r="BH469" s="329"/>
      <c r="BI469" s="329"/>
      <c r="BJ469" s="329"/>
      <c r="BK469" s="329">
        <v>15600</v>
      </c>
      <c r="BL469" s="329"/>
      <c r="BM469" s="331" t="s">
        <v>259</v>
      </c>
      <c r="BN469" s="329" t="s">
        <v>922</v>
      </c>
      <c r="BO469" s="333">
        <v>43753</v>
      </c>
      <c r="BP469" s="329"/>
      <c r="BQ469" s="329"/>
      <c r="BR469" s="329"/>
      <c r="BS469" s="329"/>
      <c r="BT469" s="329"/>
      <c r="BU469" s="331" t="s">
        <v>261</v>
      </c>
      <c r="BV469" s="329"/>
      <c r="BW469" s="329"/>
      <c r="BX469" s="329"/>
      <c r="BY469" s="331" t="s">
        <v>3279</v>
      </c>
      <c r="BZ469" s="331" t="s">
        <v>3280</v>
      </c>
      <c r="CA469" s="331" t="s">
        <v>1968</v>
      </c>
      <c r="CB469" s="331" t="s">
        <v>297</v>
      </c>
      <c r="CC469" s="331" t="s">
        <v>3281</v>
      </c>
    </row>
    <row r="470" spans="1:81" x14ac:dyDescent="0.25">
      <c r="A470" s="329">
        <v>195855</v>
      </c>
      <c r="B470" s="331" t="s">
        <v>3291</v>
      </c>
      <c r="C470" s="329">
        <v>34412</v>
      </c>
      <c r="D470" s="331" t="s">
        <v>537</v>
      </c>
      <c r="E470" s="331" t="s">
        <v>3292</v>
      </c>
      <c r="F470" s="331" t="s">
        <v>3293</v>
      </c>
      <c r="G470" s="331" t="s">
        <v>3294</v>
      </c>
      <c r="H470" s="331" t="s">
        <v>3295</v>
      </c>
      <c r="I470" s="331" t="s">
        <v>3296</v>
      </c>
      <c r="J470" s="331" t="s">
        <v>298</v>
      </c>
      <c r="K470" s="331" t="s">
        <v>3297</v>
      </c>
      <c r="L470" s="329"/>
      <c r="M470" s="329">
        <v>6</v>
      </c>
      <c r="N470" s="329">
        <v>0</v>
      </c>
      <c r="O470" s="329">
        <v>3.2</v>
      </c>
      <c r="P470" s="329"/>
      <c r="Q470" s="333">
        <v>43679.920138888891</v>
      </c>
      <c r="R470" s="329"/>
      <c r="S470" s="333">
        <v>43752</v>
      </c>
      <c r="T470" s="329">
        <v>55</v>
      </c>
      <c r="U470" s="333">
        <v>43752</v>
      </c>
      <c r="V470" s="333">
        <v>44109</v>
      </c>
      <c r="W470" s="329" t="b">
        <v>1</v>
      </c>
      <c r="X470" s="331" t="s">
        <v>905</v>
      </c>
      <c r="Y470" s="329">
        <v>747</v>
      </c>
      <c r="Z470" s="331" t="s">
        <v>23</v>
      </c>
      <c r="AA470" s="331" t="s">
        <v>919</v>
      </c>
      <c r="AB470" s="331" t="s">
        <v>920</v>
      </c>
      <c r="AC470" s="331" t="s">
        <v>962</v>
      </c>
      <c r="AD470" s="331" t="s">
        <v>24</v>
      </c>
      <c r="AE470" s="329">
        <v>221</v>
      </c>
      <c r="AF470" s="331" t="s">
        <v>254</v>
      </c>
      <c r="AG470" s="329"/>
      <c r="AH470" s="329">
        <v>17</v>
      </c>
      <c r="AI470" s="331" t="s">
        <v>280</v>
      </c>
      <c r="AJ470" s="331" t="s">
        <v>281</v>
      </c>
      <c r="AK470" s="329"/>
      <c r="AL470" s="329"/>
      <c r="AM470" s="329"/>
      <c r="AN470" s="329"/>
      <c r="AO470" s="329"/>
      <c r="AP470" s="331" t="s">
        <v>731</v>
      </c>
      <c r="AQ470" s="329">
        <v>430</v>
      </c>
      <c r="AR470" s="329">
        <v>440</v>
      </c>
      <c r="AS470" s="329"/>
      <c r="AT470" s="329" t="s">
        <v>409</v>
      </c>
      <c r="AU470" s="329" t="s">
        <v>283</v>
      </c>
      <c r="AV470" s="331" t="s">
        <v>298</v>
      </c>
      <c r="AW470" s="329"/>
      <c r="AX470" s="329"/>
      <c r="AY470" s="329"/>
      <c r="AZ470" s="329"/>
      <c r="BA470" s="329"/>
      <c r="BB470" s="329"/>
      <c r="BC470" s="329"/>
      <c r="BD470" s="329"/>
      <c r="BE470" s="329" t="s">
        <v>257</v>
      </c>
      <c r="BF470" s="329" t="s">
        <v>830</v>
      </c>
      <c r="BG470" s="329"/>
      <c r="BH470" s="329"/>
      <c r="BI470" s="329"/>
      <c r="BJ470" s="329"/>
      <c r="BK470" s="329">
        <v>12000</v>
      </c>
      <c r="BL470" s="329"/>
      <c r="BM470" s="331" t="s">
        <v>26</v>
      </c>
      <c r="BN470" s="329" t="s">
        <v>922</v>
      </c>
      <c r="BO470" s="333">
        <v>43753</v>
      </c>
      <c r="BP470" s="329"/>
      <c r="BQ470" s="329"/>
      <c r="BR470" s="329"/>
      <c r="BS470" s="329"/>
      <c r="BT470" s="329"/>
      <c r="BU470" s="331" t="s">
        <v>261</v>
      </c>
      <c r="BV470" s="329"/>
      <c r="BW470" s="329"/>
      <c r="BX470" s="329"/>
      <c r="BY470" s="331" t="s">
        <v>3298</v>
      </c>
      <c r="BZ470" s="331" t="s">
        <v>3299</v>
      </c>
      <c r="CA470" s="331" t="s">
        <v>3300</v>
      </c>
      <c r="CB470" s="331" t="s">
        <v>298</v>
      </c>
      <c r="CC470" s="331" t="s">
        <v>3301</v>
      </c>
    </row>
    <row r="471" spans="1:81" x14ac:dyDescent="0.25">
      <c r="A471" s="329">
        <v>197667</v>
      </c>
      <c r="B471" s="331" t="s">
        <v>3302</v>
      </c>
      <c r="C471" s="329">
        <v>34945</v>
      </c>
      <c r="D471" s="331" t="s">
        <v>537</v>
      </c>
      <c r="E471" s="331" t="s">
        <v>316</v>
      </c>
      <c r="F471" s="331" t="s">
        <v>695</v>
      </c>
      <c r="G471" s="331" t="s">
        <v>3303</v>
      </c>
      <c r="H471" s="331" t="s">
        <v>3304</v>
      </c>
      <c r="I471" s="331" t="s">
        <v>333</v>
      </c>
      <c r="J471" s="331" t="s">
        <v>325</v>
      </c>
      <c r="K471" s="331" t="s">
        <v>3305</v>
      </c>
      <c r="L471" s="329"/>
      <c r="M471" s="329">
        <v>6</v>
      </c>
      <c r="N471" s="329">
        <v>0</v>
      </c>
      <c r="O471" s="329">
        <v>2.73</v>
      </c>
      <c r="P471" s="329"/>
      <c r="Q471" s="333">
        <v>43718.288194444445</v>
      </c>
      <c r="R471" s="329"/>
      <c r="S471" s="333">
        <v>43752</v>
      </c>
      <c r="T471" s="329">
        <v>55</v>
      </c>
      <c r="U471" s="333">
        <v>43752</v>
      </c>
      <c r="V471" s="333">
        <v>44109</v>
      </c>
      <c r="W471" s="329" t="b">
        <v>1</v>
      </c>
      <c r="X471" s="331" t="s">
        <v>22</v>
      </c>
      <c r="Y471" s="329">
        <v>429</v>
      </c>
      <c r="Z471" s="331" t="s">
        <v>23</v>
      </c>
      <c r="AA471" s="331" t="s">
        <v>919</v>
      </c>
      <c r="AB471" s="331" t="s">
        <v>920</v>
      </c>
      <c r="AC471" s="331" t="s">
        <v>1446</v>
      </c>
      <c r="AD471" s="331" t="s">
        <v>24</v>
      </c>
      <c r="AE471" s="329">
        <v>221</v>
      </c>
      <c r="AF471" s="331" t="s">
        <v>254</v>
      </c>
      <c r="AG471" s="329"/>
      <c r="AH471" s="329">
        <v>17</v>
      </c>
      <c r="AI471" s="331" t="s">
        <v>280</v>
      </c>
      <c r="AJ471" s="331" t="s">
        <v>281</v>
      </c>
      <c r="AK471" s="331" t="s">
        <v>330</v>
      </c>
      <c r="AL471" s="331" t="s">
        <v>386</v>
      </c>
      <c r="AM471" s="331" t="s">
        <v>386</v>
      </c>
      <c r="AN471" s="331" t="s">
        <v>330</v>
      </c>
      <c r="AO471" s="331" t="s">
        <v>290</v>
      </c>
      <c r="AP471" s="329"/>
      <c r="AQ471" s="329"/>
      <c r="AR471" s="329"/>
      <c r="AS471" s="329"/>
      <c r="AT471" s="329" t="s">
        <v>839</v>
      </c>
      <c r="AU471" s="329" t="s">
        <v>567</v>
      </c>
      <c r="AV471" s="331" t="s">
        <v>325</v>
      </c>
      <c r="AW471" s="329"/>
      <c r="AX471" s="329"/>
      <c r="AY471" s="329"/>
      <c r="AZ471" s="329"/>
      <c r="BA471" s="329"/>
      <c r="BB471" s="329"/>
      <c r="BC471" s="329"/>
      <c r="BD471" s="329"/>
      <c r="BE471" s="329"/>
      <c r="BF471" s="329"/>
      <c r="BG471" s="329"/>
      <c r="BH471" s="329"/>
      <c r="BI471" s="329"/>
      <c r="BJ471" s="329"/>
      <c r="BK471" s="329">
        <v>0</v>
      </c>
      <c r="BL471" s="329"/>
      <c r="BM471" s="331" t="s">
        <v>27</v>
      </c>
      <c r="BN471" s="329" t="s">
        <v>922</v>
      </c>
      <c r="BO471" s="333">
        <v>43753</v>
      </c>
      <c r="BP471" s="329"/>
      <c r="BQ471" s="329"/>
      <c r="BR471" s="329"/>
      <c r="BS471" s="329"/>
      <c r="BT471" s="329"/>
      <c r="BU471" s="331" t="s">
        <v>261</v>
      </c>
      <c r="BV471" s="329"/>
      <c r="BW471" s="329"/>
      <c r="BX471" s="329"/>
      <c r="BY471" s="331" t="s">
        <v>3306</v>
      </c>
      <c r="BZ471" s="331" t="s">
        <v>3307</v>
      </c>
      <c r="CA471" s="331" t="s">
        <v>333</v>
      </c>
      <c r="CB471" s="331" t="s">
        <v>325</v>
      </c>
      <c r="CC471" s="331" t="s">
        <v>3305</v>
      </c>
    </row>
    <row r="472" spans="1:81" x14ac:dyDescent="0.25">
      <c r="A472" s="329">
        <v>197351</v>
      </c>
      <c r="B472" s="331" t="s">
        <v>3308</v>
      </c>
      <c r="C472" s="329">
        <v>34857</v>
      </c>
      <c r="D472" s="331" t="s">
        <v>537</v>
      </c>
      <c r="E472" s="331" t="s">
        <v>3309</v>
      </c>
      <c r="F472" s="331" t="s">
        <v>3310</v>
      </c>
      <c r="G472" s="331" t="s">
        <v>3311</v>
      </c>
      <c r="H472" s="331" t="s">
        <v>3312</v>
      </c>
      <c r="I472" s="331" t="s">
        <v>3313</v>
      </c>
      <c r="J472" s="331" t="s">
        <v>306</v>
      </c>
      <c r="K472" s="331" t="s">
        <v>756</v>
      </c>
      <c r="L472" s="329"/>
      <c r="M472" s="329">
        <v>6</v>
      </c>
      <c r="N472" s="329">
        <v>0</v>
      </c>
      <c r="O472" s="329">
        <v>2.5741000000000001</v>
      </c>
      <c r="P472" s="329"/>
      <c r="Q472" s="333">
        <v>42906.240277777775</v>
      </c>
      <c r="R472" s="329"/>
      <c r="S472" s="333">
        <v>43752</v>
      </c>
      <c r="T472" s="329">
        <v>55</v>
      </c>
      <c r="U472" s="333">
        <v>43752</v>
      </c>
      <c r="V472" s="333">
        <v>44109</v>
      </c>
      <c r="W472" s="329" t="b">
        <v>1</v>
      </c>
      <c r="X472" s="331" t="s">
        <v>187</v>
      </c>
      <c r="Y472" s="329">
        <v>718</v>
      </c>
      <c r="Z472" s="331" t="s">
        <v>25</v>
      </c>
      <c r="AA472" s="331" t="s">
        <v>407</v>
      </c>
      <c r="AB472" s="331" t="s">
        <v>408</v>
      </c>
      <c r="AC472" s="331" t="s">
        <v>264</v>
      </c>
      <c r="AD472" s="331" t="s">
        <v>24</v>
      </c>
      <c r="AE472" s="329">
        <v>221</v>
      </c>
      <c r="AF472" s="331" t="s">
        <v>254</v>
      </c>
      <c r="AG472" s="329"/>
      <c r="AH472" s="329">
        <v>17</v>
      </c>
      <c r="AI472" s="331" t="s">
        <v>280</v>
      </c>
      <c r="AJ472" s="331" t="s">
        <v>281</v>
      </c>
      <c r="AK472" s="331" t="s">
        <v>331</v>
      </c>
      <c r="AL472" s="331" t="s">
        <v>300</v>
      </c>
      <c r="AM472" s="331" t="s">
        <v>331</v>
      </c>
      <c r="AN472" s="331" t="s">
        <v>330</v>
      </c>
      <c r="AO472" s="331" t="s">
        <v>331</v>
      </c>
      <c r="AP472" s="329"/>
      <c r="AQ472" s="329"/>
      <c r="AR472" s="329"/>
      <c r="AS472" s="329"/>
      <c r="AT472" s="329" t="s">
        <v>858</v>
      </c>
      <c r="AU472" s="329" t="s">
        <v>283</v>
      </c>
      <c r="AV472" s="331" t="s">
        <v>306</v>
      </c>
      <c r="AW472" s="329"/>
      <c r="AX472" s="329"/>
      <c r="AY472" s="329"/>
      <c r="AZ472" s="329"/>
      <c r="BA472" s="329"/>
      <c r="BB472" s="329"/>
      <c r="BC472" s="329"/>
      <c r="BD472" s="329"/>
      <c r="BE472" s="329" t="s">
        <v>257</v>
      </c>
      <c r="BF472" s="329" t="s">
        <v>841</v>
      </c>
      <c r="BG472" s="329"/>
      <c r="BH472" s="329"/>
      <c r="BI472" s="329"/>
      <c r="BJ472" s="329"/>
      <c r="BK472" s="329">
        <v>9000</v>
      </c>
      <c r="BL472" s="329"/>
      <c r="BM472" s="331" t="s">
        <v>189</v>
      </c>
      <c r="BN472" s="329" t="s">
        <v>922</v>
      </c>
      <c r="BO472" s="333">
        <v>43753</v>
      </c>
      <c r="BP472" s="329"/>
      <c r="BQ472" s="329"/>
      <c r="BR472" s="329"/>
      <c r="BS472" s="329"/>
      <c r="BT472" s="329"/>
      <c r="BU472" s="331" t="s">
        <v>261</v>
      </c>
      <c r="BV472" s="329"/>
      <c r="BW472" s="329"/>
      <c r="BX472" s="329"/>
      <c r="BY472" s="331" t="s">
        <v>3314</v>
      </c>
      <c r="BZ472" s="331" t="s">
        <v>3315</v>
      </c>
      <c r="CA472" s="331" t="s">
        <v>881</v>
      </c>
      <c r="CB472" s="331" t="s">
        <v>306</v>
      </c>
      <c r="CC472" s="331" t="s">
        <v>3316</v>
      </c>
    </row>
    <row r="473" spans="1:81" x14ac:dyDescent="0.25">
      <c r="A473" s="329">
        <v>196698</v>
      </c>
      <c r="B473" s="331" t="s">
        <v>3317</v>
      </c>
      <c r="C473" s="329">
        <v>34710</v>
      </c>
      <c r="D473" s="331" t="s">
        <v>3318</v>
      </c>
      <c r="E473" s="331" t="s">
        <v>3319</v>
      </c>
      <c r="F473" s="331" t="s">
        <v>3320</v>
      </c>
      <c r="G473" s="331" t="s">
        <v>3321</v>
      </c>
      <c r="H473" s="331" t="s">
        <v>3322</v>
      </c>
      <c r="I473" s="331" t="s">
        <v>875</v>
      </c>
      <c r="J473" s="331" t="s">
        <v>21</v>
      </c>
      <c r="K473" s="331" t="s">
        <v>876</v>
      </c>
      <c r="L473" s="329"/>
      <c r="M473" s="329">
        <v>6</v>
      </c>
      <c r="N473" s="329">
        <v>0</v>
      </c>
      <c r="O473" s="329">
        <v>3.4039999999999999</v>
      </c>
      <c r="P473" s="329"/>
      <c r="Q473" s="333">
        <v>43600.65</v>
      </c>
      <c r="R473" s="329"/>
      <c r="S473" s="333">
        <v>43752</v>
      </c>
      <c r="T473" s="329">
        <v>55</v>
      </c>
      <c r="U473" s="333">
        <v>43752</v>
      </c>
      <c r="V473" s="333">
        <v>44109</v>
      </c>
      <c r="W473" s="329" t="b">
        <v>1</v>
      </c>
      <c r="X473" s="331" t="s">
        <v>906</v>
      </c>
      <c r="Y473" s="329">
        <v>748</v>
      </c>
      <c r="Z473" s="331" t="s">
        <v>23</v>
      </c>
      <c r="AA473" s="331" t="s">
        <v>919</v>
      </c>
      <c r="AB473" s="331" t="s">
        <v>920</v>
      </c>
      <c r="AC473" s="331" t="s">
        <v>339</v>
      </c>
      <c r="AD473" s="331" t="s">
        <v>24</v>
      </c>
      <c r="AE473" s="329">
        <v>221</v>
      </c>
      <c r="AF473" s="331" t="s">
        <v>254</v>
      </c>
      <c r="AG473" s="329"/>
      <c r="AH473" s="329">
        <v>17</v>
      </c>
      <c r="AI473" s="331" t="s">
        <v>280</v>
      </c>
      <c r="AJ473" s="331" t="s">
        <v>281</v>
      </c>
      <c r="AK473" s="329"/>
      <c r="AL473" s="329"/>
      <c r="AM473" s="329"/>
      <c r="AN473" s="329"/>
      <c r="AO473" s="329"/>
      <c r="AP473" s="329"/>
      <c r="AQ473" s="329"/>
      <c r="AR473" s="329"/>
      <c r="AS473" s="329"/>
      <c r="AT473" s="329" t="s">
        <v>258</v>
      </c>
      <c r="AU473" s="329" t="s">
        <v>283</v>
      </c>
      <c r="AV473" s="331" t="s">
        <v>21</v>
      </c>
      <c r="AW473" s="329"/>
      <c r="AX473" s="329"/>
      <c r="AY473" s="329"/>
      <c r="AZ473" s="329"/>
      <c r="BA473" s="329"/>
      <c r="BB473" s="329"/>
      <c r="BC473" s="329"/>
      <c r="BD473" s="329"/>
      <c r="BE473" s="329"/>
      <c r="BF473" s="329"/>
      <c r="BG473" s="329"/>
      <c r="BH473" s="329"/>
      <c r="BI473" s="329" t="s">
        <v>334</v>
      </c>
      <c r="BJ473" s="329" t="s">
        <v>831</v>
      </c>
      <c r="BK473" s="329">
        <v>36000</v>
      </c>
      <c r="BL473" s="329"/>
      <c r="BM473" s="331" t="s">
        <v>27</v>
      </c>
      <c r="BN473" s="329" t="s">
        <v>922</v>
      </c>
      <c r="BO473" s="333">
        <v>43753</v>
      </c>
      <c r="BP473" s="329"/>
      <c r="BQ473" s="329"/>
      <c r="BR473" s="329"/>
      <c r="BS473" s="329"/>
      <c r="BT473" s="329"/>
      <c r="BU473" s="331" t="s">
        <v>261</v>
      </c>
      <c r="BV473" s="329"/>
      <c r="BW473" s="329"/>
      <c r="BX473" s="329"/>
      <c r="BY473" s="331" t="s">
        <v>3323</v>
      </c>
      <c r="BZ473" s="331" t="s">
        <v>3324</v>
      </c>
      <c r="CA473" s="331" t="s">
        <v>875</v>
      </c>
      <c r="CB473" s="331" t="s">
        <v>21</v>
      </c>
      <c r="CC473" s="331" t="s">
        <v>876</v>
      </c>
    </row>
    <row r="474" spans="1:81" x14ac:dyDescent="0.25">
      <c r="A474" s="329">
        <v>198046</v>
      </c>
      <c r="B474" s="331" t="s">
        <v>3325</v>
      </c>
      <c r="C474" s="329">
        <v>35078</v>
      </c>
      <c r="D474" s="331" t="s">
        <v>3326</v>
      </c>
      <c r="E474" s="331" t="s">
        <v>3327</v>
      </c>
      <c r="F474" s="331" t="s">
        <v>3328</v>
      </c>
      <c r="G474" s="331" t="s">
        <v>3329</v>
      </c>
      <c r="H474" s="331" t="s">
        <v>3330</v>
      </c>
      <c r="I474" s="331" t="s">
        <v>2325</v>
      </c>
      <c r="J474" s="331" t="s">
        <v>496</v>
      </c>
      <c r="K474" s="331" t="s">
        <v>2326</v>
      </c>
      <c r="L474" s="329"/>
      <c r="M474" s="329">
        <v>6</v>
      </c>
      <c r="N474" s="329">
        <v>0</v>
      </c>
      <c r="O474" s="329">
        <v>3.0375000000000001</v>
      </c>
      <c r="P474" s="329"/>
      <c r="Q474" s="333">
        <v>43708.749305555553</v>
      </c>
      <c r="R474" s="329"/>
      <c r="S474" s="333">
        <v>43752</v>
      </c>
      <c r="T474" s="329">
        <v>55</v>
      </c>
      <c r="U474" s="333">
        <v>43752</v>
      </c>
      <c r="V474" s="333">
        <v>44109</v>
      </c>
      <c r="W474" s="329" t="b">
        <v>1</v>
      </c>
      <c r="X474" s="331" t="s">
        <v>187</v>
      </c>
      <c r="Y474" s="329">
        <v>718</v>
      </c>
      <c r="Z474" s="331" t="s">
        <v>23</v>
      </c>
      <c r="AA474" s="331" t="s">
        <v>919</v>
      </c>
      <c r="AB474" s="331" t="s">
        <v>920</v>
      </c>
      <c r="AC474" s="331" t="s">
        <v>271</v>
      </c>
      <c r="AD474" s="331" t="s">
        <v>24</v>
      </c>
      <c r="AE474" s="329">
        <v>221</v>
      </c>
      <c r="AF474" s="331" t="s">
        <v>254</v>
      </c>
      <c r="AG474" s="329"/>
      <c r="AH474" s="329">
        <v>17</v>
      </c>
      <c r="AI474" s="331" t="s">
        <v>280</v>
      </c>
      <c r="AJ474" s="331" t="s">
        <v>281</v>
      </c>
      <c r="AK474" s="329"/>
      <c r="AL474" s="329"/>
      <c r="AM474" s="329"/>
      <c r="AN474" s="329"/>
      <c r="AO474" s="329"/>
      <c r="AP474" s="331" t="s">
        <v>473</v>
      </c>
      <c r="AQ474" s="329">
        <v>530</v>
      </c>
      <c r="AR474" s="329">
        <v>510</v>
      </c>
      <c r="AS474" s="329"/>
      <c r="AT474" s="329" t="s">
        <v>365</v>
      </c>
      <c r="AU474" s="329" t="s">
        <v>567</v>
      </c>
      <c r="AV474" s="331" t="s">
        <v>496</v>
      </c>
      <c r="AW474" s="329"/>
      <c r="AX474" s="329"/>
      <c r="AY474" s="329"/>
      <c r="AZ474" s="329"/>
      <c r="BA474" s="329"/>
      <c r="BB474" s="329"/>
      <c r="BC474" s="329"/>
      <c r="BD474" s="329"/>
      <c r="BE474" s="329" t="s">
        <v>257</v>
      </c>
      <c r="BF474" s="329" t="s">
        <v>837</v>
      </c>
      <c r="BG474" s="329"/>
      <c r="BH474" s="329"/>
      <c r="BI474" s="329"/>
      <c r="BJ474" s="329"/>
      <c r="BK474" s="329">
        <v>15000</v>
      </c>
      <c r="BL474" s="329"/>
      <c r="BM474" s="331" t="s">
        <v>295</v>
      </c>
      <c r="BN474" s="329" t="s">
        <v>922</v>
      </c>
      <c r="BO474" s="333">
        <v>43753</v>
      </c>
      <c r="BP474" s="329"/>
      <c r="BQ474" s="329"/>
      <c r="BR474" s="329"/>
      <c r="BS474" s="329"/>
      <c r="BT474" s="329"/>
      <c r="BU474" s="331" t="s">
        <v>261</v>
      </c>
      <c r="BV474" s="329"/>
      <c r="BW474" s="329"/>
      <c r="BX474" s="329"/>
      <c r="BY474" s="331" t="s">
        <v>3331</v>
      </c>
      <c r="BZ474" s="331" t="s">
        <v>3332</v>
      </c>
      <c r="CA474" s="331" t="s">
        <v>520</v>
      </c>
      <c r="CB474" s="331" t="s">
        <v>496</v>
      </c>
      <c r="CC474" s="331" t="s">
        <v>304</v>
      </c>
    </row>
    <row r="475" spans="1:81" x14ac:dyDescent="0.25">
      <c r="A475" s="329">
        <v>195250</v>
      </c>
      <c r="B475" s="331" t="s">
        <v>3333</v>
      </c>
      <c r="C475" s="329">
        <v>34280</v>
      </c>
      <c r="D475" s="331" t="s">
        <v>540</v>
      </c>
      <c r="E475" s="331" t="s">
        <v>568</v>
      </c>
      <c r="F475" s="331" t="s">
        <v>3334</v>
      </c>
      <c r="G475" s="331" t="s">
        <v>3335</v>
      </c>
      <c r="H475" s="331" t="s">
        <v>3336</v>
      </c>
      <c r="I475" s="331" t="s">
        <v>3337</v>
      </c>
      <c r="J475" s="331" t="s">
        <v>298</v>
      </c>
      <c r="K475" s="331" t="s">
        <v>3338</v>
      </c>
      <c r="L475" s="329"/>
      <c r="M475" s="329">
        <v>6</v>
      </c>
      <c r="N475" s="329">
        <v>0</v>
      </c>
      <c r="O475" s="329">
        <v>3.19</v>
      </c>
      <c r="P475" s="329"/>
      <c r="Q475" s="333">
        <v>43655.041666666664</v>
      </c>
      <c r="R475" s="329"/>
      <c r="S475" s="333">
        <v>43752</v>
      </c>
      <c r="T475" s="329">
        <v>55</v>
      </c>
      <c r="U475" s="333">
        <v>43752</v>
      </c>
      <c r="V475" s="333">
        <v>44109</v>
      </c>
      <c r="W475" s="329" t="b">
        <v>1</v>
      </c>
      <c r="X475" s="331" t="s">
        <v>22</v>
      </c>
      <c r="Y475" s="329">
        <v>429</v>
      </c>
      <c r="Z475" s="331" t="s">
        <v>23</v>
      </c>
      <c r="AA475" s="331" t="s">
        <v>919</v>
      </c>
      <c r="AB475" s="331" t="s">
        <v>920</v>
      </c>
      <c r="AC475" s="331" t="s">
        <v>264</v>
      </c>
      <c r="AD475" s="331" t="s">
        <v>24</v>
      </c>
      <c r="AE475" s="329">
        <v>221</v>
      </c>
      <c r="AF475" s="331" t="s">
        <v>254</v>
      </c>
      <c r="AG475" s="329"/>
      <c r="AH475" s="329">
        <v>17</v>
      </c>
      <c r="AI475" s="331" t="s">
        <v>280</v>
      </c>
      <c r="AJ475" s="331" t="s">
        <v>281</v>
      </c>
      <c r="AK475" s="329"/>
      <c r="AL475" s="329"/>
      <c r="AM475" s="329"/>
      <c r="AN475" s="329"/>
      <c r="AO475" s="329"/>
      <c r="AP475" s="329"/>
      <c r="AQ475" s="329"/>
      <c r="AR475" s="329"/>
      <c r="AS475" s="329"/>
      <c r="AT475" s="329" t="s">
        <v>258</v>
      </c>
      <c r="AU475" s="329" t="s">
        <v>283</v>
      </c>
      <c r="AV475" s="331" t="s">
        <v>298</v>
      </c>
      <c r="AW475" s="329"/>
      <c r="AX475" s="329"/>
      <c r="AY475" s="329"/>
      <c r="AZ475" s="329"/>
      <c r="BA475" s="329"/>
      <c r="BB475" s="329"/>
      <c r="BC475" s="329"/>
      <c r="BD475" s="329"/>
      <c r="BE475" s="329"/>
      <c r="BF475" s="329"/>
      <c r="BG475" s="329"/>
      <c r="BH475" s="329"/>
      <c r="BI475" s="329"/>
      <c r="BJ475" s="329"/>
      <c r="BK475" s="329">
        <v>0</v>
      </c>
      <c r="BL475" s="329"/>
      <c r="BM475" s="331" t="s">
        <v>27</v>
      </c>
      <c r="BN475" s="329" t="s">
        <v>922</v>
      </c>
      <c r="BO475" s="333">
        <v>43753</v>
      </c>
      <c r="BP475" s="329"/>
      <c r="BQ475" s="329"/>
      <c r="BR475" s="329"/>
      <c r="BS475" s="329"/>
      <c r="BT475" s="329"/>
      <c r="BU475" s="331" t="s">
        <v>261</v>
      </c>
      <c r="BV475" s="329"/>
      <c r="BW475" s="329"/>
      <c r="BX475" s="329"/>
      <c r="BY475" s="331" t="s">
        <v>3339</v>
      </c>
      <c r="BZ475" s="331" t="s">
        <v>3340</v>
      </c>
      <c r="CA475" s="331" t="s">
        <v>3341</v>
      </c>
      <c r="CB475" s="331" t="s">
        <v>298</v>
      </c>
      <c r="CC475" s="331" t="s">
        <v>3338</v>
      </c>
    </row>
    <row r="476" spans="1:81" x14ac:dyDescent="0.25">
      <c r="A476" s="329">
        <v>196116</v>
      </c>
      <c r="B476" s="331" t="s">
        <v>3342</v>
      </c>
      <c r="C476" s="329">
        <v>34509</v>
      </c>
      <c r="D476" s="331" t="s">
        <v>3343</v>
      </c>
      <c r="E476" s="331" t="s">
        <v>518</v>
      </c>
      <c r="F476" s="331" t="s">
        <v>3344</v>
      </c>
      <c r="G476" s="331" t="s">
        <v>3345</v>
      </c>
      <c r="H476" s="331" t="s">
        <v>3346</v>
      </c>
      <c r="I476" s="331" t="s">
        <v>3347</v>
      </c>
      <c r="J476" s="331" t="s">
        <v>307</v>
      </c>
      <c r="K476" s="331" t="s">
        <v>3348</v>
      </c>
      <c r="L476" s="329"/>
      <c r="M476" s="329">
        <v>6</v>
      </c>
      <c r="N476" s="329">
        <v>0</v>
      </c>
      <c r="O476" s="329">
        <v>3.56</v>
      </c>
      <c r="P476" s="329"/>
      <c r="Q476" s="333">
        <v>43578.697916666664</v>
      </c>
      <c r="R476" s="329"/>
      <c r="S476" s="333">
        <v>43752</v>
      </c>
      <c r="T476" s="329">
        <v>55</v>
      </c>
      <c r="U476" s="333">
        <v>43752</v>
      </c>
      <c r="V476" s="333">
        <v>44109</v>
      </c>
      <c r="W476" s="329" t="b">
        <v>1</v>
      </c>
      <c r="X476" s="331" t="s">
        <v>22</v>
      </c>
      <c r="Y476" s="329">
        <v>429</v>
      </c>
      <c r="Z476" s="331" t="s">
        <v>23</v>
      </c>
      <c r="AA476" s="331" t="s">
        <v>919</v>
      </c>
      <c r="AB476" s="331" t="s">
        <v>920</v>
      </c>
      <c r="AC476" s="331" t="s">
        <v>1329</v>
      </c>
      <c r="AD476" s="331" t="s">
        <v>24</v>
      </c>
      <c r="AE476" s="329">
        <v>221</v>
      </c>
      <c r="AF476" s="331" t="s">
        <v>254</v>
      </c>
      <c r="AG476" s="329"/>
      <c r="AH476" s="329">
        <v>17</v>
      </c>
      <c r="AI476" s="331" t="s">
        <v>280</v>
      </c>
      <c r="AJ476" s="331" t="s">
        <v>281</v>
      </c>
      <c r="AK476" s="329"/>
      <c r="AL476" s="329"/>
      <c r="AM476" s="329"/>
      <c r="AN476" s="329"/>
      <c r="AO476" s="329"/>
      <c r="AP476" s="331" t="s">
        <v>721</v>
      </c>
      <c r="AQ476" s="329">
        <v>540</v>
      </c>
      <c r="AR476" s="329">
        <v>560</v>
      </c>
      <c r="AS476" s="329"/>
      <c r="AT476" s="329" t="s">
        <v>338</v>
      </c>
      <c r="AU476" s="329" t="s">
        <v>256</v>
      </c>
      <c r="AV476" s="331" t="s">
        <v>307</v>
      </c>
      <c r="AW476" s="329"/>
      <c r="AX476" s="329"/>
      <c r="AY476" s="329"/>
      <c r="AZ476" s="329"/>
      <c r="BA476" s="329"/>
      <c r="BB476" s="329"/>
      <c r="BC476" s="329"/>
      <c r="BD476" s="329"/>
      <c r="BE476" s="329" t="s">
        <v>257</v>
      </c>
      <c r="BF476" s="329" t="s">
        <v>836</v>
      </c>
      <c r="BG476" s="329"/>
      <c r="BH476" s="329"/>
      <c r="BI476" s="329"/>
      <c r="BJ476" s="329"/>
      <c r="BK476" s="329">
        <v>18000</v>
      </c>
      <c r="BL476" s="329"/>
      <c r="BM476" s="331" t="s">
        <v>310</v>
      </c>
      <c r="BN476" s="329" t="s">
        <v>922</v>
      </c>
      <c r="BO476" s="333">
        <v>43753</v>
      </c>
      <c r="BP476" s="329"/>
      <c r="BQ476" s="329"/>
      <c r="BR476" s="329"/>
      <c r="BS476" s="329"/>
      <c r="BT476" s="329"/>
      <c r="BU476" s="331" t="s">
        <v>261</v>
      </c>
      <c r="BV476" s="329"/>
      <c r="BW476" s="329"/>
      <c r="BX476" s="329"/>
      <c r="BY476" s="331" t="s">
        <v>3349</v>
      </c>
      <c r="BZ476" s="331" t="s">
        <v>3350</v>
      </c>
      <c r="CA476" s="331" t="s">
        <v>2163</v>
      </c>
      <c r="CB476" s="331" t="s">
        <v>307</v>
      </c>
      <c r="CC476" s="331" t="s">
        <v>3351</v>
      </c>
    </row>
    <row r="477" spans="1:81" x14ac:dyDescent="0.25">
      <c r="A477" s="329">
        <v>198360</v>
      </c>
      <c r="B477" s="331" t="s">
        <v>3374</v>
      </c>
      <c r="C477" s="329">
        <v>35243</v>
      </c>
      <c r="D477" s="331" t="s">
        <v>541</v>
      </c>
      <c r="E477" s="331" t="s">
        <v>262</v>
      </c>
      <c r="F477" s="331" t="s">
        <v>3375</v>
      </c>
      <c r="G477" s="331" t="s">
        <v>3376</v>
      </c>
      <c r="H477" s="331" t="s">
        <v>3377</v>
      </c>
      <c r="I477" s="331" t="s">
        <v>3378</v>
      </c>
      <c r="J477" s="331" t="s">
        <v>298</v>
      </c>
      <c r="K477" s="331" t="s">
        <v>3379</v>
      </c>
      <c r="L477" s="329"/>
      <c r="M477" s="329">
        <v>6</v>
      </c>
      <c r="N477" s="329">
        <v>0</v>
      </c>
      <c r="O477" s="329">
        <v>4</v>
      </c>
      <c r="P477" s="329"/>
      <c r="Q477" s="333">
        <v>43709.606944444444</v>
      </c>
      <c r="R477" s="329"/>
      <c r="S477" s="333">
        <v>43752</v>
      </c>
      <c r="T477" s="329">
        <v>55</v>
      </c>
      <c r="U477" s="333">
        <v>43752</v>
      </c>
      <c r="V477" s="333">
        <v>44109</v>
      </c>
      <c r="W477" s="329" t="b">
        <v>1</v>
      </c>
      <c r="X477" s="331" t="s">
        <v>22</v>
      </c>
      <c r="Y477" s="329">
        <v>726</v>
      </c>
      <c r="Z477" s="331" t="s">
        <v>23</v>
      </c>
      <c r="AA477" s="331" t="s">
        <v>919</v>
      </c>
      <c r="AB477" s="331" t="s">
        <v>920</v>
      </c>
      <c r="AC477" s="331" t="s">
        <v>364</v>
      </c>
      <c r="AD477" s="331" t="s">
        <v>24</v>
      </c>
      <c r="AE477" s="329">
        <v>221</v>
      </c>
      <c r="AF477" s="331" t="s">
        <v>254</v>
      </c>
      <c r="AG477" s="329"/>
      <c r="AH477" s="329">
        <v>17</v>
      </c>
      <c r="AI477" s="331" t="s">
        <v>280</v>
      </c>
      <c r="AJ477" s="331" t="s">
        <v>281</v>
      </c>
      <c r="AK477" s="329"/>
      <c r="AL477" s="329"/>
      <c r="AM477" s="329"/>
      <c r="AN477" s="329"/>
      <c r="AO477" s="329"/>
      <c r="AP477" s="331" t="s">
        <v>465</v>
      </c>
      <c r="AQ477" s="329">
        <v>670</v>
      </c>
      <c r="AR477" s="329">
        <v>640</v>
      </c>
      <c r="AS477" s="329"/>
      <c r="AT477" s="329" t="s">
        <v>367</v>
      </c>
      <c r="AU477" s="329" t="s">
        <v>283</v>
      </c>
      <c r="AV477" s="331" t="s">
        <v>298</v>
      </c>
      <c r="AW477" s="329"/>
      <c r="AX477" s="329"/>
      <c r="AY477" s="329"/>
      <c r="AZ477" s="329"/>
      <c r="BA477" s="329"/>
      <c r="BB477" s="329"/>
      <c r="BC477" s="329"/>
      <c r="BD477" s="329"/>
      <c r="BE477" s="329" t="s">
        <v>257</v>
      </c>
      <c r="BF477" s="329" t="s">
        <v>834</v>
      </c>
      <c r="BG477" s="329"/>
      <c r="BH477" s="329"/>
      <c r="BI477" s="329"/>
      <c r="BJ477" s="329"/>
      <c r="BK477" s="329">
        <v>20400</v>
      </c>
      <c r="BL477" s="329"/>
      <c r="BM477" s="331" t="s">
        <v>278</v>
      </c>
      <c r="BN477" s="329" t="s">
        <v>922</v>
      </c>
      <c r="BO477" s="333">
        <v>43753</v>
      </c>
      <c r="BP477" s="329"/>
      <c r="BQ477" s="329"/>
      <c r="BR477" s="329"/>
      <c r="BS477" s="329"/>
      <c r="BT477" s="329"/>
      <c r="BU477" s="331" t="s">
        <v>261</v>
      </c>
      <c r="BV477" s="329"/>
      <c r="BW477" s="329"/>
      <c r="BX477" s="329"/>
      <c r="BY477" s="331" t="s">
        <v>3380</v>
      </c>
      <c r="BZ477" s="331" t="s">
        <v>3381</v>
      </c>
      <c r="CA477" s="331" t="s">
        <v>3382</v>
      </c>
      <c r="CB477" s="331" t="s">
        <v>298</v>
      </c>
      <c r="CC477" s="331" t="s">
        <v>3379</v>
      </c>
    </row>
    <row r="478" spans="1:81" x14ac:dyDescent="0.25">
      <c r="A478" s="329">
        <v>197097</v>
      </c>
      <c r="B478" s="331" t="s">
        <v>3383</v>
      </c>
      <c r="C478" s="329">
        <v>34809</v>
      </c>
      <c r="D478" s="331" t="s">
        <v>542</v>
      </c>
      <c r="E478" s="331" t="s">
        <v>3384</v>
      </c>
      <c r="F478" s="331" t="s">
        <v>3385</v>
      </c>
      <c r="G478" s="331" t="s">
        <v>3386</v>
      </c>
      <c r="H478" s="331" t="s">
        <v>3387</v>
      </c>
      <c r="I478" s="331" t="s">
        <v>810</v>
      </c>
      <c r="J478" s="331" t="s">
        <v>321</v>
      </c>
      <c r="K478" s="331" t="s">
        <v>811</v>
      </c>
      <c r="L478" s="329"/>
      <c r="M478" s="329">
        <v>6</v>
      </c>
      <c r="N478" s="329">
        <v>0</v>
      </c>
      <c r="O478" s="329">
        <v>3.6</v>
      </c>
      <c r="P478" s="329"/>
      <c r="Q478" s="333">
        <v>43707.731944444444</v>
      </c>
      <c r="R478" s="329"/>
      <c r="S478" s="333">
        <v>43752</v>
      </c>
      <c r="T478" s="329">
        <v>55</v>
      </c>
      <c r="U478" s="333">
        <v>43752</v>
      </c>
      <c r="V478" s="333">
        <v>44109</v>
      </c>
      <c r="W478" s="329" t="b">
        <v>1</v>
      </c>
      <c r="X478" s="331" t="s">
        <v>905</v>
      </c>
      <c r="Y478" s="329">
        <v>747</v>
      </c>
      <c r="Z478" s="331" t="s">
        <v>25</v>
      </c>
      <c r="AA478" s="331" t="s">
        <v>919</v>
      </c>
      <c r="AB478" s="331" t="s">
        <v>920</v>
      </c>
      <c r="AC478" s="331" t="s">
        <v>2315</v>
      </c>
      <c r="AD478" s="331" t="s">
        <v>24</v>
      </c>
      <c r="AE478" s="329">
        <v>221</v>
      </c>
      <c r="AF478" s="331" t="s">
        <v>254</v>
      </c>
      <c r="AG478" s="329"/>
      <c r="AH478" s="329">
        <v>17</v>
      </c>
      <c r="AI478" s="331" t="s">
        <v>280</v>
      </c>
      <c r="AJ478" s="331" t="s">
        <v>281</v>
      </c>
      <c r="AK478" s="331" t="s">
        <v>275</v>
      </c>
      <c r="AL478" s="331" t="s">
        <v>287</v>
      </c>
      <c r="AM478" s="331" t="s">
        <v>299</v>
      </c>
      <c r="AN478" s="331" t="s">
        <v>274</v>
      </c>
      <c r="AO478" s="331" t="s">
        <v>290</v>
      </c>
      <c r="AP478" s="329"/>
      <c r="AQ478" s="329"/>
      <c r="AR478" s="329"/>
      <c r="AS478" s="329"/>
      <c r="AT478" s="329" t="s">
        <v>319</v>
      </c>
      <c r="AU478" s="329" t="s">
        <v>283</v>
      </c>
      <c r="AV478" s="331" t="s">
        <v>321</v>
      </c>
      <c r="AW478" s="329"/>
      <c r="AX478" s="329"/>
      <c r="AY478" s="329"/>
      <c r="AZ478" s="329"/>
      <c r="BA478" s="329"/>
      <c r="BB478" s="329"/>
      <c r="BC478" s="329"/>
      <c r="BD478" s="329"/>
      <c r="BE478" s="329" t="s">
        <v>257</v>
      </c>
      <c r="BF478" s="329" t="s">
        <v>838</v>
      </c>
      <c r="BG478" s="329"/>
      <c r="BH478" s="329"/>
      <c r="BI478" s="329"/>
      <c r="BJ478" s="329"/>
      <c r="BK478" s="329">
        <v>15600</v>
      </c>
      <c r="BL478" s="329"/>
      <c r="BM478" s="331" t="s">
        <v>259</v>
      </c>
      <c r="BN478" s="329" t="s">
        <v>922</v>
      </c>
      <c r="BO478" s="333">
        <v>43753</v>
      </c>
      <c r="BP478" s="329"/>
      <c r="BQ478" s="329"/>
      <c r="BR478" s="329"/>
      <c r="BS478" s="329"/>
      <c r="BT478" s="329"/>
      <c r="BU478" s="331" t="s">
        <v>261</v>
      </c>
      <c r="BV478" s="329"/>
      <c r="BW478" s="329"/>
      <c r="BX478" s="329"/>
      <c r="BY478" s="331" t="s">
        <v>3388</v>
      </c>
      <c r="BZ478" s="331" t="s">
        <v>3389</v>
      </c>
      <c r="CA478" s="331" t="s">
        <v>3390</v>
      </c>
      <c r="CB478" s="331" t="s">
        <v>321</v>
      </c>
      <c r="CC478" s="331" t="s">
        <v>811</v>
      </c>
    </row>
    <row r="479" spans="1:81" x14ac:dyDescent="0.25">
      <c r="A479" s="329">
        <v>195816</v>
      </c>
      <c r="B479" s="331" t="s">
        <v>3391</v>
      </c>
      <c r="C479" s="329">
        <v>34407</v>
      </c>
      <c r="D479" s="331" t="s">
        <v>544</v>
      </c>
      <c r="E479" s="331" t="s">
        <v>3392</v>
      </c>
      <c r="F479" s="331" t="s">
        <v>3393</v>
      </c>
      <c r="G479" s="331" t="s">
        <v>3394</v>
      </c>
      <c r="H479" s="331" t="s">
        <v>3395</v>
      </c>
      <c r="I479" s="331" t="s">
        <v>1229</v>
      </c>
      <c r="J479" s="331" t="s">
        <v>279</v>
      </c>
      <c r="K479" s="331" t="s">
        <v>3396</v>
      </c>
      <c r="L479" s="329"/>
      <c r="M479" s="329">
        <v>6</v>
      </c>
      <c r="N479" s="329">
        <v>0</v>
      </c>
      <c r="O479" s="329">
        <v>3.2</v>
      </c>
      <c r="P479" s="329"/>
      <c r="Q479" s="333">
        <v>43600.729166666664</v>
      </c>
      <c r="R479" s="329"/>
      <c r="S479" s="333">
        <v>43752</v>
      </c>
      <c r="T479" s="329">
        <v>55</v>
      </c>
      <c r="U479" s="333">
        <v>43752</v>
      </c>
      <c r="V479" s="333">
        <v>44109</v>
      </c>
      <c r="W479" s="329" t="b">
        <v>1</v>
      </c>
      <c r="X479" s="331" t="s">
        <v>22</v>
      </c>
      <c r="Y479" s="329">
        <v>429</v>
      </c>
      <c r="Z479" s="331" t="s">
        <v>23</v>
      </c>
      <c r="AA479" s="331" t="s">
        <v>919</v>
      </c>
      <c r="AB479" s="331" t="s">
        <v>920</v>
      </c>
      <c r="AC479" s="331" t="s">
        <v>2744</v>
      </c>
      <c r="AD479" s="331" t="s">
        <v>24</v>
      </c>
      <c r="AE479" s="329">
        <v>221</v>
      </c>
      <c r="AF479" s="331" t="s">
        <v>254</v>
      </c>
      <c r="AG479" s="329"/>
      <c r="AH479" s="329">
        <v>17</v>
      </c>
      <c r="AI479" s="331" t="s">
        <v>280</v>
      </c>
      <c r="AJ479" s="331" t="s">
        <v>281</v>
      </c>
      <c r="AK479" s="329"/>
      <c r="AL479" s="329"/>
      <c r="AM479" s="329"/>
      <c r="AN479" s="329"/>
      <c r="AO479" s="329"/>
      <c r="AP479" s="331" t="s">
        <v>508</v>
      </c>
      <c r="AQ479" s="329">
        <v>630</v>
      </c>
      <c r="AR479" s="329">
        <v>560</v>
      </c>
      <c r="AS479" s="329"/>
      <c r="AT479" s="329" t="s">
        <v>833</v>
      </c>
      <c r="AU479" s="329" t="s">
        <v>283</v>
      </c>
      <c r="AV479" s="331" t="s">
        <v>279</v>
      </c>
      <c r="AW479" s="329"/>
      <c r="AX479" s="329"/>
      <c r="AY479" s="329"/>
      <c r="AZ479" s="329"/>
      <c r="BA479" s="329"/>
      <c r="BB479" s="329"/>
      <c r="BC479" s="329"/>
      <c r="BD479" s="329"/>
      <c r="BE479" s="329" t="s">
        <v>257</v>
      </c>
      <c r="BF479" s="329" t="s">
        <v>834</v>
      </c>
      <c r="BG479" s="329"/>
      <c r="BH479" s="329"/>
      <c r="BI479" s="329"/>
      <c r="BJ479" s="329"/>
      <c r="BK479" s="329">
        <v>20400</v>
      </c>
      <c r="BL479" s="329"/>
      <c r="BM479" s="331" t="s">
        <v>278</v>
      </c>
      <c r="BN479" s="329" t="s">
        <v>922</v>
      </c>
      <c r="BO479" s="333">
        <v>43753</v>
      </c>
      <c r="BP479" s="329"/>
      <c r="BQ479" s="329"/>
      <c r="BR479" s="329"/>
      <c r="BS479" s="329"/>
      <c r="BT479" s="329"/>
      <c r="BU479" s="331" t="s">
        <v>261</v>
      </c>
      <c r="BV479" s="329"/>
      <c r="BW479" s="329"/>
      <c r="BX479" s="329"/>
      <c r="BY479" s="331" t="s">
        <v>3397</v>
      </c>
      <c r="BZ479" s="331" t="s">
        <v>3398</v>
      </c>
      <c r="CA479" s="331" t="s">
        <v>1233</v>
      </c>
      <c r="CB479" s="331" t="s">
        <v>279</v>
      </c>
      <c r="CC479" s="331" t="s">
        <v>3396</v>
      </c>
    </row>
    <row r="480" spans="1:81" x14ac:dyDescent="0.25">
      <c r="A480" s="329">
        <v>194179</v>
      </c>
      <c r="B480" s="331" t="s">
        <v>3399</v>
      </c>
      <c r="C480" s="329">
        <v>34050</v>
      </c>
      <c r="D480" s="331" t="s">
        <v>3400</v>
      </c>
      <c r="E480" s="331" t="s">
        <v>3401</v>
      </c>
      <c r="F480" s="331" t="s">
        <v>3402</v>
      </c>
      <c r="G480" s="331" t="s">
        <v>3403</v>
      </c>
      <c r="H480" s="331" t="s">
        <v>3404</v>
      </c>
      <c r="I480" s="331" t="s">
        <v>3405</v>
      </c>
      <c r="J480" s="331" t="s">
        <v>292</v>
      </c>
      <c r="K480" s="331" t="s">
        <v>3406</v>
      </c>
      <c r="L480" s="329"/>
      <c r="M480" s="329">
        <v>6</v>
      </c>
      <c r="N480" s="329">
        <v>0</v>
      </c>
      <c r="O480" s="329">
        <v>3.2</v>
      </c>
      <c r="P480" s="329"/>
      <c r="Q480" s="333">
        <v>43628.628472222219</v>
      </c>
      <c r="R480" s="329"/>
      <c r="S480" s="333">
        <v>43752</v>
      </c>
      <c r="T480" s="329">
        <v>55</v>
      </c>
      <c r="U480" s="333">
        <v>43752</v>
      </c>
      <c r="V480" s="333">
        <v>44109</v>
      </c>
      <c r="W480" s="329" t="b">
        <v>1</v>
      </c>
      <c r="X480" s="331" t="s">
        <v>22</v>
      </c>
      <c r="Y480" s="329">
        <v>429</v>
      </c>
      <c r="Z480" s="331" t="s">
        <v>25</v>
      </c>
      <c r="AA480" s="331" t="s">
        <v>919</v>
      </c>
      <c r="AB480" s="331" t="s">
        <v>920</v>
      </c>
      <c r="AC480" s="331" t="s">
        <v>1252</v>
      </c>
      <c r="AD480" s="331" t="s">
        <v>24</v>
      </c>
      <c r="AE480" s="329">
        <v>221</v>
      </c>
      <c r="AF480" s="331" t="s">
        <v>254</v>
      </c>
      <c r="AG480" s="329"/>
      <c r="AH480" s="329">
        <v>17</v>
      </c>
      <c r="AI480" s="331" t="s">
        <v>280</v>
      </c>
      <c r="AJ480" s="331" t="s">
        <v>281</v>
      </c>
      <c r="AK480" s="329"/>
      <c r="AL480" s="329"/>
      <c r="AM480" s="329"/>
      <c r="AN480" s="329"/>
      <c r="AO480" s="329"/>
      <c r="AP480" s="329"/>
      <c r="AQ480" s="329"/>
      <c r="AR480" s="329"/>
      <c r="AS480" s="329"/>
      <c r="AT480" s="329" t="s">
        <v>258</v>
      </c>
      <c r="AU480" s="329" t="s">
        <v>283</v>
      </c>
      <c r="AV480" s="331" t="s">
        <v>292</v>
      </c>
      <c r="AW480" s="329"/>
      <c r="AX480" s="329"/>
      <c r="AY480" s="329"/>
      <c r="AZ480" s="329"/>
      <c r="BA480" s="329"/>
      <c r="BB480" s="329"/>
      <c r="BC480" s="329"/>
      <c r="BD480" s="329"/>
      <c r="BE480" s="329"/>
      <c r="BF480" s="329"/>
      <c r="BG480" s="329"/>
      <c r="BH480" s="329"/>
      <c r="BI480" s="329"/>
      <c r="BJ480" s="329"/>
      <c r="BK480" s="329">
        <v>0</v>
      </c>
      <c r="BL480" s="329"/>
      <c r="BM480" s="331" t="s">
        <v>27</v>
      </c>
      <c r="BN480" s="329" t="s">
        <v>922</v>
      </c>
      <c r="BO480" s="333">
        <v>43753</v>
      </c>
      <c r="BP480" s="329"/>
      <c r="BQ480" s="329"/>
      <c r="BR480" s="329"/>
      <c r="BS480" s="329"/>
      <c r="BT480" s="329"/>
      <c r="BU480" s="331" t="s">
        <v>261</v>
      </c>
      <c r="BV480" s="329"/>
      <c r="BW480" s="329"/>
      <c r="BX480" s="329"/>
      <c r="BY480" s="331" t="s">
        <v>3407</v>
      </c>
      <c r="BZ480" s="331" t="s">
        <v>3408</v>
      </c>
      <c r="CA480" s="331" t="s">
        <v>3409</v>
      </c>
      <c r="CB480" s="331" t="s">
        <v>292</v>
      </c>
      <c r="CC480" s="331" t="s">
        <v>3406</v>
      </c>
    </row>
    <row r="481" spans="1:81" x14ac:dyDescent="0.25">
      <c r="A481" s="329">
        <v>198197</v>
      </c>
      <c r="B481" s="331" t="s">
        <v>3410</v>
      </c>
      <c r="C481" s="329">
        <v>35150</v>
      </c>
      <c r="D481" s="331" t="s">
        <v>869</v>
      </c>
      <c r="E481" s="331" t="s">
        <v>3411</v>
      </c>
      <c r="F481" s="331" t="s">
        <v>3412</v>
      </c>
      <c r="G481" s="331" t="s">
        <v>3413</v>
      </c>
      <c r="H481" s="331" t="s">
        <v>3414</v>
      </c>
      <c r="I481" s="331" t="s">
        <v>932</v>
      </c>
      <c r="J481" s="331" t="s">
        <v>298</v>
      </c>
      <c r="K481" s="331" t="s">
        <v>3415</v>
      </c>
      <c r="L481" s="329"/>
      <c r="M481" s="329">
        <v>6</v>
      </c>
      <c r="N481" s="329">
        <v>0</v>
      </c>
      <c r="O481" s="329">
        <v>3.85</v>
      </c>
      <c r="P481" s="329"/>
      <c r="Q481" s="333">
        <v>43737.420138888891</v>
      </c>
      <c r="R481" s="329"/>
      <c r="S481" s="333">
        <v>43752</v>
      </c>
      <c r="T481" s="329">
        <v>55</v>
      </c>
      <c r="U481" s="333">
        <v>43752</v>
      </c>
      <c r="V481" s="333">
        <v>44109</v>
      </c>
      <c r="W481" s="329" t="b">
        <v>1</v>
      </c>
      <c r="X481" s="331" t="s">
        <v>22</v>
      </c>
      <c r="Y481" s="329">
        <v>726</v>
      </c>
      <c r="Z481" s="331" t="s">
        <v>23</v>
      </c>
      <c r="AA481" s="331" t="s">
        <v>919</v>
      </c>
      <c r="AB481" s="331" t="s">
        <v>920</v>
      </c>
      <c r="AC481" s="331" t="s">
        <v>264</v>
      </c>
      <c r="AD481" s="331" t="s">
        <v>24</v>
      </c>
      <c r="AE481" s="329">
        <v>221</v>
      </c>
      <c r="AF481" s="331" t="s">
        <v>254</v>
      </c>
      <c r="AG481" s="329"/>
      <c r="AH481" s="329">
        <v>17</v>
      </c>
      <c r="AI481" s="331" t="s">
        <v>280</v>
      </c>
      <c r="AJ481" s="331" t="s">
        <v>281</v>
      </c>
      <c r="AK481" s="329"/>
      <c r="AL481" s="329"/>
      <c r="AM481" s="329"/>
      <c r="AN481" s="329"/>
      <c r="AO481" s="329"/>
      <c r="AP481" s="331" t="s">
        <v>318</v>
      </c>
      <c r="AQ481" s="329">
        <v>590</v>
      </c>
      <c r="AR481" s="329">
        <v>530</v>
      </c>
      <c r="AS481" s="329"/>
      <c r="AT481" s="329" t="s">
        <v>855</v>
      </c>
      <c r="AU481" s="329" t="s">
        <v>256</v>
      </c>
      <c r="AV481" s="331" t="s">
        <v>298</v>
      </c>
      <c r="AW481" s="329"/>
      <c r="AX481" s="329"/>
      <c r="AY481" s="329"/>
      <c r="AZ481" s="329"/>
      <c r="BA481" s="329"/>
      <c r="BB481" s="329"/>
      <c r="BC481" s="329"/>
      <c r="BD481" s="329"/>
      <c r="BE481" s="329" t="s">
        <v>257</v>
      </c>
      <c r="BF481" s="329" t="s">
        <v>834</v>
      </c>
      <c r="BG481" s="329"/>
      <c r="BH481" s="329"/>
      <c r="BI481" s="329"/>
      <c r="BJ481" s="329"/>
      <c r="BK481" s="329">
        <v>20400</v>
      </c>
      <c r="BL481" s="329"/>
      <c r="BM481" s="331" t="s">
        <v>278</v>
      </c>
      <c r="BN481" s="329" t="s">
        <v>922</v>
      </c>
      <c r="BO481" s="333">
        <v>43753</v>
      </c>
      <c r="BP481" s="329"/>
      <c r="BQ481" s="329"/>
      <c r="BR481" s="329"/>
      <c r="BS481" s="329"/>
      <c r="BT481" s="329"/>
      <c r="BU481" s="331" t="s">
        <v>261</v>
      </c>
      <c r="BV481" s="329"/>
      <c r="BW481" s="329"/>
      <c r="BX481" s="329"/>
      <c r="BY481" s="331" t="s">
        <v>934</v>
      </c>
      <c r="BZ481" s="331" t="s">
        <v>935</v>
      </c>
      <c r="CA481" s="331" t="s">
        <v>936</v>
      </c>
      <c r="CB481" s="331" t="s">
        <v>298</v>
      </c>
      <c r="CC481" s="331" t="s">
        <v>937</v>
      </c>
    </row>
    <row r="482" spans="1:81" x14ac:dyDescent="0.25">
      <c r="A482" s="329">
        <v>196992</v>
      </c>
      <c r="B482" s="331" t="s">
        <v>3435</v>
      </c>
      <c r="C482" s="329">
        <v>34785</v>
      </c>
      <c r="D482" s="331" t="s">
        <v>3436</v>
      </c>
      <c r="E482" s="331" t="s">
        <v>3437</v>
      </c>
      <c r="F482" s="331" t="s">
        <v>3438</v>
      </c>
      <c r="G482" s="331" t="s">
        <v>3439</v>
      </c>
      <c r="H482" s="331" t="s">
        <v>3440</v>
      </c>
      <c r="I482" s="331" t="s">
        <v>464</v>
      </c>
      <c r="J482" s="331" t="s">
        <v>292</v>
      </c>
      <c r="K482" s="331" t="s">
        <v>1817</v>
      </c>
      <c r="L482" s="329"/>
      <c r="M482" s="329">
        <v>6</v>
      </c>
      <c r="N482" s="329">
        <v>0</v>
      </c>
      <c r="O482" s="329">
        <v>4</v>
      </c>
      <c r="P482" s="329"/>
      <c r="Q482" s="333">
        <v>43710.533333333333</v>
      </c>
      <c r="R482" s="329"/>
      <c r="S482" s="333">
        <v>43752</v>
      </c>
      <c r="T482" s="329">
        <v>55</v>
      </c>
      <c r="U482" s="333">
        <v>43752</v>
      </c>
      <c r="V482" s="333">
        <v>44109</v>
      </c>
      <c r="W482" s="329" t="b">
        <v>1</v>
      </c>
      <c r="X482" s="331" t="s">
        <v>22</v>
      </c>
      <c r="Y482" s="329">
        <v>429</v>
      </c>
      <c r="Z482" s="331" t="s">
        <v>23</v>
      </c>
      <c r="AA482" s="331" t="s">
        <v>919</v>
      </c>
      <c r="AB482" s="331" t="s">
        <v>920</v>
      </c>
      <c r="AC482" s="331" t="s">
        <v>264</v>
      </c>
      <c r="AD482" s="331" t="s">
        <v>24</v>
      </c>
      <c r="AE482" s="329">
        <v>221</v>
      </c>
      <c r="AF482" s="331" t="s">
        <v>254</v>
      </c>
      <c r="AG482" s="329"/>
      <c r="AH482" s="329">
        <v>17</v>
      </c>
      <c r="AI482" s="331" t="s">
        <v>280</v>
      </c>
      <c r="AJ482" s="331" t="s">
        <v>281</v>
      </c>
      <c r="AK482" s="329"/>
      <c r="AL482" s="329"/>
      <c r="AM482" s="329"/>
      <c r="AN482" s="329"/>
      <c r="AO482" s="329"/>
      <c r="AP482" s="331" t="s">
        <v>865</v>
      </c>
      <c r="AQ482" s="329">
        <v>710</v>
      </c>
      <c r="AR482" s="329">
        <v>740</v>
      </c>
      <c r="AS482" s="329"/>
      <c r="AT482" s="329" t="s">
        <v>848</v>
      </c>
      <c r="AU482" s="329" t="s">
        <v>283</v>
      </c>
      <c r="AV482" s="331" t="s">
        <v>292</v>
      </c>
      <c r="AW482" s="329"/>
      <c r="AX482" s="329"/>
      <c r="AY482" s="329"/>
      <c r="AZ482" s="329"/>
      <c r="BA482" s="329"/>
      <c r="BB482" s="329"/>
      <c r="BC482" s="329"/>
      <c r="BD482" s="329"/>
      <c r="BE482" s="329" t="s">
        <v>257</v>
      </c>
      <c r="BF482" s="329" t="s">
        <v>834</v>
      </c>
      <c r="BG482" s="329"/>
      <c r="BH482" s="329"/>
      <c r="BI482" s="329"/>
      <c r="BJ482" s="329"/>
      <c r="BK482" s="329">
        <v>20400</v>
      </c>
      <c r="BL482" s="329"/>
      <c r="BM482" s="331" t="s">
        <v>278</v>
      </c>
      <c r="BN482" s="329" t="s">
        <v>922</v>
      </c>
      <c r="BO482" s="333">
        <v>43753</v>
      </c>
      <c r="BP482" s="329"/>
      <c r="BQ482" s="329"/>
      <c r="BR482" s="329"/>
      <c r="BS482" s="329"/>
      <c r="BT482" s="329"/>
      <c r="BU482" s="331" t="s">
        <v>261</v>
      </c>
      <c r="BV482" s="329"/>
      <c r="BW482" s="329"/>
      <c r="BX482" s="329"/>
      <c r="BY482" s="331" t="s">
        <v>3441</v>
      </c>
      <c r="BZ482" s="331" t="s">
        <v>3442</v>
      </c>
      <c r="CA482" s="331" t="s">
        <v>3443</v>
      </c>
      <c r="CB482" s="331" t="s">
        <v>292</v>
      </c>
      <c r="CC482" s="331" t="s">
        <v>1817</v>
      </c>
    </row>
    <row r="483" spans="1:81" x14ac:dyDescent="0.25">
      <c r="A483" s="329">
        <v>196075</v>
      </c>
      <c r="B483" s="331" t="s">
        <v>3444</v>
      </c>
      <c r="C483" s="329">
        <v>33584</v>
      </c>
      <c r="D483" s="331" t="s">
        <v>3445</v>
      </c>
      <c r="E483" s="331" t="s">
        <v>3446</v>
      </c>
      <c r="F483" s="331" t="s">
        <v>3447</v>
      </c>
      <c r="G483" s="331" t="s">
        <v>5213</v>
      </c>
      <c r="H483" s="331" t="s">
        <v>3448</v>
      </c>
      <c r="I483" s="331" t="s">
        <v>3449</v>
      </c>
      <c r="J483" s="331" t="s">
        <v>297</v>
      </c>
      <c r="K483" s="331" t="s">
        <v>3450</v>
      </c>
      <c r="L483" s="329"/>
      <c r="M483" s="329">
        <v>6</v>
      </c>
      <c r="N483" s="329">
        <v>0</v>
      </c>
      <c r="O483" s="329">
        <v>3.9</v>
      </c>
      <c r="P483" s="329"/>
      <c r="Q483" s="333">
        <v>43579.701388888891</v>
      </c>
      <c r="R483" s="329"/>
      <c r="S483" s="333">
        <v>43752</v>
      </c>
      <c r="T483" s="329">
        <v>55</v>
      </c>
      <c r="U483" s="333">
        <v>43752</v>
      </c>
      <c r="V483" s="333">
        <v>44109</v>
      </c>
      <c r="W483" s="329" t="b">
        <v>1</v>
      </c>
      <c r="X483" s="331" t="s">
        <v>22</v>
      </c>
      <c r="Y483" s="329">
        <v>726</v>
      </c>
      <c r="Z483" s="331" t="s">
        <v>23</v>
      </c>
      <c r="AA483" s="331" t="s">
        <v>919</v>
      </c>
      <c r="AB483" s="331" t="s">
        <v>920</v>
      </c>
      <c r="AC483" s="331" t="s">
        <v>1329</v>
      </c>
      <c r="AD483" s="331" t="s">
        <v>24</v>
      </c>
      <c r="AE483" s="329">
        <v>221</v>
      </c>
      <c r="AF483" s="331" t="s">
        <v>254</v>
      </c>
      <c r="AG483" s="329"/>
      <c r="AH483" s="329">
        <v>17</v>
      </c>
      <c r="AI483" s="331" t="s">
        <v>280</v>
      </c>
      <c r="AJ483" s="331" t="s">
        <v>281</v>
      </c>
      <c r="AK483" s="329"/>
      <c r="AL483" s="329"/>
      <c r="AM483" s="329"/>
      <c r="AN483" s="329"/>
      <c r="AO483" s="329"/>
      <c r="AP483" s="329"/>
      <c r="AQ483" s="329"/>
      <c r="AR483" s="329"/>
      <c r="AS483" s="329"/>
      <c r="AT483" s="329" t="s">
        <v>258</v>
      </c>
      <c r="AU483" s="329" t="s">
        <v>256</v>
      </c>
      <c r="AV483" s="331" t="s">
        <v>297</v>
      </c>
      <c r="AW483" s="329"/>
      <c r="AX483" s="329"/>
      <c r="AY483" s="329"/>
      <c r="AZ483" s="329"/>
      <c r="BA483" s="329"/>
      <c r="BB483" s="329"/>
      <c r="BC483" s="329"/>
      <c r="BD483" s="329"/>
      <c r="BE483" s="329" t="s">
        <v>257</v>
      </c>
      <c r="BF483" s="329" t="s">
        <v>838</v>
      </c>
      <c r="BG483" s="329"/>
      <c r="BH483" s="329"/>
      <c r="BI483" s="329"/>
      <c r="BJ483" s="329"/>
      <c r="BK483" s="329">
        <v>15600</v>
      </c>
      <c r="BL483" s="329"/>
      <c r="BM483" s="331" t="s">
        <v>259</v>
      </c>
      <c r="BN483" s="329" t="s">
        <v>922</v>
      </c>
      <c r="BO483" s="333">
        <v>43753</v>
      </c>
      <c r="BP483" s="329"/>
      <c r="BQ483" s="329"/>
      <c r="BR483" s="329"/>
      <c r="BS483" s="329"/>
      <c r="BT483" s="329"/>
      <c r="BU483" s="331" t="s">
        <v>261</v>
      </c>
      <c r="BV483" s="329"/>
      <c r="BW483" s="329"/>
      <c r="BX483" s="329"/>
      <c r="BY483" s="331" t="s">
        <v>3451</v>
      </c>
      <c r="BZ483" s="331" t="s">
        <v>3452</v>
      </c>
      <c r="CA483" s="331" t="s">
        <v>3453</v>
      </c>
      <c r="CB483" s="331" t="s">
        <v>297</v>
      </c>
      <c r="CC483" s="331" t="s">
        <v>3454</v>
      </c>
    </row>
    <row r="484" spans="1:81" x14ac:dyDescent="0.25">
      <c r="A484" s="329">
        <v>196237</v>
      </c>
      <c r="B484" s="331" t="s">
        <v>3465</v>
      </c>
      <c r="C484" s="329">
        <v>34563</v>
      </c>
      <c r="D484" s="331" t="s">
        <v>3466</v>
      </c>
      <c r="E484" s="331" t="s">
        <v>3467</v>
      </c>
      <c r="F484" s="331" t="s">
        <v>3468</v>
      </c>
      <c r="G484" s="331" t="s">
        <v>3469</v>
      </c>
      <c r="H484" s="331" t="s">
        <v>3470</v>
      </c>
      <c r="I484" s="331" t="s">
        <v>3471</v>
      </c>
      <c r="J484" s="331" t="s">
        <v>292</v>
      </c>
      <c r="K484" s="331" t="s">
        <v>3472</v>
      </c>
      <c r="L484" s="329"/>
      <c r="M484" s="329">
        <v>6</v>
      </c>
      <c r="N484" s="329">
        <v>0</v>
      </c>
      <c r="O484" s="329">
        <v>3.4523799999999998</v>
      </c>
      <c r="P484" s="329"/>
      <c r="Q484" s="333">
        <v>43643.534722222219</v>
      </c>
      <c r="R484" s="329"/>
      <c r="S484" s="333">
        <v>43752</v>
      </c>
      <c r="T484" s="329">
        <v>55</v>
      </c>
      <c r="U484" s="333">
        <v>43752</v>
      </c>
      <c r="V484" s="333">
        <v>44109</v>
      </c>
      <c r="W484" s="329" t="b">
        <v>1</v>
      </c>
      <c r="X484" s="331" t="s">
        <v>22</v>
      </c>
      <c r="Y484" s="329">
        <v>726</v>
      </c>
      <c r="Z484" s="331" t="s">
        <v>23</v>
      </c>
      <c r="AA484" s="331" t="s">
        <v>919</v>
      </c>
      <c r="AB484" s="331" t="s">
        <v>920</v>
      </c>
      <c r="AC484" s="331" t="s">
        <v>1097</v>
      </c>
      <c r="AD484" s="331" t="s">
        <v>24</v>
      </c>
      <c r="AE484" s="329">
        <v>221</v>
      </c>
      <c r="AF484" s="331" t="s">
        <v>254</v>
      </c>
      <c r="AG484" s="329"/>
      <c r="AH484" s="329">
        <v>17</v>
      </c>
      <c r="AI484" s="331" t="s">
        <v>280</v>
      </c>
      <c r="AJ484" s="331" t="s">
        <v>281</v>
      </c>
      <c r="AK484" s="331" t="s">
        <v>386</v>
      </c>
      <c r="AL484" s="331" t="s">
        <v>329</v>
      </c>
      <c r="AM484" s="331" t="s">
        <v>386</v>
      </c>
      <c r="AN484" s="331" t="s">
        <v>359</v>
      </c>
      <c r="AO484" s="331" t="s">
        <v>331</v>
      </c>
      <c r="AP484" s="329"/>
      <c r="AQ484" s="329"/>
      <c r="AR484" s="329"/>
      <c r="AS484" s="329"/>
      <c r="AT484" s="329" t="s">
        <v>266</v>
      </c>
      <c r="AU484" s="329" t="s">
        <v>256</v>
      </c>
      <c r="AV484" s="331" t="s">
        <v>292</v>
      </c>
      <c r="AW484" s="329"/>
      <c r="AX484" s="329"/>
      <c r="AY484" s="329"/>
      <c r="AZ484" s="329"/>
      <c r="BA484" s="329"/>
      <c r="BB484" s="329"/>
      <c r="BC484" s="329"/>
      <c r="BD484" s="329"/>
      <c r="BE484" s="329" t="s">
        <v>257</v>
      </c>
      <c r="BF484" s="329" t="s">
        <v>841</v>
      </c>
      <c r="BG484" s="329"/>
      <c r="BH484" s="329"/>
      <c r="BI484" s="329"/>
      <c r="BJ484" s="329"/>
      <c r="BK484" s="329">
        <v>9000</v>
      </c>
      <c r="BL484" s="329"/>
      <c r="BM484" s="331" t="s">
        <v>189</v>
      </c>
      <c r="BN484" s="329" t="s">
        <v>922</v>
      </c>
      <c r="BO484" s="333">
        <v>43753</v>
      </c>
      <c r="BP484" s="329"/>
      <c r="BQ484" s="329"/>
      <c r="BR484" s="329"/>
      <c r="BS484" s="329"/>
      <c r="BT484" s="329"/>
      <c r="BU484" s="331" t="s">
        <v>261</v>
      </c>
      <c r="BV484" s="329"/>
      <c r="BW484" s="329"/>
      <c r="BX484" s="329"/>
      <c r="BY484" s="331" t="s">
        <v>3473</v>
      </c>
      <c r="BZ484" s="331" t="s">
        <v>3474</v>
      </c>
      <c r="CA484" s="331" t="s">
        <v>3475</v>
      </c>
      <c r="CB484" s="331" t="s">
        <v>292</v>
      </c>
      <c r="CC484" s="331" t="s">
        <v>3476</v>
      </c>
    </row>
    <row r="485" spans="1:81" x14ac:dyDescent="0.25">
      <c r="A485" s="329">
        <v>197961</v>
      </c>
      <c r="B485" s="331" t="s">
        <v>3524</v>
      </c>
      <c r="C485" s="329">
        <v>35040</v>
      </c>
      <c r="D485" s="331" t="s">
        <v>3525</v>
      </c>
      <c r="E485" s="331" t="s">
        <v>380</v>
      </c>
      <c r="F485" s="331" t="s">
        <v>3526</v>
      </c>
      <c r="G485" s="331" t="s">
        <v>3527</v>
      </c>
      <c r="H485" s="331" t="s">
        <v>3528</v>
      </c>
      <c r="I485" s="331" t="s">
        <v>702</v>
      </c>
      <c r="J485" s="331" t="s">
        <v>393</v>
      </c>
      <c r="K485" s="331" t="s">
        <v>3529</v>
      </c>
      <c r="L485" s="329"/>
      <c r="M485" s="329">
        <v>6</v>
      </c>
      <c r="N485" s="329">
        <v>0</v>
      </c>
      <c r="O485" s="329">
        <v>3.81</v>
      </c>
      <c r="P485" s="329"/>
      <c r="Q485" s="333">
        <v>43578.618055555555</v>
      </c>
      <c r="R485" s="329"/>
      <c r="S485" s="333">
        <v>43753</v>
      </c>
      <c r="T485" s="329">
        <v>55</v>
      </c>
      <c r="U485" s="333">
        <v>43753</v>
      </c>
      <c r="V485" s="333">
        <v>44109</v>
      </c>
      <c r="W485" s="329" t="b">
        <v>1</v>
      </c>
      <c r="X485" s="331" t="s">
        <v>22</v>
      </c>
      <c r="Y485" s="329">
        <v>429</v>
      </c>
      <c r="Z485" s="331" t="s">
        <v>23</v>
      </c>
      <c r="AA485" s="331" t="s">
        <v>919</v>
      </c>
      <c r="AB485" s="331" t="s">
        <v>920</v>
      </c>
      <c r="AC485" s="331" t="s">
        <v>1329</v>
      </c>
      <c r="AD485" s="331" t="s">
        <v>24</v>
      </c>
      <c r="AE485" s="329">
        <v>221</v>
      </c>
      <c r="AF485" s="331" t="s">
        <v>254</v>
      </c>
      <c r="AG485" s="329"/>
      <c r="AH485" s="329">
        <v>17</v>
      </c>
      <c r="AI485" s="331" t="s">
        <v>280</v>
      </c>
      <c r="AJ485" s="331" t="s">
        <v>281</v>
      </c>
      <c r="AK485" s="331" t="s">
        <v>331</v>
      </c>
      <c r="AL485" s="331" t="s">
        <v>299</v>
      </c>
      <c r="AM485" s="331" t="s">
        <v>299</v>
      </c>
      <c r="AN485" s="331" t="s">
        <v>328</v>
      </c>
      <c r="AO485" s="331" t="s">
        <v>328</v>
      </c>
      <c r="AP485" s="331" t="s">
        <v>265</v>
      </c>
      <c r="AQ485" s="329">
        <v>540</v>
      </c>
      <c r="AR485" s="329">
        <v>540</v>
      </c>
      <c r="AS485" s="329"/>
      <c r="AT485" s="329" t="s">
        <v>319</v>
      </c>
      <c r="AU485" s="329" t="s">
        <v>256</v>
      </c>
      <c r="AV485" s="331" t="s">
        <v>393</v>
      </c>
      <c r="AW485" s="329"/>
      <c r="AX485" s="329"/>
      <c r="AY485" s="329"/>
      <c r="AZ485" s="329"/>
      <c r="BA485" s="329"/>
      <c r="BB485" s="329"/>
      <c r="BC485" s="329"/>
      <c r="BD485" s="329"/>
      <c r="BE485" s="329" t="s">
        <v>257</v>
      </c>
      <c r="BF485" s="329" t="s">
        <v>834</v>
      </c>
      <c r="BG485" s="329"/>
      <c r="BH485" s="329"/>
      <c r="BI485" s="329"/>
      <c r="BJ485" s="329"/>
      <c r="BK485" s="329">
        <v>20400</v>
      </c>
      <c r="BL485" s="329"/>
      <c r="BM485" s="331" t="s">
        <v>278</v>
      </c>
      <c r="BN485" s="329" t="s">
        <v>922</v>
      </c>
      <c r="BO485" s="333">
        <v>43753</v>
      </c>
      <c r="BP485" s="329"/>
      <c r="BQ485" s="329"/>
      <c r="BR485" s="329"/>
      <c r="BS485" s="329"/>
      <c r="BT485" s="329"/>
      <c r="BU485" s="331" t="s">
        <v>261</v>
      </c>
      <c r="BV485" s="329"/>
      <c r="BW485" s="329"/>
      <c r="BX485" s="329"/>
      <c r="BY485" s="331" t="s">
        <v>3530</v>
      </c>
      <c r="BZ485" s="331" t="s">
        <v>3531</v>
      </c>
      <c r="CA485" s="331" t="s">
        <v>701</v>
      </c>
      <c r="CB485" s="331" t="s">
        <v>393</v>
      </c>
      <c r="CC485" s="331" t="s">
        <v>3529</v>
      </c>
    </row>
    <row r="486" spans="1:81" x14ac:dyDescent="0.25">
      <c r="A486" s="329">
        <v>198251</v>
      </c>
      <c r="B486" s="331" t="s">
        <v>3553</v>
      </c>
      <c r="C486" s="329">
        <v>35172</v>
      </c>
      <c r="D486" s="331" t="s">
        <v>3554</v>
      </c>
      <c r="E486" s="331" t="s">
        <v>380</v>
      </c>
      <c r="F486" s="331" t="s">
        <v>3555</v>
      </c>
      <c r="G486" s="331" t="s">
        <v>5507</v>
      </c>
      <c r="H486" s="331" t="s">
        <v>5508</v>
      </c>
      <c r="I486" s="331" t="s">
        <v>3556</v>
      </c>
      <c r="J486" s="331" t="s">
        <v>307</v>
      </c>
      <c r="K486" s="331" t="s">
        <v>3557</v>
      </c>
      <c r="L486" s="329"/>
      <c r="M486" s="329">
        <v>6</v>
      </c>
      <c r="N486" s="329">
        <v>0</v>
      </c>
      <c r="O486" s="329">
        <v>2.919</v>
      </c>
      <c r="P486" s="329"/>
      <c r="Q486" s="333">
        <v>43725.502083333333</v>
      </c>
      <c r="R486" s="329"/>
      <c r="S486" s="333">
        <v>43752</v>
      </c>
      <c r="T486" s="329">
        <v>55</v>
      </c>
      <c r="U486" s="333">
        <v>43752</v>
      </c>
      <c r="V486" s="333">
        <v>44109</v>
      </c>
      <c r="W486" s="329" t="b">
        <v>1</v>
      </c>
      <c r="X486" s="331" t="s">
        <v>22</v>
      </c>
      <c r="Y486" s="329">
        <v>429</v>
      </c>
      <c r="Z486" s="331" t="s">
        <v>23</v>
      </c>
      <c r="AA486" s="331" t="s">
        <v>919</v>
      </c>
      <c r="AB486" s="331" t="s">
        <v>920</v>
      </c>
      <c r="AC486" s="331" t="s">
        <v>1750</v>
      </c>
      <c r="AD486" s="331" t="s">
        <v>24</v>
      </c>
      <c r="AE486" s="329">
        <v>221</v>
      </c>
      <c r="AF486" s="331" t="s">
        <v>254</v>
      </c>
      <c r="AG486" s="329"/>
      <c r="AH486" s="329">
        <v>17</v>
      </c>
      <c r="AI486" s="331" t="s">
        <v>280</v>
      </c>
      <c r="AJ486" s="331" t="s">
        <v>281</v>
      </c>
      <c r="AK486" s="329"/>
      <c r="AL486" s="329"/>
      <c r="AM486" s="329"/>
      <c r="AN486" s="329"/>
      <c r="AO486" s="329"/>
      <c r="AP486" s="331" t="s">
        <v>832</v>
      </c>
      <c r="AQ486" s="329">
        <v>520</v>
      </c>
      <c r="AR486" s="329">
        <v>570</v>
      </c>
      <c r="AS486" s="329"/>
      <c r="AT486" s="329" t="s">
        <v>466</v>
      </c>
      <c r="AU486" s="329" t="s">
        <v>283</v>
      </c>
      <c r="AV486" s="331" t="s">
        <v>307</v>
      </c>
      <c r="AW486" s="329"/>
      <c r="AX486" s="329"/>
      <c r="AY486" s="329"/>
      <c r="AZ486" s="329"/>
      <c r="BA486" s="329"/>
      <c r="BB486" s="329"/>
      <c r="BC486" s="329"/>
      <c r="BD486" s="329"/>
      <c r="BE486" s="329" t="s">
        <v>257</v>
      </c>
      <c r="BF486" s="329" t="s">
        <v>830</v>
      </c>
      <c r="BG486" s="329"/>
      <c r="BH486" s="329"/>
      <c r="BI486" s="329"/>
      <c r="BJ486" s="329"/>
      <c r="BK486" s="329">
        <v>12000</v>
      </c>
      <c r="BL486" s="329"/>
      <c r="BM486" s="331" t="s">
        <v>26</v>
      </c>
      <c r="BN486" s="329" t="s">
        <v>922</v>
      </c>
      <c r="BO486" s="333">
        <v>43753</v>
      </c>
      <c r="BP486" s="329"/>
      <c r="BQ486" s="329"/>
      <c r="BR486" s="329"/>
      <c r="BS486" s="329"/>
      <c r="BT486" s="329"/>
      <c r="BU486" s="331" t="s">
        <v>261</v>
      </c>
      <c r="BV486" s="329"/>
      <c r="BW486" s="329"/>
      <c r="BX486" s="329"/>
      <c r="BY486" s="331" t="s">
        <v>3558</v>
      </c>
      <c r="BZ486" s="331" t="s">
        <v>3559</v>
      </c>
      <c r="CA486" s="331" t="s">
        <v>3560</v>
      </c>
      <c r="CB486" s="331" t="s">
        <v>307</v>
      </c>
      <c r="CC486" s="331" t="s">
        <v>3561</v>
      </c>
    </row>
    <row r="487" spans="1:81" x14ac:dyDescent="0.25">
      <c r="A487" s="329">
        <v>198300</v>
      </c>
      <c r="B487" s="331" t="s">
        <v>3594</v>
      </c>
      <c r="C487" s="329">
        <v>35210</v>
      </c>
      <c r="D487" s="331" t="s">
        <v>3595</v>
      </c>
      <c r="E487" s="331" t="s">
        <v>3596</v>
      </c>
      <c r="F487" s="331" t="s">
        <v>3597</v>
      </c>
      <c r="G487" s="331" t="s">
        <v>3598</v>
      </c>
      <c r="H487" s="331" t="s">
        <v>3599</v>
      </c>
      <c r="I487" s="331" t="s">
        <v>3600</v>
      </c>
      <c r="J487" s="331" t="s">
        <v>449</v>
      </c>
      <c r="K487" s="331" t="s">
        <v>3601</v>
      </c>
      <c r="L487" s="329"/>
      <c r="M487" s="329">
        <v>6</v>
      </c>
      <c r="N487" s="329">
        <v>0</v>
      </c>
      <c r="O487" s="329">
        <v>3.95</v>
      </c>
      <c r="P487" s="329"/>
      <c r="Q487" s="333">
        <v>43701.85765046296</v>
      </c>
      <c r="R487" s="329"/>
      <c r="S487" s="333">
        <v>43752</v>
      </c>
      <c r="T487" s="329">
        <v>55</v>
      </c>
      <c r="U487" s="333">
        <v>43752</v>
      </c>
      <c r="V487" s="333">
        <v>44109</v>
      </c>
      <c r="W487" s="329" t="b">
        <v>1</v>
      </c>
      <c r="X487" s="331" t="s">
        <v>187</v>
      </c>
      <c r="Y487" s="329">
        <v>718</v>
      </c>
      <c r="Z487" s="331" t="s">
        <v>23</v>
      </c>
      <c r="AA487" s="331" t="s">
        <v>919</v>
      </c>
      <c r="AB487" s="331" t="s">
        <v>920</v>
      </c>
      <c r="AC487" s="331" t="s">
        <v>3602</v>
      </c>
      <c r="AD487" s="331" t="s">
        <v>24</v>
      </c>
      <c r="AE487" s="329">
        <v>221</v>
      </c>
      <c r="AF487" s="331" t="s">
        <v>254</v>
      </c>
      <c r="AG487" s="329"/>
      <c r="AH487" s="329">
        <v>17</v>
      </c>
      <c r="AI487" s="331" t="s">
        <v>280</v>
      </c>
      <c r="AJ487" s="331" t="s">
        <v>281</v>
      </c>
      <c r="AK487" s="331" t="s">
        <v>290</v>
      </c>
      <c r="AL487" s="331" t="s">
        <v>331</v>
      </c>
      <c r="AM487" s="331" t="s">
        <v>274</v>
      </c>
      <c r="AN487" s="331" t="s">
        <v>299</v>
      </c>
      <c r="AO487" s="331" t="s">
        <v>275</v>
      </c>
      <c r="AP487" s="329"/>
      <c r="AQ487" s="329"/>
      <c r="AR487" s="329"/>
      <c r="AS487" s="329"/>
      <c r="AT487" s="329" t="s">
        <v>855</v>
      </c>
      <c r="AU487" s="329" t="s">
        <v>283</v>
      </c>
      <c r="AV487" s="331" t="s">
        <v>449</v>
      </c>
      <c r="AW487" s="329"/>
      <c r="AX487" s="329"/>
      <c r="AY487" s="329"/>
      <c r="AZ487" s="329"/>
      <c r="BA487" s="329"/>
      <c r="BB487" s="329"/>
      <c r="BC487" s="329"/>
      <c r="BD487" s="329"/>
      <c r="BE487" s="329" t="s">
        <v>257</v>
      </c>
      <c r="BF487" s="329" t="s">
        <v>834</v>
      </c>
      <c r="BG487" s="329"/>
      <c r="BH487" s="329"/>
      <c r="BI487" s="329"/>
      <c r="BJ487" s="329"/>
      <c r="BK487" s="329">
        <v>20400</v>
      </c>
      <c r="BL487" s="329"/>
      <c r="BM487" s="331" t="s">
        <v>278</v>
      </c>
      <c r="BN487" s="329" t="s">
        <v>922</v>
      </c>
      <c r="BO487" s="333">
        <v>43753</v>
      </c>
      <c r="BP487" s="329"/>
      <c r="BQ487" s="329"/>
      <c r="BR487" s="329"/>
      <c r="BS487" s="329"/>
      <c r="BT487" s="329"/>
      <c r="BU487" s="331" t="s">
        <v>261</v>
      </c>
      <c r="BV487" s="329"/>
      <c r="BW487" s="329"/>
      <c r="BX487" s="329"/>
      <c r="BY487" s="331" t="s">
        <v>3603</v>
      </c>
      <c r="BZ487" s="331" t="s">
        <v>3604</v>
      </c>
      <c r="CA487" s="331" t="s">
        <v>3605</v>
      </c>
      <c r="CB487" s="331" t="s">
        <v>449</v>
      </c>
      <c r="CC487" s="331" t="s">
        <v>3601</v>
      </c>
    </row>
    <row r="488" spans="1:81" x14ac:dyDescent="0.25">
      <c r="A488" s="329">
        <v>196267</v>
      </c>
      <c r="B488" s="331" t="s">
        <v>3606</v>
      </c>
      <c r="C488" s="329">
        <v>34585</v>
      </c>
      <c r="D488" s="331" t="s">
        <v>3595</v>
      </c>
      <c r="E488" s="331" t="s">
        <v>3607</v>
      </c>
      <c r="F488" s="331" t="s">
        <v>3608</v>
      </c>
      <c r="G488" s="331" t="s">
        <v>3609</v>
      </c>
      <c r="H488" s="331" t="s">
        <v>3610</v>
      </c>
      <c r="I488" s="331" t="s">
        <v>3611</v>
      </c>
      <c r="J488" s="331" t="s">
        <v>322</v>
      </c>
      <c r="K488" s="331" t="s">
        <v>3612</v>
      </c>
      <c r="L488" s="329"/>
      <c r="M488" s="329">
        <v>6</v>
      </c>
      <c r="N488" s="329">
        <v>0</v>
      </c>
      <c r="O488" s="329">
        <v>3.1110000000000002</v>
      </c>
      <c r="P488" s="329"/>
      <c r="Q488" s="333">
        <v>43676.51666666667</v>
      </c>
      <c r="R488" s="329"/>
      <c r="S488" s="333">
        <v>43752</v>
      </c>
      <c r="T488" s="329">
        <v>55</v>
      </c>
      <c r="U488" s="333">
        <v>43752</v>
      </c>
      <c r="V488" s="333">
        <v>44109</v>
      </c>
      <c r="W488" s="329" t="b">
        <v>1</v>
      </c>
      <c r="X488" s="331" t="s">
        <v>22</v>
      </c>
      <c r="Y488" s="329">
        <v>726</v>
      </c>
      <c r="Z488" s="331" t="s">
        <v>23</v>
      </c>
      <c r="AA488" s="331" t="s">
        <v>919</v>
      </c>
      <c r="AB488" s="331" t="s">
        <v>920</v>
      </c>
      <c r="AC488" s="331" t="s">
        <v>346</v>
      </c>
      <c r="AD488" s="331" t="s">
        <v>24</v>
      </c>
      <c r="AE488" s="329">
        <v>221</v>
      </c>
      <c r="AF488" s="331" t="s">
        <v>254</v>
      </c>
      <c r="AG488" s="329"/>
      <c r="AH488" s="329">
        <v>17</v>
      </c>
      <c r="AI488" s="331" t="s">
        <v>280</v>
      </c>
      <c r="AJ488" s="331" t="s">
        <v>281</v>
      </c>
      <c r="AK488" s="331" t="s">
        <v>285</v>
      </c>
      <c r="AL488" s="331" t="s">
        <v>286</v>
      </c>
      <c r="AM488" s="331" t="s">
        <v>273</v>
      </c>
      <c r="AN488" s="331" t="s">
        <v>348</v>
      </c>
      <c r="AO488" s="331" t="s">
        <v>348</v>
      </c>
      <c r="AP488" s="329"/>
      <c r="AQ488" s="329"/>
      <c r="AR488" s="329"/>
      <c r="AS488" s="329"/>
      <c r="AT488" s="329" t="s">
        <v>379</v>
      </c>
      <c r="AU488" s="329" t="s">
        <v>256</v>
      </c>
      <c r="AV488" s="331" t="s">
        <v>322</v>
      </c>
      <c r="AW488" s="329"/>
      <c r="AX488" s="329"/>
      <c r="AY488" s="329"/>
      <c r="AZ488" s="329"/>
      <c r="BA488" s="329"/>
      <c r="BB488" s="329"/>
      <c r="BC488" s="329"/>
      <c r="BD488" s="329"/>
      <c r="BE488" s="329" t="s">
        <v>257</v>
      </c>
      <c r="BF488" s="329" t="s">
        <v>834</v>
      </c>
      <c r="BG488" s="329"/>
      <c r="BH488" s="329"/>
      <c r="BI488" s="329"/>
      <c r="BJ488" s="329"/>
      <c r="BK488" s="329">
        <v>20400</v>
      </c>
      <c r="BL488" s="329"/>
      <c r="BM488" s="331" t="s">
        <v>278</v>
      </c>
      <c r="BN488" s="329" t="s">
        <v>922</v>
      </c>
      <c r="BO488" s="333">
        <v>43753</v>
      </c>
      <c r="BP488" s="329"/>
      <c r="BQ488" s="329"/>
      <c r="BR488" s="329"/>
      <c r="BS488" s="329"/>
      <c r="BT488" s="329"/>
      <c r="BU488" s="331" t="s">
        <v>261</v>
      </c>
      <c r="BV488" s="329"/>
      <c r="BW488" s="329"/>
      <c r="BX488" s="329"/>
      <c r="BY488" s="331" t="s">
        <v>3613</v>
      </c>
      <c r="BZ488" s="331" t="s">
        <v>3614</v>
      </c>
      <c r="CA488" s="331" t="s">
        <v>3615</v>
      </c>
      <c r="CB488" s="331" t="s">
        <v>322</v>
      </c>
      <c r="CC488" s="331" t="s">
        <v>3612</v>
      </c>
    </row>
    <row r="489" spans="1:81" x14ac:dyDescent="0.25">
      <c r="A489" s="329">
        <v>198402</v>
      </c>
      <c r="B489" s="331" t="s">
        <v>3616</v>
      </c>
      <c r="C489" s="329">
        <v>35268</v>
      </c>
      <c r="D489" s="331" t="s">
        <v>269</v>
      </c>
      <c r="E489" s="331" t="s">
        <v>3617</v>
      </c>
      <c r="F489" s="331" t="s">
        <v>3618</v>
      </c>
      <c r="G489" s="331" t="s">
        <v>3619</v>
      </c>
      <c r="H489" s="331" t="s">
        <v>5362</v>
      </c>
      <c r="I489" s="331" t="s">
        <v>812</v>
      </c>
      <c r="J489" s="331" t="s">
        <v>306</v>
      </c>
      <c r="K489" s="331" t="s">
        <v>3620</v>
      </c>
      <c r="L489" s="329"/>
      <c r="M489" s="329">
        <v>6</v>
      </c>
      <c r="N489" s="329">
        <v>0</v>
      </c>
      <c r="O489" s="329">
        <v>3.7</v>
      </c>
      <c r="P489" s="329"/>
      <c r="Q489" s="333">
        <v>43641.486122685186</v>
      </c>
      <c r="R489" s="329"/>
      <c r="S489" s="333">
        <v>43752</v>
      </c>
      <c r="T489" s="329">
        <v>55</v>
      </c>
      <c r="U489" s="333">
        <v>43752</v>
      </c>
      <c r="V489" s="333">
        <v>44109</v>
      </c>
      <c r="W489" s="329" t="b">
        <v>1</v>
      </c>
      <c r="X489" s="331" t="s">
        <v>905</v>
      </c>
      <c r="Y489" s="329">
        <v>747</v>
      </c>
      <c r="Z489" s="331" t="s">
        <v>23</v>
      </c>
      <c r="AA489" s="331" t="s">
        <v>919</v>
      </c>
      <c r="AB489" s="331" t="s">
        <v>920</v>
      </c>
      <c r="AC489" s="331" t="s">
        <v>1097</v>
      </c>
      <c r="AD489" s="331" t="s">
        <v>24</v>
      </c>
      <c r="AE489" s="329">
        <v>221</v>
      </c>
      <c r="AF489" s="331" t="s">
        <v>254</v>
      </c>
      <c r="AG489" s="329"/>
      <c r="AH489" s="329">
        <v>17</v>
      </c>
      <c r="AI489" s="331" t="s">
        <v>280</v>
      </c>
      <c r="AJ489" s="331" t="s">
        <v>281</v>
      </c>
      <c r="AK489" s="331" t="s">
        <v>347</v>
      </c>
      <c r="AL489" s="331" t="s">
        <v>272</v>
      </c>
      <c r="AM489" s="331" t="s">
        <v>300</v>
      </c>
      <c r="AN489" s="331" t="s">
        <v>286</v>
      </c>
      <c r="AO489" s="331" t="s">
        <v>286</v>
      </c>
      <c r="AP489" s="329"/>
      <c r="AQ489" s="329"/>
      <c r="AR489" s="329"/>
      <c r="AS489" s="329"/>
      <c r="AT489" s="329" t="s">
        <v>313</v>
      </c>
      <c r="AU489" s="329" t="s">
        <v>283</v>
      </c>
      <c r="AV489" s="331" t="s">
        <v>306</v>
      </c>
      <c r="AW489" s="329"/>
      <c r="AX489" s="329"/>
      <c r="AY489" s="329"/>
      <c r="AZ489" s="329"/>
      <c r="BA489" s="329"/>
      <c r="BB489" s="329"/>
      <c r="BC489" s="329"/>
      <c r="BD489" s="329"/>
      <c r="BE489" s="329" t="s">
        <v>257</v>
      </c>
      <c r="BF489" s="329" t="s">
        <v>834</v>
      </c>
      <c r="BG489" s="329"/>
      <c r="BH489" s="329"/>
      <c r="BI489" s="329"/>
      <c r="BJ489" s="329"/>
      <c r="BK489" s="329">
        <v>20400</v>
      </c>
      <c r="BL489" s="329"/>
      <c r="BM489" s="331" t="s">
        <v>278</v>
      </c>
      <c r="BN489" s="329" t="s">
        <v>922</v>
      </c>
      <c r="BO489" s="333">
        <v>43753</v>
      </c>
      <c r="BP489" s="329"/>
      <c r="BQ489" s="329"/>
      <c r="BR489" s="329"/>
      <c r="BS489" s="329"/>
      <c r="BT489" s="329"/>
      <c r="BU489" s="331" t="s">
        <v>261</v>
      </c>
      <c r="BV489" s="329"/>
      <c r="BW489" s="329"/>
      <c r="BX489" s="329"/>
      <c r="BY489" s="331" t="s">
        <v>3621</v>
      </c>
      <c r="BZ489" s="331" t="s">
        <v>3622</v>
      </c>
      <c r="CA489" s="329"/>
      <c r="CB489" s="331" t="s">
        <v>558</v>
      </c>
      <c r="CC489" s="331" t="s">
        <v>304</v>
      </c>
    </row>
    <row r="490" spans="1:81" x14ac:dyDescent="0.25">
      <c r="A490" s="329">
        <v>197248</v>
      </c>
      <c r="B490" s="331" t="s">
        <v>3623</v>
      </c>
      <c r="C490" s="329">
        <v>34826</v>
      </c>
      <c r="D490" s="331" t="s">
        <v>269</v>
      </c>
      <c r="E490" s="331" t="s">
        <v>296</v>
      </c>
      <c r="F490" s="331" t="s">
        <v>786</v>
      </c>
      <c r="G490" s="331" t="s">
        <v>3624</v>
      </c>
      <c r="H490" s="331" t="s">
        <v>3625</v>
      </c>
      <c r="I490" s="331" t="s">
        <v>3626</v>
      </c>
      <c r="J490" s="331" t="s">
        <v>378</v>
      </c>
      <c r="K490" s="331" t="s">
        <v>3627</v>
      </c>
      <c r="L490" s="329"/>
      <c r="M490" s="329">
        <v>6</v>
      </c>
      <c r="N490" s="329">
        <v>0</v>
      </c>
      <c r="O490" s="329">
        <v>3.2059000000000002</v>
      </c>
      <c r="P490" s="329"/>
      <c r="Q490" s="333">
        <v>43703.90625</v>
      </c>
      <c r="R490" s="329"/>
      <c r="S490" s="333">
        <v>43752</v>
      </c>
      <c r="T490" s="329">
        <v>55</v>
      </c>
      <c r="U490" s="333">
        <v>43752</v>
      </c>
      <c r="V490" s="333">
        <v>44109</v>
      </c>
      <c r="W490" s="329" t="b">
        <v>1</v>
      </c>
      <c r="X490" s="331" t="s">
        <v>22</v>
      </c>
      <c r="Y490" s="329">
        <v>726</v>
      </c>
      <c r="Z490" s="331" t="s">
        <v>23</v>
      </c>
      <c r="AA490" s="331" t="s">
        <v>919</v>
      </c>
      <c r="AB490" s="331" t="s">
        <v>920</v>
      </c>
      <c r="AC490" s="331" t="s">
        <v>346</v>
      </c>
      <c r="AD490" s="331" t="s">
        <v>24</v>
      </c>
      <c r="AE490" s="329">
        <v>221</v>
      </c>
      <c r="AF490" s="331" t="s">
        <v>254</v>
      </c>
      <c r="AG490" s="329"/>
      <c r="AH490" s="329">
        <v>17</v>
      </c>
      <c r="AI490" s="331" t="s">
        <v>280</v>
      </c>
      <c r="AJ490" s="331" t="s">
        <v>281</v>
      </c>
      <c r="AK490" s="331" t="s">
        <v>275</v>
      </c>
      <c r="AL490" s="331" t="s">
        <v>286</v>
      </c>
      <c r="AM490" s="331" t="s">
        <v>331</v>
      </c>
      <c r="AN490" s="331" t="s">
        <v>301</v>
      </c>
      <c r="AO490" s="331" t="s">
        <v>301</v>
      </c>
      <c r="AP490" s="329"/>
      <c r="AQ490" s="329"/>
      <c r="AR490" s="329"/>
      <c r="AS490" s="329"/>
      <c r="AT490" s="329" t="s">
        <v>309</v>
      </c>
      <c r="AU490" s="329" t="s">
        <v>283</v>
      </c>
      <c r="AV490" s="331" t="s">
        <v>378</v>
      </c>
      <c r="AW490" s="329"/>
      <c r="AX490" s="329"/>
      <c r="AY490" s="329"/>
      <c r="AZ490" s="329"/>
      <c r="BA490" s="329"/>
      <c r="BB490" s="329"/>
      <c r="BC490" s="329"/>
      <c r="BD490" s="329"/>
      <c r="BE490" s="329" t="s">
        <v>257</v>
      </c>
      <c r="BF490" s="329" t="s">
        <v>838</v>
      </c>
      <c r="BG490" s="329"/>
      <c r="BH490" s="329"/>
      <c r="BI490" s="329"/>
      <c r="BJ490" s="329"/>
      <c r="BK490" s="329">
        <v>15600</v>
      </c>
      <c r="BL490" s="329"/>
      <c r="BM490" s="331" t="s">
        <v>259</v>
      </c>
      <c r="BN490" s="329" t="s">
        <v>922</v>
      </c>
      <c r="BO490" s="333">
        <v>43753</v>
      </c>
      <c r="BP490" s="329"/>
      <c r="BQ490" s="329"/>
      <c r="BR490" s="329"/>
      <c r="BS490" s="329"/>
      <c r="BT490" s="329"/>
      <c r="BU490" s="331" t="s">
        <v>261</v>
      </c>
      <c r="BV490" s="329"/>
      <c r="BW490" s="329"/>
      <c r="BX490" s="329"/>
      <c r="BY490" s="331" t="s">
        <v>3628</v>
      </c>
      <c r="BZ490" s="331" t="s">
        <v>3629</v>
      </c>
      <c r="CA490" s="331" t="s">
        <v>3630</v>
      </c>
      <c r="CB490" s="331" t="s">
        <v>378</v>
      </c>
      <c r="CC490" s="331" t="s">
        <v>3631</v>
      </c>
    </row>
    <row r="491" spans="1:81" x14ac:dyDescent="0.25">
      <c r="A491" s="329">
        <v>198034</v>
      </c>
      <c r="B491" s="331" t="s">
        <v>3648</v>
      </c>
      <c r="C491" s="329">
        <v>35067</v>
      </c>
      <c r="D491" s="331" t="s">
        <v>3649</v>
      </c>
      <c r="E491" s="331" t="s">
        <v>427</v>
      </c>
      <c r="F491" s="331" t="s">
        <v>3650</v>
      </c>
      <c r="G491" s="331" t="s">
        <v>3651</v>
      </c>
      <c r="H491" s="331" t="s">
        <v>3652</v>
      </c>
      <c r="I491" s="331" t="s">
        <v>3653</v>
      </c>
      <c r="J491" s="331" t="s">
        <v>360</v>
      </c>
      <c r="K491" s="331" t="s">
        <v>3654</v>
      </c>
      <c r="L491" s="329"/>
      <c r="M491" s="329">
        <v>6</v>
      </c>
      <c r="N491" s="329">
        <v>0</v>
      </c>
      <c r="O491" s="329">
        <v>3.9</v>
      </c>
      <c r="P491" s="329"/>
      <c r="Q491" s="333">
        <v>43633.638888888891</v>
      </c>
      <c r="R491" s="329"/>
      <c r="S491" s="333">
        <v>43752</v>
      </c>
      <c r="T491" s="329">
        <v>55</v>
      </c>
      <c r="U491" s="333">
        <v>43752</v>
      </c>
      <c r="V491" s="333">
        <v>44109</v>
      </c>
      <c r="W491" s="329" t="b">
        <v>1</v>
      </c>
      <c r="X491" s="331" t="s">
        <v>905</v>
      </c>
      <c r="Y491" s="329">
        <v>747</v>
      </c>
      <c r="Z491" s="331" t="s">
        <v>23</v>
      </c>
      <c r="AA491" s="331" t="s">
        <v>919</v>
      </c>
      <c r="AB491" s="331" t="s">
        <v>920</v>
      </c>
      <c r="AC491" s="331" t="s">
        <v>1482</v>
      </c>
      <c r="AD491" s="331" t="s">
        <v>24</v>
      </c>
      <c r="AE491" s="329">
        <v>221</v>
      </c>
      <c r="AF491" s="331" t="s">
        <v>254</v>
      </c>
      <c r="AG491" s="329"/>
      <c r="AH491" s="329">
        <v>17</v>
      </c>
      <c r="AI491" s="331" t="s">
        <v>280</v>
      </c>
      <c r="AJ491" s="331" t="s">
        <v>281</v>
      </c>
      <c r="AK491" s="331" t="s">
        <v>273</v>
      </c>
      <c r="AL491" s="331" t="s">
        <v>348</v>
      </c>
      <c r="AM491" s="331" t="s">
        <v>351</v>
      </c>
      <c r="AN491" s="331" t="s">
        <v>272</v>
      </c>
      <c r="AO491" s="331" t="s">
        <v>285</v>
      </c>
      <c r="AP491" s="331" t="s">
        <v>2927</v>
      </c>
      <c r="AQ491" s="329">
        <v>710</v>
      </c>
      <c r="AR491" s="329">
        <v>680</v>
      </c>
      <c r="AS491" s="329"/>
      <c r="AT491" s="329" t="s">
        <v>851</v>
      </c>
      <c r="AU491" s="329" t="s">
        <v>283</v>
      </c>
      <c r="AV491" s="331" t="s">
        <v>360</v>
      </c>
      <c r="AW491" s="329"/>
      <c r="AX491" s="329"/>
      <c r="AY491" s="329"/>
      <c r="AZ491" s="329"/>
      <c r="BA491" s="329"/>
      <c r="BB491" s="329"/>
      <c r="BC491" s="329"/>
      <c r="BD491" s="329"/>
      <c r="BE491" s="329" t="s">
        <v>257</v>
      </c>
      <c r="BF491" s="329" t="s">
        <v>834</v>
      </c>
      <c r="BG491" s="329"/>
      <c r="BH491" s="329"/>
      <c r="BI491" s="329"/>
      <c r="BJ491" s="329"/>
      <c r="BK491" s="329">
        <v>20400</v>
      </c>
      <c r="BL491" s="329"/>
      <c r="BM491" s="331" t="s">
        <v>278</v>
      </c>
      <c r="BN491" s="329" t="s">
        <v>922</v>
      </c>
      <c r="BO491" s="333">
        <v>43753</v>
      </c>
      <c r="BP491" s="329"/>
      <c r="BQ491" s="329"/>
      <c r="BR491" s="329"/>
      <c r="BS491" s="329"/>
      <c r="BT491" s="329"/>
      <c r="BU491" s="331" t="s">
        <v>261</v>
      </c>
      <c r="BV491" s="329"/>
      <c r="BW491" s="329"/>
      <c r="BX491" s="329"/>
      <c r="BY491" s="331" t="s">
        <v>3655</v>
      </c>
      <c r="BZ491" s="331" t="s">
        <v>3656</v>
      </c>
      <c r="CA491" s="331" t="s">
        <v>3657</v>
      </c>
      <c r="CB491" s="331" t="s">
        <v>360</v>
      </c>
      <c r="CC491" s="331" t="s">
        <v>3658</v>
      </c>
    </row>
    <row r="492" spans="1:81" x14ac:dyDescent="0.25">
      <c r="A492" s="329">
        <v>193430</v>
      </c>
      <c r="B492" s="331" t="s">
        <v>3690</v>
      </c>
      <c r="C492" s="329">
        <v>33835</v>
      </c>
      <c r="D492" s="331" t="s">
        <v>753</v>
      </c>
      <c r="E492" s="331" t="s">
        <v>3691</v>
      </c>
      <c r="F492" s="331" t="s">
        <v>3692</v>
      </c>
      <c r="G492" s="331" t="s">
        <v>3693</v>
      </c>
      <c r="H492" s="331" t="s">
        <v>4581</v>
      </c>
      <c r="I492" s="331" t="s">
        <v>3694</v>
      </c>
      <c r="J492" s="331" t="s">
        <v>292</v>
      </c>
      <c r="K492" s="331" t="s">
        <v>3695</v>
      </c>
      <c r="L492" s="329"/>
      <c r="M492" s="329">
        <v>6</v>
      </c>
      <c r="N492" s="329">
        <v>0</v>
      </c>
      <c r="O492" s="329">
        <v>3.1</v>
      </c>
      <c r="P492" s="329"/>
      <c r="Q492" s="333">
        <v>43628.659722222219</v>
      </c>
      <c r="R492" s="329"/>
      <c r="S492" s="333">
        <v>43752</v>
      </c>
      <c r="T492" s="329">
        <v>55</v>
      </c>
      <c r="U492" s="333">
        <v>43752</v>
      </c>
      <c r="V492" s="333">
        <v>44109</v>
      </c>
      <c r="W492" s="329" t="b">
        <v>1</v>
      </c>
      <c r="X492" s="331" t="s">
        <v>905</v>
      </c>
      <c r="Y492" s="329">
        <v>747</v>
      </c>
      <c r="Z492" s="331" t="s">
        <v>23</v>
      </c>
      <c r="AA492" s="331" t="s">
        <v>919</v>
      </c>
      <c r="AB492" s="331" t="s">
        <v>920</v>
      </c>
      <c r="AC492" s="331" t="s">
        <v>1011</v>
      </c>
      <c r="AD492" s="331" t="s">
        <v>24</v>
      </c>
      <c r="AE492" s="329">
        <v>221</v>
      </c>
      <c r="AF492" s="331" t="s">
        <v>254</v>
      </c>
      <c r="AG492" s="329"/>
      <c r="AH492" s="329">
        <v>17</v>
      </c>
      <c r="AI492" s="331" t="s">
        <v>280</v>
      </c>
      <c r="AJ492" s="331" t="s">
        <v>281</v>
      </c>
      <c r="AK492" s="329"/>
      <c r="AL492" s="329"/>
      <c r="AM492" s="329"/>
      <c r="AN492" s="329"/>
      <c r="AO492" s="329"/>
      <c r="AP492" s="329"/>
      <c r="AQ492" s="329"/>
      <c r="AR492" s="329"/>
      <c r="AS492" s="329"/>
      <c r="AT492" s="329" t="s">
        <v>258</v>
      </c>
      <c r="AU492" s="329" t="s">
        <v>283</v>
      </c>
      <c r="AV492" s="331" t="s">
        <v>292</v>
      </c>
      <c r="AW492" s="329"/>
      <c r="AX492" s="329"/>
      <c r="AY492" s="329"/>
      <c r="AZ492" s="329"/>
      <c r="BA492" s="329"/>
      <c r="BB492" s="329"/>
      <c r="BC492" s="329"/>
      <c r="BD492" s="329"/>
      <c r="BE492" s="329"/>
      <c r="BF492" s="329"/>
      <c r="BG492" s="329"/>
      <c r="BH492" s="329"/>
      <c r="BI492" s="329"/>
      <c r="BJ492" s="329"/>
      <c r="BK492" s="329">
        <v>0</v>
      </c>
      <c r="BL492" s="329"/>
      <c r="BM492" s="331" t="s">
        <v>27</v>
      </c>
      <c r="BN492" s="329" t="s">
        <v>922</v>
      </c>
      <c r="BO492" s="333">
        <v>43753</v>
      </c>
      <c r="BP492" s="329"/>
      <c r="BQ492" s="329"/>
      <c r="BR492" s="329"/>
      <c r="BS492" s="329"/>
      <c r="BT492" s="329"/>
      <c r="BU492" s="331" t="s">
        <v>261</v>
      </c>
      <c r="BV492" s="329"/>
      <c r="BW492" s="329"/>
      <c r="BX492" s="329"/>
      <c r="BY492" s="331" t="s">
        <v>3696</v>
      </c>
      <c r="BZ492" s="331" t="s">
        <v>3697</v>
      </c>
      <c r="CA492" s="331" t="s">
        <v>3698</v>
      </c>
      <c r="CB492" s="331" t="s">
        <v>292</v>
      </c>
      <c r="CC492" s="331" t="s">
        <v>3695</v>
      </c>
    </row>
    <row r="493" spans="1:81" x14ac:dyDescent="0.25">
      <c r="A493" s="329">
        <v>196434</v>
      </c>
      <c r="B493" s="331" t="s">
        <v>3741</v>
      </c>
      <c r="C493" s="329">
        <v>34648</v>
      </c>
      <c r="D493" s="331" t="s">
        <v>3742</v>
      </c>
      <c r="E493" s="331" t="s">
        <v>1929</v>
      </c>
      <c r="F493" s="331" t="s">
        <v>3743</v>
      </c>
      <c r="G493" s="331" t="s">
        <v>3744</v>
      </c>
      <c r="H493" s="331" t="s">
        <v>3745</v>
      </c>
      <c r="I493" s="331" t="s">
        <v>3746</v>
      </c>
      <c r="J493" s="331" t="s">
        <v>306</v>
      </c>
      <c r="K493" s="331" t="s">
        <v>3747</v>
      </c>
      <c r="L493" s="329"/>
      <c r="M493" s="329">
        <v>6</v>
      </c>
      <c r="N493" s="329">
        <v>0</v>
      </c>
      <c r="O493" s="329">
        <v>3.5</v>
      </c>
      <c r="P493" s="329"/>
      <c r="Q493" s="333">
        <v>43640.729861111111</v>
      </c>
      <c r="R493" s="329"/>
      <c r="S493" s="333">
        <v>43752</v>
      </c>
      <c r="T493" s="329">
        <v>55</v>
      </c>
      <c r="U493" s="333">
        <v>43752</v>
      </c>
      <c r="V493" s="333">
        <v>44109</v>
      </c>
      <c r="W493" s="329" t="b">
        <v>1</v>
      </c>
      <c r="X493" s="331" t="s">
        <v>22</v>
      </c>
      <c r="Y493" s="329">
        <v>726</v>
      </c>
      <c r="Z493" s="331" t="s">
        <v>23</v>
      </c>
      <c r="AA493" s="331" t="s">
        <v>919</v>
      </c>
      <c r="AB493" s="331" t="s">
        <v>920</v>
      </c>
      <c r="AC493" s="331" t="s">
        <v>1688</v>
      </c>
      <c r="AD493" s="331" t="s">
        <v>24</v>
      </c>
      <c r="AE493" s="329">
        <v>221</v>
      </c>
      <c r="AF493" s="331" t="s">
        <v>254</v>
      </c>
      <c r="AG493" s="329"/>
      <c r="AH493" s="329">
        <v>17</v>
      </c>
      <c r="AI493" s="331" t="s">
        <v>280</v>
      </c>
      <c r="AJ493" s="331" t="s">
        <v>281</v>
      </c>
      <c r="AK493" s="331" t="s">
        <v>328</v>
      </c>
      <c r="AL493" s="331" t="s">
        <v>359</v>
      </c>
      <c r="AM493" s="331" t="s">
        <v>328</v>
      </c>
      <c r="AN493" s="331" t="s">
        <v>331</v>
      </c>
      <c r="AO493" s="331" t="s">
        <v>299</v>
      </c>
      <c r="AP493" s="329"/>
      <c r="AQ493" s="329"/>
      <c r="AR493" s="329"/>
      <c r="AS493" s="329"/>
      <c r="AT493" s="329" t="s">
        <v>453</v>
      </c>
      <c r="AU493" s="329" t="s">
        <v>256</v>
      </c>
      <c r="AV493" s="331" t="s">
        <v>306</v>
      </c>
      <c r="AW493" s="329"/>
      <c r="AX493" s="329"/>
      <c r="AY493" s="329"/>
      <c r="AZ493" s="329"/>
      <c r="BA493" s="329"/>
      <c r="BB493" s="329"/>
      <c r="BC493" s="329"/>
      <c r="BD493" s="329"/>
      <c r="BE493" s="329" t="s">
        <v>257</v>
      </c>
      <c r="BF493" s="329" t="s">
        <v>830</v>
      </c>
      <c r="BG493" s="329"/>
      <c r="BH493" s="329"/>
      <c r="BI493" s="329"/>
      <c r="BJ493" s="329"/>
      <c r="BK493" s="329">
        <v>12000</v>
      </c>
      <c r="BL493" s="329"/>
      <c r="BM493" s="331" t="s">
        <v>26</v>
      </c>
      <c r="BN493" s="329" t="s">
        <v>922</v>
      </c>
      <c r="BO493" s="333">
        <v>43753</v>
      </c>
      <c r="BP493" s="329"/>
      <c r="BQ493" s="329"/>
      <c r="BR493" s="329"/>
      <c r="BS493" s="329"/>
      <c r="BT493" s="329"/>
      <c r="BU493" s="331" t="s">
        <v>261</v>
      </c>
      <c r="BV493" s="329"/>
      <c r="BW493" s="329"/>
      <c r="BX493" s="329"/>
      <c r="BY493" s="331" t="s">
        <v>3748</v>
      </c>
      <c r="BZ493" s="331" t="s">
        <v>3749</v>
      </c>
      <c r="CA493" s="331" t="s">
        <v>3750</v>
      </c>
      <c r="CB493" s="331" t="s">
        <v>306</v>
      </c>
      <c r="CC493" s="331" t="s">
        <v>3751</v>
      </c>
    </row>
    <row r="494" spans="1:81" x14ac:dyDescent="0.25">
      <c r="A494" s="329">
        <v>196270</v>
      </c>
      <c r="B494" s="331" t="s">
        <v>3762</v>
      </c>
      <c r="C494" s="329">
        <v>34587</v>
      </c>
      <c r="D494" s="331" t="s">
        <v>3763</v>
      </c>
      <c r="E494" s="331" t="s">
        <v>3764</v>
      </c>
      <c r="F494" s="331" t="s">
        <v>3765</v>
      </c>
      <c r="G494" s="331" t="s">
        <v>3766</v>
      </c>
      <c r="H494" s="331" t="s">
        <v>3767</v>
      </c>
      <c r="I494" s="331" t="s">
        <v>3768</v>
      </c>
      <c r="J494" s="331" t="s">
        <v>484</v>
      </c>
      <c r="K494" s="331" t="s">
        <v>3769</v>
      </c>
      <c r="L494" s="329"/>
      <c r="M494" s="329">
        <v>6</v>
      </c>
      <c r="N494" s="329">
        <v>0</v>
      </c>
      <c r="O494" s="329">
        <v>2.214</v>
      </c>
      <c r="P494" s="329"/>
      <c r="Q494" s="333">
        <v>43699.515277777777</v>
      </c>
      <c r="R494" s="329"/>
      <c r="S494" s="333">
        <v>43752</v>
      </c>
      <c r="T494" s="329">
        <v>55</v>
      </c>
      <c r="U494" s="333">
        <v>43752</v>
      </c>
      <c r="V494" s="333">
        <v>44109</v>
      </c>
      <c r="W494" s="329" t="b">
        <v>1</v>
      </c>
      <c r="X494" s="331" t="s">
        <v>22</v>
      </c>
      <c r="Y494" s="329">
        <v>726</v>
      </c>
      <c r="Z494" s="331" t="s">
        <v>23</v>
      </c>
      <c r="AA494" s="331" t="s">
        <v>919</v>
      </c>
      <c r="AB494" s="331" t="s">
        <v>920</v>
      </c>
      <c r="AC494" s="331" t="s">
        <v>264</v>
      </c>
      <c r="AD494" s="331" t="s">
        <v>24</v>
      </c>
      <c r="AE494" s="329">
        <v>221</v>
      </c>
      <c r="AF494" s="331" t="s">
        <v>254</v>
      </c>
      <c r="AG494" s="329"/>
      <c r="AH494" s="329">
        <v>17</v>
      </c>
      <c r="AI494" s="331" t="s">
        <v>280</v>
      </c>
      <c r="AJ494" s="331" t="s">
        <v>281</v>
      </c>
      <c r="AK494" s="329"/>
      <c r="AL494" s="329"/>
      <c r="AM494" s="329"/>
      <c r="AN494" s="329"/>
      <c r="AO494" s="329"/>
      <c r="AP494" s="331" t="s">
        <v>461</v>
      </c>
      <c r="AQ494" s="329">
        <v>500</v>
      </c>
      <c r="AR494" s="329">
        <v>510</v>
      </c>
      <c r="AS494" s="329"/>
      <c r="AT494" s="329" t="s">
        <v>844</v>
      </c>
      <c r="AU494" s="329" t="s">
        <v>283</v>
      </c>
      <c r="AV494" s="331" t="s">
        <v>484</v>
      </c>
      <c r="AW494" s="329"/>
      <c r="AX494" s="329"/>
      <c r="AY494" s="329"/>
      <c r="AZ494" s="329"/>
      <c r="BA494" s="329"/>
      <c r="BB494" s="329"/>
      <c r="BC494" s="329"/>
      <c r="BD494" s="329"/>
      <c r="BE494" s="329"/>
      <c r="BF494" s="329"/>
      <c r="BG494" s="329"/>
      <c r="BH494" s="329"/>
      <c r="BI494" s="329"/>
      <c r="BJ494" s="329"/>
      <c r="BK494" s="329">
        <v>0</v>
      </c>
      <c r="BL494" s="329"/>
      <c r="BM494" s="331" t="s">
        <v>323</v>
      </c>
      <c r="BN494" s="329" t="s">
        <v>922</v>
      </c>
      <c r="BO494" s="333">
        <v>43753</v>
      </c>
      <c r="BP494" s="329"/>
      <c r="BQ494" s="329"/>
      <c r="BR494" s="329"/>
      <c r="BS494" s="329"/>
      <c r="BT494" s="329"/>
      <c r="BU494" s="331" t="s">
        <v>261</v>
      </c>
      <c r="BV494" s="329"/>
      <c r="BW494" s="329"/>
      <c r="BX494" s="329"/>
      <c r="BY494" s="331" t="s">
        <v>3770</v>
      </c>
      <c r="BZ494" s="331" t="s">
        <v>3771</v>
      </c>
      <c r="CA494" s="331" t="s">
        <v>3772</v>
      </c>
      <c r="CB494" s="331" t="s">
        <v>484</v>
      </c>
      <c r="CC494" s="331" t="s">
        <v>3773</v>
      </c>
    </row>
    <row r="495" spans="1:81" x14ac:dyDescent="0.25">
      <c r="A495" s="329">
        <v>195918</v>
      </c>
      <c r="B495" s="331" t="s">
        <v>1291</v>
      </c>
      <c r="C495" s="329">
        <v>34427</v>
      </c>
      <c r="D495" s="331" t="s">
        <v>1292</v>
      </c>
      <c r="E495" s="331" t="s">
        <v>1293</v>
      </c>
      <c r="F495" s="331" t="s">
        <v>1294</v>
      </c>
      <c r="G495" s="331" t="s">
        <v>1295</v>
      </c>
      <c r="H495" s="331" t="s">
        <v>1296</v>
      </c>
      <c r="I495" s="331" t="s">
        <v>1297</v>
      </c>
      <c r="J495" s="331" t="s">
        <v>325</v>
      </c>
      <c r="K495" s="331" t="s">
        <v>1298</v>
      </c>
      <c r="L495" s="329"/>
      <c r="M495" s="329">
        <v>6</v>
      </c>
      <c r="N495" s="329">
        <v>0</v>
      </c>
      <c r="O495" s="329">
        <v>2.08</v>
      </c>
      <c r="P495" s="329"/>
      <c r="Q495" s="333">
        <v>43651.927083333336</v>
      </c>
      <c r="R495" s="329"/>
      <c r="S495" s="333">
        <v>43749</v>
      </c>
      <c r="T495" s="329">
        <v>55</v>
      </c>
      <c r="U495" s="333">
        <v>43749</v>
      </c>
      <c r="V495" s="333">
        <v>44109</v>
      </c>
      <c r="W495" s="329" t="b">
        <v>1</v>
      </c>
      <c r="X495" s="331" t="s">
        <v>22</v>
      </c>
      <c r="Y495" s="329">
        <v>429</v>
      </c>
      <c r="Z495" s="331" t="s">
        <v>25</v>
      </c>
      <c r="AA495" s="331" t="s">
        <v>919</v>
      </c>
      <c r="AB495" s="331" t="s">
        <v>920</v>
      </c>
      <c r="AC495" s="331" t="s">
        <v>1299</v>
      </c>
      <c r="AD495" s="331" t="s">
        <v>592</v>
      </c>
      <c r="AE495" s="329">
        <v>222</v>
      </c>
      <c r="AF495" s="331" t="s">
        <v>254</v>
      </c>
      <c r="AG495" s="329"/>
      <c r="AH495" s="329">
        <v>17</v>
      </c>
      <c r="AI495" s="331" t="s">
        <v>280</v>
      </c>
      <c r="AJ495" s="331" t="s">
        <v>281</v>
      </c>
      <c r="AK495" s="331" t="s">
        <v>289</v>
      </c>
      <c r="AL495" s="331" t="s">
        <v>272</v>
      </c>
      <c r="AM495" s="331" t="s">
        <v>290</v>
      </c>
      <c r="AN495" s="331" t="s">
        <v>273</v>
      </c>
      <c r="AO495" s="331" t="s">
        <v>275</v>
      </c>
      <c r="AP495" s="329"/>
      <c r="AQ495" s="329"/>
      <c r="AR495" s="329"/>
      <c r="AS495" s="329"/>
      <c r="AT495" s="329" t="s">
        <v>382</v>
      </c>
      <c r="AU495" s="329" t="s">
        <v>256</v>
      </c>
      <c r="AV495" s="331" t="s">
        <v>325</v>
      </c>
      <c r="AW495" s="329"/>
      <c r="AX495" s="329"/>
      <c r="AY495" s="329"/>
      <c r="AZ495" s="329"/>
      <c r="BA495" s="329"/>
      <c r="BB495" s="329"/>
      <c r="BC495" s="329"/>
      <c r="BD495" s="329"/>
      <c r="BE495" s="329"/>
      <c r="BF495" s="329"/>
      <c r="BG495" s="329"/>
      <c r="BH495" s="329"/>
      <c r="BI495" s="329"/>
      <c r="BJ495" s="329"/>
      <c r="BK495" s="329">
        <v>0</v>
      </c>
      <c r="BL495" s="329"/>
      <c r="BM495" s="331" t="s">
        <v>27</v>
      </c>
      <c r="BN495" s="329" t="s">
        <v>922</v>
      </c>
      <c r="BO495" s="333">
        <v>43753</v>
      </c>
      <c r="BP495" s="329"/>
      <c r="BQ495" s="329"/>
      <c r="BR495" s="329"/>
      <c r="BS495" s="329"/>
      <c r="BT495" s="329"/>
      <c r="BU495" s="331" t="s">
        <v>261</v>
      </c>
      <c r="BV495" s="329"/>
      <c r="BW495" s="329"/>
      <c r="BX495" s="329"/>
      <c r="BY495" s="331" t="s">
        <v>1300</v>
      </c>
      <c r="BZ495" s="331" t="s">
        <v>1301</v>
      </c>
      <c r="CA495" s="331" t="s">
        <v>1302</v>
      </c>
      <c r="CB495" s="331" t="s">
        <v>325</v>
      </c>
      <c r="CC495" s="331" t="s">
        <v>1298</v>
      </c>
    </row>
    <row r="496" spans="1:81" x14ac:dyDescent="0.25">
      <c r="A496" s="329">
        <v>195321</v>
      </c>
      <c r="B496" s="331" t="s">
        <v>1309</v>
      </c>
      <c r="C496" s="329">
        <v>34295</v>
      </c>
      <c r="D496" s="331" t="s">
        <v>1310</v>
      </c>
      <c r="E496" s="331" t="s">
        <v>296</v>
      </c>
      <c r="F496" s="331" t="s">
        <v>1311</v>
      </c>
      <c r="G496" s="331" t="s">
        <v>1312</v>
      </c>
      <c r="H496" s="331" t="s">
        <v>1313</v>
      </c>
      <c r="I496" s="331" t="s">
        <v>1314</v>
      </c>
      <c r="J496" s="331" t="s">
        <v>449</v>
      </c>
      <c r="K496" s="331" t="s">
        <v>1315</v>
      </c>
      <c r="L496" s="329"/>
      <c r="M496" s="329">
        <v>6</v>
      </c>
      <c r="N496" s="329">
        <v>0</v>
      </c>
      <c r="O496" s="329">
        <v>3.5</v>
      </c>
      <c r="P496" s="329"/>
      <c r="Q496" s="333">
        <v>43656.884722222225</v>
      </c>
      <c r="R496" s="329"/>
      <c r="S496" s="333">
        <v>43749</v>
      </c>
      <c r="T496" s="329">
        <v>55</v>
      </c>
      <c r="U496" s="333">
        <v>43749</v>
      </c>
      <c r="V496" s="333">
        <v>44109</v>
      </c>
      <c r="W496" s="329" t="b">
        <v>1</v>
      </c>
      <c r="X496" s="331" t="s">
        <v>22</v>
      </c>
      <c r="Y496" s="329">
        <v>726</v>
      </c>
      <c r="Z496" s="331" t="s">
        <v>23</v>
      </c>
      <c r="AA496" s="331" t="s">
        <v>817</v>
      </c>
      <c r="AB496" s="331" t="s">
        <v>818</v>
      </c>
      <c r="AC496" s="331" t="s">
        <v>337</v>
      </c>
      <c r="AD496" s="331" t="s">
        <v>592</v>
      </c>
      <c r="AE496" s="329">
        <v>222</v>
      </c>
      <c r="AF496" s="331" t="s">
        <v>254</v>
      </c>
      <c r="AG496" s="329"/>
      <c r="AH496" s="329">
        <v>17</v>
      </c>
      <c r="AI496" s="331" t="s">
        <v>280</v>
      </c>
      <c r="AJ496" s="331" t="s">
        <v>281</v>
      </c>
      <c r="AK496" s="331" t="s">
        <v>363</v>
      </c>
      <c r="AL496" s="331" t="s">
        <v>417</v>
      </c>
      <c r="AM496" s="331" t="s">
        <v>328</v>
      </c>
      <c r="AN496" s="331" t="s">
        <v>331</v>
      </c>
      <c r="AO496" s="331" t="s">
        <v>328</v>
      </c>
      <c r="AP496" s="329"/>
      <c r="AQ496" s="329"/>
      <c r="AR496" s="329"/>
      <c r="AS496" s="329"/>
      <c r="AT496" s="329" t="s">
        <v>365</v>
      </c>
      <c r="AU496" s="329" t="s">
        <v>256</v>
      </c>
      <c r="AV496" s="331" t="s">
        <v>449</v>
      </c>
      <c r="AW496" s="329"/>
      <c r="AX496" s="329"/>
      <c r="AY496" s="329"/>
      <c r="AZ496" s="329"/>
      <c r="BA496" s="329"/>
      <c r="BB496" s="329"/>
      <c r="BC496" s="329"/>
      <c r="BD496" s="329"/>
      <c r="BE496" s="329" t="s">
        <v>257</v>
      </c>
      <c r="BF496" s="329" t="s">
        <v>837</v>
      </c>
      <c r="BG496" s="329"/>
      <c r="BH496" s="329"/>
      <c r="BI496" s="329"/>
      <c r="BJ496" s="329"/>
      <c r="BK496" s="329">
        <v>15000</v>
      </c>
      <c r="BL496" s="329"/>
      <c r="BM496" s="331" t="s">
        <v>295</v>
      </c>
      <c r="BN496" s="329" t="s">
        <v>922</v>
      </c>
      <c r="BO496" s="333">
        <v>43753</v>
      </c>
      <c r="BP496" s="329"/>
      <c r="BQ496" s="329"/>
      <c r="BR496" s="329"/>
      <c r="BS496" s="329"/>
      <c r="BT496" s="329"/>
      <c r="BU496" s="331" t="s">
        <v>261</v>
      </c>
      <c r="BV496" s="329"/>
      <c r="BW496" s="329"/>
      <c r="BX496" s="329"/>
      <c r="BY496" s="331" t="s">
        <v>1316</v>
      </c>
      <c r="BZ496" s="331" t="s">
        <v>1317</v>
      </c>
      <c r="CA496" s="331" t="s">
        <v>1318</v>
      </c>
      <c r="CB496" s="331" t="s">
        <v>449</v>
      </c>
      <c r="CC496" s="331" t="s">
        <v>1315</v>
      </c>
    </row>
    <row r="497" spans="1:81" x14ac:dyDescent="0.25">
      <c r="A497" s="329">
        <v>197681</v>
      </c>
      <c r="B497" s="331" t="s">
        <v>1855</v>
      </c>
      <c r="C497" s="329">
        <v>34949</v>
      </c>
      <c r="D497" s="331" t="s">
        <v>1856</v>
      </c>
      <c r="E497" s="331" t="s">
        <v>1857</v>
      </c>
      <c r="F497" s="331" t="s">
        <v>1858</v>
      </c>
      <c r="G497" s="331" t="s">
        <v>1859</v>
      </c>
      <c r="H497" s="331" t="s">
        <v>1860</v>
      </c>
      <c r="I497" s="331" t="s">
        <v>572</v>
      </c>
      <c r="J497" s="331" t="s">
        <v>263</v>
      </c>
      <c r="K497" s="331" t="s">
        <v>591</v>
      </c>
      <c r="L497" s="329"/>
      <c r="M497" s="329">
        <v>6</v>
      </c>
      <c r="N497" s="329">
        <v>0</v>
      </c>
      <c r="O497" s="329">
        <v>3.4</v>
      </c>
      <c r="P497" s="329"/>
      <c r="Q497" s="333">
        <v>43700.379861111112</v>
      </c>
      <c r="R497" s="329"/>
      <c r="S497" s="333">
        <v>43749</v>
      </c>
      <c r="T497" s="329">
        <v>55</v>
      </c>
      <c r="U497" s="333">
        <v>43749</v>
      </c>
      <c r="V497" s="333">
        <v>44109</v>
      </c>
      <c r="W497" s="329" t="b">
        <v>1</v>
      </c>
      <c r="X497" s="331" t="s">
        <v>22</v>
      </c>
      <c r="Y497" s="329">
        <v>429</v>
      </c>
      <c r="Z497" s="331" t="s">
        <v>23</v>
      </c>
      <c r="AA497" s="331" t="s">
        <v>919</v>
      </c>
      <c r="AB497" s="331" t="s">
        <v>920</v>
      </c>
      <c r="AC497" s="331" t="s">
        <v>271</v>
      </c>
      <c r="AD497" s="331" t="s">
        <v>592</v>
      </c>
      <c r="AE497" s="329">
        <v>222</v>
      </c>
      <c r="AF497" s="331" t="s">
        <v>254</v>
      </c>
      <c r="AG497" s="329"/>
      <c r="AH497" s="329">
        <v>17</v>
      </c>
      <c r="AI497" s="331" t="s">
        <v>280</v>
      </c>
      <c r="AJ497" s="331" t="s">
        <v>281</v>
      </c>
      <c r="AK497" s="329"/>
      <c r="AL497" s="329"/>
      <c r="AM497" s="329"/>
      <c r="AN497" s="329"/>
      <c r="AO497" s="329"/>
      <c r="AP497" s="331" t="s">
        <v>499</v>
      </c>
      <c r="AQ497" s="329">
        <v>530</v>
      </c>
      <c r="AR497" s="329">
        <v>490</v>
      </c>
      <c r="AS497" s="329"/>
      <c r="AT497" s="329" t="s">
        <v>856</v>
      </c>
      <c r="AU497" s="329" t="s">
        <v>283</v>
      </c>
      <c r="AV497" s="331" t="s">
        <v>263</v>
      </c>
      <c r="AW497" s="329"/>
      <c r="AX497" s="329"/>
      <c r="AY497" s="329"/>
      <c r="AZ497" s="329"/>
      <c r="BA497" s="329"/>
      <c r="BB497" s="329"/>
      <c r="BC497" s="329"/>
      <c r="BD497" s="329"/>
      <c r="BE497" s="329" t="s">
        <v>257</v>
      </c>
      <c r="BF497" s="329" t="s">
        <v>837</v>
      </c>
      <c r="BG497" s="329"/>
      <c r="BH497" s="329"/>
      <c r="BI497" s="329"/>
      <c r="BJ497" s="329"/>
      <c r="BK497" s="329">
        <v>15000</v>
      </c>
      <c r="BL497" s="329"/>
      <c r="BM497" s="331" t="s">
        <v>295</v>
      </c>
      <c r="BN497" s="329" t="s">
        <v>922</v>
      </c>
      <c r="BO497" s="333">
        <v>43753</v>
      </c>
      <c r="BP497" s="329"/>
      <c r="BQ497" s="329"/>
      <c r="BR497" s="329"/>
      <c r="BS497" s="329"/>
      <c r="BT497" s="329"/>
      <c r="BU497" s="331" t="s">
        <v>261</v>
      </c>
      <c r="BV497" s="329"/>
      <c r="BW497" s="329"/>
      <c r="BX497" s="329"/>
      <c r="BY497" s="331" t="s">
        <v>1861</v>
      </c>
      <c r="BZ497" s="331" t="s">
        <v>1862</v>
      </c>
      <c r="CA497" s="331" t="s">
        <v>1863</v>
      </c>
      <c r="CB497" s="331" t="s">
        <v>263</v>
      </c>
      <c r="CC497" s="331" t="s">
        <v>1864</v>
      </c>
    </row>
    <row r="498" spans="1:81" x14ac:dyDescent="0.25">
      <c r="A498" s="329">
        <v>195908</v>
      </c>
      <c r="B498" s="331" t="s">
        <v>1981</v>
      </c>
      <c r="C498" s="329">
        <v>34425</v>
      </c>
      <c r="D498" s="331" t="s">
        <v>1982</v>
      </c>
      <c r="E498" s="331" t="s">
        <v>1983</v>
      </c>
      <c r="F498" s="331" t="s">
        <v>1984</v>
      </c>
      <c r="G498" s="331" t="s">
        <v>1985</v>
      </c>
      <c r="H498" s="331" t="s">
        <v>1986</v>
      </c>
      <c r="I498" s="331" t="s">
        <v>791</v>
      </c>
      <c r="J498" s="331" t="s">
        <v>341</v>
      </c>
      <c r="K498" s="331" t="s">
        <v>792</v>
      </c>
      <c r="L498" s="329"/>
      <c r="M498" s="329">
        <v>6</v>
      </c>
      <c r="N498" s="329">
        <v>0</v>
      </c>
      <c r="O498" s="329">
        <v>3.048</v>
      </c>
      <c r="P498" s="329"/>
      <c r="Q498" s="333">
        <v>43677.946527777778</v>
      </c>
      <c r="R498" s="329"/>
      <c r="S498" s="333">
        <v>43749</v>
      </c>
      <c r="T498" s="329">
        <v>55</v>
      </c>
      <c r="U498" s="333">
        <v>43749</v>
      </c>
      <c r="V498" s="333">
        <v>44109</v>
      </c>
      <c r="W498" s="329" t="b">
        <v>1</v>
      </c>
      <c r="X498" s="331" t="s">
        <v>22</v>
      </c>
      <c r="Y498" s="329">
        <v>429</v>
      </c>
      <c r="Z498" s="331" t="s">
        <v>23</v>
      </c>
      <c r="AA498" s="331" t="s">
        <v>919</v>
      </c>
      <c r="AB498" s="331" t="s">
        <v>920</v>
      </c>
      <c r="AC498" s="331" t="s">
        <v>346</v>
      </c>
      <c r="AD498" s="331" t="s">
        <v>592</v>
      </c>
      <c r="AE498" s="329">
        <v>222</v>
      </c>
      <c r="AF498" s="331" t="s">
        <v>254</v>
      </c>
      <c r="AG498" s="329"/>
      <c r="AH498" s="329">
        <v>17</v>
      </c>
      <c r="AI498" s="331" t="s">
        <v>280</v>
      </c>
      <c r="AJ498" s="331" t="s">
        <v>281</v>
      </c>
      <c r="AK498" s="329"/>
      <c r="AL498" s="329"/>
      <c r="AM498" s="329"/>
      <c r="AN498" s="329"/>
      <c r="AO498" s="329"/>
      <c r="AP498" s="329"/>
      <c r="AQ498" s="329"/>
      <c r="AR498" s="329"/>
      <c r="AS498" s="329"/>
      <c r="AT498" s="329" t="s">
        <v>258</v>
      </c>
      <c r="AU498" s="329" t="s">
        <v>283</v>
      </c>
      <c r="AV498" s="331" t="s">
        <v>341</v>
      </c>
      <c r="AW498" s="329"/>
      <c r="AX498" s="329"/>
      <c r="AY498" s="329"/>
      <c r="AZ498" s="329"/>
      <c r="BA498" s="329"/>
      <c r="BB498" s="329"/>
      <c r="BC498" s="329"/>
      <c r="BD498" s="329"/>
      <c r="BE498" s="329"/>
      <c r="BF498" s="329"/>
      <c r="BG498" s="329"/>
      <c r="BH498" s="329"/>
      <c r="BI498" s="329"/>
      <c r="BJ498" s="329"/>
      <c r="BK498" s="329">
        <v>0</v>
      </c>
      <c r="BL498" s="329"/>
      <c r="BM498" s="331" t="s">
        <v>27</v>
      </c>
      <c r="BN498" s="329" t="s">
        <v>922</v>
      </c>
      <c r="BO498" s="333">
        <v>43753</v>
      </c>
      <c r="BP498" s="329"/>
      <c r="BQ498" s="329"/>
      <c r="BR498" s="329"/>
      <c r="BS498" s="329"/>
      <c r="BT498" s="329"/>
      <c r="BU498" s="331" t="s">
        <v>261</v>
      </c>
      <c r="BV498" s="329"/>
      <c r="BW498" s="329"/>
      <c r="BX498" s="329"/>
      <c r="BY498" s="331" t="s">
        <v>1987</v>
      </c>
      <c r="BZ498" s="331" t="s">
        <v>1988</v>
      </c>
      <c r="CA498" s="331" t="s">
        <v>1989</v>
      </c>
      <c r="CB498" s="331" t="s">
        <v>341</v>
      </c>
      <c r="CC498" s="331" t="s">
        <v>792</v>
      </c>
    </row>
    <row r="499" spans="1:81" x14ac:dyDescent="0.25">
      <c r="A499" s="329">
        <v>197544</v>
      </c>
      <c r="B499" s="331" t="s">
        <v>2361</v>
      </c>
      <c r="C499" s="329">
        <v>34900</v>
      </c>
      <c r="D499" s="331" t="s">
        <v>2362</v>
      </c>
      <c r="E499" s="331" t="s">
        <v>485</v>
      </c>
      <c r="F499" s="331" t="s">
        <v>2363</v>
      </c>
      <c r="G499" s="331" t="s">
        <v>2364</v>
      </c>
      <c r="H499" s="331" t="s">
        <v>2365</v>
      </c>
      <c r="I499" s="331" t="s">
        <v>185</v>
      </c>
      <c r="J499" s="331" t="s">
        <v>21</v>
      </c>
      <c r="K499" s="331" t="s">
        <v>444</v>
      </c>
      <c r="L499" s="329"/>
      <c r="M499" s="329">
        <v>6</v>
      </c>
      <c r="N499" s="329">
        <v>0</v>
      </c>
      <c r="O499" s="329">
        <v>3.036</v>
      </c>
      <c r="P499" s="329"/>
      <c r="Q499" s="333">
        <v>43719.515277777777</v>
      </c>
      <c r="R499" s="329"/>
      <c r="S499" s="333">
        <v>43752</v>
      </c>
      <c r="T499" s="329">
        <v>55</v>
      </c>
      <c r="U499" s="333">
        <v>43752</v>
      </c>
      <c r="V499" s="333">
        <v>44109</v>
      </c>
      <c r="W499" s="329" t="b">
        <v>1</v>
      </c>
      <c r="X499" s="331" t="s">
        <v>906</v>
      </c>
      <c r="Y499" s="329">
        <v>748</v>
      </c>
      <c r="Z499" s="331" t="s">
        <v>23</v>
      </c>
      <c r="AA499" s="331" t="s">
        <v>919</v>
      </c>
      <c r="AB499" s="331" t="s">
        <v>920</v>
      </c>
      <c r="AC499" s="331" t="s">
        <v>264</v>
      </c>
      <c r="AD499" s="331" t="s">
        <v>592</v>
      </c>
      <c r="AE499" s="329">
        <v>222</v>
      </c>
      <c r="AF499" s="331" t="s">
        <v>254</v>
      </c>
      <c r="AG499" s="329"/>
      <c r="AH499" s="329">
        <v>17</v>
      </c>
      <c r="AI499" s="331" t="s">
        <v>280</v>
      </c>
      <c r="AJ499" s="331" t="s">
        <v>281</v>
      </c>
      <c r="AK499" s="331" t="s">
        <v>300</v>
      </c>
      <c r="AL499" s="331" t="s">
        <v>290</v>
      </c>
      <c r="AM499" s="331" t="s">
        <v>275</v>
      </c>
      <c r="AN499" s="331" t="s">
        <v>274</v>
      </c>
      <c r="AO499" s="331" t="s">
        <v>299</v>
      </c>
      <c r="AP499" s="329"/>
      <c r="AQ499" s="329"/>
      <c r="AR499" s="329"/>
      <c r="AS499" s="329"/>
      <c r="AT499" s="329" t="s">
        <v>258</v>
      </c>
      <c r="AU499" s="329" t="s">
        <v>283</v>
      </c>
      <c r="AV499" s="331" t="s">
        <v>21</v>
      </c>
      <c r="AW499" s="329"/>
      <c r="AX499" s="329"/>
      <c r="AY499" s="329"/>
      <c r="AZ499" s="329"/>
      <c r="BA499" s="329"/>
      <c r="BB499" s="329"/>
      <c r="BC499" s="329"/>
      <c r="BD499" s="329"/>
      <c r="BE499" s="329"/>
      <c r="BF499" s="329"/>
      <c r="BG499" s="329"/>
      <c r="BH499" s="329"/>
      <c r="BI499" s="329" t="s">
        <v>334</v>
      </c>
      <c r="BJ499" s="329" t="s">
        <v>831</v>
      </c>
      <c r="BK499" s="329">
        <v>36000</v>
      </c>
      <c r="BL499" s="329"/>
      <c r="BM499" s="331" t="s">
        <v>267</v>
      </c>
      <c r="BN499" s="329" t="s">
        <v>922</v>
      </c>
      <c r="BO499" s="333">
        <v>43753</v>
      </c>
      <c r="BP499" s="329"/>
      <c r="BQ499" s="329"/>
      <c r="BR499" s="329"/>
      <c r="BS499" s="329"/>
      <c r="BT499" s="329"/>
      <c r="BU499" s="331" t="s">
        <v>261</v>
      </c>
      <c r="BV499" s="329"/>
      <c r="BW499" s="329"/>
      <c r="BX499" s="329"/>
      <c r="BY499" s="331" t="s">
        <v>2366</v>
      </c>
      <c r="BZ499" s="331" t="s">
        <v>2367</v>
      </c>
      <c r="CA499" s="331" t="s">
        <v>185</v>
      </c>
      <c r="CB499" s="331" t="s">
        <v>21</v>
      </c>
      <c r="CC499" s="331" t="s">
        <v>444</v>
      </c>
    </row>
    <row r="500" spans="1:81" x14ac:dyDescent="0.25">
      <c r="A500" s="329">
        <v>192027</v>
      </c>
      <c r="B500" s="331" t="s">
        <v>2455</v>
      </c>
      <c r="C500" s="329">
        <v>33579</v>
      </c>
      <c r="D500" s="331" t="s">
        <v>513</v>
      </c>
      <c r="E500" s="331" t="s">
        <v>2076</v>
      </c>
      <c r="F500" s="331" t="s">
        <v>2456</v>
      </c>
      <c r="G500" s="331" t="s">
        <v>2457</v>
      </c>
      <c r="H500" s="331" t="s">
        <v>2458</v>
      </c>
      <c r="I500" s="331" t="s">
        <v>2459</v>
      </c>
      <c r="J500" s="331" t="s">
        <v>20</v>
      </c>
      <c r="K500" s="331" t="s">
        <v>2460</v>
      </c>
      <c r="L500" s="329"/>
      <c r="M500" s="329">
        <v>6</v>
      </c>
      <c r="N500" s="329">
        <v>0</v>
      </c>
      <c r="O500" s="329">
        <v>2.9</v>
      </c>
      <c r="P500" s="329"/>
      <c r="Q500" s="333">
        <v>43591.194444444445</v>
      </c>
      <c r="R500" s="329"/>
      <c r="S500" s="333">
        <v>43752</v>
      </c>
      <c r="T500" s="329">
        <v>55</v>
      </c>
      <c r="U500" s="333">
        <v>43752</v>
      </c>
      <c r="V500" s="333">
        <v>44109</v>
      </c>
      <c r="W500" s="329" t="b">
        <v>1</v>
      </c>
      <c r="X500" s="331" t="s">
        <v>905</v>
      </c>
      <c r="Y500" s="329">
        <v>747</v>
      </c>
      <c r="Z500" s="331" t="s">
        <v>23</v>
      </c>
      <c r="AA500" s="331" t="s">
        <v>919</v>
      </c>
      <c r="AB500" s="331" t="s">
        <v>920</v>
      </c>
      <c r="AC500" s="331" t="s">
        <v>1361</v>
      </c>
      <c r="AD500" s="331" t="s">
        <v>592</v>
      </c>
      <c r="AE500" s="329">
        <v>222</v>
      </c>
      <c r="AF500" s="331" t="s">
        <v>254</v>
      </c>
      <c r="AG500" s="329"/>
      <c r="AH500" s="329">
        <v>17</v>
      </c>
      <c r="AI500" s="331" t="s">
        <v>280</v>
      </c>
      <c r="AJ500" s="331" t="s">
        <v>281</v>
      </c>
      <c r="AK500" s="329"/>
      <c r="AL500" s="329"/>
      <c r="AM500" s="329"/>
      <c r="AN500" s="329"/>
      <c r="AO500" s="329"/>
      <c r="AP500" s="331" t="s">
        <v>265</v>
      </c>
      <c r="AQ500" s="329">
        <v>600</v>
      </c>
      <c r="AR500" s="329">
        <v>480</v>
      </c>
      <c r="AS500" s="329"/>
      <c r="AT500" s="329" t="s">
        <v>365</v>
      </c>
      <c r="AU500" s="329" t="s">
        <v>283</v>
      </c>
      <c r="AV500" s="331" t="s">
        <v>20</v>
      </c>
      <c r="AW500" s="329"/>
      <c r="AX500" s="329"/>
      <c r="AY500" s="329"/>
      <c r="AZ500" s="329"/>
      <c r="BA500" s="329"/>
      <c r="BB500" s="329"/>
      <c r="BC500" s="329"/>
      <c r="BD500" s="329"/>
      <c r="BE500" s="329" t="s">
        <v>257</v>
      </c>
      <c r="BF500" s="329" t="s">
        <v>841</v>
      </c>
      <c r="BG500" s="329"/>
      <c r="BH500" s="329"/>
      <c r="BI500" s="329"/>
      <c r="BJ500" s="329"/>
      <c r="BK500" s="329">
        <v>9000</v>
      </c>
      <c r="BL500" s="329"/>
      <c r="BM500" s="331" t="s">
        <v>189</v>
      </c>
      <c r="BN500" s="329" t="s">
        <v>922</v>
      </c>
      <c r="BO500" s="333">
        <v>43753</v>
      </c>
      <c r="BP500" s="329"/>
      <c r="BQ500" s="329"/>
      <c r="BR500" s="329"/>
      <c r="BS500" s="329"/>
      <c r="BT500" s="329"/>
      <c r="BU500" s="331" t="s">
        <v>261</v>
      </c>
      <c r="BV500" s="329"/>
      <c r="BW500" s="329"/>
      <c r="BX500" s="329"/>
      <c r="BY500" s="331" t="s">
        <v>2461</v>
      </c>
      <c r="BZ500" s="331" t="s">
        <v>2462</v>
      </c>
      <c r="CA500" s="331" t="s">
        <v>2463</v>
      </c>
      <c r="CB500" s="331" t="s">
        <v>20</v>
      </c>
      <c r="CC500" s="331" t="s">
        <v>2460</v>
      </c>
    </row>
    <row r="501" spans="1:81" x14ac:dyDescent="0.25">
      <c r="A501" s="329">
        <v>194287</v>
      </c>
      <c r="B501" s="331" t="s">
        <v>2899</v>
      </c>
      <c r="C501" s="329">
        <v>34067</v>
      </c>
      <c r="D501" s="331" t="s">
        <v>522</v>
      </c>
      <c r="E501" s="331" t="s">
        <v>750</v>
      </c>
      <c r="F501" s="331" t="s">
        <v>2900</v>
      </c>
      <c r="G501" s="331" t="s">
        <v>2901</v>
      </c>
      <c r="H501" s="331" t="s">
        <v>2902</v>
      </c>
      <c r="I501" s="331" t="s">
        <v>2903</v>
      </c>
      <c r="J501" s="331" t="s">
        <v>284</v>
      </c>
      <c r="K501" s="331" t="s">
        <v>2904</v>
      </c>
      <c r="L501" s="329"/>
      <c r="M501" s="329">
        <v>6</v>
      </c>
      <c r="N501" s="329">
        <v>0</v>
      </c>
      <c r="O501" s="329">
        <v>3.5209000000000001</v>
      </c>
      <c r="P501" s="329"/>
      <c r="Q501" s="333">
        <v>43624.525000000001</v>
      </c>
      <c r="R501" s="329"/>
      <c r="S501" s="333">
        <v>43752</v>
      </c>
      <c r="T501" s="329">
        <v>55</v>
      </c>
      <c r="U501" s="333">
        <v>43752</v>
      </c>
      <c r="V501" s="333">
        <v>44109</v>
      </c>
      <c r="W501" s="329" t="b">
        <v>1</v>
      </c>
      <c r="X501" s="331" t="s">
        <v>187</v>
      </c>
      <c r="Y501" s="329">
        <v>718</v>
      </c>
      <c r="Z501" s="331" t="s">
        <v>23</v>
      </c>
      <c r="AA501" s="331" t="s">
        <v>919</v>
      </c>
      <c r="AB501" s="331" t="s">
        <v>920</v>
      </c>
      <c r="AC501" s="331" t="s">
        <v>271</v>
      </c>
      <c r="AD501" s="331" t="s">
        <v>592</v>
      </c>
      <c r="AE501" s="329">
        <v>222</v>
      </c>
      <c r="AF501" s="331" t="s">
        <v>254</v>
      </c>
      <c r="AG501" s="329"/>
      <c r="AH501" s="329">
        <v>17</v>
      </c>
      <c r="AI501" s="331" t="s">
        <v>280</v>
      </c>
      <c r="AJ501" s="331" t="s">
        <v>281</v>
      </c>
      <c r="AK501" s="329"/>
      <c r="AL501" s="329"/>
      <c r="AM501" s="329"/>
      <c r="AN501" s="329"/>
      <c r="AO501" s="329"/>
      <c r="AP501" s="331" t="s">
        <v>391</v>
      </c>
      <c r="AQ501" s="329">
        <v>680</v>
      </c>
      <c r="AR501" s="329">
        <v>600</v>
      </c>
      <c r="AS501" s="329"/>
      <c r="AT501" s="329" t="s">
        <v>855</v>
      </c>
      <c r="AU501" s="329" t="s">
        <v>256</v>
      </c>
      <c r="AV501" s="331" t="s">
        <v>284</v>
      </c>
      <c r="AW501" s="329"/>
      <c r="AX501" s="329"/>
      <c r="AY501" s="329"/>
      <c r="AZ501" s="329"/>
      <c r="BA501" s="329"/>
      <c r="BB501" s="329"/>
      <c r="BC501" s="329"/>
      <c r="BD501" s="329"/>
      <c r="BE501" s="329" t="s">
        <v>257</v>
      </c>
      <c r="BF501" s="329" t="s">
        <v>834</v>
      </c>
      <c r="BG501" s="329"/>
      <c r="BH501" s="329"/>
      <c r="BI501" s="329"/>
      <c r="BJ501" s="329"/>
      <c r="BK501" s="329">
        <v>20400</v>
      </c>
      <c r="BL501" s="329"/>
      <c r="BM501" s="331" t="s">
        <v>278</v>
      </c>
      <c r="BN501" s="329" t="s">
        <v>922</v>
      </c>
      <c r="BO501" s="333">
        <v>43753</v>
      </c>
      <c r="BP501" s="329"/>
      <c r="BQ501" s="329"/>
      <c r="BR501" s="329"/>
      <c r="BS501" s="329"/>
      <c r="BT501" s="329"/>
      <c r="BU501" s="331" t="s">
        <v>261</v>
      </c>
      <c r="BV501" s="329"/>
      <c r="BW501" s="329"/>
      <c r="BX501" s="329"/>
      <c r="BY501" s="331" t="s">
        <v>2905</v>
      </c>
      <c r="BZ501" s="331" t="s">
        <v>2906</v>
      </c>
      <c r="CA501" s="331" t="s">
        <v>2907</v>
      </c>
      <c r="CB501" s="331" t="s">
        <v>284</v>
      </c>
      <c r="CC501" s="331" t="s">
        <v>2904</v>
      </c>
    </row>
    <row r="502" spans="1:81" x14ac:dyDescent="0.25">
      <c r="A502" s="329">
        <v>196102</v>
      </c>
      <c r="B502" s="331" t="s">
        <v>4135</v>
      </c>
      <c r="C502" s="329">
        <v>34504</v>
      </c>
      <c r="D502" s="331" t="s">
        <v>414</v>
      </c>
      <c r="E502" s="331" t="s">
        <v>510</v>
      </c>
      <c r="F502" s="331" t="s">
        <v>4136</v>
      </c>
      <c r="G502" s="331" t="s">
        <v>4137</v>
      </c>
      <c r="H502" s="331" t="s">
        <v>4138</v>
      </c>
      <c r="I502" s="331" t="s">
        <v>3510</v>
      </c>
      <c r="J502" s="331" t="s">
        <v>298</v>
      </c>
      <c r="K502" s="331" t="s">
        <v>3511</v>
      </c>
      <c r="L502" s="329"/>
      <c r="M502" s="329">
        <v>6</v>
      </c>
      <c r="N502" s="329">
        <v>0</v>
      </c>
      <c r="O502" s="329">
        <v>3.2608999999999999</v>
      </c>
      <c r="P502" s="329"/>
      <c r="Q502" s="333">
        <v>43642.46597222222</v>
      </c>
      <c r="R502" s="329"/>
      <c r="S502" s="333">
        <v>43752</v>
      </c>
      <c r="T502" s="329">
        <v>55</v>
      </c>
      <c r="U502" s="333">
        <v>43752</v>
      </c>
      <c r="V502" s="333">
        <v>44109</v>
      </c>
      <c r="W502" s="329" t="b">
        <v>1</v>
      </c>
      <c r="X502" s="331" t="s">
        <v>187</v>
      </c>
      <c r="Y502" s="329">
        <v>718</v>
      </c>
      <c r="Z502" s="331" t="s">
        <v>23</v>
      </c>
      <c r="AA502" s="331" t="s">
        <v>919</v>
      </c>
      <c r="AB502" s="331" t="s">
        <v>920</v>
      </c>
      <c r="AC502" s="331" t="s">
        <v>468</v>
      </c>
      <c r="AD502" s="331" t="s">
        <v>592</v>
      </c>
      <c r="AE502" s="329">
        <v>222</v>
      </c>
      <c r="AF502" s="331" t="s">
        <v>254</v>
      </c>
      <c r="AG502" s="329"/>
      <c r="AH502" s="329">
        <v>17</v>
      </c>
      <c r="AI502" s="331" t="s">
        <v>280</v>
      </c>
      <c r="AJ502" s="331" t="s">
        <v>281</v>
      </c>
      <c r="AK502" s="329"/>
      <c r="AL502" s="329"/>
      <c r="AM502" s="329"/>
      <c r="AN502" s="329"/>
      <c r="AO502" s="329"/>
      <c r="AP502" s="329"/>
      <c r="AQ502" s="329"/>
      <c r="AR502" s="329"/>
      <c r="AS502" s="329"/>
      <c r="AT502" s="329" t="s">
        <v>258</v>
      </c>
      <c r="AU502" s="329" t="s">
        <v>283</v>
      </c>
      <c r="AV502" s="331" t="s">
        <v>298</v>
      </c>
      <c r="AW502" s="329"/>
      <c r="AX502" s="329"/>
      <c r="AY502" s="329"/>
      <c r="AZ502" s="329"/>
      <c r="BA502" s="329"/>
      <c r="BB502" s="329"/>
      <c r="BC502" s="329"/>
      <c r="BD502" s="329"/>
      <c r="BE502" s="329" t="s">
        <v>257</v>
      </c>
      <c r="BF502" s="329" t="s">
        <v>830</v>
      </c>
      <c r="BG502" s="329"/>
      <c r="BH502" s="329"/>
      <c r="BI502" s="329"/>
      <c r="BJ502" s="329"/>
      <c r="BK502" s="329">
        <v>12000</v>
      </c>
      <c r="BL502" s="329"/>
      <c r="BM502" s="331" t="s">
        <v>26</v>
      </c>
      <c r="BN502" s="329" t="s">
        <v>922</v>
      </c>
      <c r="BO502" s="333">
        <v>43753</v>
      </c>
      <c r="BP502" s="329"/>
      <c r="BQ502" s="329"/>
      <c r="BR502" s="329"/>
      <c r="BS502" s="329"/>
      <c r="BT502" s="329"/>
      <c r="BU502" s="331" t="s">
        <v>261</v>
      </c>
      <c r="BV502" s="329"/>
      <c r="BW502" s="329"/>
      <c r="BX502" s="329"/>
      <c r="BY502" s="331" t="s">
        <v>3512</v>
      </c>
      <c r="BZ502" s="331" t="s">
        <v>3513</v>
      </c>
      <c r="CA502" s="331" t="s">
        <v>3510</v>
      </c>
      <c r="CB502" s="331" t="s">
        <v>298</v>
      </c>
      <c r="CC502" s="331" t="s">
        <v>3511</v>
      </c>
    </row>
    <row r="503" spans="1:81" x14ac:dyDescent="0.25">
      <c r="A503" s="329">
        <v>196357</v>
      </c>
      <c r="B503" s="331" t="s">
        <v>3363</v>
      </c>
      <c r="C503" s="329">
        <v>34619</v>
      </c>
      <c r="D503" s="331" t="s">
        <v>3364</v>
      </c>
      <c r="E503" s="331" t="s">
        <v>427</v>
      </c>
      <c r="F503" s="331" t="s">
        <v>3365</v>
      </c>
      <c r="G503" s="331" t="s">
        <v>3366</v>
      </c>
      <c r="H503" s="331" t="s">
        <v>3367</v>
      </c>
      <c r="I503" s="331" t="s">
        <v>3368</v>
      </c>
      <c r="J503" s="331" t="s">
        <v>284</v>
      </c>
      <c r="K503" s="331" t="s">
        <v>3369</v>
      </c>
      <c r="L503" s="329"/>
      <c r="M503" s="329">
        <v>6</v>
      </c>
      <c r="N503" s="329">
        <v>0</v>
      </c>
      <c r="O503" s="329">
        <v>3.03</v>
      </c>
      <c r="P503" s="329"/>
      <c r="Q503" s="333">
        <v>43682.878472222219</v>
      </c>
      <c r="R503" s="329"/>
      <c r="S503" s="333">
        <v>43752</v>
      </c>
      <c r="T503" s="329">
        <v>55</v>
      </c>
      <c r="U503" s="333">
        <v>43752</v>
      </c>
      <c r="V503" s="333">
        <v>44109</v>
      </c>
      <c r="W503" s="329" t="b">
        <v>1</v>
      </c>
      <c r="X503" s="331" t="s">
        <v>22</v>
      </c>
      <c r="Y503" s="329">
        <v>429</v>
      </c>
      <c r="Z503" s="331" t="s">
        <v>23</v>
      </c>
      <c r="AA503" s="331" t="s">
        <v>919</v>
      </c>
      <c r="AB503" s="331" t="s">
        <v>920</v>
      </c>
      <c r="AC503" s="331" t="s">
        <v>962</v>
      </c>
      <c r="AD503" s="331" t="s">
        <v>592</v>
      </c>
      <c r="AE503" s="329">
        <v>222</v>
      </c>
      <c r="AF503" s="331" t="s">
        <v>254</v>
      </c>
      <c r="AG503" s="329"/>
      <c r="AH503" s="329">
        <v>17</v>
      </c>
      <c r="AI503" s="331" t="s">
        <v>280</v>
      </c>
      <c r="AJ503" s="331" t="s">
        <v>281</v>
      </c>
      <c r="AK503" s="329"/>
      <c r="AL503" s="329"/>
      <c r="AM503" s="329"/>
      <c r="AN503" s="329"/>
      <c r="AO503" s="329"/>
      <c r="AP503" s="329"/>
      <c r="AQ503" s="329"/>
      <c r="AR503" s="329"/>
      <c r="AS503" s="329"/>
      <c r="AT503" s="329" t="s">
        <v>258</v>
      </c>
      <c r="AU503" s="329" t="s">
        <v>256</v>
      </c>
      <c r="AV503" s="331" t="s">
        <v>284</v>
      </c>
      <c r="AW503" s="329"/>
      <c r="AX503" s="329"/>
      <c r="AY503" s="329"/>
      <c r="AZ503" s="329"/>
      <c r="BA503" s="329"/>
      <c r="BB503" s="329"/>
      <c r="BC503" s="329"/>
      <c r="BD503" s="329"/>
      <c r="BE503" s="329"/>
      <c r="BF503" s="329"/>
      <c r="BG503" s="329"/>
      <c r="BH503" s="329"/>
      <c r="BI503" s="329"/>
      <c r="BJ503" s="329"/>
      <c r="BK503" s="329">
        <v>0</v>
      </c>
      <c r="BL503" s="329"/>
      <c r="BM503" s="331" t="s">
        <v>27</v>
      </c>
      <c r="BN503" s="329" t="s">
        <v>922</v>
      </c>
      <c r="BO503" s="333">
        <v>43753</v>
      </c>
      <c r="BP503" s="329"/>
      <c r="BQ503" s="329"/>
      <c r="BR503" s="329"/>
      <c r="BS503" s="329"/>
      <c r="BT503" s="329"/>
      <c r="BU503" s="331" t="s">
        <v>261</v>
      </c>
      <c r="BV503" s="329"/>
      <c r="BW503" s="329"/>
      <c r="BX503" s="329"/>
      <c r="BY503" s="331" t="s">
        <v>3370</v>
      </c>
      <c r="BZ503" s="331" t="s">
        <v>3371</v>
      </c>
      <c r="CA503" s="331" t="s">
        <v>3372</v>
      </c>
      <c r="CB503" s="331" t="s">
        <v>284</v>
      </c>
      <c r="CC503" s="331" t="s">
        <v>3373</v>
      </c>
    </row>
    <row r="504" spans="1:81" x14ac:dyDescent="0.25">
      <c r="A504" s="329">
        <v>197704</v>
      </c>
      <c r="B504" s="331" t="s">
        <v>4139</v>
      </c>
      <c r="C504" s="329">
        <v>34958</v>
      </c>
      <c r="D504" s="331" t="s">
        <v>4140</v>
      </c>
      <c r="E504" s="331" t="s">
        <v>751</v>
      </c>
      <c r="F504" s="331" t="s">
        <v>4141</v>
      </c>
      <c r="G504" s="331" t="s">
        <v>4142</v>
      </c>
      <c r="H504" s="331" t="s">
        <v>4671</v>
      </c>
      <c r="I504" s="331" t="s">
        <v>455</v>
      </c>
      <c r="J504" s="331" t="s">
        <v>292</v>
      </c>
      <c r="K504" s="331" t="s">
        <v>4144</v>
      </c>
      <c r="L504" s="329"/>
      <c r="M504" s="329">
        <v>6</v>
      </c>
      <c r="N504" s="329">
        <v>0</v>
      </c>
      <c r="O504" s="329">
        <v>2.89</v>
      </c>
      <c r="P504" s="329"/>
      <c r="Q504" s="333">
        <v>43770.361122685186</v>
      </c>
      <c r="R504" s="329"/>
      <c r="S504" s="333">
        <v>43752</v>
      </c>
      <c r="T504" s="329">
        <v>55</v>
      </c>
      <c r="U504" s="333">
        <v>43752</v>
      </c>
      <c r="V504" s="333">
        <v>44109</v>
      </c>
      <c r="W504" s="329" t="b">
        <v>1</v>
      </c>
      <c r="X504" s="331" t="s">
        <v>22</v>
      </c>
      <c r="Y504" s="329">
        <v>429</v>
      </c>
      <c r="Z504" s="331" t="s">
        <v>23</v>
      </c>
      <c r="AA504" s="331" t="s">
        <v>919</v>
      </c>
      <c r="AB504" s="331" t="s">
        <v>920</v>
      </c>
      <c r="AC504" s="331" t="s">
        <v>311</v>
      </c>
      <c r="AD504" s="331" t="s">
        <v>592</v>
      </c>
      <c r="AE504" s="329">
        <v>222</v>
      </c>
      <c r="AF504" s="331" t="s">
        <v>254</v>
      </c>
      <c r="AG504" s="329"/>
      <c r="AH504" s="329">
        <v>17</v>
      </c>
      <c r="AI504" s="331" t="s">
        <v>280</v>
      </c>
      <c r="AJ504" s="331" t="s">
        <v>281</v>
      </c>
      <c r="AK504" s="329"/>
      <c r="AL504" s="329"/>
      <c r="AM504" s="329"/>
      <c r="AN504" s="329"/>
      <c r="AO504" s="329"/>
      <c r="AP504" s="331" t="s">
        <v>342</v>
      </c>
      <c r="AQ504" s="329">
        <v>560</v>
      </c>
      <c r="AR504" s="329">
        <v>600</v>
      </c>
      <c r="AS504" s="329"/>
      <c r="AT504" s="329" t="s">
        <v>842</v>
      </c>
      <c r="AU504" s="329" t="s">
        <v>567</v>
      </c>
      <c r="AV504" s="331" t="s">
        <v>292</v>
      </c>
      <c r="AW504" s="329"/>
      <c r="AX504" s="329"/>
      <c r="AY504" s="329"/>
      <c r="AZ504" s="329"/>
      <c r="BA504" s="329"/>
      <c r="BB504" s="329"/>
      <c r="BC504" s="329"/>
      <c r="BD504" s="329"/>
      <c r="BE504" s="329" t="s">
        <v>257</v>
      </c>
      <c r="BF504" s="329" t="s">
        <v>836</v>
      </c>
      <c r="BG504" s="329"/>
      <c r="BH504" s="329"/>
      <c r="BI504" s="329"/>
      <c r="BJ504" s="329"/>
      <c r="BK504" s="329">
        <v>18000</v>
      </c>
      <c r="BL504" s="329"/>
      <c r="BM504" s="331" t="s">
        <v>310</v>
      </c>
      <c r="BN504" s="329" t="s">
        <v>922</v>
      </c>
      <c r="BO504" s="333">
        <v>43753</v>
      </c>
      <c r="BP504" s="329"/>
      <c r="BQ504" s="329"/>
      <c r="BR504" s="329"/>
      <c r="BS504" s="329"/>
      <c r="BT504" s="329"/>
      <c r="BU504" s="331" t="s">
        <v>261</v>
      </c>
      <c r="BV504" s="329"/>
      <c r="BW504" s="329"/>
      <c r="BX504" s="329"/>
      <c r="BY504" s="331" t="s">
        <v>4143</v>
      </c>
      <c r="BZ504" s="331" t="s">
        <v>3202</v>
      </c>
      <c r="CA504" s="331" t="s">
        <v>4033</v>
      </c>
      <c r="CB504" s="331" t="s">
        <v>292</v>
      </c>
      <c r="CC504" s="331" t="s">
        <v>4144</v>
      </c>
    </row>
    <row r="505" spans="1:81" x14ac:dyDescent="0.25">
      <c r="A505" s="329">
        <v>196040</v>
      </c>
      <c r="B505" s="331" t="s">
        <v>3731</v>
      </c>
      <c r="C505" s="329">
        <v>34478</v>
      </c>
      <c r="D505" s="331" t="s">
        <v>3732</v>
      </c>
      <c r="E505" s="331" t="s">
        <v>506</v>
      </c>
      <c r="F505" s="331" t="s">
        <v>3733</v>
      </c>
      <c r="G505" s="331" t="s">
        <v>3734</v>
      </c>
      <c r="H505" s="331" t="s">
        <v>3735</v>
      </c>
      <c r="I505" s="331" t="s">
        <v>3736</v>
      </c>
      <c r="J505" s="331" t="s">
        <v>498</v>
      </c>
      <c r="K505" s="331" t="s">
        <v>3737</v>
      </c>
      <c r="L505" s="329"/>
      <c r="M505" s="329">
        <v>6</v>
      </c>
      <c r="N505" s="329">
        <v>0</v>
      </c>
      <c r="O505" s="329">
        <v>2.1</v>
      </c>
      <c r="P505" s="329"/>
      <c r="Q505" s="333">
        <v>43615.565972222219</v>
      </c>
      <c r="R505" s="329"/>
      <c r="S505" s="333">
        <v>43752</v>
      </c>
      <c r="T505" s="329">
        <v>55</v>
      </c>
      <c r="U505" s="333">
        <v>43752</v>
      </c>
      <c r="V505" s="333">
        <v>44109</v>
      </c>
      <c r="W505" s="329" t="b">
        <v>1</v>
      </c>
      <c r="X505" s="331" t="s">
        <v>905</v>
      </c>
      <c r="Y505" s="329">
        <v>747</v>
      </c>
      <c r="Z505" s="331" t="s">
        <v>23</v>
      </c>
      <c r="AA505" s="331" t="s">
        <v>919</v>
      </c>
      <c r="AB505" s="331" t="s">
        <v>920</v>
      </c>
      <c r="AC505" s="331" t="s">
        <v>1329</v>
      </c>
      <c r="AD505" s="331" t="s">
        <v>592</v>
      </c>
      <c r="AE505" s="329">
        <v>222</v>
      </c>
      <c r="AF505" s="331" t="s">
        <v>254</v>
      </c>
      <c r="AG505" s="329"/>
      <c r="AH505" s="329">
        <v>17</v>
      </c>
      <c r="AI505" s="331" t="s">
        <v>280</v>
      </c>
      <c r="AJ505" s="331" t="s">
        <v>281</v>
      </c>
      <c r="AK505" s="331" t="s">
        <v>274</v>
      </c>
      <c r="AL505" s="331" t="s">
        <v>301</v>
      </c>
      <c r="AM505" s="331" t="s">
        <v>289</v>
      </c>
      <c r="AN505" s="331" t="s">
        <v>290</v>
      </c>
      <c r="AO505" s="331" t="s">
        <v>351</v>
      </c>
      <c r="AP505" s="331" t="s">
        <v>340</v>
      </c>
      <c r="AQ505" s="329">
        <v>570</v>
      </c>
      <c r="AR505" s="329">
        <v>580</v>
      </c>
      <c r="AS505" s="329"/>
      <c r="AT505" s="329" t="s">
        <v>492</v>
      </c>
      <c r="AU505" s="329" t="s">
        <v>283</v>
      </c>
      <c r="AV505" s="331" t="s">
        <v>498</v>
      </c>
      <c r="AW505" s="329"/>
      <c r="AX505" s="329"/>
      <c r="AY505" s="329"/>
      <c r="AZ505" s="329"/>
      <c r="BA505" s="329"/>
      <c r="BB505" s="329"/>
      <c r="BC505" s="329"/>
      <c r="BD505" s="329"/>
      <c r="BE505" s="329"/>
      <c r="BF505" s="329"/>
      <c r="BG505" s="329"/>
      <c r="BH505" s="329"/>
      <c r="BI505" s="329"/>
      <c r="BJ505" s="329"/>
      <c r="BK505" s="329">
        <v>0</v>
      </c>
      <c r="BL505" s="329"/>
      <c r="BM505" s="331" t="s">
        <v>323</v>
      </c>
      <c r="BN505" s="329" t="s">
        <v>922</v>
      </c>
      <c r="BO505" s="333">
        <v>43753</v>
      </c>
      <c r="BP505" s="329"/>
      <c r="BQ505" s="329"/>
      <c r="BR505" s="329"/>
      <c r="BS505" s="329"/>
      <c r="BT505" s="329"/>
      <c r="BU505" s="331" t="s">
        <v>261</v>
      </c>
      <c r="BV505" s="329"/>
      <c r="BW505" s="329"/>
      <c r="BX505" s="329"/>
      <c r="BY505" s="331" t="s">
        <v>3738</v>
      </c>
      <c r="BZ505" s="331" t="s">
        <v>3739</v>
      </c>
      <c r="CA505" s="331" t="s">
        <v>3740</v>
      </c>
      <c r="CB505" s="331" t="s">
        <v>498</v>
      </c>
      <c r="CC505" s="331" t="s">
        <v>584</v>
      </c>
    </row>
    <row r="506" spans="1:81" x14ac:dyDescent="0.25">
      <c r="A506" s="329">
        <v>197610</v>
      </c>
      <c r="B506" s="331" t="s">
        <v>926</v>
      </c>
      <c r="C506" s="329">
        <v>34922</v>
      </c>
      <c r="D506" s="331" t="s">
        <v>927</v>
      </c>
      <c r="E506" s="331" t="s">
        <v>928</v>
      </c>
      <c r="F506" s="331" t="s">
        <v>929</v>
      </c>
      <c r="G506" s="331" t="s">
        <v>930</v>
      </c>
      <c r="H506" s="331" t="s">
        <v>931</v>
      </c>
      <c r="I506" s="331" t="s">
        <v>932</v>
      </c>
      <c r="J506" s="331" t="s">
        <v>298</v>
      </c>
      <c r="K506" s="331" t="s">
        <v>933</v>
      </c>
      <c r="L506" s="329"/>
      <c r="M506" s="329">
        <v>6</v>
      </c>
      <c r="N506" s="329">
        <v>0</v>
      </c>
      <c r="O506" s="329">
        <v>3.1</v>
      </c>
      <c r="P506" s="329"/>
      <c r="Q506" s="333">
        <v>43709.718055555553</v>
      </c>
      <c r="R506" s="329"/>
      <c r="S506" s="333">
        <v>43747</v>
      </c>
      <c r="T506" s="329">
        <v>55</v>
      </c>
      <c r="U506" s="333">
        <v>43747</v>
      </c>
      <c r="V506" s="333">
        <v>44109</v>
      </c>
      <c r="W506" s="329" t="b">
        <v>1</v>
      </c>
      <c r="X506" s="331" t="s">
        <v>905</v>
      </c>
      <c r="Y506" s="329">
        <v>747</v>
      </c>
      <c r="Z506" s="331" t="s">
        <v>23</v>
      </c>
      <c r="AA506" s="331" t="s">
        <v>919</v>
      </c>
      <c r="AB506" s="331" t="s">
        <v>920</v>
      </c>
      <c r="AC506" s="331" t="s">
        <v>311</v>
      </c>
      <c r="AD506" s="331" t="s">
        <v>24</v>
      </c>
      <c r="AE506" s="329">
        <v>221</v>
      </c>
      <c r="AF506" s="331" t="s">
        <v>254</v>
      </c>
      <c r="AG506" s="329"/>
      <c r="AH506" s="329">
        <v>17</v>
      </c>
      <c r="AI506" s="331" t="s">
        <v>280</v>
      </c>
      <c r="AJ506" s="331" t="s">
        <v>281</v>
      </c>
      <c r="AK506" s="329"/>
      <c r="AL506" s="329"/>
      <c r="AM506" s="329"/>
      <c r="AN506" s="329"/>
      <c r="AO506" s="329"/>
      <c r="AP506" s="331" t="s">
        <v>265</v>
      </c>
      <c r="AQ506" s="329">
        <v>550</v>
      </c>
      <c r="AR506" s="329">
        <v>530</v>
      </c>
      <c r="AS506" s="329"/>
      <c r="AT506" s="329" t="s">
        <v>453</v>
      </c>
      <c r="AU506" s="329" t="s">
        <v>283</v>
      </c>
      <c r="AV506" s="331" t="s">
        <v>298</v>
      </c>
      <c r="AW506" s="329"/>
      <c r="AX506" s="329"/>
      <c r="AY506" s="329"/>
      <c r="AZ506" s="329"/>
      <c r="BA506" s="329"/>
      <c r="BB506" s="329"/>
      <c r="BC506" s="329"/>
      <c r="BD506" s="329"/>
      <c r="BE506" s="329" t="s">
        <v>257</v>
      </c>
      <c r="BF506" s="329" t="s">
        <v>834</v>
      </c>
      <c r="BG506" s="329"/>
      <c r="BH506" s="329"/>
      <c r="BI506" s="329"/>
      <c r="BJ506" s="329"/>
      <c r="BK506" s="329">
        <v>20400</v>
      </c>
      <c r="BL506" s="329"/>
      <c r="BM506" s="331" t="s">
        <v>278</v>
      </c>
      <c r="BN506" s="329" t="s">
        <v>922</v>
      </c>
      <c r="BO506" s="333">
        <v>43748</v>
      </c>
      <c r="BP506" s="329"/>
      <c r="BQ506" s="329"/>
      <c r="BR506" s="329"/>
      <c r="BS506" s="329"/>
      <c r="BT506" s="329"/>
      <c r="BU506" s="331" t="s">
        <v>261</v>
      </c>
      <c r="BV506" s="329"/>
      <c r="BW506" s="329"/>
      <c r="BX506" s="329"/>
      <c r="BY506" s="331" t="s">
        <v>934</v>
      </c>
      <c r="BZ506" s="331" t="s">
        <v>935</v>
      </c>
      <c r="CA506" s="331" t="s">
        <v>936</v>
      </c>
      <c r="CB506" s="331" t="s">
        <v>298</v>
      </c>
      <c r="CC506" s="331" t="s">
        <v>937</v>
      </c>
    </row>
    <row r="507" spans="1:81" x14ac:dyDescent="0.25">
      <c r="A507" s="329">
        <v>198104</v>
      </c>
      <c r="B507" s="331" t="s">
        <v>947</v>
      </c>
      <c r="C507" s="329">
        <v>35093</v>
      </c>
      <c r="D507" s="331" t="s">
        <v>948</v>
      </c>
      <c r="E507" s="331" t="s">
        <v>949</v>
      </c>
      <c r="F507" s="331" t="s">
        <v>950</v>
      </c>
      <c r="G507" s="331" t="s">
        <v>951</v>
      </c>
      <c r="H507" s="331" t="s">
        <v>952</v>
      </c>
      <c r="I507" s="331" t="s">
        <v>953</v>
      </c>
      <c r="J507" s="331" t="s">
        <v>496</v>
      </c>
      <c r="K507" s="331" t="s">
        <v>954</v>
      </c>
      <c r="L507" s="329"/>
      <c r="M507" s="329">
        <v>6</v>
      </c>
      <c r="N507" s="329">
        <v>0</v>
      </c>
      <c r="O507" s="329">
        <v>3.24</v>
      </c>
      <c r="P507" s="329"/>
      <c r="Q507" s="333">
        <v>43551.34097222222</v>
      </c>
      <c r="R507" s="329"/>
      <c r="S507" s="333">
        <v>43747</v>
      </c>
      <c r="T507" s="329">
        <v>55</v>
      </c>
      <c r="U507" s="333">
        <v>43747</v>
      </c>
      <c r="V507" s="333">
        <v>44109</v>
      </c>
      <c r="W507" s="329" t="b">
        <v>1</v>
      </c>
      <c r="X507" s="331" t="s">
        <v>22</v>
      </c>
      <c r="Y507" s="329">
        <v>726</v>
      </c>
      <c r="Z507" s="331" t="s">
        <v>25</v>
      </c>
      <c r="AA507" s="331" t="s">
        <v>919</v>
      </c>
      <c r="AB507" s="331" t="s">
        <v>920</v>
      </c>
      <c r="AC507" s="331" t="s">
        <v>364</v>
      </c>
      <c r="AD507" s="331" t="s">
        <v>24</v>
      </c>
      <c r="AE507" s="329">
        <v>221</v>
      </c>
      <c r="AF507" s="331" t="s">
        <v>254</v>
      </c>
      <c r="AG507" s="329"/>
      <c r="AH507" s="329">
        <v>17</v>
      </c>
      <c r="AI507" s="331" t="s">
        <v>280</v>
      </c>
      <c r="AJ507" s="331" t="s">
        <v>281</v>
      </c>
      <c r="AK507" s="329"/>
      <c r="AL507" s="329"/>
      <c r="AM507" s="329"/>
      <c r="AN507" s="329"/>
      <c r="AO507" s="329"/>
      <c r="AP507" s="331" t="s">
        <v>955</v>
      </c>
      <c r="AQ507" s="329">
        <v>460</v>
      </c>
      <c r="AR507" s="329">
        <v>370</v>
      </c>
      <c r="AS507" s="329"/>
      <c r="AT507" s="329" t="s">
        <v>315</v>
      </c>
      <c r="AU507" s="329" t="s">
        <v>283</v>
      </c>
      <c r="AV507" s="331" t="s">
        <v>496</v>
      </c>
      <c r="AW507" s="329"/>
      <c r="AX507" s="329"/>
      <c r="AY507" s="329"/>
      <c r="AZ507" s="329"/>
      <c r="BA507" s="329"/>
      <c r="BB507" s="329"/>
      <c r="BC507" s="329"/>
      <c r="BD507" s="329"/>
      <c r="BE507" s="329" t="s">
        <v>257</v>
      </c>
      <c r="BF507" s="329" t="s">
        <v>837</v>
      </c>
      <c r="BG507" s="329"/>
      <c r="BH507" s="329"/>
      <c r="BI507" s="329"/>
      <c r="BJ507" s="329"/>
      <c r="BK507" s="329">
        <v>15000</v>
      </c>
      <c r="BL507" s="329"/>
      <c r="BM507" s="331" t="s">
        <v>295</v>
      </c>
      <c r="BN507" s="329" t="s">
        <v>922</v>
      </c>
      <c r="BO507" s="333">
        <v>43748</v>
      </c>
      <c r="BP507" s="329"/>
      <c r="BQ507" s="329"/>
      <c r="BR507" s="329"/>
      <c r="BS507" s="329"/>
      <c r="BT507" s="329"/>
      <c r="BU507" s="331" t="s">
        <v>261</v>
      </c>
      <c r="BV507" s="329"/>
      <c r="BW507" s="329"/>
      <c r="BX507" s="329"/>
      <c r="BY507" s="331" t="s">
        <v>741</v>
      </c>
      <c r="BZ507" s="331" t="s">
        <v>742</v>
      </c>
      <c r="CA507" s="331" t="s">
        <v>743</v>
      </c>
      <c r="CB507" s="331" t="s">
        <v>496</v>
      </c>
      <c r="CC507" s="331" t="s">
        <v>744</v>
      </c>
    </row>
    <row r="508" spans="1:81" x14ac:dyDescent="0.25">
      <c r="A508" s="329">
        <v>198200</v>
      </c>
      <c r="B508" s="331" t="s">
        <v>956</v>
      </c>
      <c r="C508" s="329">
        <v>35153</v>
      </c>
      <c r="D508" s="331" t="s">
        <v>948</v>
      </c>
      <c r="E508" s="331" t="s">
        <v>957</v>
      </c>
      <c r="F508" s="331" t="s">
        <v>958</v>
      </c>
      <c r="G508" s="331" t="s">
        <v>959</v>
      </c>
      <c r="H508" s="331" t="s">
        <v>960</v>
      </c>
      <c r="I508" s="331" t="s">
        <v>464</v>
      </c>
      <c r="J508" s="331" t="s">
        <v>292</v>
      </c>
      <c r="K508" s="331" t="s">
        <v>961</v>
      </c>
      <c r="L508" s="329"/>
      <c r="M508" s="329">
        <v>6</v>
      </c>
      <c r="N508" s="329">
        <v>0</v>
      </c>
      <c r="O508" s="329">
        <v>3.77</v>
      </c>
      <c r="P508" s="329"/>
      <c r="Q508" s="333">
        <v>43690.809050925927</v>
      </c>
      <c r="R508" s="329"/>
      <c r="S508" s="333">
        <v>43747</v>
      </c>
      <c r="T508" s="329">
        <v>55</v>
      </c>
      <c r="U508" s="333">
        <v>43747</v>
      </c>
      <c r="V508" s="333">
        <v>44109</v>
      </c>
      <c r="W508" s="329" t="b">
        <v>1</v>
      </c>
      <c r="X508" s="331" t="s">
        <v>187</v>
      </c>
      <c r="Y508" s="329">
        <v>718</v>
      </c>
      <c r="Z508" s="331" t="s">
        <v>23</v>
      </c>
      <c r="AA508" s="331" t="s">
        <v>919</v>
      </c>
      <c r="AB508" s="331" t="s">
        <v>920</v>
      </c>
      <c r="AC508" s="331" t="s">
        <v>962</v>
      </c>
      <c r="AD508" s="331" t="s">
        <v>24</v>
      </c>
      <c r="AE508" s="329">
        <v>221</v>
      </c>
      <c r="AF508" s="331" t="s">
        <v>254</v>
      </c>
      <c r="AG508" s="329"/>
      <c r="AH508" s="329">
        <v>17</v>
      </c>
      <c r="AI508" s="331" t="s">
        <v>280</v>
      </c>
      <c r="AJ508" s="331" t="s">
        <v>281</v>
      </c>
      <c r="AK508" s="329"/>
      <c r="AL508" s="329"/>
      <c r="AM508" s="329"/>
      <c r="AN508" s="329"/>
      <c r="AO508" s="329"/>
      <c r="AP508" s="331" t="s">
        <v>340</v>
      </c>
      <c r="AQ508" s="329">
        <v>620</v>
      </c>
      <c r="AR508" s="329">
        <v>530</v>
      </c>
      <c r="AS508" s="329"/>
      <c r="AT508" s="329" t="s">
        <v>312</v>
      </c>
      <c r="AU508" s="329" t="s">
        <v>963</v>
      </c>
      <c r="AV508" s="331" t="s">
        <v>292</v>
      </c>
      <c r="AW508" s="329"/>
      <c r="AX508" s="329"/>
      <c r="AY508" s="329"/>
      <c r="AZ508" s="329"/>
      <c r="BA508" s="329"/>
      <c r="BB508" s="329"/>
      <c r="BC508" s="329"/>
      <c r="BD508" s="329"/>
      <c r="BE508" s="329" t="s">
        <v>257</v>
      </c>
      <c r="BF508" s="329" t="s">
        <v>834</v>
      </c>
      <c r="BG508" s="329"/>
      <c r="BH508" s="329"/>
      <c r="BI508" s="329"/>
      <c r="BJ508" s="329"/>
      <c r="BK508" s="329">
        <v>20400</v>
      </c>
      <c r="BL508" s="329"/>
      <c r="BM508" s="331" t="s">
        <v>278</v>
      </c>
      <c r="BN508" s="329" t="s">
        <v>922</v>
      </c>
      <c r="BO508" s="333">
        <v>43748</v>
      </c>
      <c r="BP508" s="329"/>
      <c r="BQ508" s="329"/>
      <c r="BR508" s="329"/>
      <c r="BS508" s="329"/>
      <c r="BT508" s="329"/>
      <c r="BU508" s="331" t="s">
        <v>261</v>
      </c>
      <c r="BV508" s="329"/>
      <c r="BW508" s="329"/>
      <c r="BX508" s="329"/>
      <c r="BY508" s="331" t="s">
        <v>462</v>
      </c>
      <c r="BZ508" s="331" t="s">
        <v>463</v>
      </c>
      <c r="CA508" s="331" t="s">
        <v>464</v>
      </c>
      <c r="CB508" s="331" t="s">
        <v>292</v>
      </c>
      <c r="CC508" s="331" t="s">
        <v>853</v>
      </c>
    </row>
    <row r="509" spans="1:81" x14ac:dyDescent="0.25">
      <c r="A509" s="329">
        <v>195085</v>
      </c>
      <c r="B509" s="331" t="s">
        <v>964</v>
      </c>
      <c r="C509" s="329">
        <v>34230</v>
      </c>
      <c r="D509" s="331" t="s">
        <v>965</v>
      </c>
      <c r="E509" s="331" t="s">
        <v>966</v>
      </c>
      <c r="F509" s="331" t="s">
        <v>967</v>
      </c>
      <c r="G509" s="331" t="s">
        <v>968</v>
      </c>
      <c r="H509" s="331" t="s">
        <v>969</v>
      </c>
      <c r="I509" s="331" t="s">
        <v>970</v>
      </c>
      <c r="J509" s="331" t="s">
        <v>298</v>
      </c>
      <c r="K509" s="331" t="s">
        <v>971</v>
      </c>
      <c r="L509" s="329"/>
      <c r="M509" s="329">
        <v>6</v>
      </c>
      <c r="N509" s="329">
        <v>0</v>
      </c>
      <c r="O509" s="329">
        <v>3.625</v>
      </c>
      <c r="P509" s="329"/>
      <c r="Q509" s="333">
        <v>43645.965277777781</v>
      </c>
      <c r="R509" s="329"/>
      <c r="S509" s="333">
        <v>43747</v>
      </c>
      <c r="T509" s="329">
        <v>55</v>
      </c>
      <c r="U509" s="333">
        <v>43747</v>
      </c>
      <c r="V509" s="333">
        <v>44109</v>
      </c>
      <c r="W509" s="329" t="b">
        <v>1</v>
      </c>
      <c r="X509" s="331" t="s">
        <v>187</v>
      </c>
      <c r="Y509" s="329">
        <v>718</v>
      </c>
      <c r="Z509" s="331" t="s">
        <v>23</v>
      </c>
      <c r="AA509" s="331" t="s">
        <v>919</v>
      </c>
      <c r="AB509" s="331" t="s">
        <v>920</v>
      </c>
      <c r="AC509" s="331" t="s">
        <v>972</v>
      </c>
      <c r="AD509" s="331" t="s">
        <v>24</v>
      </c>
      <c r="AE509" s="329">
        <v>221</v>
      </c>
      <c r="AF509" s="331" t="s">
        <v>254</v>
      </c>
      <c r="AG509" s="329"/>
      <c r="AH509" s="329">
        <v>17</v>
      </c>
      <c r="AI509" s="331" t="s">
        <v>280</v>
      </c>
      <c r="AJ509" s="331" t="s">
        <v>281</v>
      </c>
      <c r="AK509" s="329"/>
      <c r="AL509" s="329"/>
      <c r="AM509" s="329"/>
      <c r="AN509" s="329"/>
      <c r="AO509" s="329"/>
      <c r="AP509" s="329"/>
      <c r="AQ509" s="329"/>
      <c r="AR509" s="329"/>
      <c r="AS509" s="329"/>
      <c r="AT509" s="329" t="s">
        <v>258</v>
      </c>
      <c r="AU509" s="329" t="s">
        <v>283</v>
      </c>
      <c r="AV509" s="331" t="s">
        <v>298</v>
      </c>
      <c r="AW509" s="329"/>
      <c r="AX509" s="329"/>
      <c r="AY509" s="329"/>
      <c r="AZ509" s="329"/>
      <c r="BA509" s="329"/>
      <c r="BB509" s="329"/>
      <c r="BC509" s="329"/>
      <c r="BD509" s="329"/>
      <c r="BE509" s="329" t="s">
        <v>257</v>
      </c>
      <c r="BF509" s="329" t="s">
        <v>838</v>
      </c>
      <c r="BG509" s="329"/>
      <c r="BH509" s="329" t="s">
        <v>258</v>
      </c>
      <c r="BI509" s="329"/>
      <c r="BJ509" s="329"/>
      <c r="BK509" s="329">
        <v>15600</v>
      </c>
      <c r="BL509" s="329"/>
      <c r="BM509" s="331" t="s">
        <v>259</v>
      </c>
      <c r="BN509" s="329" t="s">
        <v>922</v>
      </c>
      <c r="BO509" s="333">
        <v>43748</v>
      </c>
      <c r="BP509" s="329"/>
      <c r="BQ509" s="329"/>
      <c r="BR509" s="329"/>
      <c r="BS509" s="329"/>
      <c r="BT509" s="329"/>
      <c r="BU509" s="331" t="s">
        <v>261</v>
      </c>
      <c r="BV509" s="329"/>
      <c r="BW509" s="329"/>
      <c r="BX509" s="329"/>
      <c r="BY509" s="331" t="s">
        <v>973</v>
      </c>
      <c r="BZ509" s="331" t="s">
        <v>974</v>
      </c>
      <c r="CA509" s="331" t="s">
        <v>975</v>
      </c>
      <c r="CB509" s="331" t="s">
        <v>298</v>
      </c>
      <c r="CC509" s="331" t="s">
        <v>976</v>
      </c>
    </row>
    <row r="510" spans="1:81" x14ac:dyDescent="0.25">
      <c r="A510" s="329">
        <v>194980</v>
      </c>
      <c r="B510" s="331" t="s">
        <v>977</v>
      </c>
      <c r="C510" s="329">
        <v>34210</v>
      </c>
      <c r="D510" s="331" t="s">
        <v>978</v>
      </c>
      <c r="E510" s="331" t="s">
        <v>979</v>
      </c>
      <c r="F510" s="331" t="s">
        <v>980</v>
      </c>
      <c r="G510" s="331" t="s">
        <v>981</v>
      </c>
      <c r="H510" s="331" t="s">
        <v>982</v>
      </c>
      <c r="I510" s="331" t="s">
        <v>576</v>
      </c>
      <c r="J510" s="331" t="s">
        <v>21</v>
      </c>
      <c r="K510" s="331" t="s">
        <v>715</v>
      </c>
      <c r="L510" s="329"/>
      <c r="M510" s="329">
        <v>6</v>
      </c>
      <c r="N510" s="329">
        <v>0</v>
      </c>
      <c r="O510" s="329">
        <v>3.99</v>
      </c>
      <c r="P510" s="329"/>
      <c r="Q510" s="333">
        <v>43624.75</v>
      </c>
      <c r="R510" s="329"/>
      <c r="S510" s="333">
        <v>43747</v>
      </c>
      <c r="T510" s="329">
        <v>55</v>
      </c>
      <c r="U510" s="333">
        <v>43747</v>
      </c>
      <c r="V510" s="333">
        <v>44109</v>
      </c>
      <c r="W510" s="329" t="b">
        <v>1</v>
      </c>
      <c r="X510" s="331" t="s">
        <v>906</v>
      </c>
      <c r="Y510" s="329">
        <v>748</v>
      </c>
      <c r="Z510" s="331" t="s">
        <v>23</v>
      </c>
      <c r="AA510" s="331" t="s">
        <v>919</v>
      </c>
      <c r="AB510" s="331" t="s">
        <v>920</v>
      </c>
      <c r="AC510" s="331" t="s">
        <v>983</v>
      </c>
      <c r="AD510" s="331" t="s">
        <v>24</v>
      </c>
      <c r="AE510" s="329">
        <v>221</v>
      </c>
      <c r="AF510" s="331" t="s">
        <v>254</v>
      </c>
      <c r="AG510" s="329"/>
      <c r="AH510" s="329">
        <v>17</v>
      </c>
      <c r="AI510" s="331" t="s">
        <v>280</v>
      </c>
      <c r="AJ510" s="331" t="s">
        <v>281</v>
      </c>
      <c r="AK510" s="331" t="s">
        <v>300</v>
      </c>
      <c r="AL510" s="331" t="s">
        <v>272</v>
      </c>
      <c r="AM510" s="331" t="s">
        <v>275</v>
      </c>
      <c r="AN510" s="331" t="s">
        <v>299</v>
      </c>
      <c r="AO510" s="331" t="s">
        <v>301</v>
      </c>
      <c r="AP510" s="329"/>
      <c r="AQ510" s="329"/>
      <c r="AR510" s="329"/>
      <c r="AS510" s="329"/>
      <c r="AT510" s="329" t="s">
        <v>258</v>
      </c>
      <c r="AU510" s="329" t="s">
        <v>283</v>
      </c>
      <c r="AV510" s="331" t="s">
        <v>21</v>
      </c>
      <c r="AW510" s="329"/>
      <c r="AX510" s="329"/>
      <c r="AY510" s="329"/>
      <c r="AZ510" s="329"/>
      <c r="BA510" s="329"/>
      <c r="BB510" s="329"/>
      <c r="BC510" s="329"/>
      <c r="BD510" s="329"/>
      <c r="BE510" s="329" t="s">
        <v>257</v>
      </c>
      <c r="BF510" s="329" t="s">
        <v>830</v>
      </c>
      <c r="BG510" s="329"/>
      <c r="BH510" s="329"/>
      <c r="BI510" s="329" t="s">
        <v>334</v>
      </c>
      <c r="BJ510" s="329" t="s">
        <v>831</v>
      </c>
      <c r="BK510" s="329">
        <v>48000</v>
      </c>
      <c r="BL510" s="329"/>
      <c r="BM510" s="331" t="s">
        <v>26</v>
      </c>
      <c r="BN510" s="329" t="s">
        <v>922</v>
      </c>
      <c r="BO510" s="333">
        <v>43748</v>
      </c>
      <c r="BP510" s="329"/>
      <c r="BQ510" s="329"/>
      <c r="BR510" s="329"/>
      <c r="BS510" s="329"/>
      <c r="BT510" s="329"/>
      <c r="BU510" s="331" t="s">
        <v>261</v>
      </c>
      <c r="BV510" s="329"/>
      <c r="BW510" s="329"/>
      <c r="BX510" s="329"/>
      <c r="BY510" s="331" t="s">
        <v>824</v>
      </c>
      <c r="BZ510" s="331" t="s">
        <v>825</v>
      </c>
      <c r="CA510" s="331" t="s">
        <v>784</v>
      </c>
      <c r="CB510" s="331" t="s">
        <v>21</v>
      </c>
      <c r="CC510" s="331" t="s">
        <v>726</v>
      </c>
    </row>
    <row r="511" spans="1:81" x14ac:dyDescent="0.25">
      <c r="A511" s="329">
        <v>197093</v>
      </c>
      <c r="B511" s="331" t="s">
        <v>984</v>
      </c>
      <c r="C511" s="329">
        <v>34806</v>
      </c>
      <c r="D511" s="331" t="s">
        <v>358</v>
      </c>
      <c r="E511" s="331" t="s">
        <v>985</v>
      </c>
      <c r="F511" s="331" t="s">
        <v>986</v>
      </c>
      <c r="G511" s="331" t="s">
        <v>987</v>
      </c>
      <c r="H511" s="331" t="s">
        <v>988</v>
      </c>
      <c r="I511" s="331" t="s">
        <v>989</v>
      </c>
      <c r="J511" s="331" t="s">
        <v>449</v>
      </c>
      <c r="K511" s="331" t="s">
        <v>990</v>
      </c>
      <c r="L511" s="329"/>
      <c r="M511" s="329">
        <v>6</v>
      </c>
      <c r="N511" s="329">
        <v>0</v>
      </c>
      <c r="O511" s="329">
        <v>3.14</v>
      </c>
      <c r="P511" s="329"/>
      <c r="Q511" s="333">
        <v>43665.51390046296</v>
      </c>
      <c r="R511" s="329"/>
      <c r="S511" s="333">
        <v>43747</v>
      </c>
      <c r="T511" s="329">
        <v>55</v>
      </c>
      <c r="U511" s="333">
        <v>43747</v>
      </c>
      <c r="V511" s="333">
        <v>44109</v>
      </c>
      <c r="W511" s="329" t="b">
        <v>1</v>
      </c>
      <c r="X511" s="331" t="s">
        <v>187</v>
      </c>
      <c r="Y511" s="329">
        <v>718</v>
      </c>
      <c r="Z511" s="331" t="s">
        <v>23</v>
      </c>
      <c r="AA511" s="331" t="s">
        <v>919</v>
      </c>
      <c r="AB511" s="331" t="s">
        <v>920</v>
      </c>
      <c r="AC511" s="331" t="s">
        <v>962</v>
      </c>
      <c r="AD511" s="331" t="s">
        <v>24</v>
      </c>
      <c r="AE511" s="329">
        <v>221</v>
      </c>
      <c r="AF511" s="331" t="s">
        <v>254</v>
      </c>
      <c r="AG511" s="329"/>
      <c r="AH511" s="329">
        <v>17</v>
      </c>
      <c r="AI511" s="331" t="s">
        <v>280</v>
      </c>
      <c r="AJ511" s="331" t="s">
        <v>281</v>
      </c>
      <c r="AK511" s="331" t="s">
        <v>289</v>
      </c>
      <c r="AL511" s="331" t="s">
        <v>287</v>
      </c>
      <c r="AM511" s="331" t="s">
        <v>275</v>
      </c>
      <c r="AN511" s="331" t="s">
        <v>347</v>
      </c>
      <c r="AO511" s="331" t="s">
        <v>300</v>
      </c>
      <c r="AP511" s="329"/>
      <c r="AQ511" s="329"/>
      <c r="AR511" s="329"/>
      <c r="AS511" s="329"/>
      <c r="AT511" s="329" t="s">
        <v>833</v>
      </c>
      <c r="AU511" s="329" t="s">
        <v>283</v>
      </c>
      <c r="AV511" s="331" t="s">
        <v>449</v>
      </c>
      <c r="AW511" s="329"/>
      <c r="AX511" s="329"/>
      <c r="AY511" s="329"/>
      <c r="AZ511" s="329"/>
      <c r="BA511" s="329"/>
      <c r="BB511" s="329"/>
      <c r="BC511" s="329"/>
      <c r="BD511" s="329"/>
      <c r="BE511" s="329" t="s">
        <v>257</v>
      </c>
      <c r="BF511" s="329" t="s">
        <v>838</v>
      </c>
      <c r="BG511" s="329"/>
      <c r="BH511" s="329"/>
      <c r="BI511" s="329"/>
      <c r="BJ511" s="329"/>
      <c r="BK511" s="329">
        <v>15600</v>
      </c>
      <c r="BL511" s="329"/>
      <c r="BM511" s="331" t="s">
        <v>259</v>
      </c>
      <c r="BN511" s="329" t="s">
        <v>922</v>
      </c>
      <c r="BO511" s="333">
        <v>43748</v>
      </c>
      <c r="BP511" s="329"/>
      <c r="BQ511" s="329"/>
      <c r="BR511" s="329"/>
      <c r="BS511" s="329"/>
      <c r="BT511" s="329"/>
      <c r="BU511" s="331" t="s">
        <v>261</v>
      </c>
      <c r="BV511" s="329"/>
      <c r="BW511" s="329"/>
      <c r="BX511" s="329"/>
      <c r="BY511" s="331" t="s">
        <v>991</v>
      </c>
      <c r="BZ511" s="331" t="s">
        <v>992</v>
      </c>
      <c r="CA511" s="331" t="s">
        <v>486</v>
      </c>
      <c r="CB511" s="331" t="s">
        <v>449</v>
      </c>
      <c r="CC511" s="331" t="s">
        <v>990</v>
      </c>
    </row>
    <row r="512" spans="1:81" x14ac:dyDescent="0.25">
      <c r="A512" s="329">
        <v>195930</v>
      </c>
      <c r="B512" s="331" t="s">
        <v>993</v>
      </c>
      <c r="C512" s="329">
        <v>34434</v>
      </c>
      <c r="D512" s="331" t="s">
        <v>358</v>
      </c>
      <c r="E512" s="331" t="s">
        <v>994</v>
      </c>
      <c r="F512" s="331" t="s">
        <v>995</v>
      </c>
      <c r="G512" s="331" t="s">
        <v>996</v>
      </c>
      <c r="H512" s="331" t="s">
        <v>997</v>
      </c>
      <c r="I512" s="331" t="s">
        <v>998</v>
      </c>
      <c r="J512" s="331" t="s">
        <v>279</v>
      </c>
      <c r="K512" s="331" t="s">
        <v>999</v>
      </c>
      <c r="L512" s="329"/>
      <c r="M512" s="329">
        <v>6</v>
      </c>
      <c r="N512" s="329">
        <v>0</v>
      </c>
      <c r="O512" s="329">
        <v>2.82</v>
      </c>
      <c r="P512" s="329"/>
      <c r="Q512" s="333">
        <v>43656.581944444442</v>
      </c>
      <c r="R512" s="329"/>
      <c r="S512" s="333">
        <v>43747</v>
      </c>
      <c r="T512" s="329">
        <v>55</v>
      </c>
      <c r="U512" s="333">
        <v>43747</v>
      </c>
      <c r="V512" s="333">
        <v>44109</v>
      </c>
      <c r="W512" s="329" t="b">
        <v>1</v>
      </c>
      <c r="X512" s="331" t="s">
        <v>22</v>
      </c>
      <c r="Y512" s="329">
        <v>429</v>
      </c>
      <c r="Z512" s="331" t="s">
        <v>23</v>
      </c>
      <c r="AA512" s="331" t="s">
        <v>919</v>
      </c>
      <c r="AB512" s="331" t="s">
        <v>920</v>
      </c>
      <c r="AC512" s="331" t="s">
        <v>337</v>
      </c>
      <c r="AD512" s="331" t="s">
        <v>24</v>
      </c>
      <c r="AE512" s="329">
        <v>221</v>
      </c>
      <c r="AF512" s="331" t="s">
        <v>254</v>
      </c>
      <c r="AG512" s="329"/>
      <c r="AH512" s="329">
        <v>17</v>
      </c>
      <c r="AI512" s="331" t="s">
        <v>280</v>
      </c>
      <c r="AJ512" s="331" t="s">
        <v>281</v>
      </c>
      <c r="AK512" s="329"/>
      <c r="AL512" s="329"/>
      <c r="AM512" s="329"/>
      <c r="AN512" s="329"/>
      <c r="AO512" s="329"/>
      <c r="AP512" s="331" t="s">
        <v>437</v>
      </c>
      <c r="AQ512" s="329">
        <v>500</v>
      </c>
      <c r="AR512" s="329">
        <v>560</v>
      </c>
      <c r="AS512" s="329"/>
      <c r="AT512" s="329" t="s">
        <v>266</v>
      </c>
      <c r="AU512" s="329" t="s">
        <v>567</v>
      </c>
      <c r="AV512" s="331" t="s">
        <v>279</v>
      </c>
      <c r="AW512" s="329"/>
      <c r="AX512" s="329"/>
      <c r="AY512" s="329"/>
      <c r="AZ512" s="329"/>
      <c r="BA512" s="329"/>
      <c r="BB512" s="329"/>
      <c r="BC512" s="329"/>
      <c r="BD512" s="329"/>
      <c r="BE512" s="329" t="s">
        <v>257</v>
      </c>
      <c r="BF512" s="329" t="s">
        <v>841</v>
      </c>
      <c r="BG512" s="329"/>
      <c r="BH512" s="329"/>
      <c r="BI512" s="329"/>
      <c r="BJ512" s="329"/>
      <c r="BK512" s="329">
        <v>9000</v>
      </c>
      <c r="BL512" s="329"/>
      <c r="BM512" s="331" t="s">
        <v>189</v>
      </c>
      <c r="BN512" s="329" t="s">
        <v>922</v>
      </c>
      <c r="BO512" s="333">
        <v>43748</v>
      </c>
      <c r="BP512" s="329"/>
      <c r="BQ512" s="329"/>
      <c r="BR512" s="329"/>
      <c r="BS512" s="329"/>
      <c r="BT512" s="329"/>
      <c r="BU512" s="331" t="s">
        <v>261</v>
      </c>
      <c r="BV512" s="329"/>
      <c r="BW512" s="329"/>
      <c r="BX512" s="329"/>
      <c r="BY512" s="331" t="s">
        <v>1000</v>
      </c>
      <c r="BZ512" s="331" t="s">
        <v>1001</v>
      </c>
      <c r="CA512" s="331" t="s">
        <v>1002</v>
      </c>
      <c r="CB512" s="331" t="s">
        <v>279</v>
      </c>
      <c r="CC512" s="331" t="s">
        <v>1003</v>
      </c>
    </row>
    <row r="513" spans="1:81" x14ac:dyDescent="0.25">
      <c r="A513" s="329">
        <v>194947</v>
      </c>
      <c r="B513" s="331" t="s">
        <v>1004</v>
      </c>
      <c r="C513" s="329">
        <v>34197</v>
      </c>
      <c r="D513" s="331" t="s">
        <v>1005</v>
      </c>
      <c r="E513" s="331" t="s">
        <v>182</v>
      </c>
      <c r="F513" s="331" t="s">
        <v>1006</v>
      </c>
      <c r="G513" s="331" t="s">
        <v>1007</v>
      </c>
      <c r="H513" s="331" t="s">
        <v>1008</v>
      </c>
      <c r="I513" s="331" t="s">
        <v>1009</v>
      </c>
      <c r="J513" s="331" t="s">
        <v>263</v>
      </c>
      <c r="K513" s="331" t="s">
        <v>1010</v>
      </c>
      <c r="L513" s="329"/>
      <c r="M513" s="329">
        <v>6</v>
      </c>
      <c r="N513" s="329">
        <v>0</v>
      </c>
      <c r="O513" s="329">
        <v>2.5516999999999999</v>
      </c>
      <c r="P513" s="329"/>
      <c r="Q513" s="333">
        <v>43625.75</v>
      </c>
      <c r="R513" s="329"/>
      <c r="S513" s="333">
        <v>43747</v>
      </c>
      <c r="T513" s="329">
        <v>55</v>
      </c>
      <c r="U513" s="333">
        <v>43747</v>
      </c>
      <c r="V513" s="333">
        <v>44109</v>
      </c>
      <c r="W513" s="329" t="b">
        <v>1</v>
      </c>
      <c r="X513" s="331" t="s">
        <v>187</v>
      </c>
      <c r="Y513" s="329">
        <v>718</v>
      </c>
      <c r="Z513" s="331" t="s">
        <v>23</v>
      </c>
      <c r="AA513" s="331" t="s">
        <v>919</v>
      </c>
      <c r="AB513" s="331" t="s">
        <v>920</v>
      </c>
      <c r="AC513" s="331" t="s">
        <v>1011</v>
      </c>
      <c r="AD513" s="331" t="s">
        <v>24</v>
      </c>
      <c r="AE513" s="329">
        <v>221</v>
      </c>
      <c r="AF513" s="331" t="s">
        <v>254</v>
      </c>
      <c r="AG513" s="329"/>
      <c r="AH513" s="329">
        <v>17</v>
      </c>
      <c r="AI513" s="331" t="s">
        <v>280</v>
      </c>
      <c r="AJ513" s="331" t="s">
        <v>281</v>
      </c>
      <c r="AK513" s="329"/>
      <c r="AL513" s="329"/>
      <c r="AM513" s="329"/>
      <c r="AN513" s="329"/>
      <c r="AO513" s="329"/>
      <c r="AP513" s="331" t="s">
        <v>473</v>
      </c>
      <c r="AQ513" s="329">
        <v>550</v>
      </c>
      <c r="AR513" s="329">
        <v>490</v>
      </c>
      <c r="AS513" s="329"/>
      <c r="AT513" s="329" t="s">
        <v>382</v>
      </c>
      <c r="AU513" s="329" t="s">
        <v>283</v>
      </c>
      <c r="AV513" s="331" t="s">
        <v>263</v>
      </c>
      <c r="AW513" s="329"/>
      <c r="AX513" s="329"/>
      <c r="AY513" s="329"/>
      <c r="AZ513" s="329"/>
      <c r="BA513" s="329"/>
      <c r="BB513" s="329"/>
      <c r="BC513" s="329"/>
      <c r="BD513" s="329"/>
      <c r="BE513" s="329"/>
      <c r="BF513" s="329"/>
      <c r="BG513" s="329"/>
      <c r="BH513" s="329"/>
      <c r="BI513" s="329"/>
      <c r="BJ513" s="329"/>
      <c r="BK513" s="329">
        <v>0</v>
      </c>
      <c r="BL513" s="329"/>
      <c r="BM513" s="331" t="s">
        <v>27</v>
      </c>
      <c r="BN513" s="329" t="s">
        <v>922</v>
      </c>
      <c r="BO513" s="333">
        <v>43748</v>
      </c>
      <c r="BP513" s="329"/>
      <c r="BQ513" s="329"/>
      <c r="BR513" s="329"/>
      <c r="BS513" s="329"/>
      <c r="BT513" s="329"/>
      <c r="BU513" s="331" t="s">
        <v>261</v>
      </c>
      <c r="BV513" s="329"/>
      <c r="BW513" s="329"/>
      <c r="BX513" s="329"/>
      <c r="BY513" s="331" t="s">
        <v>1012</v>
      </c>
      <c r="BZ513" s="331" t="s">
        <v>1013</v>
      </c>
      <c r="CA513" s="331" t="s">
        <v>1009</v>
      </c>
      <c r="CB513" s="331" t="s">
        <v>263</v>
      </c>
      <c r="CC513" s="331" t="s">
        <v>1010</v>
      </c>
    </row>
    <row r="514" spans="1:81" x14ac:dyDescent="0.25">
      <c r="A514" s="329">
        <v>196077</v>
      </c>
      <c r="B514" s="331" t="s">
        <v>1014</v>
      </c>
      <c r="C514" s="329">
        <v>34491</v>
      </c>
      <c r="D514" s="331" t="s">
        <v>477</v>
      </c>
      <c r="E514" s="331" t="s">
        <v>1015</v>
      </c>
      <c r="F514" s="331" t="s">
        <v>1016</v>
      </c>
      <c r="G514" s="331" t="s">
        <v>1017</v>
      </c>
      <c r="H514" s="331" t="s">
        <v>1018</v>
      </c>
      <c r="I514" s="331" t="s">
        <v>1019</v>
      </c>
      <c r="J514" s="331" t="s">
        <v>298</v>
      </c>
      <c r="K514" s="331" t="s">
        <v>1020</v>
      </c>
      <c r="L514" s="329"/>
      <c r="M514" s="329">
        <v>6</v>
      </c>
      <c r="N514" s="329">
        <v>0</v>
      </c>
      <c r="O514" s="329">
        <v>3.2902999999999998</v>
      </c>
      <c r="P514" s="329"/>
      <c r="Q514" s="333">
        <v>43625.03125</v>
      </c>
      <c r="R514" s="329"/>
      <c r="S514" s="333">
        <v>43747</v>
      </c>
      <c r="T514" s="329">
        <v>55</v>
      </c>
      <c r="U514" s="333">
        <v>43747</v>
      </c>
      <c r="V514" s="333">
        <v>44109</v>
      </c>
      <c r="W514" s="329" t="b">
        <v>1</v>
      </c>
      <c r="X514" s="331" t="s">
        <v>187</v>
      </c>
      <c r="Y514" s="329">
        <v>718</v>
      </c>
      <c r="Z514" s="331" t="s">
        <v>23</v>
      </c>
      <c r="AA514" s="331" t="s">
        <v>919</v>
      </c>
      <c r="AB514" s="331" t="s">
        <v>920</v>
      </c>
      <c r="AC514" s="331" t="s">
        <v>1011</v>
      </c>
      <c r="AD514" s="331" t="s">
        <v>24</v>
      </c>
      <c r="AE514" s="329">
        <v>221</v>
      </c>
      <c r="AF514" s="331" t="s">
        <v>254</v>
      </c>
      <c r="AG514" s="329"/>
      <c r="AH514" s="329">
        <v>17</v>
      </c>
      <c r="AI514" s="331" t="s">
        <v>280</v>
      </c>
      <c r="AJ514" s="331" t="s">
        <v>281</v>
      </c>
      <c r="AK514" s="329"/>
      <c r="AL514" s="329"/>
      <c r="AM514" s="329"/>
      <c r="AN514" s="329"/>
      <c r="AO514" s="329"/>
      <c r="AP514" s="329"/>
      <c r="AQ514" s="329"/>
      <c r="AR514" s="329"/>
      <c r="AS514" s="329"/>
      <c r="AT514" s="329" t="s">
        <v>258</v>
      </c>
      <c r="AU514" s="329" t="s">
        <v>283</v>
      </c>
      <c r="AV514" s="331" t="s">
        <v>298</v>
      </c>
      <c r="AW514" s="329"/>
      <c r="AX514" s="329"/>
      <c r="AY514" s="329"/>
      <c r="AZ514" s="329"/>
      <c r="BA514" s="329"/>
      <c r="BB514" s="329"/>
      <c r="BC514" s="329"/>
      <c r="BD514" s="329"/>
      <c r="BE514" s="329" t="s">
        <v>257</v>
      </c>
      <c r="BF514" s="329" t="s">
        <v>830</v>
      </c>
      <c r="BG514" s="329"/>
      <c r="BH514" s="329"/>
      <c r="BI514" s="329"/>
      <c r="BJ514" s="329"/>
      <c r="BK514" s="329">
        <v>12000</v>
      </c>
      <c r="BL514" s="329"/>
      <c r="BM514" s="331" t="s">
        <v>26</v>
      </c>
      <c r="BN514" s="329" t="s">
        <v>922</v>
      </c>
      <c r="BO514" s="333">
        <v>43748</v>
      </c>
      <c r="BP514" s="329"/>
      <c r="BQ514" s="329"/>
      <c r="BR514" s="329"/>
      <c r="BS514" s="329"/>
      <c r="BT514" s="329"/>
      <c r="BU514" s="331" t="s">
        <v>261</v>
      </c>
      <c r="BV514" s="329"/>
      <c r="BW514" s="329"/>
      <c r="BX514" s="329"/>
      <c r="BY514" s="331" t="s">
        <v>1021</v>
      </c>
      <c r="BZ514" s="331" t="s">
        <v>1022</v>
      </c>
      <c r="CA514" s="331" t="s">
        <v>1023</v>
      </c>
      <c r="CB514" s="331" t="s">
        <v>298</v>
      </c>
      <c r="CC514" s="331" t="s">
        <v>1020</v>
      </c>
    </row>
    <row r="515" spans="1:81" x14ac:dyDescent="0.25">
      <c r="A515" s="329">
        <v>197518</v>
      </c>
      <c r="B515" s="331" t="s">
        <v>916</v>
      </c>
      <c r="C515" s="329">
        <v>34897</v>
      </c>
      <c r="D515" s="331" t="s">
        <v>4367</v>
      </c>
      <c r="E515" s="331" t="s">
        <v>4368</v>
      </c>
      <c r="F515" s="331" t="s">
        <v>4369</v>
      </c>
      <c r="G515" s="331" t="s">
        <v>917</v>
      </c>
      <c r="H515" s="331" t="s">
        <v>4370</v>
      </c>
      <c r="I515" s="331" t="s">
        <v>925</v>
      </c>
      <c r="J515" s="331" t="s">
        <v>307</v>
      </c>
      <c r="K515" s="331" t="s">
        <v>918</v>
      </c>
      <c r="L515" s="329"/>
      <c r="M515" s="329">
        <v>6</v>
      </c>
      <c r="N515" s="329">
        <v>0</v>
      </c>
      <c r="O515" s="329">
        <v>2.5139999999999998</v>
      </c>
      <c r="P515" s="329"/>
      <c r="Q515" s="333">
        <v>43704.930555555555</v>
      </c>
      <c r="R515" s="329"/>
      <c r="S515" s="333">
        <v>43747</v>
      </c>
      <c r="T515" s="329">
        <v>55</v>
      </c>
      <c r="U515" s="333">
        <v>43747</v>
      </c>
      <c r="V515" s="333">
        <v>44109</v>
      </c>
      <c r="W515" s="329" t="b">
        <v>1</v>
      </c>
      <c r="X515" s="331" t="s">
        <v>22</v>
      </c>
      <c r="Y515" s="329">
        <v>429</v>
      </c>
      <c r="Z515" s="331" t="s">
        <v>23</v>
      </c>
      <c r="AA515" s="331" t="s">
        <v>919</v>
      </c>
      <c r="AB515" s="331" t="s">
        <v>920</v>
      </c>
      <c r="AC515" s="331" t="s">
        <v>921</v>
      </c>
      <c r="AD515" s="331" t="s">
        <v>24</v>
      </c>
      <c r="AE515" s="329">
        <v>221</v>
      </c>
      <c r="AF515" s="331" t="s">
        <v>254</v>
      </c>
      <c r="AG515" s="329"/>
      <c r="AH515" s="329">
        <v>17</v>
      </c>
      <c r="AI515" s="331" t="s">
        <v>280</v>
      </c>
      <c r="AJ515" s="331" t="s">
        <v>281</v>
      </c>
      <c r="AK515" s="331" t="s">
        <v>330</v>
      </c>
      <c r="AL515" s="331" t="s">
        <v>363</v>
      </c>
      <c r="AM515" s="331" t="s">
        <v>386</v>
      </c>
      <c r="AN515" s="331" t="s">
        <v>363</v>
      </c>
      <c r="AO515" s="331" t="s">
        <v>299</v>
      </c>
      <c r="AP515" s="331" t="s">
        <v>489</v>
      </c>
      <c r="AQ515" s="329">
        <v>500</v>
      </c>
      <c r="AR515" s="329">
        <v>490</v>
      </c>
      <c r="AS515" s="329"/>
      <c r="AT515" s="329" t="s">
        <v>845</v>
      </c>
      <c r="AU515" s="329" t="s">
        <v>283</v>
      </c>
      <c r="AV515" s="331" t="s">
        <v>307</v>
      </c>
      <c r="AW515" s="329"/>
      <c r="AX515" s="329"/>
      <c r="AY515" s="329"/>
      <c r="AZ515" s="329"/>
      <c r="BA515" s="329"/>
      <c r="BB515" s="329"/>
      <c r="BC515" s="329"/>
      <c r="BD515" s="329"/>
      <c r="BE515" s="329"/>
      <c r="BF515" s="329"/>
      <c r="BG515" s="329"/>
      <c r="BH515" s="329"/>
      <c r="BI515" s="329"/>
      <c r="BJ515" s="329"/>
      <c r="BK515" s="329">
        <v>0</v>
      </c>
      <c r="BL515" s="329"/>
      <c r="BM515" s="331" t="s">
        <v>27</v>
      </c>
      <c r="BN515" s="329" t="s">
        <v>922</v>
      </c>
      <c r="BO515" s="333">
        <v>43748</v>
      </c>
      <c r="BP515" s="329"/>
      <c r="BQ515" s="329"/>
      <c r="BR515" s="329"/>
      <c r="BS515" s="329"/>
      <c r="BT515" s="329"/>
      <c r="BU515" s="331" t="s">
        <v>261</v>
      </c>
      <c r="BV515" s="329"/>
      <c r="BW515" s="329"/>
      <c r="BX515" s="329"/>
      <c r="BY515" s="331" t="s">
        <v>923</v>
      </c>
      <c r="BZ515" s="331" t="s">
        <v>924</v>
      </c>
      <c r="CA515" s="331" t="s">
        <v>925</v>
      </c>
      <c r="CB515" s="331" t="s">
        <v>307</v>
      </c>
      <c r="CC515" s="331" t="s">
        <v>918</v>
      </c>
    </row>
    <row r="516" spans="1:81" x14ac:dyDescent="0.25">
      <c r="A516" s="329">
        <v>198044</v>
      </c>
      <c r="B516" s="331" t="s">
        <v>938</v>
      </c>
      <c r="C516" s="329">
        <v>35075</v>
      </c>
      <c r="D516" s="331" t="s">
        <v>939</v>
      </c>
      <c r="E516" s="331" t="s">
        <v>940</v>
      </c>
      <c r="F516" s="331" t="s">
        <v>941</v>
      </c>
      <c r="G516" s="331" t="s">
        <v>942</v>
      </c>
      <c r="H516" s="331" t="s">
        <v>943</v>
      </c>
      <c r="I516" s="331" t="s">
        <v>932</v>
      </c>
      <c r="J516" s="331" t="s">
        <v>298</v>
      </c>
      <c r="K516" s="331" t="s">
        <v>944</v>
      </c>
      <c r="L516" s="329"/>
      <c r="M516" s="329">
        <v>6</v>
      </c>
      <c r="N516" s="329">
        <v>0</v>
      </c>
      <c r="O516" s="329">
        <v>3.9569999999999999</v>
      </c>
      <c r="P516" s="329"/>
      <c r="Q516" s="333">
        <v>43682.597222222219</v>
      </c>
      <c r="R516" s="329"/>
      <c r="S516" s="333">
        <v>43747</v>
      </c>
      <c r="T516" s="329">
        <v>55</v>
      </c>
      <c r="U516" s="333">
        <v>43747</v>
      </c>
      <c r="V516" s="333">
        <v>44109</v>
      </c>
      <c r="W516" s="329" t="b">
        <v>1</v>
      </c>
      <c r="X516" s="331" t="s">
        <v>22</v>
      </c>
      <c r="Y516" s="329">
        <v>726</v>
      </c>
      <c r="Z516" s="331" t="s">
        <v>25</v>
      </c>
      <c r="AA516" s="331" t="s">
        <v>919</v>
      </c>
      <c r="AB516" s="331" t="s">
        <v>920</v>
      </c>
      <c r="AC516" s="331" t="s">
        <v>311</v>
      </c>
      <c r="AD516" s="331" t="s">
        <v>24</v>
      </c>
      <c r="AE516" s="329">
        <v>221</v>
      </c>
      <c r="AF516" s="331" t="s">
        <v>254</v>
      </c>
      <c r="AG516" s="329"/>
      <c r="AH516" s="329">
        <v>17</v>
      </c>
      <c r="AI516" s="331" t="s">
        <v>280</v>
      </c>
      <c r="AJ516" s="331" t="s">
        <v>281</v>
      </c>
      <c r="AK516" s="329"/>
      <c r="AL516" s="329"/>
      <c r="AM516" s="329"/>
      <c r="AN516" s="329"/>
      <c r="AO516" s="329"/>
      <c r="AP516" s="331" t="s">
        <v>421</v>
      </c>
      <c r="AQ516" s="329">
        <v>570</v>
      </c>
      <c r="AR516" s="329">
        <v>660</v>
      </c>
      <c r="AS516" s="329"/>
      <c r="AT516" s="329" t="s">
        <v>313</v>
      </c>
      <c r="AU516" s="329" t="s">
        <v>283</v>
      </c>
      <c r="AV516" s="331" t="s">
        <v>298</v>
      </c>
      <c r="AW516" s="329"/>
      <c r="AX516" s="329"/>
      <c r="AY516" s="329"/>
      <c r="AZ516" s="329"/>
      <c r="BA516" s="329"/>
      <c r="BB516" s="329"/>
      <c r="BC516" s="329"/>
      <c r="BD516" s="329"/>
      <c r="BE516" s="329" t="s">
        <v>257</v>
      </c>
      <c r="BF516" s="329" t="s">
        <v>834</v>
      </c>
      <c r="BG516" s="329"/>
      <c r="BH516" s="329"/>
      <c r="BI516" s="329"/>
      <c r="BJ516" s="329"/>
      <c r="BK516" s="329">
        <v>20400</v>
      </c>
      <c r="BL516" s="329"/>
      <c r="BM516" s="331" t="s">
        <v>278</v>
      </c>
      <c r="BN516" s="329" t="s">
        <v>922</v>
      </c>
      <c r="BO516" s="333">
        <v>43747</v>
      </c>
      <c r="BP516" s="329"/>
      <c r="BQ516" s="329"/>
      <c r="BR516" s="329"/>
      <c r="BS516" s="329"/>
      <c r="BT516" s="329"/>
      <c r="BU516" s="331" t="s">
        <v>261</v>
      </c>
      <c r="BV516" s="329"/>
      <c r="BW516" s="329"/>
      <c r="BX516" s="329"/>
      <c r="BY516" s="331" t="s">
        <v>945</v>
      </c>
      <c r="BZ516" s="331" t="s">
        <v>946</v>
      </c>
      <c r="CA516" s="331" t="s">
        <v>936</v>
      </c>
      <c r="CB516" s="331" t="s">
        <v>298</v>
      </c>
      <c r="CC516" s="331" t="s">
        <v>944</v>
      </c>
    </row>
    <row r="517" spans="1:81" x14ac:dyDescent="0.25">
      <c r="A517" s="329">
        <v>196529</v>
      </c>
      <c r="B517" s="331" t="s">
        <v>1024</v>
      </c>
      <c r="C517" s="329">
        <v>34676</v>
      </c>
      <c r="D517" s="331" t="s">
        <v>1025</v>
      </c>
      <c r="E517" s="331" t="s">
        <v>316</v>
      </c>
      <c r="F517" s="331" t="s">
        <v>1026</v>
      </c>
      <c r="G517" s="331" t="s">
        <v>1027</v>
      </c>
      <c r="H517" s="331" t="s">
        <v>1028</v>
      </c>
      <c r="I517" s="331" t="s">
        <v>1029</v>
      </c>
      <c r="J517" s="331" t="s">
        <v>21</v>
      </c>
      <c r="K517" s="331" t="s">
        <v>1030</v>
      </c>
      <c r="L517" s="329"/>
      <c r="M517" s="329">
        <v>6</v>
      </c>
      <c r="N517" s="329">
        <v>0</v>
      </c>
      <c r="O517" s="329">
        <v>3.1120000000000001</v>
      </c>
      <c r="P517" s="329"/>
      <c r="Q517" s="333">
        <v>43703.819444444445</v>
      </c>
      <c r="R517" s="329"/>
      <c r="S517" s="333">
        <v>43747</v>
      </c>
      <c r="T517" s="329">
        <v>55</v>
      </c>
      <c r="U517" s="333">
        <v>43747</v>
      </c>
      <c r="V517" s="333">
        <v>44109</v>
      </c>
      <c r="W517" s="329" t="b">
        <v>1</v>
      </c>
      <c r="X517" s="331" t="s">
        <v>906</v>
      </c>
      <c r="Y517" s="329">
        <v>748</v>
      </c>
      <c r="Z517" s="331" t="s">
        <v>23</v>
      </c>
      <c r="AA517" s="331" t="s">
        <v>919</v>
      </c>
      <c r="AB517" s="331" t="s">
        <v>920</v>
      </c>
      <c r="AC517" s="331" t="s">
        <v>1031</v>
      </c>
      <c r="AD517" s="331" t="s">
        <v>24</v>
      </c>
      <c r="AE517" s="329">
        <v>221</v>
      </c>
      <c r="AF517" s="331" t="s">
        <v>254</v>
      </c>
      <c r="AG517" s="329"/>
      <c r="AH517" s="329">
        <v>17</v>
      </c>
      <c r="AI517" s="331" t="s">
        <v>280</v>
      </c>
      <c r="AJ517" s="331" t="s">
        <v>281</v>
      </c>
      <c r="AK517" s="331" t="s">
        <v>328</v>
      </c>
      <c r="AL517" s="331" t="s">
        <v>359</v>
      </c>
      <c r="AM517" s="331" t="s">
        <v>275</v>
      </c>
      <c r="AN517" s="331" t="s">
        <v>363</v>
      </c>
      <c r="AO517" s="331" t="s">
        <v>328</v>
      </c>
      <c r="AP517" s="329"/>
      <c r="AQ517" s="329"/>
      <c r="AR517" s="329"/>
      <c r="AS517" s="329"/>
      <c r="AT517" s="329" t="s">
        <v>409</v>
      </c>
      <c r="AU517" s="329" t="s">
        <v>283</v>
      </c>
      <c r="AV517" s="331" t="s">
        <v>21</v>
      </c>
      <c r="AW517" s="329"/>
      <c r="AX517" s="329"/>
      <c r="AY517" s="329"/>
      <c r="AZ517" s="329"/>
      <c r="BA517" s="329"/>
      <c r="BB517" s="329"/>
      <c r="BC517" s="329"/>
      <c r="BD517" s="329"/>
      <c r="BE517" s="329" t="s">
        <v>257</v>
      </c>
      <c r="BF517" s="329" t="s">
        <v>838</v>
      </c>
      <c r="BG517" s="329"/>
      <c r="BH517" s="329"/>
      <c r="BI517" s="329" t="s">
        <v>334</v>
      </c>
      <c r="BJ517" s="329" t="s">
        <v>831</v>
      </c>
      <c r="BK517" s="329">
        <v>51600</v>
      </c>
      <c r="BL517" s="329"/>
      <c r="BM517" s="331" t="s">
        <v>259</v>
      </c>
      <c r="BN517" s="329" t="s">
        <v>922</v>
      </c>
      <c r="BO517" s="333">
        <v>43747</v>
      </c>
      <c r="BP517" s="329"/>
      <c r="BQ517" s="329"/>
      <c r="BR517" s="329"/>
      <c r="BS517" s="329"/>
      <c r="BT517" s="329"/>
      <c r="BU517" s="331" t="s">
        <v>261</v>
      </c>
      <c r="BV517" s="329"/>
      <c r="BW517" s="329"/>
      <c r="BX517" s="329"/>
      <c r="BY517" s="331" t="s">
        <v>1032</v>
      </c>
      <c r="BZ517" s="331" t="s">
        <v>1033</v>
      </c>
      <c r="CA517" s="331" t="s">
        <v>1034</v>
      </c>
      <c r="CB517" s="331" t="s">
        <v>21</v>
      </c>
      <c r="CC517" s="331" t="s">
        <v>1030</v>
      </c>
    </row>
    <row r="518" spans="1:81" x14ac:dyDescent="0.25">
      <c r="A518" s="329">
        <v>197991</v>
      </c>
      <c r="B518" s="331" t="s">
        <v>1069</v>
      </c>
      <c r="C518" s="329">
        <v>35056</v>
      </c>
      <c r="D518" s="331" t="s">
        <v>1058</v>
      </c>
      <c r="E518" s="331" t="s">
        <v>1070</v>
      </c>
      <c r="F518" s="331" t="s">
        <v>1071</v>
      </c>
      <c r="G518" s="331" t="s">
        <v>1072</v>
      </c>
      <c r="H518" s="331" t="s">
        <v>1073</v>
      </c>
      <c r="I518" s="331" t="s">
        <v>1074</v>
      </c>
      <c r="J518" s="331" t="s">
        <v>298</v>
      </c>
      <c r="K518" s="331" t="s">
        <v>1075</v>
      </c>
      <c r="L518" s="329"/>
      <c r="M518" s="329">
        <v>6</v>
      </c>
      <c r="N518" s="329">
        <v>0</v>
      </c>
      <c r="O518" s="329">
        <v>3.2</v>
      </c>
      <c r="P518" s="329"/>
      <c r="Q518" s="333">
        <v>43731.495833333334</v>
      </c>
      <c r="R518" s="329"/>
      <c r="S518" s="333">
        <v>43747</v>
      </c>
      <c r="T518" s="329">
        <v>55</v>
      </c>
      <c r="U518" s="333">
        <v>43747</v>
      </c>
      <c r="V518" s="333">
        <v>44109</v>
      </c>
      <c r="W518" s="329" t="b">
        <v>1</v>
      </c>
      <c r="X518" s="331" t="s">
        <v>905</v>
      </c>
      <c r="Y518" s="329">
        <v>747</v>
      </c>
      <c r="Z518" s="331" t="s">
        <v>23</v>
      </c>
      <c r="AA518" s="331" t="s">
        <v>919</v>
      </c>
      <c r="AB518" s="331" t="s">
        <v>920</v>
      </c>
      <c r="AC518" s="331" t="s">
        <v>372</v>
      </c>
      <c r="AD518" s="331" t="s">
        <v>24</v>
      </c>
      <c r="AE518" s="329">
        <v>221</v>
      </c>
      <c r="AF518" s="331" t="s">
        <v>254</v>
      </c>
      <c r="AG518" s="329"/>
      <c r="AH518" s="329">
        <v>17</v>
      </c>
      <c r="AI518" s="331" t="s">
        <v>280</v>
      </c>
      <c r="AJ518" s="331" t="s">
        <v>281</v>
      </c>
      <c r="AK518" s="329"/>
      <c r="AL518" s="329"/>
      <c r="AM518" s="329"/>
      <c r="AN518" s="329"/>
      <c r="AO518" s="329"/>
      <c r="AP518" s="329"/>
      <c r="AQ518" s="329"/>
      <c r="AR518" s="329"/>
      <c r="AS518" s="329"/>
      <c r="AT518" s="329" t="s">
        <v>258</v>
      </c>
      <c r="AU518" s="329" t="s">
        <v>283</v>
      </c>
      <c r="AV518" s="331" t="s">
        <v>298</v>
      </c>
      <c r="AW518" s="329"/>
      <c r="AX518" s="329"/>
      <c r="AY518" s="329"/>
      <c r="AZ518" s="329"/>
      <c r="BA518" s="329"/>
      <c r="BB518" s="329"/>
      <c r="BC518" s="329"/>
      <c r="BD518" s="329"/>
      <c r="BE518" s="329"/>
      <c r="BF518" s="329"/>
      <c r="BG518" s="329"/>
      <c r="BH518" s="329"/>
      <c r="BI518" s="329"/>
      <c r="BJ518" s="329"/>
      <c r="BK518" s="329">
        <v>0</v>
      </c>
      <c r="BL518" s="329"/>
      <c r="BM518" s="331" t="s">
        <v>27</v>
      </c>
      <c r="BN518" s="329" t="s">
        <v>922</v>
      </c>
      <c r="BO518" s="333">
        <v>43747</v>
      </c>
      <c r="BP518" s="329"/>
      <c r="BQ518" s="329"/>
      <c r="BR518" s="329"/>
      <c r="BS518" s="329"/>
      <c r="BT518" s="329"/>
      <c r="BU518" s="331" t="s">
        <v>261</v>
      </c>
      <c r="BV518" s="329"/>
      <c r="BW518" s="329"/>
      <c r="BX518" s="329"/>
      <c r="BY518" s="331" t="s">
        <v>1076</v>
      </c>
      <c r="BZ518" s="331" t="s">
        <v>1077</v>
      </c>
      <c r="CA518" s="331" t="s">
        <v>1078</v>
      </c>
      <c r="CB518" s="331" t="s">
        <v>298</v>
      </c>
      <c r="CC518" s="331" t="s">
        <v>1075</v>
      </c>
    </row>
    <row r="519" spans="1:81" x14ac:dyDescent="0.25">
      <c r="A519" s="329">
        <v>193495</v>
      </c>
      <c r="B519" s="331" t="s">
        <v>2545</v>
      </c>
      <c r="C519" s="329">
        <v>33878</v>
      </c>
      <c r="D519" s="331" t="s">
        <v>2546</v>
      </c>
      <c r="E519" s="331" t="s">
        <v>2547</v>
      </c>
      <c r="F519" s="331" t="s">
        <v>2548</v>
      </c>
      <c r="G519" s="331" t="s">
        <v>2549</v>
      </c>
      <c r="H519" s="331" t="s">
        <v>2550</v>
      </c>
      <c r="I519" s="331" t="s">
        <v>2551</v>
      </c>
      <c r="J519" s="331" t="s">
        <v>378</v>
      </c>
      <c r="K519" s="331" t="s">
        <v>2552</v>
      </c>
      <c r="L519" s="329"/>
      <c r="M519" s="329">
        <v>6</v>
      </c>
      <c r="N519" s="329">
        <v>0</v>
      </c>
      <c r="O519" s="329">
        <v>4</v>
      </c>
      <c r="P519" s="329"/>
      <c r="Q519" s="333">
        <v>43629.142372685186</v>
      </c>
      <c r="R519" s="329"/>
      <c r="S519" s="333">
        <v>43747</v>
      </c>
      <c r="T519" s="329">
        <v>55</v>
      </c>
      <c r="U519" s="333">
        <v>43747</v>
      </c>
      <c r="V519" s="333">
        <v>44109</v>
      </c>
      <c r="W519" s="329" t="b">
        <v>1</v>
      </c>
      <c r="X519" s="331" t="s">
        <v>22</v>
      </c>
      <c r="Y519" s="329">
        <v>429</v>
      </c>
      <c r="Z519" s="331" t="s">
        <v>25</v>
      </c>
      <c r="AA519" s="331" t="s">
        <v>919</v>
      </c>
      <c r="AB519" s="331" t="s">
        <v>920</v>
      </c>
      <c r="AC519" s="331" t="s">
        <v>1252</v>
      </c>
      <c r="AD519" s="331" t="s">
        <v>24</v>
      </c>
      <c r="AE519" s="329">
        <v>221</v>
      </c>
      <c r="AF519" s="331" t="s">
        <v>254</v>
      </c>
      <c r="AG519" s="329"/>
      <c r="AH519" s="329">
        <v>17</v>
      </c>
      <c r="AI519" s="331" t="s">
        <v>280</v>
      </c>
      <c r="AJ519" s="331" t="s">
        <v>281</v>
      </c>
      <c r="AK519" s="331" t="s">
        <v>287</v>
      </c>
      <c r="AL519" s="331" t="s">
        <v>285</v>
      </c>
      <c r="AM519" s="331" t="s">
        <v>290</v>
      </c>
      <c r="AN519" s="331" t="s">
        <v>351</v>
      </c>
      <c r="AO519" s="331" t="s">
        <v>289</v>
      </c>
      <c r="AP519" s="329"/>
      <c r="AQ519" s="329"/>
      <c r="AR519" s="329"/>
      <c r="AS519" s="329"/>
      <c r="AT519" s="329" t="s">
        <v>367</v>
      </c>
      <c r="AU519" s="329" t="s">
        <v>283</v>
      </c>
      <c r="AV519" s="331" t="s">
        <v>378</v>
      </c>
      <c r="AW519" s="329"/>
      <c r="AX519" s="329"/>
      <c r="AY519" s="329"/>
      <c r="AZ519" s="329"/>
      <c r="BA519" s="329"/>
      <c r="BB519" s="329"/>
      <c r="BC519" s="329"/>
      <c r="BD519" s="329"/>
      <c r="BE519" s="329" t="s">
        <v>257</v>
      </c>
      <c r="BF519" s="329" t="s">
        <v>834</v>
      </c>
      <c r="BG519" s="329"/>
      <c r="BH519" s="329"/>
      <c r="BI519" s="329"/>
      <c r="BJ519" s="329"/>
      <c r="BK519" s="329">
        <v>20400</v>
      </c>
      <c r="BL519" s="329"/>
      <c r="BM519" s="331" t="s">
        <v>278</v>
      </c>
      <c r="BN519" s="329" t="s">
        <v>922</v>
      </c>
      <c r="BO519" s="333">
        <v>43747</v>
      </c>
      <c r="BP519" s="329"/>
      <c r="BQ519" s="329"/>
      <c r="BR519" s="329"/>
      <c r="BS519" s="329"/>
      <c r="BT519" s="329"/>
      <c r="BU519" s="331" t="s">
        <v>261</v>
      </c>
      <c r="BV519" s="329"/>
      <c r="BW519" s="329"/>
      <c r="BX519" s="329"/>
      <c r="BY519" s="331" t="s">
        <v>2553</v>
      </c>
      <c r="BZ519" s="331" t="s">
        <v>2554</v>
      </c>
      <c r="CA519" s="331" t="s">
        <v>2555</v>
      </c>
      <c r="CB519" s="331" t="s">
        <v>378</v>
      </c>
      <c r="CC519" s="331" t="s">
        <v>2556</v>
      </c>
    </row>
    <row r="520" spans="1:81" x14ac:dyDescent="0.25">
      <c r="A520" s="329">
        <v>197289</v>
      </c>
      <c r="B520" s="331" t="s">
        <v>2698</v>
      </c>
      <c r="C520" s="329">
        <v>34840</v>
      </c>
      <c r="D520" s="331" t="s">
        <v>2699</v>
      </c>
      <c r="E520" s="331" t="s">
        <v>467</v>
      </c>
      <c r="F520" s="331" t="s">
        <v>2700</v>
      </c>
      <c r="G520" s="331" t="s">
        <v>2701</v>
      </c>
      <c r="H520" s="331" t="s">
        <v>2702</v>
      </c>
      <c r="I520" s="331" t="s">
        <v>2703</v>
      </c>
      <c r="J520" s="331" t="s">
        <v>325</v>
      </c>
      <c r="K520" s="331" t="s">
        <v>2704</v>
      </c>
      <c r="L520" s="329"/>
      <c r="M520" s="329">
        <v>6</v>
      </c>
      <c r="N520" s="329">
        <v>0</v>
      </c>
      <c r="O520" s="329">
        <v>2.72</v>
      </c>
      <c r="P520" s="329"/>
      <c r="Q520" s="333">
        <v>43595.259722222225</v>
      </c>
      <c r="R520" s="329"/>
      <c r="S520" s="333">
        <v>43747</v>
      </c>
      <c r="T520" s="329">
        <v>55</v>
      </c>
      <c r="U520" s="333">
        <v>43747</v>
      </c>
      <c r="V520" s="333">
        <v>44109</v>
      </c>
      <c r="W520" s="329" t="b">
        <v>1</v>
      </c>
      <c r="X520" s="331" t="s">
        <v>187</v>
      </c>
      <c r="Y520" s="329">
        <v>718</v>
      </c>
      <c r="Z520" s="331" t="s">
        <v>23</v>
      </c>
      <c r="AA520" s="331" t="s">
        <v>919</v>
      </c>
      <c r="AB520" s="331" t="s">
        <v>920</v>
      </c>
      <c r="AC520" s="331" t="s">
        <v>271</v>
      </c>
      <c r="AD520" s="331" t="s">
        <v>24</v>
      </c>
      <c r="AE520" s="329">
        <v>221</v>
      </c>
      <c r="AF520" s="331" t="s">
        <v>254</v>
      </c>
      <c r="AG520" s="329"/>
      <c r="AH520" s="329">
        <v>17</v>
      </c>
      <c r="AI520" s="331" t="s">
        <v>280</v>
      </c>
      <c r="AJ520" s="331" t="s">
        <v>281</v>
      </c>
      <c r="AK520" s="331" t="s">
        <v>363</v>
      </c>
      <c r="AL520" s="331" t="s">
        <v>299</v>
      </c>
      <c r="AM520" s="331" t="s">
        <v>299</v>
      </c>
      <c r="AN520" s="331" t="s">
        <v>386</v>
      </c>
      <c r="AO520" s="331" t="s">
        <v>2316</v>
      </c>
      <c r="AP520" s="329"/>
      <c r="AQ520" s="329"/>
      <c r="AR520" s="329"/>
      <c r="AS520" s="329"/>
      <c r="AT520" s="329" t="s">
        <v>460</v>
      </c>
      <c r="AU520" s="329" t="s">
        <v>283</v>
      </c>
      <c r="AV520" s="331" t="s">
        <v>325</v>
      </c>
      <c r="AW520" s="329"/>
      <c r="AX520" s="329"/>
      <c r="AY520" s="329"/>
      <c r="AZ520" s="329"/>
      <c r="BA520" s="329"/>
      <c r="BB520" s="329"/>
      <c r="BC520" s="329"/>
      <c r="BD520" s="329"/>
      <c r="BE520" s="329"/>
      <c r="BF520" s="329"/>
      <c r="BG520" s="329"/>
      <c r="BH520" s="329"/>
      <c r="BI520" s="329"/>
      <c r="BJ520" s="329"/>
      <c r="BK520" s="329">
        <v>0</v>
      </c>
      <c r="BL520" s="329"/>
      <c r="BM520" s="331" t="s">
        <v>28</v>
      </c>
      <c r="BN520" s="329" t="s">
        <v>922</v>
      </c>
      <c r="BO520" s="333">
        <v>43747</v>
      </c>
      <c r="BP520" s="329"/>
      <c r="BQ520" s="329"/>
      <c r="BR520" s="329"/>
      <c r="BS520" s="329"/>
      <c r="BT520" s="329"/>
      <c r="BU520" s="331" t="s">
        <v>261</v>
      </c>
      <c r="BV520" s="329"/>
      <c r="BW520" s="329"/>
      <c r="BX520" s="329"/>
      <c r="BY520" s="331" t="s">
        <v>2705</v>
      </c>
      <c r="BZ520" s="331" t="s">
        <v>2706</v>
      </c>
      <c r="CA520" s="331" t="s">
        <v>2707</v>
      </c>
      <c r="CB520" s="331" t="s">
        <v>325</v>
      </c>
      <c r="CC520" s="331" t="s">
        <v>2708</v>
      </c>
    </row>
    <row r="521" spans="1:81" x14ac:dyDescent="0.25">
      <c r="A521" s="329">
        <v>199537</v>
      </c>
      <c r="B521" s="331" t="s">
        <v>6192</v>
      </c>
      <c r="C521" s="329">
        <v>35625</v>
      </c>
      <c r="D521" s="331" t="s">
        <v>6193</v>
      </c>
      <c r="E521" s="331" t="s">
        <v>3466</v>
      </c>
      <c r="F521" s="331" t="s">
        <v>6194</v>
      </c>
      <c r="G521" s="331" t="s">
        <v>6195</v>
      </c>
      <c r="H521" s="331" t="s">
        <v>6196</v>
      </c>
      <c r="I521" s="331" t="s">
        <v>6197</v>
      </c>
      <c r="J521" s="331" t="s">
        <v>441</v>
      </c>
      <c r="K521" s="331" t="s">
        <v>6198</v>
      </c>
      <c r="L521" s="329"/>
      <c r="M521" s="329">
        <v>6</v>
      </c>
      <c r="N521" s="329">
        <v>0</v>
      </c>
      <c r="O521" s="329">
        <v>3.67</v>
      </c>
      <c r="P521" s="329"/>
      <c r="Q521" s="333">
        <v>43720.729166666664</v>
      </c>
      <c r="R521" s="329"/>
      <c r="S521" s="333">
        <v>43804</v>
      </c>
      <c r="T521" s="329">
        <v>55</v>
      </c>
      <c r="U521" s="333">
        <v>43804</v>
      </c>
      <c r="V521" s="333">
        <v>44109</v>
      </c>
      <c r="W521" s="329" t="b">
        <v>1</v>
      </c>
      <c r="X521" s="331" t="s">
        <v>22</v>
      </c>
      <c r="Y521" s="329">
        <v>429</v>
      </c>
      <c r="Z521" s="331" t="s">
        <v>23</v>
      </c>
      <c r="AA521" s="331" t="s">
        <v>919</v>
      </c>
      <c r="AB521" s="331" t="s">
        <v>920</v>
      </c>
      <c r="AC521" s="331" t="s">
        <v>5550</v>
      </c>
      <c r="AD521" s="331" t="s">
        <v>24</v>
      </c>
      <c r="AE521" s="329">
        <v>221</v>
      </c>
      <c r="AF521" s="331" t="s">
        <v>254</v>
      </c>
      <c r="AG521" s="329"/>
      <c r="AH521" s="329">
        <v>17</v>
      </c>
      <c r="AI521" s="331" t="s">
        <v>280</v>
      </c>
      <c r="AJ521" s="331" t="s">
        <v>281</v>
      </c>
      <c r="AK521" s="329"/>
      <c r="AL521" s="329"/>
      <c r="AM521" s="329"/>
      <c r="AN521" s="329"/>
      <c r="AO521" s="329"/>
      <c r="AP521" s="329"/>
      <c r="AQ521" s="329"/>
      <c r="AR521" s="329"/>
      <c r="AS521" s="329"/>
      <c r="AT521" s="329" t="s">
        <v>258</v>
      </c>
      <c r="AU521" s="329" t="s">
        <v>256</v>
      </c>
      <c r="AV521" s="331" t="s">
        <v>441</v>
      </c>
      <c r="AW521" s="329"/>
      <c r="AX521" s="329"/>
      <c r="AY521" s="329"/>
      <c r="AZ521" s="329"/>
      <c r="BA521" s="329"/>
      <c r="BB521" s="329"/>
      <c r="BC521" s="329"/>
      <c r="BD521" s="329"/>
      <c r="BE521" s="329"/>
      <c r="BF521" s="329"/>
      <c r="BG521" s="329"/>
      <c r="BH521" s="329"/>
      <c r="BI521" s="329"/>
      <c r="BJ521" s="329"/>
      <c r="BK521" s="329">
        <v>0</v>
      </c>
      <c r="BL521" s="329"/>
      <c r="BM521" s="329"/>
      <c r="BN521" s="329"/>
      <c r="BO521" s="333"/>
      <c r="BP521" s="329"/>
      <c r="BQ521" s="329"/>
      <c r="BR521" s="329"/>
      <c r="BS521" s="329"/>
      <c r="BT521" s="329"/>
      <c r="BU521" s="331" t="s">
        <v>261</v>
      </c>
      <c r="BV521" s="329"/>
      <c r="BW521" s="329"/>
      <c r="BX521" s="329"/>
      <c r="BY521" s="331" t="s">
        <v>6199</v>
      </c>
      <c r="BZ521" s="331" t="s">
        <v>6200</v>
      </c>
      <c r="CA521" s="331" t="s">
        <v>6197</v>
      </c>
      <c r="CB521" s="331" t="s">
        <v>441</v>
      </c>
      <c r="CC521" s="331" t="s">
        <v>6198</v>
      </c>
    </row>
    <row r="522" spans="1:81" x14ac:dyDescent="0.25">
      <c r="A522" s="329">
        <v>194868</v>
      </c>
      <c r="B522" s="331" t="s">
        <v>3078</v>
      </c>
      <c r="C522" s="329">
        <v>34183</v>
      </c>
      <c r="D522" s="331" t="s">
        <v>3079</v>
      </c>
      <c r="E522" s="331" t="s">
        <v>3080</v>
      </c>
      <c r="F522" s="331" t="s">
        <v>3081</v>
      </c>
      <c r="G522" s="331" t="s">
        <v>3082</v>
      </c>
      <c r="H522" s="331" t="s">
        <v>3083</v>
      </c>
      <c r="I522" s="331" t="s">
        <v>3084</v>
      </c>
      <c r="J522" s="331" t="s">
        <v>449</v>
      </c>
      <c r="K522" s="331" t="s">
        <v>3085</v>
      </c>
      <c r="L522" s="329"/>
      <c r="M522" s="329">
        <v>6</v>
      </c>
      <c r="N522" s="329">
        <v>0</v>
      </c>
      <c r="O522" s="329">
        <v>3.524</v>
      </c>
      <c r="P522" s="329"/>
      <c r="Q522" s="333">
        <v>43627.729861111111</v>
      </c>
      <c r="R522" s="329"/>
      <c r="S522" s="333">
        <v>43752</v>
      </c>
      <c r="T522" s="329">
        <v>55</v>
      </c>
      <c r="U522" s="333">
        <v>43752</v>
      </c>
      <c r="V522" s="333">
        <v>44109</v>
      </c>
      <c r="W522" s="329" t="b">
        <v>1</v>
      </c>
      <c r="X522" s="331" t="s">
        <v>22</v>
      </c>
      <c r="Y522" s="329">
        <v>726</v>
      </c>
      <c r="Z522" s="331" t="s">
        <v>25</v>
      </c>
      <c r="AA522" s="331" t="s">
        <v>919</v>
      </c>
      <c r="AB522" s="331" t="s">
        <v>920</v>
      </c>
      <c r="AC522" s="331" t="s">
        <v>1252</v>
      </c>
      <c r="AD522" s="331" t="s">
        <v>24</v>
      </c>
      <c r="AE522" s="329">
        <v>221</v>
      </c>
      <c r="AF522" s="331" t="s">
        <v>254</v>
      </c>
      <c r="AG522" s="329"/>
      <c r="AH522" s="329">
        <v>17</v>
      </c>
      <c r="AI522" s="331" t="s">
        <v>280</v>
      </c>
      <c r="AJ522" s="331" t="s">
        <v>281</v>
      </c>
      <c r="AK522" s="331" t="s">
        <v>301</v>
      </c>
      <c r="AL522" s="331" t="s">
        <v>301</v>
      </c>
      <c r="AM522" s="331" t="s">
        <v>301</v>
      </c>
      <c r="AN522" s="331" t="s">
        <v>275</v>
      </c>
      <c r="AO522" s="331" t="s">
        <v>328</v>
      </c>
      <c r="AP522" s="329"/>
      <c r="AQ522" s="329"/>
      <c r="AR522" s="329"/>
      <c r="AS522" s="329"/>
      <c r="AT522" s="329" t="s">
        <v>309</v>
      </c>
      <c r="AU522" s="329" t="s">
        <v>283</v>
      </c>
      <c r="AV522" s="331" t="s">
        <v>449</v>
      </c>
      <c r="AW522" s="329"/>
      <c r="AX522" s="329"/>
      <c r="AY522" s="329"/>
      <c r="AZ522" s="329"/>
      <c r="BA522" s="329"/>
      <c r="BB522" s="329"/>
      <c r="BC522" s="329"/>
      <c r="BD522" s="329"/>
      <c r="BE522" s="329" t="s">
        <v>257</v>
      </c>
      <c r="BF522" s="329" t="s">
        <v>837</v>
      </c>
      <c r="BG522" s="329"/>
      <c r="BH522" s="329"/>
      <c r="BI522" s="329"/>
      <c r="BJ522" s="329"/>
      <c r="BK522" s="329">
        <v>15000</v>
      </c>
      <c r="BL522" s="329"/>
      <c r="BM522" s="331" t="s">
        <v>295</v>
      </c>
      <c r="BN522" s="329" t="s">
        <v>922</v>
      </c>
      <c r="BO522" s="333"/>
      <c r="BP522" s="329"/>
      <c r="BQ522" s="329"/>
      <c r="BR522" s="329"/>
      <c r="BS522" s="329"/>
      <c r="BT522" s="329"/>
      <c r="BU522" s="331" t="s">
        <v>261</v>
      </c>
      <c r="BV522" s="329"/>
      <c r="BW522" s="329"/>
      <c r="BX522" s="329"/>
      <c r="BY522" s="331" t="s">
        <v>3086</v>
      </c>
      <c r="BZ522" s="331" t="s">
        <v>3087</v>
      </c>
      <c r="CA522" s="331" t="s">
        <v>3088</v>
      </c>
      <c r="CB522" s="331" t="s">
        <v>449</v>
      </c>
      <c r="CC522" s="331" t="s">
        <v>3085</v>
      </c>
    </row>
    <row r="523" spans="1:81" x14ac:dyDescent="0.25">
      <c r="A523" s="329">
        <v>198634</v>
      </c>
      <c r="B523" s="331" t="s">
        <v>6496</v>
      </c>
      <c r="C523" s="329">
        <v>35705</v>
      </c>
      <c r="D523" s="331" t="s">
        <v>6497</v>
      </c>
      <c r="E523" s="331" t="s">
        <v>525</v>
      </c>
      <c r="F523" s="331" t="s">
        <v>6498</v>
      </c>
      <c r="G523" s="331" t="s">
        <v>6499</v>
      </c>
      <c r="H523" s="331" t="s">
        <v>6500</v>
      </c>
      <c r="I523" s="331" t="s">
        <v>6501</v>
      </c>
      <c r="J523" s="331" t="s">
        <v>20</v>
      </c>
      <c r="K523" s="331" t="s">
        <v>6502</v>
      </c>
      <c r="L523" s="329"/>
      <c r="M523" s="329">
        <v>6</v>
      </c>
      <c r="N523" s="329">
        <v>0</v>
      </c>
      <c r="O523" s="329">
        <v>3.12</v>
      </c>
      <c r="P523" s="329"/>
      <c r="Q523" s="333">
        <v>43748.940972222219</v>
      </c>
      <c r="R523" s="329"/>
      <c r="S523" s="333">
        <v>43804</v>
      </c>
      <c r="T523" s="329">
        <v>55</v>
      </c>
      <c r="U523" s="333">
        <v>43804</v>
      </c>
      <c r="V523" s="333">
        <v>44109</v>
      </c>
      <c r="W523" s="329" t="b">
        <v>1</v>
      </c>
      <c r="X523" s="331" t="s">
        <v>187</v>
      </c>
      <c r="Y523" s="329">
        <v>718</v>
      </c>
      <c r="Z523" s="331" t="s">
        <v>23</v>
      </c>
      <c r="AA523" s="331" t="s">
        <v>919</v>
      </c>
      <c r="AB523" s="331" t="s">
        <v>920</v>
      </c>
      <c r="AC523" s="331" t="s">
        <v>346</v>
      </c>
      <c r="AD523" s="331" t="s">
        <v>24</v>
      </c>
      <c r="AE523" s="329">
        <v>221</v>
      </c>
      <c r="AF523" s="331" t="s">
        <v>254</v>
      </c>
      <c r="AG523" s="329"/>
      <c r="AH523" s="329">
        <v>17</v>
      </c>
      <c r="AI523" s="331" t="s">
        <v>280</v>
      </c>
      <c r="AJ523" s="331" t="s">
        <v>281</v>
      </c>
      <c r="AK523" s="329"/>
      <c r="AL523" s="329"/>
      <c r="AM523" s="329"/>
      <c r="AN523" s="329"/>
      <c r="AO523" s="329"/>
      <c r="AP523" s="331" t="s">
        <v>6503</v>
      </c>
      <c r="AQ523" s="329">
        <v>390</v>
      </c>
      <c r="AR523" s="329">
        <v>510</v>
      </c>
      <c r="AS523" s="329"/>
      <c r="AT523" s="329" t="s">
        <v>409</v>
      </c>
      <c r="AU523" s="329" t="s">
        <v>579</v>
      </c>
      <c r="AV523" s="331" t="s">
        <v>20</v>
      </c>
      <c r="AW523" s="329"/>
      <c r="AX523" s="329"/>
      <c r="AY523" s="329"/>
      <c r="AZ523" s="329"/>
      <c r="BA523" s="329"/>
      <c r="BB523" s="329"/>
      <c r="BC523" s="329"/>
      <c r="BD523" s="329"/>
      <c r="BE523" s="329"/>
      <c r="BF523" s="329"/>
      <c r="BG523" s="329"/>
      <c r="BH523" s="329"/>
      <c r="BI523" s="329"/>
      <c r="BJ523" s="329"/>
      <c r="BK523" s="329">
        <v>0</v>
      </c>
      <c r="BL523" s="329"/>
      <c r="BM523" s="331" t="s">
        <v>27</v>
      </c>
      <c r="BN523" s="329" t="s">
        <v>6187</v>
      </c>
      <c r="BO523" s="333"/>
      <c r="BP523" s="329"/>
      <c r="BQ523" s="329"/>
      <c r="BR523" s="329"/>
      <c r="BS523" s="329"/>
      <c r="BT523" s="329"/>
      <c r="BU523" s="331" t="s">
        <v>261</v>
      </c>
      <c r="BV523" s="329"/>
      <c r="BW523" s="329"/>
      <c r="BX523" s="329"/>
      <c r="BY523" s="331" t="s">
        <v>6504</v>
      </c>
      <c r="BZ523" s="331" t="s">
        <v>6505</v>
      </c>
      <c r="CA523" s="331" t="s">
        <v>6506</v>
      </c>
      <c r="CB523" s="331" t="s">
        <v>20</v>
      </c>
      <c r="CC523" s="331" t="s">
        <v>6507</v>
      </c>
    </row>
    <row r="524" spans="1:81" x14ac:dyDescent="0.25">
      <c r="A524" s="142"/>
      <c r="B524" s="143"/>
      <c r="C524" s="142"/>
      <c r="D524" s="143"/>
      <c r="E524" s="143"/>
      <c r="F524" s="143"/>
      <c r="G524" s="143"/>
      <c r="H524" s="143"/>
      <c r="I524" s="143"/>
      <c r="J524" s="143"/>
      <c r="K524" s="143"/>
      <c r="L524" s="142"/>
      <c r="M524" s="142"/>
      <c r="N524" s="142"/>
      <c r="O524" s="142"/>
      <c r="P524" s="142"/>
      <c r="Q524" s="144"/>
      <c r="R524" s="142"/>
      <c r="S524" s="142"/>
      <c r="T524" s="142"/>
      <c r="U524" s="142"/>
      <c r="V524" s="144"/>
      <c r="W524" s="142"/>
      <c r="X524" s="143"/>
      <c r="Y524" s="142"/>
      <c r="Z524" s="143"/>
      <c r="AA524" s="143"/>
      <c r="AB524" s="143"/>
      <c r="AC524" s="143"/>
      <c r="AD524" s="143"/>
      <c r="AE524" s="142"/>
      <c r="AF524" s="143"/>
      <c r="AG524" s="142"/>
      <c r="AH524" s="142"/>
      <c r="AI524" s="143"/>
      <c r="AJ524" s="143"/>
      <c r="AK524" s="142"/>
      <c r="AL524" s="142"/>
      <c r="AM524" s="142"/>
      <c r="AN524" s="142"/>
      <c r="AO524" s="142"/>
      <c r="AP524" s="143"/>
      <c r="AQ524" s="142"/>
      <c r="AR524" s="142"/>
      <c r="AS524" s="142"/>
      <c r="AT524" s="142"/>
      <c r="AU524" s="142"/>
      <c r="AV524" s="143"/>
      <c r="AW524" s="142"/>
      <c r="AX524" s="142"/>
      <c r="AY524" s="142"/>
      <c r="AZ524" s="142"/>
      <c r="BA524" s="142"/>
      <c r="BB524" s="142"/>
      <c r="BC524" s="142"/>
      <c r="BD524" s="142"/>
      <c r="BE524" s="142"/>
      <c r="BF524" s="142"/>
      <c r="BG524" s="142"/>
      <c r="BH524" s="142"/>
      <c r="BI524" s="142"/>
      <c r="BJ524" s="142"/>
      <c r="BK524" s="142"/>
      <c r="BL524" s="142"/>
      <c r="BM524" s="143"/>
      <c r="BN524" s="142"/>
      <c r="BO524" s="144"/>
      <c r="BP524" s="142"/>
      <c r="BQ524" s="142"/>
      <c r="BR524" s="142"/>
      <c r="BS524" s="142"/>
      <c r="BT524" s="142"/>
      <c r="BU524" s="143"/>
      <c r="BV524" s="142"/>
      <c r="BW524" s="142"/>
      <c r="BX524" s="144"/>
      <c r="BY524" s="143"/>
      <c r="BZ524" s="143"/>
      <c r="CA524" s="143"/>
      <c r="CB524" s="143"/>
      <c r="CC524" s="143"/>
    </row>
    <row r="525" spans="1:81" x14ac:dyDescent="0.25">
      <c r="A525" s="142"/>
      <c r="B525" s="143"/>
      <c r="C525" s="142"/>
      <c r="D525" s="143"/>
      <c r="E525" s="143"/>
      <c r="F525" s="143"/>
      <c r="G525" s="143"/>
      <c r="H525" s="143"/>
      <c r="I525" s="143"/>
      <c r="J525" s="143"/>
      <c r="K525" s="143"/>
      <c r="L525" s="142"/>
      <c r="M525" s="142"/>
      <c r="N525" s="142"/>
      <c r="O525" s="142"/>
      <c r="P525" s="142"/>
      <c r="Q525" s="144"/>
      <c r="R525" s="142"/>
      <c r="S525" s="142"/>
      <c r="T525" s="142"/>
      <c r="U525" s="142"/>
      <c r="V525" s="144"/>
      <c r="W525" s="142"/>
      <c r="X525" s="143"/>
      <c r="Y525" s="142"/>
      <c r="Z525" s="143"/>
      <c r="AA525" s="143"/>
      <c r="AB525" s="143"/>
      <c r="AC525" s="143"/>
      <c r="AD525" s="143"/>
      <c r="AE525" s="142"/>
      <c r="AF525" s="143"/>
      <c r="AG525" s="142"/>
      <c r="AH525" s="142"/>
      <c r="AI525" s="143"/>
      <c r="AJ525" s="143"/>
      <c r="AK525" s="142"/>
      <c r="AL525" s="142"/>
      <c r="AM525" s="142"/>
      <c r="AN525" s="142"/>
      <c r="AO525" s="142"/>
      <c r="AP525" s="143"/>
      <c r="AQ525" s="142"/>
      <c r="AR525" s="142"/>
      <c r="AS525" s="142"/>
      <c r="AT525" s="142"/>
      <c r="AU525" s="142"/>
      <c r="AV525" s="143"/>
      <c r="AW525" s="142"/>
      <c r="AX525" s="142"/>
      <c r="AY525" s="142"/>
      <c r="AZ525" s="142"/>
      <c r="BA525" s="142"/>
      <c r="BB525" s="142"/>
      <c r="BC525" s="142"/>
      <c r="BD525" s="142"/>
      <c r="BE525" s="142"/>
      <c r="BF525" s="142"/>
      <c r="BG525" s="142"/>
      <c r="BH525" s="142"/>
      <c r="BI525" s="142"/>
      <c r="BJ525" s="142"/>
      <c r="BK525" s="142"/>
      <c r="BL525" s="142"/>
      <c r="BM525" s="143"/>
      <c r="BN525" s="142"/>
      <c r="BO525" s="144"/>
      <c r="BP525" s="142"/>
      <c r="BQ525" s="142"/>
      <c r="BR525" s="142"/>
      <c r="BS525" s="142"/>
      <c r="BT525" s="142"/>
      <c r="BU525" s="143"/>
      <c r="BV525" s="142"/>
      <c r="BW525" s="142"/>
      <c r="BX525" s="144"/>
      <c r="BY525" s="143"/>
      <c r="BZ525" s="143"/>
      <c r="CA525" s="143"/>
      <c r="CB525" s="143"/>
      <c r="CC525" s="143"/>
    </row>
    <row r="526" spans="1:81" x14ac:dyDescent="0.25">
      <c r="A526" s="142"/>
      <c r="B526" s="143"/>
      <c r="C526" s="142"/>
      <c r="D526" s="143"/>
      <c r="E526" s="143"/>
      <c r="F526" s="143"/>
      <c r="G526" s="143"/>
      <c r="H526" s="143"/>
      <c r="I526" s="143"/>
      <c r="J526" s="143"/>
      <c r="K526" s="143"/>
      <c r="L526" s="142"/>
      <c r="M526" s="142"/>
      <c r="N526" s="142"/>
      <c r="O526" s="142"/>
      <c r="P526" s="142"/>
      <c r="Q526" s="144"/>
      <c r="R526" s="142"/>
      <c r="S526" s="142"/>
      <c r="T526" s="142"/>
      <c r="U526" s="142"/>
      <c r="V526" s="144"/>
      <c r="W526" s="142"/>
      <c r="X526" s="143"/>
      <c r="Y526" s="142"/>
      <c r="Z526" s="143"/>
      <c r="AA526" s="143"/>
      <c r="AB526" s="143"/>
      <c r="AC526" s="143"/>
      <c r="AD526" s="143"/>
      <c r="AE526" s="142"/>
      <c r="AF526" s="143"/>
      <c r="AG526" s="142"/>
      <c r="AH526" s="142"/>
      <c r="AI526" s="143"/>
      <c r="AJ526" s="143"/>
      <c r="AK526" s="143"/>
      <c r="AL526" s="143"/>
      <c r="AM526" s="143"/>
      <c r="AN526" s="143"/>
      <c r="AO526" s="143"/>
      <c r="AP526" s="142"/>
      <c r="AQ526" s="142"/>
      <c r="AR526" s="142"/>
      <c r="AS526" s="142"/>
      <c r="AT526" s="142"/>
      <c r="AU526" s="142"/>
      <c r="AV526" s="143"/>
      <c r="AW526" s="142"/>
      <c r="AX526" s="142"/>
      <c r="AY526" s="142"/>
      <c r="AZ526" s="142"/>
      <c r="BA526" s="142"/>
      <c r="BB526" s="142"/>
      <c r="BC526" s="142"/>
      <c r="BD526" s="142"/>
      <c r="BE526" s="142"/>
      <c r="BF526" s="142"/>
      <c r="BG526" s="142"/>
      <c r="BH526" s="142"/>
      <c r="BI526" s="142"/>
      <c r="BJ526" s="142"/>
      <c r="BK526" s="142"/>
      <c r="BL526" s="142"/>
      <c r="BM526" s="143"/>
      <c r="BN526" s="142"/>
      <c r="BO526" s="144"/>
      <c r="BP526" s="142"/>
      <c r="BQ526" s="142"/>
      <c r="BR526" s="142"/>
      <c r="BS526" s="142"/>
      <c r="BT526" s="142"/>
      <c r="BU526" s="143"/>
      <c r="BV526" s="142"/>
      <c r="BW526" s="142"/>
      <c r="BX526" s="144"/>
      <c r="BY526" s="143"/>
      <c r="BZ526" s="143"/>
      <c r="CA526" s="143"/>
      <c r="CB526" s="143"/>
      <c r="CC526" s="143"/>
    </row>
    <row r="527" spans="1:81" x14ac:dyDescent="0.25">
      <c r="A527"/>
      <c r="B527" s="101"/>
      <c r="C527"/>
      <c r="D527" s="101"/>
      <c r="E527" s="101"/>
      <c r="F527" s="101"/>
      <c r="G527" s="101"/>
      <c r="H527" s="101"/>
      <c r="I527" s="101"/>
      <c r="J527" s="101"/>
      <c r="K527" s="101"/>
      <c r="L527"/>
      <c r="M527"/>
      <c r="N527"/>
      <c r="O527"/>
      <c r="P527"/>
      <c r="Q527" s="102"/>
      <c r="R527"/>
      <c r="S527"/>
      <c r="T527"/>
      <c r="U527"/>
      <c r="V527" s="102"/>
      <c r="W527"/>
      <c r="X527" s="101"/>
      <c r="Y527"/>
      <c r="Z527" s="101"/>
      <c r="AA527" s="101"/>
      <c r="AB527" s="101"/>
      <c r="AC527" s="101"/>
      <c r="AD527" s="101"/>
      <c r="AE527"/>
      <c r="AF527" s="101"/>
      <c r="AG527"/>
      <c r="AH527"/>
      <c r="AI527" s="101"/>
      <c r="AJ527" s="101"/>
      <c r="AK527" s="106"/>
      <c r="AL527" s="106"/>
      <c r="AM527" s="106"/>
      <c r="AN527" s="106"/>
      <c r="AO527" s="106"/>
      <c r="AP527"/>
      <c r="AQ527"/>
      <c r="AR527"/>
      <c r="AS527"/>
      <c r="AT527"/>
      <c r="AU527"/>
      <c r="AV527" s="101"/>
      <c r="AW527"/>
      <c r="AX527"/>
      <c r="AY527"/>
      <c r="AZ527"/>
      <c r="BA527"/>
      <c r="BB527"/>
      <c r="BC527"/>
      <c r="BD527"/>
      <c r="BE527"/>
      <c r="BF527"/>
      <c r="BG527"/>
      <c r="BH527"/>
      <c r="BI527"/>
      <c r="BJ527"/>
      <c r="BK527"/>
      <c r="BL527"/>
      <c r="BM527" s="101"/>
      <c r="BN527"/>
      <c r="BO527" s="102"/>
      <c r="BP527"/>
      <c r="BQ527"/>
      <c r="BR527"/>
      <c r="BS527"/>
      <c r="BT527"/>
      <c r="BU527" s="101"/>
      <c r="BV527"/>
      <c r="BW527"/>
      <c r="BX527" s="102"/>
      <c r="BY527" s="101"/>
      <c r="BZ527" s="101"/>
      <c r="CA527" s="101"/>
      <c r="CB527" s="101"/>
      <c r="CC527" s="101"/>
    </row>
    <row r="528" spans="1:81" x14ac:dyDescent="0.25">
      <c r="A528"/>
      <c r="B528" s="101"/>
      <c r="C528"/>
      <c r="D528" s="101"/>
      <c r="E528" s="101"/>
      <c r="F528" s="101"/>
      <c r="G528" s="101"/>
      <c r="H528" s="101"/>
      <c r="I528" s="101"/>
      <c r="J528" s="101"/>
      <c r="K528" s="101"/>
      <c r="L528"/>
      <c r="M528"/>
      <c r="N528"/>
      <c r="O528"/>
      <c r="P528"/>
      <c r="Q528" s="102"/>
      <c r="R528"/>
      <c r="S528"/>
      <c r="T528"/>
      <c r="U528"/>
      <c r="V528" s="102"/>
      <c r="W528"/>
      <c r="X528" s="101"/>
      <c r="Y528"/>
      <c r="Z528" s="101"/>
      <c r="AA528" s="101"/>
      <c r="AB528" s="101"/>
      <c r="AC528" s="101"/>
      <c r="AD528" s="101"/>
      <c r="AE528"/>
      <c r="AF528" s="101"/>
      <c r="AG528"/>
      <c r="AH528"/>
      <c r="AI528" s="101"/>
      <c r="AJ528" s="101"/>
      <c r="AK528" s="106"/>
      <c r="AL528" s="106"/>
      <c r="AM528" s="106"/>
      <c r="AN528" s="106"/>
      <c r="AO528" s="106"/>
      <c r="AP528" s="105"/>
      <c r="AQ528"/>
      <c r="AR528"/>
      <c r="AS528"/>
      <c r="AT528"/>
      <c r="AU528"/>
      <c r="AV528" s="101"/>
      <c r="AW528"/>
      <c r="AX528"/>
      <c r="AY528"/>
      <c r="AZ528"/>
      <c r="BA528"/>
      <c r="BB528"/>
      <c r="BC528"/>
      <c r="BD528"/>
      <c r="BE528"/>
      <c r="BF528"/>
      <c r="BG528"/>
      <c r="BH528"/>
      <c r="BI528"/>
      <c r="BJ528"/>
      <c r="BK528"/>
      <c r="BL528"/>
      <c r="BM528" s="101"/>
      <c r="BN528"/>
      <c r="BO528" s="102"/>
      <c r="BP528"/>
      <c r="BQ528"/>
      <c r="BR528"/>
      <c r="BS528"/>
      <c r="BT528"/>
      <c r="BU528" s="101"/>
      <c r="BV528"/>
      <c r="BW528"/>
      <c r="BX528" s="102"/>
      <c r="BY528" s="101"/>
      <c r="BZ528" s="101"/>
      <c r="CA528" s="101"/>
      <c r="CB528" s="101"/>
      <c r="CC528" s="101"/>
    </row>
    <row r="529" spans="1:81" x14ac:dyDescent="0.25">
      <c r="A529"/>
      <c r="B529" s="101"/>
      <c r="C529"/>
      <c r="D529" s="101"/>
      <c r="E529" s="101"/>
      <c r="F529" s="101"/>
      <c r="G529" s="101"/>
      <c r="H529" s="101"/>
      <c r="I529" s="101"/>
      <c r="J529" s="101"/>
      <c r="K529" s="101"/>
      <c r="L529"/>
      <c r="M529"/>
      <c r="N529"/>
      <c r="O529"/>
      <c r="P529"/>
      <c r="Q529" s="102"/>
      <c r="R529"/>
      <c r="S529"/>
      <c r="T529"/>
      <c r="U529"/>
      <c r="V529" s="102"/>
      <c r="W529"/>
      <c r="X529" s="101"/>
      <c r="Y529"/>
      <c r="Z529" s="101"/>
      <c r="AA529" s="101"/>
      <c r="AB529" s="101"/>
      <c r="AC529" s="101"/>
      <c r="AD529" s="101"/>
      <c r="AE529"/>
      <c r="AF529" s="101"/>
      <c r="AG529"/>
      <c r="AH529"/>
      <c r="AI529" s="101"/>
      <c r="AJ529" s="101"/>
      <c r="AK529" s="101"/>
      <c r="AL529" s="106"/>
      <c r="AM529" s="106"/>
      <c r="AN529" s="106"/>
      <c r="AO529"/>
      <c r="AP529"/>
      <c r="AQ529"/>
      <c r="AR529"/>
      <c r="AS529"/>
      <c r="AT529"/>
      <c r="AU529"/>
      <c r="AV529" s="101"/>
      <c r="AW529"/>
      <c r="AX529"/>
      <c r="AY529"/>
      <c r="AZ529"/>
      <c r="BA529"/>
      <c r="BB529"/>
      <c r="BC529"/>
      <c r="BD529"/>
      <c r="BE529"/>
      <c r="BF529"/>
      <c r="BG529"/>
      <c r="BH529"/>
      <c r="BI529"/>
      <c r="BJ529"/>
      <c r="BK529"/>
      <c r="BL529"/>
      <c r="BM529" s="101"/>
      <c r="BN529"/>
      <c r="BO529" s="102"/>
      <c r="BP529"/>
      <c r="BQ529"/>
      <c r="BR529"/>
      <c r="BS529"/>
      <c r="BT529"/>
      <c r="BU529" s="101"/>
      <c r="BV529"/>
      <c r="BW529"/>
      <c r="BX529" s="102"/>
      <c r="BY529" s="101"/>
      <c r="BZ529" s="101"/>
      <c r="CA529" s="101"/>
      <c r="CB529" s="101"/>
      <c r="CC529" s="101"/>
    </row>
    <row r="530" spans="1:81" x14ac:dyDescent="0.25">
      <c r="A530"/>
      <c r="B530" s="101"/>
      <c r="C530"/>
      <c r="D530" s="101"/>
      <c r="E530" s="101"/>
      <c r="F530" s="101"/>
      <c r="G530" s="101"/>
      <c r="H530" s="101"/>
      <c r="I530" s="101"/>
      <c r="J530" s="101"/>
      <c r="K530" s="101"/>
      <c r="L530"/>
      <c r="M530"/>
      <c r="N530"/>
      <c r="O530"/>
      <c r="P530"/>
      <c r="Q530" s="102"/>
      <c r="R530"/>
      <c r="S530"/>
      <c r="T530"/>
      <c r="U530"/>
      <c r="V530" s="102"/>
      <c r="W530"/>
      <c r="X530" s="101"/>
      <c r="Y530"/>
      <c r="Z530" s="101"/>
      <c r="AA530" s="101"/>
      <c r="AB530" s="101"/>
      <c r="AC530" s="101"/>
      <c r="AD530" s="101"/>
      <c r="AE530"/>
      <c r="AF530" s="101"/>
      <c r="AG530"/>
      <c r="AH530"/>
      <c r="AI530" s="101"/>
      <c r="AJ530" s="101"/>
      <c r="AK530" s="101"/>
      <c r="AL530" s="101"/>
      <c r="AM530" s="101"/>
      <c r="AN530" s="101"/>
      <c r="AO530" s="101"/>
      <c r="AP530" s="106"/>
      <c r="AQ530"/>
      <c r="AR530"/>
      <c r="AS530"/>
      <c r="AT530"/>
      <c r="AU530"/>
      <c r="AV530" s="101"/>
      <c r="AW530"/>
      <c r="AX530"/>
      <c r="AY530"/>
      <c r="AZ530"/>
      <c r="BA530"/>
      <c r="BB530"/>
      <c r="BC530"/>
      <c r="BD530"/>
      <c r="BE530"/>
      <c r="BF530"/>
      <c r="BG530"/>
      <c r="BH530"/>
      <c r="BI530"/>
      <c r="BJ530"/>
      <c r="BK530"/>
      <c r="BL530"/>
      <c r="BM530" s="101"/>
      <c r="BN530"/>
      <c r="BO530" s="102"/>
      <c r="BP530"/>
      <c r="BQ530"/>
      <c r="BR530"/>
      <c r="BS530"/>
      <c r="BT530"/>
      <c r="BU530" s="101"/>
      <c r="BV530"/>
      <c r="BW530"/>
      <c r="BX530" s="102"/>
      <c r="BY530" s="101"/>
      <c r="BZ530" s="101"/>
      <c r="CA530" s="101"/>
      <c r="CB530" s="101"/>
      <c r="CC530" s="101"/>
    </row>
    <row r="531" spans="1:81" x14ac:dyDescent="0.25">
      <c r="A531"/>
      <c r="B531" s="101"/>
      <c r="C531"/>
      <c r="D531" s="101"/>
      <c r="E531" s="101"/>
      <c r="F531" s="101"/>
      <c r="G531" s="101"/>
      <c r="H531" s="101"/>
      <c r="I531" s="101"/>
      <c r="J531" s="101"/>
      <c r="K531" s="101"/>
      <c r="L531"/>
      <c r="M531"/>
      <c r="N531"/>
      <c r="O531"/>
      <c r="P531"/>
      <c r="Q531" s="102"/>
      <c r="R531"/>
      <c r="S531"/>
      <c r="T531"/>
      <c r="U531"/>
      <c r="V531" s="102"/>
      <c r="W531"/>
      <c r="X531" s="101"/>
      <c r="Y531"/>
      <c r="Z531" s="101"/>
      <c r="AA531" s="101"/>
      <c r="AB531" s="101"/>
      <c r="AC531" s="101"/>
      <c r="AD531" s="101"/>
      <c r="AE531"/>
      <c r="AF531" s="101"/>
      <c r="AG531"/>
      <c r="AH531"/>
      <c r="AI531" s="101"/>
      <c r="AJ531" s="101"/>
      <c r="AK531"/>
      <c r="AL531"/>
      <c r="AM531"/>
      <c r="AN531"/>
      <c r="AO531"/>
      <c r="AP531" s="101"/>
      <c r="AQ531"/>
      <c r="AR531"/>
      <c r="AS531"/>
      <c r="AT531"/>
      <c r="AU531"/>
      <c r="AV531" s="101"/>
      <c r="AW531"/>
      <c r="AX531"/>
      <c r="AY531"/>
      <c r="AZ531"/>
      <c r="BA531"/>
      <c r="BB531"/>
      <c r="BC531"/>
      <c r="BD531"/>
      <c r="BE531"/>
      <c r="BF531"/>
      <c r="BG531"/>
      <c r="BH531"/>
      <c r="BI531"/>
      <c r="BJ531"/>
      <c r="BK531"/>
      <c r="BL531"/>
      <c r="BM531" s="101"/>
      <c r="BN531"/>
      <c r="BO531" s="102"/>
      <c r="BP531"/>
      <c r="BQ531"/>
      <c r="BR531"/>
      <c r="BS531"/>
      <c r="BT531"/>
      <c r="BU531" s="101"/>
      <c r="BV531"/>
      <c r="BW531"/>
      <c r="BX531" s="102"/>
      <c r="BY531" s="101"/>
      <c r="BZ531" s="101"/>
      <c r="CA531" s="101"/>
      <c r="CB531" s="101"/>
      <c r="CC531" s="101"/>
    </row>
    <row r="532" spans="1:81" x14ac:dyDescent="0.25">
      <c r="A532"/>
      <c r="B532" s="101"/>
      <c r="C532"/>
      <c r="D532" s="101"/>
      <c r="E532" s="101"/>
      <c r="F532" s="101"/>
      <c r="G532" s="101"/>
      <c r="H532" s="101"/>
      <c r="I532" s="101"/>
      <c r="J532" s="101"/>
      <c r="K532" s="101"/>
      <c r="L532"/>
      <c r="M532"/>
      <c r="N532"/>
      <c r="O532"/>
      <c r="P532"/>
      <c r="Q532" s="102"/>
      <c r="R532"/>
      <c r="S532" s="105"/>
      <c r="T532"/>
      <c r="U532"/>
      <c r="V532" s="102"/>
      <c r="W532"/>
      <c r="X532" s="101"/>
      <c r="Y532"/>
      <c r="Z532" s="101"/>
      <c r="AA532" s="101"/>
      <c r="AB532" s="101"/>
      <c r="AC532" s="101"/>
      <c r="AD532" s="101"/>
      <c r="AE532"/>
      <c r="AF532" s="101"/>
      <c r="AG532"/>
      <c r="AH532"/>
      <c r="AI532" s="101"/>
      <c r="AJ532" s="101"/>
      <c r="AK532" s="106"/>
      <c r="AL532" s="106"/>
      <c r="AM532" s="106"/>
      <c r="AN532" s="106"/>
      <c r="AO532" s="106"/>
      <c r="AP532" s="105"/>
      <c r="AQ532"/>
      <c r="AR532"/>
      <c r="AS532"/>
      <c r="AT532"/>
      <c r="AU532"/>
      <c r="AV532" s="101"/>
      <c r="AW532"/>
      <c r="AX532"/>
      <c r="AY532"/>
      <c r="AZ532"/>
      <c r="BA532"/>
      <c r="BB532"/>
      <c r="BC532"/>
      <c r="BD532"/>
      <c r="BE532"/>
      <c r="BF532"/>
      <c r="BG532"/>
      <c r="BH532"/>
      <c r="BI532"/>
      <c r="BJ532"/>
      <c r="BK532"/>
      <c r="BL532"/>
      <c r="BM532" s="101"/>
      <c r="BN532"/>
      <c r="BO532" s="102"/>
      <c r="BP532"/>
      <c r="BQ532"/>
      <c r="BR532"/>
      <c r="BS532"/>
      <c r="BT532"/>
      <c r="BU532" s="101"/>
      <c r="BV532"/>
      <c r="BW532"/>
      <c r="BX532" s="102"/>
      <c r="BY532" s="101"/>
      <c r="BZ532" s="101"/>
      <c r="CA532" s="101"/>
      <c r="CB532" s="101"/>
      <c r="CC532" s="101"/>
    </row>
    <row r="533" spans="1:81" x14ac:dyDescent="0.25">
      <c r="A533"/>
      <c r="B533" s="101"/>
      <c r="C533"/>
      <c r="D533" s="101"/>
      <c r="E533" s="101"/>
      <c r="F533" s="101"/>
      <c r="G533" s="101"/>
      <c r="H533" s="101"/>
      <c r="I533" s="101"/>
      <c r="J533" s="101"/>
      <c r="K533" s="101"/>
      <c r="L533"/>
      <c r="M533"/>
      <c r="N533"/>
      <c r="O533"/>
      <c r="P533"/>
      <c r="Q533" s="102"/>
      <c r="R533"/>
      <c r="S533"/>
      <c r="T533"/>
      <c r="U533"/>
      <c r="V533" s="102"/>
      <c r="W533"/>
      <c r="X533" s="101"/>
      <c r="Y533"/>
      <c r="Z533" s="101"/>
      <c r="AA533" s="101"/>
      <c r="AB533" s="101"/>
      <c r="AC533" s="101"/>
      <c r="AD533" s="101"/>
      <c r="AE533"/>
      <c r="AF533" s="101"/>
      <c r="AG533"/>
      <c r="AH533"/>
      <c r="AI533" s="101"/>
      <c r="AJ533" s="101"/>
      <c r="AK533" s="105"/>
      <c r="AL533" s="105"/>
      <c r="AM533" s="105"/>
      <c r="AN533" s="105"/>
      <c r="AO533" s="105"/>
      <c r="AP533" s="101"/>
      <c r="AQ533"/>
      <c r="AR533"/>
      <c r="AS533"/>
      <c r="AT533"/>
      <c r="AU533"/>
      <c r="AV533" s="101"/>
      <c r="AW533"/>
      <c r="AX533"/>
      <c r="AY533"/>
      <c r="AZ533"/>
      <c r="BA533"/>
      <c r="BB533"/>
      <c r="BC533"/>
      <c r="BD533"/>
      <c r="BE533"/>
      <c r="BF533"/>
      <c r="BG533"/>
      <c r="BH533"/>
      <c r="BI533"/>
      <c r="BJ533"/>
      <c r="BK533"/>
      <c r="BL533"/>
      <c r="BM533" s="101"/>
      <c r="BN533"/>
      <c r="BO533" s="102"/>
      <c r="BP533"/>
      <c r="BQ533"/>
      <c r="BR533"/>
      <c r="BS533"/>
      <c r="BT533"/>
      <c r="BU533" s="101"/>
      <c r="BV533"/>
      <c r="BW533"/>
      <c r="BX533" s="102"/>
      <c r="BY533" s="101"/>
      <c r="BZ533" s="101"/>
      <c r="CA533" s="101"/>
      <c r="CB533" s="101"/>
      <c r="CC533" s="101"/>
    </row>
    <row r="534" spans="1:81" x14ac:dyDescent="0.25">
      <c r="A534"/>
      <c r="B534" s="101"/>
      <c r="C534"/>
      <c r="D534" s="101"/>
      <c r="E534" s="101"/>
      <c r="F534" s="101"/>
      <c r="G534" s="101"/>
      <c r="H534" s="101"/>
      <c r="I534" s="101"/>
      <c r="J534" s="101"/>
      <c r="K534" s="101"/>
      <c r="L534"/>
      <c r="M534"/>
      <c r="N534"/>
      <c r="O534"/>
      <c r="P534"/>
      <c r="Q534" s="102"/>
      <c r="R534"/>
      <c r="S534"/>
      <c r="T534"/>
      <c r="U534"/>
      <c r="V534" s="102"/>
      <c r="W534"/>
      <c r="X534" s="101"/>
      <c r="Y534"/>
      <c r="Z534" s="101"/>
      <c r="AA534" s="101"/>
      <c r="AB534" s="101"/>
      <c r="AC534" s="101"/>
      <c r="AD534" s="101"/>
      <c r="AE534"/>
      <c r="AF534" s="101"/>
      <c r="AG534"/>
      <c r="AH534"/>
      <c r="AI534" s="101"/>
      <c r="AJ534" s="101"/>
      <c r="AK534" s="101"/>
      <c r="AL534" s="101"/>
      <c r="AM534" s="101"/>
      <c r="AN534" s="101"/>
      <c r="AO534" s="101"/>
      <c r="AP534"/>
      <c r="AQ534"/>
      <c r="AR534"/>
      <c r="AS534"/>
      <c r="AT534"/>
      <c r="AU534"/>
      <c r="AV534" s="101"/>
      <c r="AW534"/>
      <c r="AX534"/>
      <c r="AY534"/>
      <c r="AZ534"/>
      <c r="BA534"/>
      <c r="BB534"/>
      <c r="BC534"/>
      <c r="BD534"/>
      <c r="BE534"/>
      <c r="BF534"/>
      <c r="BG534"/>
      <c r="BH534"/>
      <c r="BI534"/>
      <c r="BJ534"/>
      <c r="BK534"/>
      <c r="BL534"/>
      <c r="BM534" s="101"/>
      <c r="BN534"/>
      <c r="BO534" s="102"/>
      <c r="BP534"/>
      <c r="BQ534"/>
      <c r="BR534"/>
      <c r="BS534"/>
      <c r="BT534"/>
      <c r="BU534" s="101"/>
      <c r="BV534"/>
      <c r="BW534"/>
      <c r="BX534" s="102"/>
      <c r="BY534" s="101"/>
      <c r="BZ534" s="101"/>
      <c r="CA534" s="101"/>
      <c r="CB534" s="101"/>
      <c r="CC534" s="101"/>
    </row>
    <row r="535" spans="1:81" x14ac:dyDescent="0.25">
      <c r="A535"/>
      <c r="B535" s="101"/>
      <c r="C535"/>
      <c r="D535" s="101"/>
      <c r="E535" s="101"/>
      <c r="F535" s="101"/>
      <c r="G535" s="101"/>
      <c r="H535" s="101"/>
      <c r="I535" s="101"/>
      <c r="J535" s="101"/>
      <c r="K535" s="101"/>
      <c r="L535"/>
      <c r="M535"/>
      <c r="N535"/>
      <c r="O535"/>
      <c r="P535"/>
      <c r="Q535" s="102"/>
      <c r="R535"/>
      <c r="S535"/>
      <c r="T535"/>
      <c r="U535"/>
      <c r="V535" s="102"/>
      <c r="W535"/>
      <c r="X535" s="101"/>
      <c r="Y535"/>
      <c r="Z535" s="101"/>
      <c r="AA535" s="101"/>
      <c r="AB535" s="101"/>
      <c r="AC535" s="101"/>
      <c r="AD535" s="101"/>
      <c r="AE535"/>
      <c r="AF535" s="101"/>
      <c r="AG535"/>
      <c r="AH535"/>
      <c r="AI535" s="101"/>
      <c r="AJ535" s="101"/>
      <c r="AK535" s="105"/>
      <c r="AL535" s="105"/>
      <c r="AM535" s="105"/>
      <c r="AN535" s="105"/>
      <c r="AO535" s="105"/>
      <c r="AP535"/>
      <c r="AQ535"/>
      <c r="AR535"/>
      <c r="AS535"/>
      <c r="AT535"/>
      <c r="AU535"/>
      <c r="AV535" s="101"/>
      <c r="AW535"/>
      <c r="AX535"/>
      <c r="AY535"/>
      <c r="AZ535"/>
      <c r="BA535"/>
      <c r="BB535"/>
      <c r="BC535"/>
      <c r="BD535"/>
      <c r="BE535"/>
      <c r="BF535"/>
      <c r="BG535"/>
      <c r="BH535"/>
      <c r="BI535"/>
      <c r="BJ535"/>
      <c r="BK535"/>
      <c r="BL535"/>
      <c r="BM535" s="101"/>
      <c r="BN535"/>
      <c r="BO535" s="102"/>
      <c r="BP535"/>
      <c r="BQ535"/>
      <c r="BR535"/>
      <c r="BS535"/>
      <c r="BT535"/>
      <c r="BU535" s="101"/>
      <c r="BV535"/>
      <c r="BW535"/>
      <c r="BX535" s="102"/>
      <c r="BY535" s="101"/>
      <c r="BZ535" s="101"/>
      <c r="CA535" s="101"/>
      <c r="CB535" s="101"/>
      <c r="CC535" s="101"/>
    </row>
    <row r="536" spans="1:81" x14ac:dyDescent="0.25">
      <c r="A536"/>
      <c r="B536" s="101"/>
      <c r="C536"/>
      <c r="D536" s="101"/>
      <c r="E536" s="101"/>
      <c r="F536" s="101"/>
      <c r="G536" s="101"/>
      <c r="H536" s="101"/>
      <c r="I536" s="101"/>
      <c r="J536" s="101"/>
      <c r="K536" s="101"/>
      <c r="L536"/>
      <c r="M536"/>
      <c r="N536"/>
      <c r="O536"/>
      <c r="P536"/>
      <c r="Q536" s="102"/>
      <c r="R536"/>
      <c r="S536"/>
      <c r="T536"/>
      <c r="U536"/>
      <c r="V536" s="102"/>
      <c r="W536"/>
      <c r="X536" s="101"/>
      <c r="Y536"/>
      <c r="Z536" s="101"/>
      <c r="AA536" s="101"/>
      <c r="AB536" s="101"/>
      <c r="AC536" s="101"/>
      <c r="AD536" s="101"/>
      <c r="AE536"/>
      <c r="AF536" s="101"/>
      <c r="AG536"/>
      <c r="AH536"/>
      <c r="AI536" s="101"/>
      <c r="AJ536" s="101"/>
      <c r="AK536"/>
      <c r="AL536"/>
      <c r="AM536"/>
      <c r="AN536"/>
      <c r="AO536"/>
      <c r="AP536" s="105"/>
      <c r="AQ536"/>
      <c r="AR536"/>
      <c r="AS536"/>
      <c r="AT536"/>
      <c r="AU536"/>
      <c r="AV536" s="101"/>
      <c r="AW536"/>
      <c r="AX536"/>
      <c r="AY536"/>
      <c r="AZ536"/>
      <c r="BA536"/>
      <c r="BB536"/>
      <c r="BC536"/>
      <c r="BD536"/>
      <c r="BE536"/>
      <c r="BF536"/>
      <c r="BG536"/>
      <c r="BH536"/>
      <c r="BI536"/>
      <c r="BJ536"/>
      <c r="BK536"/>
      <c r="BL536"/>
      <c r="BM536" s="101"/>
      <c r="BN536"/>
      <c r="BO536" s="102"/>
      <c r="BP536"/>
      <c r="BQ536"/>
      <c r="BR536"/>
      <c r="BS536"/>
      <c r="BT536"/>
      <c r="BU536" s="101"/>
      <c r="BV536"/>
      <c r="BW536"/>
      <c r="BX536" s="102"/>
      <c r="BY536" s="101"/>
      <c r="BZ536" s="101"/>
      <c r="CA536" s="101"/>
      <c r="CB536" s="101"/>
      <c r="CC536" s="101"/>
    </row>
    <row r="537" spans="1:81" x14ac:dyDescent="0.25">
      <c r="A537"/>
      <c r="B537" s="101"/>
      <c r="C537"/>
      <c r="D537" s="101"/>
      <c r="E537" s="101"/>
      <c r="F537" s="101"/>
      <c r="G537" s="101"/>
      <c r="H537" s="101"/>
      <c r="I537" s="101"/>
      <c r="J537" s="101"/>
      <c r="K537" s="101"/>
      <c r="L537"/>
      <c r="M537"/>
      <c r="N537"/>
      <c r="O537"/>
      <c r="P537"/>
      <c r="Q537" s="102"/>
      <c r="R537"/>
      <c r="S537"/>
      <c r="T537"/>
      <c r="U537"/>
      <c r="V537" s="102"/>
      <c r="W537"/>
      <c r="X537" s="101"/>
      <c r="Y537"/>
      <c r="Z537" s="101"/>
      <c r="AA537" s="101"/>
      <c r="AB537" s="101"/>
      <c r="AC537" s="101"/>
      <c r="AD537" s="101"/>
      <c r="AE537"/>
      <c r="AF537" s="101"/>
      <c r="AG537"/>
      <c r="AH537"/>
      <c r="AI537" s="101"/>
      <c r="AJ537" s="101"/>
      <c r="AK537" s="106"/>
      <c r="AL537" s="106"/>
      <c r="AM537" s="106"/>
      <c r="AN537" s="106"/>
      <c r="AO537" s="106"/>
      <c r="AP537" s="105"/>
      <c r="AQ537"/>
      <c r="AR537"/>
      <c r="AS537"/>
      <c r="AT537"/>
      <c r="AU537"/>
      <c r="AV537" s="101"/>
      <c r="AW537"/>
      <c r="AX537"/>
      <c r="AY537"/>
      <c r="AZ537"/>
      <c r="BA537"/>
      <c r="BB537"/>
      <c r="BC537"/>
      <c r="BD537"/>
      <c r="BE537"/>
      <c r="BF537"/>
      <c r="BG537"/>
      <c r="BH537"/>
      <c r="BI537"/>
      <c r="BJ537"/>
      <c r="BK537"/>
      <c r="BL537"/>
      <c r="BM537" s="101"/>
      <c r="BN537"/>
      <c r="BO537" s="102"/>
      <c r="BP537"/>
      <c r="BQ537"/>
      <c r="BR537"/>
      <c r="BS537"/>
      <c r="BT537"/>
      <c r="BU537" s="101"/>
      <c r="BV537"/>
      <c r="BW537"/>
      <c r="BX537" s="102"/>
      <c r="BY537" s="101"/>
      <c r="BZ537" s="101"/>
      <c r="CA537" s="101"/>
      <c r="CB537" s="101"/>
      <c r="CC537" s="101"/>
    </row>
    <row r="538" spans="1:81" x14ac:dyDescent="0.25">
      <c r="A538"/>
      <c r="B538" s="101"/>
      <c r="C538"/>
      <c r="D538" s="101"/>
      <c r="E538" s="101"/>
      <c r="F538" s="101"/>
      <c r="G538" s="101"/>
      <c r="H538" s="101"/>
      <c r="I538" s="101"/>
      <c r="J538" s="101"/>
      <c r="K538" s="101"/>
      <c r="L538"/>
      <c r="M538"/>
      <c r="N538"/>
      <c r="O538"/>
      <c r="P538"/>
      <c r="Q538" s="102"/>
      <c r="R538"/>
      <c r="S538"/>
      <c r="T538"/>
      <c r="U538"/>
      <c r="V538" s="102"/>
      <c r="W538"/>
      <c r="X538" s="101"/>
      <c r="Y538"/>
      <c r="Z538" s="101"/>
      <c r="AA538" s="101"/>
      <c r="AB538" s="101"/>
      <c r="AC538" s="101"/>
      <c r="AD538" s="101"/>
      <c r="AE538"/>
      <c r="AF538" s="101"/>
      <c r="AG538"/>
      <c r="AH538"/>
      <c r="AI538" s="101"/>
      <c r="AJ538" s="101"/>
      <c r="AK538" s="101"/>
      <c r="AL538" s="106"/>
      <c r="AM538" s="106"/>
      <c r="AN538" s="106"/>
      <c r="AO538" s="106"/>
      <c r="AP538" s="106"/>
      <c r="AQ538"/>
      <c r="AR538"/>
      <c r="AS538"/>
      <c r="AT538"/>
      <c r="AU538"/>
      <c r="AV538" s="101"/>
      <c r="AW538"/>
      <c r="AX538"/>
      <c r="AY538"/>
      <c r="AZ538"/>
      <c r="BA538"/>
      <c r="BB538"/>
      <c r="BC538"/>
      <c r="BD538"/>
      <c r="BE538"/>
      <c r="BF538"/>
      <c r="BG538"/>
      <c r="BH538"/>
      <c r="BI538"/>
      <c r="BJ538"/>
      <c r="BK538"/>
      <c r="BL538"/>
      <c r="BM538" s="101"/>
      <c r="BN538"/>
      <c r="BO538" s="102"/>
      <c r="BP538"/>
      <c r="BQ538" s="105"/>
      <c r="BR538"/>
      <c r="BS538"/>
      <c r="BT538"/>
      <c r="BU538" s="101"/>
      <c r="BV538"/>
      <c r="BW538"/>
      <c r="BX538" s="102"/>
      <c r="BY538" s="101"/>
      <c r="BZ538" s="101"/>
      <c r="CA538" s="106"/>
      <c r="CB538" s="101"/>
      <c r="CC538" s="101"/>
    </row>
    <row r="539" spans="1:81" x14ac:dyDescent="0.25">
      <c r="A539"/>
      <c r="B539" s="101"/>
      <c r="C539"/>
      <c r="D539" s="101"/>
      <c r="E539" s="101"/>
      <c r="F539" s="101"/>
      <c r="G539" s="101"/>
      <c r="H539" s="101"/>
      <c r="I539" s="101"/>
      <c r="J539" s="101"/>
      <c r="K539" s="101"/>
      <c r="L539"/>
      <c r="M539"/>
      <c r="N539"/>
      <c r="O539"/>
      <c r="P539"/>
      <c r="Q539" s="102"/>
      <c r="R539"/>
      <c r="S539"/>
      <c r="T539"/>
      <c r="U539"/>
      <c r="V539" s="102"/>
      <c r="W539"/>
      <c r="X539" s="101"/>
      <c r="Y539"/>
      <c r="Z539" s="101"/>
      <c r="AA539" s="101"/>
      <c r="AB539" s="101"/>
      <c r="AC539" s="101"/>
      <c r="AD539" s="101"/>
      <c r="AE539"/>
      <c r="AF539" s="101"/>
      <c r="AG539"/>
      <c r="AH539"/>
      <c r="AI539" s="101"/>
      <c r="AJ539" s="101"/>
      <c r="AK539" s="105"/>
      <c r="AL539" s="105"/>
      <c r="AM539" s="105"/>
      <c r="AN539" s="105"/>
      <c r="AO539" s="105"/>
      <c r="AP539" s="106"/>
      <c r="AQ539"/>
      <c r="AR539"/>
      <c r="AS539"/>
      <c r="AT539"/>
      <c r="AU539"/>
      <c r="AV539" s="101"/>
      <c r="AW539"/>
      <c r="AX539"/>
      <c r="AY539"/>
      <c r="AZ539"/>
      <c r="BA539"/>
      <c r="BB539"/>
      <c r="BC539"/>
      <c r="BD539"/>
      <c r="BE539"/>
      <c r="BF539"/>
      <c r="BG539"/>
      <c r="BH539"/>
      <c r="BI539"/>
      <c r="BJ539"/>
      <c r="BK539"/>
      <c r="BL539"/>
      <c r="BM539" s="101"/>
      <c r="BN539"/>
      <c r="BO539" s="102"/>
      <c r="BP539"/>
      <c r="BQ539"/>
      <c r="BR539"/>
      <c r="BS539"/>
      <c r="BT539"/>
      <c r="BU539" s="101"/>
      <c r="BV539"/>
      <c r="BW539"/>
      <c r="BX539" s="102"/>
      <c r="BY539" s="101"/>
      <c r="BZ539" s="101"/>
      <c r="CA539" s="101"/>
      <c r="CB539" s="101"/>
      <c r="CC539" s="101"/>
    </row>
    <row r="540" spans="1:81" x14ac:dyDescent="0.25">
      <c r="A540"/>
      <c r="B540" s="101"/>
      <c r="C540"/>
      <c r="D540" s="101"/>
      <c r="E540" s="101"/>
      <c r="F540" s="101"/>
      <c r="G540" s="101"/>
      <c r="H540" s="101"/>
      <c r="I540" s="101"/>
      <c r="J540" s="101"/>
      <c r="K540" s="101"/>
      <c r="L540"/>
      <c r="M540"/>
      <c r="N540"/>
      <c r="O540"/>
      <c r="P540"/>
      <c r="Q540" s="102"/>
      <c r="R540"/>
      <c r="S540"/>
      <c r="T540"/>
      <c r="U540"/>
      <c r="V540" s="102"/>
      <c r="W540"/>
      <c r="X540" s="101"/>
      <c r="Y540"/>
      <c r="Z540" s="101"/>
      <c r="AA540" s="101"/>
      <c r="AB540" s="101"/>
      <c r="AC540" s="101"/>
      <c r="AD540" s="101"/>
      <c r="AE540"/>
      <c r="AF540" s="101"/>
      <c r="AG540"/>
      <c r="AH540"/>
      <c r="AI540" s="101"/>
      <c r="AJ540" s="101"/>
      <c r="AK540" s="101"/>
      <c r="AL540" s="101"/>
      <c r="AM540" s="101"/>
      <c r="AN540" s="101"/>
      <c r="AO540" s="101"/>
      <c r="AP540"/>
      <c r="AQ540"/>
      <c r="AR540"/>
      <c r="AS540"/>
      <c r="AT540"/>
      <c r="AU540"/>
      <c r="AV540" s="101"/>
      <c r="AW540"/>
      <c r="AX540"/>
      <c r="AY540"/>
      <c r="AZ540"/>
      <c r="BA540"/>
      <c r="BB540"/>
      <c r="BC540"/>
      <c r="BD540"/>
      <c r="BE540"/>
      <c r="BF540"/>
      <c r="BG540"/>
      <c r="BH540"/>
      <c r="BI540"/>
      <c r="BJ540"/>
      <c r="BK540"/>
      <c r="BL540"/>
      <c r="BM540" s="101"/>
      <c r="BN540"/>
      <c r="BO540" s="102"/>
      <c r="BP540"/>
      <c r="BQ540"/>
      <c r="BR540"/>
      <c r="BS540"/>
      <c r="BT540"/>
      <c r="BU540" s="101"/>
      <c r="BV540"/>
      <c r="BW540"/>
      <c r="BX540" s="102"/>
      <c r="BY540" s="101"/>
      <c r="BZ540" s="101"/>
      <c r="CA540" s="101"/>
      <c r="CB540" s="101"/>
      <c r="CC540" s="101"/>
    </row>
    <row r="541" spans="1:81" x14ac:dyDescent="0.25">
      <c r="A541"/>
      <c r="B541" s="101"/>
      <c r="C541"/>
      <c r="D541" s="101"/>
      <c r="E541" s="101"/>
      <c r="F541" s="101"/>
      <c r="G541" s="101"/>
      <c r="H541" s="101"/>
      <c r="I541" s="101"/>
      <c r="J541" s="101"/>
      <c r="K541" s="101"/>
      <c r="L541"/>
      <c r="M541"/>
      <c r="N541"/>
      <c r="O541"/>
      <c r="P541"/>
      <c r="Q541" s="102"/>
      <c r="R541"/>
      <c r="S541"/>
      <c r="T541"/>
      <c r="U541"/>
      <c r="V541" s="102"/>
      <c r="W541"/>
      <c r="X541" s="101"/>
      <c r="Y541"/>
      <c r="Z541" s="101"/>
      <c r="AA541" s="101"/>
      <c r="AB541" s="101"/>
      <c r="AC541" s="101"/>
      <c r="AD541" s="101"/>
      <c r="AE541"/>
      <c r="AF541" s="101"/>
      <c r="AG541"/>
      <c r="AH541"/>
      <c r="AI541" s="101"/>
      <c r="AJ541" s="101"/>
      <c r="AK541" s="101"/>
      <c r="AL541" s="101"/>
      <c r="AM541" s="101"/>
      <c r="AN541" s="101"/>
      <c r="AO541" s="101"/>
      <c r="AP541"/>
      <c r="AQ541"/>
      <c r="AR541"/>
      <c r="AS541"/>
      <c r="AT541"/>
      <c r="AU541"/>
      <c r="AV541" s="101"/>
      <c r="AW541"/>
      <c r="AX541"/>
      <c r="AY541"/>
      <c r="AZ541"/>
      <c r="BA541"/>
      <c r="BB541"/>
      <c r="BC541"/>
      <c r="BD541"/>
      <c r="BE541"/>
      <c r="BF541"/>
      <c r="BG541"/>
      <c r="BH541"/>
      <c r="BI541"/>
      <c r="BJ541"/>
      <c r="BK541"/>
      <c r="BL541"/>
      <c r="BM541" s="101"/>
      <c r="BN541"/>
      <c r="BO541" s="102"/>
      <c r="BP541"/>
      <c r="BQ541"/>
      <c r="BR541"/>
      <c r="BS541"/>
      <c r="BT541"/>
      <c r="BU541" s="101"/>
      <c r="BV541"/>
      <c r="BW541"/>
      <c r="BX541" s="102"/>
      <c r="BY541" s="101"/>
      <c r="BZ541" s="101"/>
      <c r="CA541" s="101"/>
      <c r="CB541" s="101"/>
      <c r="CC541" s="101"/>
    </row>
    <row r="542" spans="1:81" x14ac:dyDescent="0.25">
      <c r="A542"/>
      <c r="B542" s="101"/>
      <c r="C542"/>
      <c r="D542" s="101"/>
      <c r="E542" s="101"/>
      <c r="F542" s="101"/>
      <c r="G542" s="101"/>
      <c r="H542" s="101"/>
      <c r="I542" s="101"/>
      <c r="J542" s="101"/>
      <c r="K542" s="101"/>
      <c r="L542"/>
      <c r="M542"/>
      <c r="N542"/>
      <c r="O542"/>
      <c r="P542"/>
      <c r="Q542" s="102"/>
      <c r="R542"/>
      <c r="S542"/>
      <c r="T542"/>
      <c r="U542"/>
      <c r="V542" s="102"/>
      <c r="W542"/>
      <c r="X542" s="101"/>
      <c r="Y542"/>
      <c r="Z542" s="101"/>
      <c r="AA542" s="101"/>
      <c r="AB542" s="101"/>
      <c r="AC542" s="101"/>
      <c r="AD542" s="101"/>
      <c r="AE542"/>
      <c r="AF542" s="101"/>
      <c r="AG542"/>
      <c r="AH542"/>
      <c r="AI542" s="101"/>
      <c r="AJ542" s="101"/>
      <c r="AK542" s="105"/>
      <c r="AL542" s="105"/>
      <c r="AM542" s="105"/>
      <c r="AN542" s="105"/>
      <c r="AO542" s="105"/>
      <c r="AP542"/>
      <c r="AQ542"/>
      <c r="AR542"/>
      <c r="AS542"/>
      <c r="AT542"/>
      <c r="AU542"/>
      <c r="AV542" s="101"/>
      <c r="AW542"/>
      <c r="AX542"/>
      <c r="AY542"/>
      <c r="AZ542"/>
      <c r="BA542"/>
      <c r="BB542"/>
      <c r="BC542"/>
      <c r="BD542"/>
      <c r="BE542"/>
      <c r="BF542"/>
      <c r="BG542"/>
      <c r="BH542"/>
      <c r="BI542"/>
      <c r="BJ542"/>
      <c r="BK542"/>
      <c r="BL542"/>
      <c r="BM542" s="101"/>
      <c r="BN542"/>
      <c r="BO542" s="102"/>
      <c r="BP542"/>
      <c r="BQ542"/>
      <c r="BR542"/>
      <c r="BS542"/>
      <c r="BT542"/>
      <c r="BU542" s="101"/>
      <c r="BV542"/>
      <c r="BW542"/>
      <c r="BX542" s="102"/>
      <c r="BY542" s="101"/>
      <c r="BZ542" s="101"/>
      <c r="CA542" s="101"/>
      <c r="CB542" s="101"/>
      <c r="CC542" s="101"/>
    </row>
    <row r="543" spans="1:81" x14ac:dyDescent="0.25">
      <c r="A543"/>
      <c r="B543" s="101"/>
      <c r="C543"/>
      <c r="D543" s="101"/>
      <c r="E543" s="101"/>
      <c r="F543" s="101"/>
      <c r="G543" s="101"/>
      <c r="H543" s="101"/>
      <c r="I543" s="101"/>
      <c r="J543" s="101"/>
      <c r="K543" s="101"/>
      <c r="L543"/>
      <c r="M543"/>
      <c r="N543"/>
      <c r="O543"/>
      <c r="P543"/>
      <c r="Q543" s="102"/>
      <c r="R543"/>
      <c r="S543"/>
      <c r="T543"/>
      <c r="U543"/>
      <c r="V543" s="102"/>
      <c r="W543"/>
      <c r="X543" s="101"/>
      <c r="Y543"/>
      <c r="Z543" s="101"/>
      <c r="AA543" s="101"/>
      <c r="AB543" s="101"/>
      <c r="AC543" s="101"/>
      <c r="AD543" s="101"/>
      <c r="AE543"/>
      <c r="AF543" s="101"/>
      <c r="AG543"/>
      <c r="AH543"/>
      <c r="AI543" s="101"/>
      <c r="AJ543" s="101"/>
      <c r="AK543"/>
      <c r="AL543"/>
      <c r="AM543"/>
      <c r="AN543"/>
      <c r="AO543"/>
      <c r="AP543" s="101"/>
      <c r="AQ543"/>
      <c r="AR543"/>
      <c r="AS543"/>
      <c r="AT543"/>
      <c r="AU543"/>
      <c r="AV543" s="101"/>
      <c r="AW543"/>
      <c r="AX543"/>
      <c r="AY543"/>
      <c r="AZ543"/>
      <c r="BA543"/>
      <c r="BB543"/>
      <c r="BC543"/>
      <c r="BD543"/>
      <c r="BE543"/>
      <c r="BF543"/>
      <c r="BG543"/>
      <c r="BH543"/>
      <c r="BI543"/>
      <c r="BJ543"/>
      <c r="BK543"/>
      <c r="BL543"/>
      <c r="BM543" s="101"/>
      <c r="BN543"/>
      <c r="BO543" s="102"/>
      <c r="BP543"/>
      <c r="BQ543"/>
      <c r="BR543"/>
      <c r="BS543"/>
      <c r="BT543"/>
      <c r="BU543" s="101"/>
      <c r="BV543"/>
      <c r="BW543"/>
      <c r="BX543" s="102"/>
      <c r="BY543" s="101"/>
      <c r="BZ543" s="101"/>
      <c r="CA543" s="101"/>
      <c r="CB543" s="101"/>
      <c r="CC543" s="101"/>
    </row>
    <row r="544" spans="1:81" x14ac:dyDescent="0.25">
      <c r="A544"/>
      <c r="B544" s="101"/>
      <c r="C544"/>
      <c r="D544" s="101"/>
      <c r="E544" s="101"/>
      <c r="F544" s="101"/>
      <c r="G544" s="101"/>
      <c r="H544" s="101"/>
      <c r="I544" s="101"/>
      <c r="J544" s="101"/>
      <c r="K544" s="101"/>
      <c r="L544"/>
      <c r="M544"/>
      <c r="N544"/>
      <c r="O544"/>
      <c r="P544"/>
      <c r="Q544" s="102"/>
      <c r="R544"/>
      <c r="S544"/>
      <c r="T544"/>
      <c r="U544"/>
      <c r="V544" s="102"/>
      <c r="W544"/>
      <c r="X544" s="101"/>
      <c r="Y544"/>
      <c r="Z544" s="101"/>
      <c r="AA544" s="101"/>
      <c r="AB544" s="101"/>
      <c r="AC544" s="101"/>
      <c r="AD544" s="101"/>
      <c r="AE544"/>
      <c r="AF544" s="101"/>
      <c r="AG544"/>
      <c r="AH544"/>
      <c r="AI544" s="101"/>
      <c r="AJ544" s="101"/>
      <c r="AK544" s="105"/>
      <c r="AL544" s="105"/>
      <c r="AM544" s="105"/>
      <c r="AN544" s="105"/>
      <c r="AO544" s="105"/>
      <c r="AP544" s="101"/>
      <c r="AQ544"/>
      <c r="AR544"/>
      <c r="AS544"/>
      <c r="AT544"/>
      <c r="AU544"/>
      <c r="AV544" s="101"/>
      <c r="AW544"/>
      <c r="AX544"/>
      <c r="AY544"/>
      <c r="AZ544"/>
      <c r="BA544"/>
      <c r="BB544"/>
      <c r="BC544"/>
      <c r="BD544"/>
      <c r="BE544"/>
      <c r="BF544"/>
      <c r="BG544"/>
      <c r="BH544"/>
      <c r="BI544"/>
      <c r="BJ544"/>
      <c r="BK544"/>
      <c r="BL544"/>
      <c r="BM544" s="101"/>
      <c r="BN544"/>
      <c r="BO544" s="102"/>
      <c r="BP544"/>
      <c r="BQ544"/>
      <c r="BR544"/>
      <c r="BS544"/>
      <c r="BT544"/>
      <c r="BU544" s="101"/>
      <c r="BV544"/>
      <c r="BW544"/>
      <c r="BX544" s="102"/>
      <c r="BY544" s="101"/>
      <c r="BZ544" s="101"/>
      <c r="CA544" s="101"/>
      <c r="CB544" s="101"/>
      <c r="CC544" s="101"/>
    </row>
    <row r="545" spans="1:81" x14ac:dyDescent="0.25">
      <c r="A545"/>
      <c r="B545" s="101"/>
      <c r="C545"/>
      <c r="D545" s="101"/>
      <c r="E545" s="101"/>
      <c r="F545" s="101"/>
      <c r="G545" s="101"/>
      <c r="H545" s="101"/>
      <c r="I545" s="101"/>
      <c r="J545" s="101"/>
      <c r="K545" s="101"/>
      <c r="L545"/>
      <c r="M545"/>
      <c r="N545"/>
      <c r="O545"/>
      <c r="P545"/>
      <c r="Q545" s="102"/>
      <c r="R545"/>
      <c r="S545"/>
      <c r="T545"/>
      <c r="U545"/>
      <c r="V545" s="102"/>
      <c r="W545"/>
      <c r="X545" s="101"/>
      <c r="Y545"/>
      <c r="Z545" s="101"/>
      <c r="AA545" s="101"/>
      <c r="AB545" s="101"/>
      <c r="AC545" s="101"/>
      <c r="AD545" s="101"/>
      <c r="AE545"/>
      <c r="AF545" s="101"/>
      <c r="AG545"/>
      <c r="AH545"/>
      <c r="AI545" s="101"/>
      <c r="AJ545" s="101"/>
      <c r="AK545"/>
      <c r="AL545"/>
      <c r="AM545"/>
      <c r="AN545"/>
      <c r="AO545"/>
      <c r="AP545" s="105"/>
      <c r="AQ545"/>
      <c r="AR545"/>
      <c r="AS545"/>
      <c r="AT545"/>
      <c r="AU545"/>
      <c r="AV545" s="101"/>
      <c r="AW545"/>
      <c r="AX545"/>
      <c r="AY545"/>
      <c r="AZ545"/>
      <c r="BA545"/>
      <c r="BB545"/>
      <c r="BC545"/>
      <c r="BD545"/>
      <c r="BE545"/>
      <c r="BF545"/>
      <c r="BG545"/>
      <c r="BH545"/>
      <c r="BI545"/>
      <c r="BJ545"/>
      <c r="BK545"/>
      <c r="BL545"/>
      <c r="BM545" s="101"/>
      <c r="BN545"/>
      <c r="BO545" s="102"/>
      <c r="BP545"/>
      <c r="BQ545"/>
      <c r="BR545"/>
      <c r="BS545"/>
      <c r="BT545"/>
      <c r="BU545" s="101"/>
      <c r="BV545"/>
      <c r="BW545"/>
      <c r="BX545" s="102"/>
      <c r="BY545" s="101"/>
      <c r="BZ545" s="101"/>
      <c r="CA545" s="101"/>
      <c r="CB545" s="101"/>
      <c r="CC545" s="101"/>
    </row>
    <row r="546" spans="1:81" x14ac:dyDescent="0.25">
      <c r="A546"/>
      <c r="B546" s="101"/>
      <c r="C546"/>
      <c r="D546" s="101"/>
      <c r="E546" s="101"/>
      <c r="F546" s="101"/>
      <c r="G546" s="101"/>
      <c r="H546" s="101"/>
      <c r="I546" s="101"/>
      <c r="J546" s="101"/>
      <c r="K546" s="101"/>
      <c r="L546"/>
      <c r="M546"/>
      <c r="N546"/>
      <c r="O546"/>
      <c r="P546"/>
      <c r="Q546" s="102"/>
      <c r="R546"/>
      <c r="S546"/>
      <c r="T546"/>
      <c r="U546"/>
      <c r="V546" s="102"/>
      <c r="W546"/>
      <c r="X546" s="101"/>
      <c r="Y546"/>
      <c r="Z546" s="101"/>
      <c r="AA546" s="101"/>
      <c r="AB546" s="101"/>
      <c r="AC546" s="101"/>
      <c r="AD546" s="101"/>
      <c r="AE546"/>
      <c r="AF546" s="101"/>
      <c r="AG546"/>
      <c r="AH546"/>
      <c r="AI546" s="101"/>
      <c r="AJ546" s="101"/>
      <c r="AK546" s="106"/>
      <c r="AL546" s="106"/>
      <c r="AM546" s="106"/>
      <c r="AN546" s="106"/>
      <c r="AO546" s="106"/>
      <c r="AP546" s="105"/>
      <c r="AQ546"/>
      <c r="AR546"/>
      <c r="AS546"/>
      <c r="AT546"/>
      <c r="AU546"/>
      <c r="AV546" s="101"/>
      <c r="AW546"/>
      <c r="AX546"/>
      <c r="AY546"/>
      <c r="AZ546"/>
      <c r="BA546"/>
      <c r="BB546"/>
      <c r="BC546"/>
      <c r="BD546"/>
      <c r="BE546"/>
      <c r="BF546"/>
      <c r="BG546"/>
      <c r="BH546"/>
      <c r="BI546"/>
      <c r="BJ546"/>
      <c r="BK546"/>
      <c r="BL546"/>
      <c r="BM546" s="101"/>
      <c r="BN546"/>
      <c r="BO546" s="102"/>
      <c r="BP546"/>
      <c r="BQ546"/>
      <c r="BR546"/>
      <c r="BS546"/>
      <c r="BT546"/>
      <c r="BU546" s="101"/>
      <c r="BV546"/>
      <c r="BW546"/>
      <c r="BX546" s="102"/>
      <c r="BY546" s="101"/>
      <c r="BZ546" s="101"/>
      <c r="CA546" s="101"/>
      <c r="CB546" s="101"/>
      <c r="CC546" s="101"/>
    </row>
    <row r="547" spans="1:81" x14ac:dyDescent="0.25">
      <c r="A547"/>
      <c r="B547" s="101"/>
      <c r="C547"/>
      <c r="D547" s="101"/>
      <c r="E547" s="101"/>
      <c r="F547" s="101"/>
      <c r="G547" s="101"/>
      <c r="H547" s="101"/>
      <c r="I547" s="101"/>
      <c r="J547" s="101"/>
      <c r="K547" s="101"/>
      <c r="L547"/>
      <c r="M547"/>
      <c r="N547"/>
      <c r="O547"/>
      <c r="P547"/>
      <c r="Q547" s="102"/>
      <c r="R547"/>
      <c r="S547"/>
      <c r="T547"/>
      <c r="U547"/>
      <c r="V547" s="102"/>
      <c r="W547"/>
      <c r="X547" s="101"/>
      <c r="Y547"/>
      <c r="Z547" s="101"/>
      <c r="AA547" s="101"/>
      <c r="AB547" s="101"/>
      <c r="AC547" s="101"/>
      <c r="AD547" s="101"/>
      <c r="AE547"/>
      <c r="AF547" s="101"/>
      <c r="AG547"/>
      <c r="AH547"/>
      <c r="AI547" s="101"/>
      <c r="AJ547" s="101"/>
      <c r="AK547"/>
      <c r="AL547"/>
      <c r="AM547"/>
      <c r="AN547"/>
      <c r="AO547"/>
      <c r="AP547" s="105"/>
      <c r="AQ547"/>
      <c r="AR547"/>
      <c r="AS547"/>
      <c r="AT547"/>
      <c r="AU547"/>
      <c r="AV547" s="101"/>
      <c r="AW547"/>
      <c r="AX547"/>
      <c r="AY547"/>
      <c r="AZ547"/>
      <c r="BA547"/>
      <c r="BB547"/>
      <c r="BC547"/>
      <c r="BD547"/>
      <c r="BE547"/>
      <c r="BF547"/>
      <c r="BG547"/>
      <c r="BH547"/>
      <c r="BI547"/>
      <c r="BJ547"/>
      <c r="BK547"/>
      <c r="BL547"/>
      <c r="BM547" s="101"/>
      <c r="BN547"/>
      <c r="BO547" s="102"/>
      <c r="BP547"/>
      <c r="BQ547"/>
      <c r="BR547"/>
      <c r="BS547"/>
      <c r="BT547"/>
      <c r="BU547" s="101"/>
      <c r="BV547"/>
      <c r="BW547"/>
      <c r="BX547" s="102"/>
      <c r="BY547" s="101"/>
      <c r="BZ547" s="101"/>
      <c r="CA547" s="101"/>
      <c r="CB547" s="101"/>
      <c r="CC547" s="101"/>
    </row>
    <row r="548" spans="1:81" x14ac:dyDescent="0.25">
      <c r="A548"/>
      <c r="B548" s="101"/>
      <c r="C548"/>
      <c r="D548" s="101"/>
      <c r="E548" s="101"/>
      <c r="F548" s="101"/>
      <c r="G548" s="101"/>
      <c r="H548" s="101"/>
      <c r="I548" s="101"/>
      <c r="J548" s="101"/>
      <c r="K548" s="101"/>
      <c r="L548"/>
      <c r="M548"/>
      <c r="N548"/>
      <c r="O548"/>
      <c r="P548"/>
      <c r="Q548" s="102"/>
      <c r="R548"/>
      <c r="S548"/>
      <c r="T548"/>
      <c r="U548"/>
      <c r="V548" s="102"/>
      <c r="W548"/>
      <c r="X548" s="101"/>
      <c r="Y548"/>
      <c r="Z548" s="101"/>
      <c r="AA548" s="101"/>
      <c r="AB548" s="101"/>
      <c r="AC548" s="101"/>
      <c r="AD548" s="101"/>
      <c r="AE548"/>
      <c r="AF548" s="101"/>
      <c r="AG548"/>
      <c r="AH548"/>
      <c r="AI548" s="101"/>
      <c r="AJ548" s="101"/>
      <c r="AK548" s="105"/>
      <c r="AL548" s="105"/>
      <c r="AM548" s="105"/>
      <c r="AN548" s="105"/>
      <c r="AO548" s="105"/>
      <c r="AP548" s="106"/>
      <c r="AQ548"/>
      <c r="AR548"/>
      <c r="AS548"/>
      <c r="AT548"/>
      <c r="AU548"/>
      <c r="AV548" s="101"/>
      <c r="AW548"/>
      <c r="AX548"/>
      <c r="AY548"/>
      <c r="AZ548"/>
      <c r="BA548"/>
      <c r="BB548"/>
      <c r="BC548"/>
      <c r="BD548"/>
      <c r="BE548"/>
      <c r="BF548"/>
      <c r="BG548"/>
      <c r="BH548"/>
      <c r="BI548"/>
      <c r="BJ548"/>
      <c r="BK548"/>
      <c r="BL548"/>
      <c r="BM548" s="101"/>
      <c r="BN548"/>
      <c r="BO548" s="102"/>
      <c r="BP548"/>
      <c r="BQ548"/>
      <c r="BR548"/>
      <c r="BS548"/>
      <c r="BT548"/>
      <c r="BU548" s="101"/>
      <c r="BV548"/>
      <c r="BW548"/>
      <c r="BX548" s="102"/>
      <c r="BY548" s="101"/>
      <c r="BZ548" s="101"/>
      <c r="CA548" s="101"/>
      <c r="CB548" s="101"/>
      <c r="CC548" s="101"/>
    </row>
    <row r="549" spans="1:81" x14ac:dyDescent="0.25">
      <c r="A549"/>
      <c r="B549" s="101"/>
      <c r="C549"/>
      <c r="D549" s="101"/>
      <c r="E549" s="101"/>
      <c r="F549" s="101"/>
      <c r="G549" s="101"/>
      <c r="H549" s="101"/>
      <c r="I549" s="101"/>
      <c r="J549" s="101"/>
      <c r="K549" s="101"/>
      <c r="L549"/>
      <c r="M549"/>
      <c r="N549"/>
      <c r="O549"/>
      <c r="P549"/>
      <c r="Q549" s="102"/>
      <c r="R549"/>
      <c r="S549"/>
      <c r="T549"/>
      <c r="U549"/>
      <c r="V549" s="102"/>
      <c r="W549"/>
      <c r="X549" s="101"/>
      <c r="Y549"/>
      <c r="Z549" s="101"/>
      <c r="AA549" s="101"/>
      <c r="AB549" s="101"/>
      <c r="AC549" s="101"/>
      <c r="AD549" s="101"/>
      <c r="AE549"/>
      <c r="AF549" s="101"/>
      <c r="AG549"/>
      <c r="AH549"/>
      <c r="AI549" s="101"/>
      <c r="AJ549" s="101"/>
      <c r="AK549" s="105"/>
      <c r="AL549" s="105"/>
      <c r="AM549" s="105"/>
      <c r="AN549" s="105"/>
      <c r="AO549" s="105"/>
      <c r="AP549" s="106"/>
      <c r="AQ549"/>
      <c r="AR549"/>
      <c r="AS549"/>
      <c r="AT549"/>
      <c r="AU549"/>
      <c r="AV549" s="101"/>
      <c r="AW549"/>
      <c r="AX549"/>
      <c r="AY549"/>
      <c r="AZ549"/>
      <c r="BA549"/>
      <c r="BB549"/>
      <c r="BC549"/>
      <c r="BD549"/>
      <c r="BE549"/>
      <c r="BF549"/>
      <c r="BG549"/>
      <c r="BH549"/>
      <c r="BI549"/>
      <c r="BJ549"/>
      <c r="BK549"/>
      <c r="BL549"/>
      <c r="BM549" s="101"/>
      <c r="BN549"/>
      <c r="BO549" s="102"/>
      <c r="BP549"/>
      <c r="BQ549"/>
      <c r="BR549"/>
      <c r="BS549"/>
      <c r="BT549"/>
      <c r="BU549" s="101"/>
      <c r="BV549"/>
      <c r="BW549"/>
      <c r="BX549" s="102"/>
      <c r="BY549" s="101"/>
      <c r="BZ549" s="101"/>
      <c r="CA549" s="101"/>
      <c r="CB549" s="101"/>
      <c r="CC549" s="101"/>
    </row>
    <row r="550" spans="1:81" x14ac:dyDescent="0.25">
      <c r="A550"/>
      <c r="B550" s="101"/>
      <c r="C550"/>
      <c r="D550" s="101"/>
      <c r="E550" s="101"/>
      <c r="F550" s="101"/>
      <c r="G550" s="101"/>
      <c r="H550" s="101"/>
      <c r="I550" s="101"/>
      <c r="J550" s="101"/>
      <c r="K550" s="101"/>
      <c r="L550"/>
      <c r="M550"/>
      <c r="N550"/>
      <c r="O550"/>
      <c r="P550"/>
      <c r="Q550" s="102"/>
      <c r="R550"/>
      <c r="S550"/>
      <c r="T550"/>
      <c r="U550"/>
      <c r="V550" s="102"/>
      <c r="W550"/>
      <c r="X550" s="101"/>
      <c r="Y550"/>
      <c r="Z550" s="101"/>
      <c r="AA550" s="101"/>
      <c r="AB550" s="101"/>
      <c r="AC550" s="101"/>
      <c r="AD550" s="101"/>
      <c r="AE550"/>
      <c r="AF550" s="101"/>
      <c r="AG550"/>
      <c r="AH550"/>
      <c r="AI550" s="101"/>
      <c r="AJ550" s="101"/>
      <c r="AK550" s="106"/>
      <c r="AL550" s="106"/>
      <c r="AM550" s="106"/>
      <c r="AN550" s="106"/>
      <c r="AO550" s="106"/>
      <c r="AP550" s="105"/>
      <c r="AQ550"/>
      <c r="AR550"/>
      <c r="AS550"/>
      <c r="AT550"/>
      <c r="AU550"/>
      <c r="AV550" s="101"/>
      <c r="AW550"/>
      <c r="AX550"/>
      <c r="AY550"/>
      <c r="AZ550"/>
      <c r="BA550"/>
      <c r="BB550"/>
      <c r="BC550"/>
      <c r="BD550"/>
      <c r="BE550"/>
      <c r="BF550"/>
      <c r="BG550"/>
      <c r="BH550"/>
      <c r="BI550"/>
      <c r="BJ550"/>
      <c r="BK550"/>
      <c r="BL550"/>
      <c r="BM550" s="101"/>
      <c r="BN550"/>
      <c r="BO550" s="102"/>
      <c r="BP550"/>
      <c r="BQ550"/>
      <c r="BR550"/>
      <c r="BS550"/>
      <c r="BT550"/>
      <c r="BU550" s="101"/>
      <c r="BV550"/>
      <c r="BW550"/>
      <c r="BX550" s="102"/>
      <c r="BY550" s="101"/>
      <c r="BZ550" s="101"/>
      <c r="CA550" s="101"/>
      <c r="CB550" s="101"/>
      <c r="CC550" s="101"/>
    </row>
    <row r="551" spans="1:81" x14ac:dyDescent="0.25">
      <c r="A551"/>
      <c r="B551" s="101"/>
      <c r="C551"/>
      <c r="D551" s="101"/>
      <c r="E551" s="101"/>
      <c r="F551" s="101"/>
      <c r="G551" s="101"/>
      <c r="H551" s="101"/>
      <c r="I551" s="101"/>
      <c r="J551" s="101"/>
      <c r="K551" s="101"/>
      <c r="L551"/>
      <c r="M551"/>
      <c r="N551"/>
      <c r="O551"/>
      <c r="P551"/>
      <c r="Q551" s="102"/>
      <c r="R551"/>
      <c r="S551"/>
      <c r="T551"/>
      <c r="U551"/>
      <c r="V551" s="102"/>
      <c r="W551"/>
      <c r="X551" s="101"/>
      <c r="Y551"/>
      <c r="Z551" s="101"/>
      <c r="AA551" s="101"/>
      <c r="AB551" s="101"/>
      <c r="AC551" s="101"/>
      <c r="AD551" s="101"/>
      <c r="AE551"/>
      <c r="AF551" s="101"/>
      <c r="AG551"/>
      <c r="AH551"/>
      <c r="AI551" s="101"/>
      <c r="AJ551" s="101"/>
      <c r="AK551" s="105"/>
      <c r="AL551" s="105"/>
      <c r="AM551" s="105"/>
      <c r="AN551" s="105"/>
      <c r="AO551" s="105"/>
      <c r="AP551"/>
      <c r="AQ551"/>
      <c r="AR551"/>
      <c r="AS551"/>
      <c r="AT551"/>
      <c r="AU551"/>
      <c r="AV551" s="101"/>
      <c r="AW551"/>
      <c r="AX551"/>
      <c r="AY551"/>
      <c r="AZ551"/>
      <c r="BA551"/>
      <c r="BB551"/>
      <c r="BC551"/>
      <c r="BD551"/>
      <c r="BE551"/>
      <c r="BF551"/>
      <c r="BG551"/>
      <c r="BH551"/>
      <c r="BI551"/>
      <c r="BJ551"/>
      <c r="BK551"/>
      <c r="BL551"/>
      <c r="BM551" s="101"/>
      <c r="BN551"/>
      <c r="BO551" s="102"/>
      <c r="BP551"/>
      <c r="BQ551"/>
      <c r="BR551"/>
      <c r="BS551"/>
      <c r="BT551"/>
      <c r="BU551" s="101"/>
      <c r="BV551"/>
      <c r="BW551"/>
      <c r="BX551" s="102"/>
      <c r="BY551" s="101"/>
      <c r="BZ551" s="101"/>
      <c r="CA551" s="101"/>
      <c r="CB551" s="101"/>
      <c r="CC551" s="101"/>
    </row>
    <row r="552" spans="1:81" x14ac:dyDescent="0.25">
      <c r="A552"/>
      <c r="B552" s="101"/>
      <c r="C552"/>
      <c r="D552" s="101"/>
      <c r="E552" s="101"/>
      <c r="F552" s="101"/>
      <c r="G552" s="101"/>
      <c r="H552" s="101"/>
      <c r="I552" s="101"/>
      <c r="J552" s="101"/>
      <c r="K552" s="101"/>
      <c r="L552"/>
      <c r="M552"/>
      <c r="N552"/>
      <c r="O552"/>
      <c r="P552"/>
      <c r="Q552" s="102"/>
      <c r="R552"/>
      <c r="S552"/>
      <c r="T552"/>
      <c r="U552"/>
      <c r="V552" s="102"/>
      <c r="W552"/>
      <c r="X552" s="101"/>
      <c r="Y552"/>
      <c r="Z552" s="101"/>
      <c r="AA552" s="101"/>
      <c r="AB552" s="101"/>
      <c r="AC552" s="101"/>
      <c r="AD552" s="101"/>
      <c r="AE552"/>
      <c r="AF552" s="101"/>
      <c r="AG552"/>
      <c r="AH552"/>
      <c r="AI552" s="101"/>
      <c r="AJ552" s="101"/>
      <c r="AK552" s="101"/>
      <c r="AL552" s="101"/>
      <c r="AM552" s="101"/>
      <c r="AN552" s="101"/>
      <c r="AO552" s="101"/>
      <c r="AP552" s="105"/>
      <c r="AQ552"/>
      <c r="AR552"/>
      <c r="AS552"/>
      <c r="AT552"/>
      <c r="AU552"/>
      <c r="AV552" s="101"/>
      <c r="AW552"/>
      <c r="AX552"/>
      <c r="AY552"/>
      <c r="AZ552"/>
      <c r="BA552"/>
      <c r="BB552"/>
      <c r="BC552"/>
      <c r="BD552"/>
      <c r="BE552"/>
      <c r="BF552"/>
      <c r="BG552"/>
      <c r="BH552"/>
      <c r="BI552"/>
      <c r="BJ552"/>
      <c r="BK552"/>
      <c r="BL552"/>
      <c r="BM552" s="101"/>
      <c r="BN552"/>
      <c r="BO552" s="102"/>
      <c r="BP552"/>
      <c r="BQ552"/>
      <c r="BR552"/>
      <c r="BS552"/>
      <c r="BT552"/>
      <c r="BU552" s="101"/>
      <c r="BV552"/>
      <c r="BW552"/>
      <c r="BX552" s="102"/>
      <c r="BY552" s="101"/>
      <c r="BZ552" s="101"/>
      <c r="CA552" s="101"/>
      <c r="CB552" s="101"/>
      <c r="CC552" s="101"/>
    </row>
    <row r="553" spans="1:81" x14ac:dyDescent="0.25">
      <c r="A553"/>
      <c r="B553" s="101"/>
      <c r="C553"/>
      <c r="D553" s="101"/>
      <c r="E553" s="101"/>
      <c r="F553" s="101"/>
      <c r="G553" s="101"/>
      <c r="H553" s="101"/>
      <c r="I553" s="101"/>
      <c r="J553" s="101"/>
      <c r="K553" s="101"/>
      <c r="L553"/>
      <c r="M553"/>
      <c r="N553"/>
      <c r="O553"/>
      <c r="P553"/>
      <c r="Q553" s="102"/>
      <c r="R553"/>
      <c r="S553"/>
      <c r="T553"/>
      <c r="U553"/>
      <c r="V553" s="102"/>
      <c r="W553"/>
      <c r="X553" s="101"/>
      <c r="Y553"/>
      <c r="Z553" s="101"/>
      <c r="AA553" s="101"/>
      <c r="AB553" s="101"/>
      <c r="AC553" s="101"/>
      <c r="AD553" s="101"/>
      <c r="AE553"/>
      <c r="AF553" s="101"/>
      <c r="AG553"/>
      <c r="AH553"/>
      <c r="AI553" s="101"/>
      <c r="AJ553" s="101"/>
      <c r="AK553" s="106"/>
      <c r="AL553" s="106"/>
      <c r="AM553" s="106"/>
      <c r="AN553" s="106"/>
      <c r="AO553" s="106"/>
      <c r="AP553" s="105"/>
      <c r="AQ553"/>
      <c r="AR553"/>
      <c r="AS553"/>
      <c r="AT553"/>
      <c r="AU553"/>
      <c r="AV553" s="101"/>
      <c r="AW553"/>
      <c r="AX553"/>
      <c r="AY553"/>
      <c r="AZ553"/>
      <c r="BA553"/>
      <c r="BB553"/>
      <c r="BC553"/>
      <c r="BD553"/>
      <c r="BE553"/>
      <c r="BF553"/>
      <c r="BG553"/>
      <c r="BH553"/>
      <c r="BI553"/>
      <c r="BJ553"/>
      <c r="BK553"/>
      <c r="BL553"/>
      <c r="BM553" s="101"/>
      <c r="BN553"/>
      <c r="BO553" s="102"/>
      <c r="BP553"/>
      <c r="BQ553"/>
      <c r="BR553"/>
      <c r="BS553"/>
      <c r="BT553"/>
      <c r="BU553" s="101"/>
      <c r="BV553"/>
      <c r="BW553"/>
      <c r="BX553" s="102"/>
      <c r="BY553" s="101"/>
      <c r="BZ553" s="101"/>
      <c r="CA553" s="101"/>
      <c r="CB553" s="101"/>
      <c r="CC553" s="101"/>
    </row>
    <row r="554" spans="1:81" x14ac:dyDescent="0.25">
      <c r="A554"/>
      <c r="B554" s="101"/>
      <c r="C554"/>
      <c r="D554" s="101"/>
      <c r="E554" s="101"/>
      <c r="F554" s="101"/>
      <c r="G554" s="101"/>
      <c r="H554" s="101"/>
      <c r="I554" s="101"/>
      <c r="J554" s="101"/>
      <c r="K554" s="101"/>
      <c r="L554"/>
      <c r="M554"/>
      <c r="N554"/>
      <c r="O554"/>
      <c r="P554"/>
      <c r="Q554" s="102"/>
      <c r="R554"/>
      <c r="S554"/>
      <c r="T554"/>
      <c r="U554"/>
      <c r="V554" s="102"/>
      <c r="W554"/>
      <c r="X554" s="101"/>
      <c r="Y554"/>
      <c r="Z554" s="101"/>
      <c r="AA554" s="101"/>
      <c r="AB554" s="101"/>
      <c r="AC554" s="101"/>
      <c r="AD554" s="101"/>
      <c r="AE554"/>
      <c r="AF554" s="101"/>
      <c r="AG554"/>
      <c r="AH554"/>
      <c r="AI554" s="101"/>
      <c r="AJ554" s="101"/>
      <c r="AK554" s="106"/>
      <c r="AL554" s="106"/>
      <c r="AM554" s="106"/>
      <c r="AN554" s="106"/>
      <c r="AO554" s="106"/>
      <c r="AP554"/>
      <c r="AQ554"/>
      <c r="AR554"/>
      <c r="AS554"/>
      <c r="AT554"/>
      <c r="AU554"/>
      <c r="AV554" s="101"/>
      <c r="AW554"/>
      <c r="AX554"/>
      <c r="AY554"/>
      <c r="AZ554"/>
      <c r="BA554"/>
      <c r="BB554"/>
      <c r="BC554"/>
      <c r="BD554"/>
      <c r="BE554"/>
      <c r="BF554"/>
      <c r="BG554"/>
      <c r="BH554"/>
      <c r="BI554"/>
      <c r="BJ554"/>
      <c r="BK554"/>
      <c r="BL554"/>
      <c r="BM554" s="101"/>
      <c r="BN554"/>
      <c r="BO554" s="102"/>
      <c r="BP554"/>
      <c r="BQ554"/>
      <c r="BR554"/>
      <c r="BS554"/>
      <c r="BT554"/>
      <c r="BU554" s="101"/>
      <c r="BV554"/>
      <c r="BW554"/>
      <c r="BX554" s="102"/>
      <c r="BY554" s="101"/>
      <c r="BZ554" s="101"/>
      <c r="CA554" s="101"/>
      <c r="CB554" s="101"/>
      <c r="CC554" s="101"/>
    </row>
    <row r="555" spans="1:81" x14ac:dyDescent="0.25">
      <c r="A555"/>
      <c r="B555" s="101"/>
      <c r="C555"/>
      <c r="D555" s="101"/>
      <c r="E555" s="101"/>
      <c r="F555" s="101"/>
      <c r="G555" s="101"/>
      <c r="H555" s="101"/>
      <c r="I555" s="101"/>
      <c r="J555" s="101"/>
      <c r="K555" s="101"/>
      <c r="L555"/>
      <c r="M555"/>
      <c r="N555"/>
      <c r="O555"/>
      <c r="P555"/>
      <c r="Q555" s="102"/>
      <c r="R555"/>
      <c r="S555"/>
      <c r="T555"/>
      <c r="U555"/>
      <c r="V555" s="102"/>
      <c r="W555"/>
      <c r="X555" s="101"/>
      <c r="Y555"/>
      <c r="Z555" s="101"/>
      <c r="AA555" s="101"/>
      <c r="AB555" s="101"/>
      <c r="AC555" s="101"/>
      <c r="AD555" s="101"/>
      <c r="AE555"/>
      <c r="AF555" s="101"/>
      <c r="AG555"/>
      <c r="AH555"/>
      <c r="AI555" s="101"/>
      <c r="AJ555" s="101"/>
      <c r="AK555" s="105"/>
      <c r="AL555" s="105"/>
      <c r="AM555" s="105"/>
      <c r="AN555" s="105"/>
      <c r="AO555" s="105"/>
      <c r="AP555"/>
      <c r="AQ555"/>
      <c r="AR555"/>
      <c r="AS555"/>
      <c r="AT555"/>
      <c r="AU555"/>
      <c r="AV555" s="101"/>
      <c r="AW555"/>
      <c r="AX555"/>
      <c r="AY555"/>
      <c r="AZ555"/>
      <c r="BA555"/>
      <c r="BB555"/>
      <c r="BC555"/>
      <c r="BD555"/>
      <c r="BE555"/>
      <c r="BF555"/>
      <c r="BG555"/>
      <c r="BH555"/>
      <c r="BI555"/>
      <c r="BJ555"/>
      <c r="BK555"/>
      <c r="BL555"/>
      <c r="BM555" s="101"/>
      <c r="BN555"/>
      <c r="BO555" s="102"/>
      <c r="BP555"/>
      <c r="BQ555"/>
      <c r="BR555"/>
      <c r="BS555"/>
      <c r="BT555"/>
      <c r="BU555" s="101"/>
      <c r="BV555"/>
      <c r="BW555"/>
      <c r="BX555" s="102"/>
      <c r="BY555" s="101"/>
      <c r="BZ555" s="101"/>
      <c r="CA555" s="101"/>
      <c r="CB555" s="101"/>
      <c r="CC555" s="101"/>
    </row>
    <row r="556" spans="1:81" x14ac:dyDescent="0.25">
      <c r="A556"/>
      <c r="B556" s="101"/>
      <c r="C556"/>
      <c r="D556" s="101"/>
      <c r="E556" s="101"/>
      <c r="F556" s="101"/>
      <c r="G556" s="101"/>
      <c r="H556" s="101"/>
      <c r="I556" s="101"/>
      <c r="J556" s="101"/>
      <c r="K556" s="101"/>
      <c r="L556"/>
      <c r="M556"/>
      <c r="N556"/>
      <c r="O556"/>
      <c r="P556"/>
      <c r="Q556" s="102"/>
      <c r="R556"/>
      <c r="S556"/>
      <c r="T556"/>
      <c r="U556"/>
      <c r="V556" s="102"/>
      <c r="W556"/>
      <c r="X556" s="101"/>
      <c r="Y556"/>
      <c r="Z556" s="101"/>
      <c r="AA556" s="101"/>
      <c r="AB556" s="101"/>
      <c r="AC556" s="101"/>
      <c r="AD556" s="101"/>
      <c r="AE556"/>
      <c r="AF556" s="101"/>
      <c r="AG556"/>
      <c r="AH556"/>
      <c r="AI556" s="101"/>
      <c r="AJ556" s="101"/>
      <c r="AK556" s="106"/>
      <c r="AL556" s="106"/>
      <c r="AM556" s="106"/>
      <c r="AN556" s="106"/>
      <c r="AO556" s="106"/>
      <c r="AP556" s="105"/>
      <c r="AQ556"/>
      <c r="AR556"/>
      <c r="AS556"/>
      <c r="AT556"/>
      <c r="AU556"/>
      <c r="AV556" s="101"/>
      <c r="AW556"/>
      <c r="AX556"/>
      <c r="AY556"/>
      <c r="AZ556"/>
      <c r="BA556"/>
      <c r="BB556"/>
      <c r="BC556"/>
      <c r="BD556"/>
      <c r="BE556"/>
      <c r="BF556"/>
      <c r="BG556"/>
      <c r="BH556"/>
      <c r="BI556"/>
      <c r="BJ556"/>
      <c r="BK556"/>
      <c r="BL556"/>
      <c r="BM556" s="101"/>
      <c r="BN556"/>
      <c r="BO556" s="102"/>
      <c r="BP556"/>
      <c r="BQ556"/>
      <c r="BR556"/>
      <c r="BS556"/>
      <c r="BT556"/>
      <c r="BU556" s="101"/>
      <c r="BV556"/>
      <c r="BW556"/>
      <c r="BX556" s="102"/>
      <c r="BY556" s="101"/>
      <c r="BZ556" s="101"/>
      <c r="CA556" s="101"/>
      <c r="CB556" s="101"/>
      <c r="CC556" s="101"/>
    </row>
    <row r="557" spans="1:81" x14ac:dyDescent="0.25">
      <c r="A557"/>
      <c r="B557" s="101"/>
      <c r="C557"/>
      <c r="D557" s="101"/>
      <c r="E557" s="101"/>
      <c r="F557" s="101"/>
      <c r="G557" s="101"/>
      <c r="H557" s="101"/>
      <c r="I557" s="101"/>
      <c r="J557" s="101"/>
      <c r="K557" s="101"/>
      <c r="L557"/>
      <c r="M557"/>
      <c r="N557"/>
      <c r="O557"/>
      <c r="P557"/>
      <c r="Q557" s="102"/>
      <c r="R557"/>
      <c r="S557"/>
      <c r="T557"/>
      <c r="U557"/>
      <c r="V557" s="102"/>
      <c r="W557"/>
      <c r="X557" s="101"/>
      <c r="Y557"/>
      <c r="Z557" s="101"/>
      <c r="AA557" s="101"/>
      <c r="AB557" s="101"/>
      <c r="AC557" s="101"/>
      <c r="AD557" s="101"/>
      <c r="AE557"/>
      <c r="AF557" s="101"/>
      <c r="AG557"/>
      <c r="AH557"/>
      <c r="AI557" s="101"/>
      <c r="AJ557" s="101"/>
      <c r="AK557" s="101"/>
      <c r="AL557" s="101"/>
      <c r="AM557" s="101"/>
      <c r="AN557" s="101"/>
      <c r="AO557" s="101"/>
      <c r="AP557"/>
      <c r="AQ557"/>
      <c r="AR557"/>
      <c r="AS557"/>
      <c r="AT557"/>
      <c r="AU557"/>
      <c r="AV557" s="101"/>
      <c r="AW557"/>
      <c r="AX557"/>
      <c r="AY557"/>
      <c r="AZ557"/>
      <c r="BA557"/>
      <c r="BB557"/>
      <c r="BC557"/>
      <c r="BD557"/>
      <c r="BE557"/>
      <c r="BF557"/>
      <c r="BG557"/>
      <c r="BH557"/>
      <c r="BI557"/>
      <c r="BJ557"/>
      <c r="BK557"/>
      <c r="BL557"/>
      <c r="BM557" s="101"/>
      <c r="BN557"/>
      <c r="BO557" s="102"/>
      <c r="BP557"/>
      <c r="BQ557"/>
      <c r="BR557"/>
      <c r="BS557"/>
      <c r="BT557"/>
      <c r="BU557" s="101"/>
      <c r="BV557"/>
      <c r="BW557"/>
      <c r="BX557" s="102"/>
      <c r="BY557" s="101"/>
      <c r="BZ557" s="101"/>
      <c r="CA557" s="101"/>
      <c r="CB557" s="101"/>
      <c r="CC557" s="101"/>
    </row>
    <row r="558" spans="1:81" x14ac:dyDescent="0.25">
      <c r="A558"/>
      <c r="B558" s="101"/>
      <c r="C558"/>
      <c r="D558" s="101"/>
      <c r="E558" s="101"/>
      <c r="F558" s="101"/>
      <c r="G558" s="101"/>
      <c r="H558" s="101"/>
      <c r="I558" s="101"/>
      <c r="J558" s="101"/>
      <c r="K558" s="101"/>
      <c r="L558"/>
      <c r="M558"/>
      <c r="N558"/>
      <c r="O558"/>
      <c r="P558"/>
      <c r="Q558" s="102"/>
      <c r="R558"/>
      <c r="S558"/>
      <c r="T558"/>
      <c r="U558"/>
      <c r="V558" s="102"/>
      <c r="W558"/>
      <c r="X558" s="101"/>
      <c r="Y558"/>
      <c r="Z558" s="101"/>
      <c r="AA558" s="101"/>
      <c r="AB558" s="101"/>
      <c r="AC558" s="101"/>
      <c r="AD558" s="101"/>
      <c r="AE558"/>
      <c r="AF558" s="101"/>
      <c r="AG558"/>
      <c r="AH558"/>
      <c r="AI558" s="101"/>
      <c r="AJ558" s="101"/>
      <c r="AK558" s="101"/>
      <c r="AL558" s="101"/>
      <c r="AM558" s="101"/>
      <c r="AN558" s="101"/>
      <c r="AO558" s="101"/>
      <c r="AP558"/>
      <c r="AQ558"/>
      <c r="AR558"/>
      <c r="AS558"/>
      <c r="AT558"/>
      <c r="AU558"/>
      <c r="AV558" s="101"/>
      <c r="AW558"/>
      <c r="AX558"/>
      <c r="AY558"/>
      <c r="AZ558"/>
      <c r="BA558"/>
      <c r="BB558"/>
      <c r="BC558"/>
      <c r="BD558"/>
      <c r="BE558"/>
      <c r="BF558"/>
      <c r="BG558"/>
      <c r="BH558"/>
      <c r="BI558"/>
      <c r="BJ558"/>
      <c r="BK558"/>
      <c r="BL558"/>
      <c r="BM558" s="101"/>
      <c r="BN558"/>
      <c r="BO558" s="102"/>
      <c r="BP558"/>
      <c r="BQ558"/>
      <c r="BR558"/>
      <c r="BS558"/>
      <c r="BT558"/>
      <c r="BU558" s="101"/>
      <c r="BV558"/>
      <c r="BW558"/>
      <c r="BX558" s="102"/>
      <c r="BY558" s="101"/>
      <c r="BZ558" s="101"/>
      <c r="CA558" s="101"/>
      <c r="CB558" s="101"/>
      <c r="CC558" s="101"/>
    </row>
    <row r="559" spans="1:81" x14ac:dyDescent="0.25">
      <c r="A559"/>
      <c r="B559" s="101"/>
      <c r="C559"/>
      <c r="D559" s="101"/>
      <c r="E559" s="101"/>
      <c r="F559" s="101"/>
      <c r="G559" s="101"/>
      <c r="H559" s="101"/>
      <c r="I559" s="101"/>
      <c r="J559" s="101"/>
      <c r="K559" s="101"/>
      <c r="L559"/>
      <c r="M559"/>
      <c r="N559"/>
      <c r="O559"/>
      <c r="P559"/>
      <c r="Q559" s="102"/>
      <c r="R559"/>
      <c r="S559"/>
      <c r="T559"/>
      <c r="U559"/>
      <c r="V559" s="102"/>
      <c r="W559"/>
      <c r="X559" s="101"/>
      <c r="Y559"/>
      <c r="Z559" s="101"/>
      <c r="AA559" s="101"/>
      <c r="AB559" s="101"/>
      <c r="AC559" s="101"/>
      <c r="AD559" s="101"/>
      <c r="AE559"/>
      <c r="AF559" s="101"/>
      <c r="AG559"/>
      <c r="AH559"/>
      <c r="AI559" s="101"/>
      <c r="AJ559" s="101"/>
      <c r="AK559" s="106"/>
      <c r="AL559" s="106"/>
      <c r="AM559" s="106"/>
      <c r="AN559" s="106"/>
      <c r="AO559" s="106"/>
      <c r="AP559" s="105"/>
      <c r="AQ559"/>
      <c r="AR559"/>
      <c r="AS559"/>
      <c r="AT559"/>
      <c r="AU559"/>
      <c r="AV559" s="101"/>
      <c r="AW559"/>
      <c r="AX559"/>
      <c r="AY559"/>
      <c r="AZ559"/>
      <c r="BA559"/>
      <c r="BB559"/>
      <c r="BC559"/>
      <c r="BD559"/>
      <c r="BE559"/>
      <c r="BF559"/>
      <c r="BG559"/>
      <c r="BH559"/>
      <c r="BI559"/>
      <c r="BJ559"/>
      <c r="BK559"/>
      <c r="BL559"/>
      <c r="BM559" s="101"/>
      <c r="BN559"/>
      <c r="BO559" s="102"/>
      <c r="BP559"/>
      <c r="BQ559"/>
      <c r="BR559"/>
      <c r="BS559"/>
      <c r="BT559"/>
      <c r="BU559" s="101"/>
      <c r="BV559"/>
      <c r="BW559"/>
      <c r="BX559" s="102"/>
      <c r="BY559" s="101"/>
      <c r="BZ559" s="101"/>
      <c r="CA559" s="101"/>
      <c r="CB559" s="101"/>
      <c r="CC559" s="101"/>
    </row>
    <row r="560" spans="1:81" x14ac:dyDescent="0.25">
      <c r="A560"/>
      <c r="B560" s="101"/>
      <c r="C560"/>
      <c r="D560" s="101"/>
      <c r="E560" s="101"/>
      <c r="F560" s="101"/>
      <c r="G560" s="101"/>
      <c r="H560" s="101"/>
      <c r="I560" s="101"/>
      <c r="J560" s="101"/>
      <c r="K560" s="101"/>
      <c r="L560"/>
      <c r="M560"/>
      <c r="N560"/>
      <c r="O560"/>
      <c r="P560"/>
      <c r="Q560" s="102"/>
      <c r="R560"/>
      <c r="S560"/>
      <c r="T560"/>
      <c r="U560"/>
      <c r="V560" s="102"/>
      <c r="W560"/>
      <c r="X560" s="101"/>
      <c r="Y560"/>
      <c r="Z560" s="101"/>
      <c r="AA560" s="101"/>
      <c r="AB560" s="101"/>
      <c r="AC560" s="101"/>
      <c r="AD560" s="101"/>
      <c r="AE560"/>
      <c r="AF560" s="101"/>
      <c r="AG560"/>
      <c r="AH560"/>
      <c r="AI560" s="101"/>
      <c r="AJ560" s="101"/>
      <c r="AK560" s="106"/>
      <c r="AL560" s="106"/>
      <c r="AM560" s="106"/>
      <c r="AN560" s="106"/>
      <c r="AO560" s="106"/>
      <c r="AP560"/>
      <c r="AQ560"/>
      <c r="AR560"/>
      <c r="AS560"/>
      <c r="AT560"/>
      <c r="AU560"/>
      <c r="AV560" s="101"/>
      <c r="AW560"/>
      <c r="AX560"/>
      <c r="AY560"/>
      <c r="AZ560"/>
      <c r="BA560"/>
      <c r="BB560"/>
      <c r="BC560"/>
      <c r="BD560"/>
      <c r="BE560"/>
      <c r="BF560"/>
      <c r="BG560"/>
      <c r="BH560"/>
      <c r="BI560"/>
      <c r="BJ560"/>
      <c r="BK560"/>
      <c r="BL560"/>
      <c r="BM560" s="101"/>
      <c r="BN560"/>
      <c r="BO560" s="102"/>
      <c r="BP560"/>
      <c r="BQ560"/>
      <c r="BR560"/>
      <c r="BS560"/>
      <c r="BT560"/>
      <c r="BU560" s="101"/>
      <c r="BV560"/>
      <c r="BW560"/>
      <c r="BX560" s="102"/>
      <c r="BY560" s="101"/>
      <c r="BZ560" s="101"/>
      <c r="CA560" s="101"/>
      <c r="CB560" s="101"/>
      <c r="CC560" s="101"/>
    </row>
    <row r="561" spans="1:81" x14ac:dyDescent="0.25">
      <c r="A561"/>
      <c r="B561" s="101"/>
      <c r="C561"/>
      <c r="D561" s="101"/>
      <c r="E561" s="101"/>
      <c r="F561" s="101"/>
      <c r="G561" s="101"/>
      <c r="H561" s="101"/>
      <c r="I561" s="101"/>
      <c r="J561" s="101"/>
      <c r="K561" s="101"/>
      <c r="L561"/>
      <c r="M561"/>
      <c r="N561"/>
      <c r="O561"/>
      <c r="P561"/>
      <c r="Q561" s="102"/>
      <c r="R561"/>
      <c r="S561"/>
      <c r="T561"/>
      <c r="U561"/>
      <c r="V561" s="102"/>
      <c r="W561"/>
      <c r="X561" s="101"/>
      <c r="Y561"/>
      <c r="Z561" s="101"/>
      <c r="AA561" s="101"/>
      <c r="AB561" s="101"/>
      <c r="AC561" s="101"/>
      <c r="AD561" s="101"/>
      <c r="AE561"/>
      <c r="AF561" s="101"/>
      <c r="AG561"/>
      <c r="AH561"/>
      <c r="AI561" s="101"/>
      <c r="AJ561" s="101"/>
      <c r="AK561" s="101"/>
      <c r="AL561" s="101"/>
      <c r="AM561" s="101"/>
      <c r="AN561" s="101"/>
      <c r="AO561" s="101"/>
      <c r="AP561"/>
      <c r="AQ561"/>
      <c r="AR561"/>
      <c r="AS561"/>
      <c r="AT561"/>
      <c r="AU561"/>
      <c r="AV561" s="101"/>
      <c r="AW561"/>
      <c r="AX561"/>
      <c r="AY561"/>
      <c r="AZ561"/>
      <c r="BA561"/>
      <c r="BB561"/>
      <c r="BC561"/>
      <c r="BD561"/>
      <c r="BE561"/>
      <c r="BF561"/>
      <c r="BG561"/>
      <c r="BH561"/>
      <c r="BI561"/>
      <c r="BJ561"/>
      <c r="BK561"/>
      <c r="BL561"/>
      <c r="BM561" s="101"/>
      <c r="BN561"/>
      <c r="BO561" s="102"/>
      <c r="BP561"/>
      <c r="BQ561"/>
      <c r="BR561"/>
      <c r="BS561"/>
      <c r="BT561"/>
      <c r="BU561" s="101"/>
      <c r="BV561"/>
      <c r="BW561"/>
      <c r="BX561" s="102"/>
      <c r="BY561" s="101"/>
      <c r="BZ561" s="101"/>
      <c r="CA561" s="101"/>
      <c r="CB561" s="101"/>
      <c r="CC561" s="101"/>
    </row>
    <row r="562" spans="1:81" x14ac:dyDescent="0.25">
      <c r="A562"/>
      <c r="B562" s="101"/>
      <c r="C562"/>
      <c r="D562" s="101"/>
      <c r="E562" s="101"/>
      <c r="F562" s="101"/>
      <c r="G562" s="101"/>
      <c r="H562" s="101"/>
      <c r="I562" s="101"/>
      <c r="J562" s="101"/>
      <c r="K562" s="101"/>
      <c r="L562"/>
      <c r="M562"/>
      <c r="N562"/>
      <c r="O562"/>
      <c r="P562"/>
      <c r="Q562" s="102"/>
      <c r="R562"/>
      <c r="S562"/>
      <c r="T562"/>
      <c r="U562"/>
      <c r="V562" s="102"/>
      <c r="W562"/>
      <c r="X562" s="101"/>
      <c r="Y562"/>
      <c r="Z562" s="101"/>
      <c r="AA562" s="101"/>
      <c r="AB562" s="101"/>
      <c r="AC562" s="101"/>
      <c r="AD562" s="101"/>
      <c r="AE562"/>
      <c r="AF562" s="101"/>
      <c r="AG562"/>
      <c r="AH562"/>
      <c r="AI562" s="101"/>
      <c r="AJ562" s="101"/>
      <c r="AK562" s="106"/>
      <c r="AL562" s="106"/>
      <c r="AM562" s="106"/>
      <c r="AN562" s="106"/>
      <c r="AO562" s="106"/>
      <c r="AP562"/>
      <c r="AQ562"/>
      <c r="AR562"/>
      <c r="AS562"/>
      <c r="AT562"/>
      <c r="AU562"/>
      <c r="AV562" s="101"/>
      <c r="AW562"/>
      <c r="AX562"/>
      <c r="AY562"/>
      <c r="AZ562"/>
      <c r="BA562"/>
      <c r="BB562"/>
      <c r="BC562"/>
      <c r="BD562"/>
      <c r="BE562"/>
      <c r="BF562"/>
      <c r="BG562"/>
      <c r="BH562"/>
      <c r="BI562"/>
      <c r="BJ562"/>
      <c r="BK562"/>
      <c r="BL562"/>
      <c r="BM562" s="101"/>
      <c r="BN562"/>
      <c r="BO562" s="102"/>
      <c r="BP562"/>
      <c r="BQ562"/>
      <c r="BR562"/>
      <c r="BS562"/>
      <c r="BT562"/>
      <c r="BU562" s="101"/>
      <c r="BV562"/>
      <c r="BW562"/>
      <c r="BX562" s="102"/>
      <c r="BY562" s="101"/>
      <c r="BZ562" s="101"/>
      <c r="CA562" s="101"/>
      <c r="CB562" s="101"/>
      <c r="CC562" s="101"/>
    </row>
    <row r="563" spans="1:81" x14ac:dyDescent="0.25">
      <c r="A563"/>
      <c r="B563" s="101"/>
      <c r="C563"/>
      <c r="D563" s="101"/>
      <c r="E563" s="101"/>
      <c r="F563" s="101"/>
      <c r="G563" s="101"/>
      <c r="H563" s="101"/>
      <c r="I563" s="101"/>
      <c r="J563" s="101"/>
      <c r="K563" s="101"/>
      <c r="L563"/>
      <c r="M563"/>
      <c r="N563"/>
      <c r="O563"/>
      <c r="P563"/>
      <c r="Q563" s="102"/>
      <c r="R563"/>
      <c r="S563"/>
      <c r="T563"/>
      <c r="U563"/>
      <c r="V563" s="102"/>
      <c r="W563"/>
      <c r="X563" s="101"/>
      <c r="Y563"/>
      <c r="Z563" s="101"/>
      <c r="AA563" s="101"/>
      <c r="AB563" s="101"/>
      <c r="AC563" s="101"/>
      <c r="AD563" s="101"/>
      <c r="AE563"/>
      <c r="AF563" s="101"/>
      <c r="AG563"/>
      <c r="AH563"/>
      <c r="AI563" s="101"/>
      <c r="AJ563" s="101"/>
      <c r="AK563"/>
      <c r="AL563"/>
      <c r="AM563"/>
      <c r="AN563"/>
      <c r="AO563"/>
      <c r="AP563" s="101"/>
      <c r="AQ563"/>
      <c r="AR563"/>
      <c r="AS563"/>
      <c r="AT563"/>
      <c r="AU563"/>
      <c r="AV563" s="101"/>
      <c r="AW563"/>
      <c r="AX563"/>
      <c r="AY563"/>
      <c r="AZ563"/>
      <c r="BA563"/>
      <c r="BB563"/>
      <c r="BC563"/>
      <c r="BD563"/>
      <c r="BE563"/>
      <c r="BF563"/>
      <c r="BG563"/>
      <c r="BH563"/>
      <c r="BI563"/>
      <c r="BJ563"/>
      <c r="BK563"/>
      <c r="BL563"/>
      <c r="BM563" s="101"/>
      <c r="BN563"/>
      <c r="BO563" s="102"/>
      <c r="BP563"/>
      <c r="BQ563"/>
      <c r="BR563"/>
      <c r="BS563"/>
      <c r="BT563"/>
      <c r="BU563" s="101"/>
      <c r="BV563"/>
      <c r="BW563"/>
      <c r="BX563" s="102"/>
      <c r="BY563" s="101"/>
      <c r="BZ563" s="101"/>
      <c r="CA563" s="101"/>
      <c r="CB563" s="101"/>
      <c r="CC563" s="101"/>
    </row>
    <row r="564" spans="1:81" x14ac:dyDescent="0.25">
      <c r="A564"/>
      <c r="B564" s="101"/>
      <c r="C564"/>
      <c r="D564" s="101"/>
      <c r="E564" s="101"/>
      <c r="F564" s="101"/>
      <c r="G564" s="101"/>
      <c r="H564" s="101"/>
      <c r="I564" s="101"/>
      <c r="J564" s="101"/>
      <c r="K564" s="101"/>
      <c r="L564"/>
      <c r="M564"/>
      <c r="N564"/>
      <c r="O564"/>
      <c r="P564"/>
      <c r="Q564" s="102"/>
      <c r="R564"/>
      <c r="S564"/>
      <c r="T564"/>
      <c r="U564"/>
      <c r="V564" s="102"/>
      <c r="W564"/>
      <c r="X564" s="101"/>
      <c r="Y564"/>
      <c r="Z564" s="101"/>
      <c r="AA564" s="101"/>
      <c r="AB564" s="101"/>
      <c r="AC564" s="101"/>
      <c r="AD564" s="101"/>
      <c r="AE564"/>
      <c r="AF564" s="101"/>
      <c r="AG564"/>
      <c r="AH564"/>
      <c r="AI564" s="101"/>
      <c r="AJ564" s="101"/>
      <c r="AK564" s="105"/>
      <c r="AL564" s="105"/>
      <c r="AM564" s="105"/>
      <c r="AN564" s="105"/>
      <c r="AO564" s="105"/>
      <c r="AP564" s="106"/>
      <c r="AQ564"/>
      <c r="AR564"/>
      <c r="AS564"/>
      <c r="AT564"/>
      <c r="AU564"/>
      <c r="AV564" s="101"/>
      <c r="AW564"/>
      <c r="AX564"/>
      <c r="AY564"/>
      <c r="AZ564"/>
      <c r="BA564"/>
      <c r="BB564"/>
      <c r="BC564"/>
      <c r="BD564"/>
      <c r="BE564"/>
      <c r="BF564"/>
      <c r="BG564"/>
      <c r="BH564"/>
      <c r="BI564"/>
      <c r="BJ564"/>
      <c r="BK564"/>
      <c r="BL564"/>
      <c r="BM564" s="101"/>
      <c r="BN564"/>
      <c r="BO564" s="102"/>
      <c r="BP564"/>
      <c r="BQ564"/>
      <c r="BR564"/>
      <c r="BS564"/>
      <c r="BT564"/>
      <c r="BU564" s="101"/>
      <c r="BV564"/>
      <c r="BW564"/>
      <c r="BX564" s="102"/>
      <c r="BY564" s="101"/>
      <c r="BZ564" s="101"/>
      <c r="CA564" s="101"/>
      <c r="CB564" s="101"/>
      <c r="CC564" s="101"/>
    </row>
    <row r="565" spans="1:81" x14ac:dyDescent="0.25">
      <c r="A565"/>
      <c r="B565" s="101"/>
      <c r="C565"/>
      <c r="D565" s="101"/>
      <c r="E565" s="101"/>
      <c r="F565" s="101"/>
      <c r="G565" s="101"/>
      <c r="H565" s="101"/>
      <c r="I565" s="101"/>
      <c r="J565" s="101"/>
      <c r="K565" s="101"/>
      <c r="L565"/>
      <c r="M565"/>
      <c r="N565"/>
      <c r="O565"/>
      <c r="P565"/>
      <c r="Q565" s="102"/>
      <c r="R565"/>
      <c r="S565"/>
      <c r="T565"/>
      <c r="U565"/>
      <c r="V565" s="102"/>
      <c r="W565"/>
      <c r="X565" s="101"/>
      <c r="Y565"/>
      <c r="Z565" s="101"/>
      <c r="AA565" s="101"/>
      <c r="AB565" s="101"/>
      <c r="AC565" s="101"/>
      <c r="AD565" s="101"/>
      <c r="AE565"/>
      <c r="AF565" s="101"/>
      <c r="AG565"/>
      <c r="AH565"/>
      <c r="AI565" s="101"/>
      <c r="AJ565" s="101"/>
      <c r="AK565" s="101"/>
      <c r="AL565" s="101"/>
      <c r="AM565" s="101"/>
      <c r="AN565" s="101"/>
      <c r="AO565" s="101"/>
      <c r="AP565"/>
      <c r="AQ565"/>
      <c r="AR565"/>
      <c r="AS565"/>
      <c r="AT565"/>
      <c r="AU565"/>
      <c r="AV565" s="101"/>
      <c r="AW565"/>
      <c r="AX565"/>
      <c r="AY565"/>
      <c r="AZ565"/>
      <c r="BA565"/>
      <c r="BB565"/>
      <c r="BC565"/>
      <c r="BD565"/>
      <c r="BE565"/>
      <c r="BF565"/>
      <c r="BG565"/>
      <c r="BH565"/>
      <c r="BI565"/>
      <c r="BJ565"/>
      <c r="BK565"/>
      <c r="BL565"/>
      <c r="BM565" s="101"/>
      <c r="BN565"/>
      <c r="BO565" s="102"/>
      <c r="BP565"/>
      <c r="BQ565"/>
      <c r="BR565"/>
      <c r="BS565"/>
      <c r="BT565"/>
      <c r="BU565" s="101"/>
      <c r="BV565"/>
      <c r="BW565"/>
      <c r="BX565" s="102"/>
      <c r="BY565" s="101"/>
      <c r="BZ565" s="101"/>
      <c r="CA565" s="101"/>
      <c r="CB565" s="101"/>
      <c r="CC565" s="101"/>
    </row>
    <row r="566" spans="1:81" x14ac:dyDescent="0.25">
      <c r="A566"/>
      <c r="B566" s="101"/>
      <c r="C566"/>
      <c r="D566" s="101"/>
      <c r="E566" s="101"/>
      <c r="F566" s="101"/>
      <c r="G566" s="101"/>
      <c r="H566" s="101"/>
      <c r="I566" s="101"/>
      <c r="J566" s="101"/>
      <c r="K566" s="101"/>
      <c r="L566"/>
      <c r="M566"/>
      <c r="N566"/>
      <c r="O566"/>
      <c r="P566"/>
      <c r="Q566" s="102"/>
      <c r="R566"/>
      <c r="S566"/>
      <c r="T566"/>
      <c r="U566"/>
      <c r="V566" s="102"/>
      <c r="W566"/>
      <c r="X566" s="101"/>
      <c r="Y566"/>
      <c r="Z566" s="101"/>
      <c r="AA566" s="101"/>
      <c r="AB566" s="101"/>
      <c r="AC566" s="101"/>
      <c r="AD566" s="101"/>
      <c r="AE566"/>
      <c r="AF566" s="101"/>
      <c r="AG566"/>
      <c r="AH566"/>
      <c r="AI566" s="101"/>
      <c r="AJ566" s="101"/>
      <c r="AK566"/>
      <c r="AL566"/>
      <c r="AM566"/>
      <c r="AN566"/>
      <c r="AO566"/>
      <c r="AP566" s="106"/>
      <c r="AQ566"/>
      <c r="AR566"/>
      <c r="AS566"/>
      <c r="AT566"/>
      <c r="AU566"/>
      <c r="AV566" s="101"/>
      <c r="AW566"/>
      <c r="AX566"/>
      <c r="AY566"/>
      <c r="AZ566"/>
      <c r="BA566"/>
      <c r="BB566"/>
      <c r="BC566"/>
      <c r="BD566"/>
      <c r="BE566"/>
      <c r="BF566"/>
      <c r="BG566"/>
      <c r="BH566"/>
      <c r="BI566"/>
      <c r="BJ566"/>
      <c r="BK566"/>
      <c r="BL566"/>
      <c r="BM566" s="101"/>
      <c r="BN566"/>
      <c r="BO566" s="102"/>
      <c r="BP566"/>
      <c r="BQ566"/>
      <c r="BR566"/>
      <c r="BS566"/>
      <c r="BT566"/>
      <c r="BU566" s="101"/>
      <c r="BV566"/>
      <c r="BW566"/>
      <c r="BX566" s="102"/>
      <c r="BY566" s="101"/>
      <c r="BZ566" s="101"/>
      <c r="CA566" s="101"/>
      <c r="CB566" s="101"/>
      <c r="CC566" s="101"/>
    </row>
    <row r="567" spans="1:81" x14ac:dyDescent="0.25">
      <c r="A567"/>
      <c r="B567" s="101"/>
      <c r="C567"/>
      <c r="D567" s="101"/>
      <c r="E567" s="101"/>
      <c r="F567" s="101"/>
      <c r="G567" s="101"/>
      <c r="H567" s="101"/>
      <c r="I567" s="101"/>
      <c r="J567" s="101"/>
      <c r="K567" s="101"/>
      <c r="L567"/>
      <c r="M567"/>
      <c r="N567"/>
      <c r="O567"/>
      <c r="P567"/>
      <c r="Q567" s="102"/>
      <c r="R567"/>
      <c r="S567"/>
      <c r="T567"/>
      <c r="U567"/>
      <c r="V567" s="102"/>
      <c r="W567"/>
      <c r="X567" s="101"/>
      <c r="Y567"/>
      <c r="Z567" s="101"/>
      <c r="AA567" s="101"/>
      <c r="AB567" s="101"/>
      <c r="AC567" s="101"/>
      <c r="AD567" s="101"/>
      <c r="AE567"/>
      <c r="AF567" s="101"/>
      <c r="AG567"/>
      <c r="AH567"/>
      <c r="AI567" s="101"/>
      <c r="AJ567" s="101"/>
      <c r="AK567" s="101"/>
      <c r="AL567" s="101"/>
      <c r="AM567" s="101"/>
      <c r="AN567" s="101"/>
      <c r="AO567" s="101"/>
      <c r="AP567"/>
      <c r="AQ567"/>
      <c r="AR567"/>
      <c r="AS567"/>
      <c r="AT567"/>
      <c r="AU567"/>
      <c r="AV567" s="101"/>
      <c r="AW567"/>
      <c r="AX567"/>
      <c r="AY567"/>
      <c r="AZ567"/>
      <c r="BA567"/>
      <c r="BB567"/>
      <c r="BC567"/>
      <c r="BD567"/>
      <c r="BE567"/>
      <c r="BF567"/>
      <c r="BG567"/>
      <c r="BH567"/>
      <c r="BI567"/>
      <c r="BJ567"/>
      <c r="BK567"/>
      <c r="BL567"/>
      <c r="BM567" s="101"/>
      <c r="BN567"/>
      <c r="BO567" s="102"/>
      <c r="BP567"/>
      <c r="BQ567"/>
      <c r="BR567"/>
      <c r="BS567"/>
      <c r="BT567"/>
      <c r="BU567" s="101"/>
      <c r="BV567"/>
      <c r="BW567"/>
      <c r="BX567" s="102"/>
      <c r="BY567" s="101"/>
      <c r="BZ567" s="101"/>
      <c r="CA567" s="101"/>
      <c r="CB567" s="101"/>
      <c r="CC567" s="101"/>
    </row>
    <row r="568" spans="1:81" x14ac:dyDescent="0.25">
      <c r="A568"/>
      <c r="B568" s="101"/>
      <c r="C568"/>
      <c r="D568" s="101"/>
      <c r="E568" s="101"/>
      <c r="F568" s="101"/>
      <c r="G568" s="101"/>
      <c r="H568" s="101"/>
      <c r="I568" s="101"/>
      <c r="J568" s="101"/>
      <c r="K568" s="101"/>
      <c r="L568"/>
      <c r="M568"/>
      <c r="N568"/>
      <c r="O568"/>
      <c r="P568"/>
      <c r="Q568" s="102"/>
      <c r="R568"/>
      <c r="S568"/>
      <c r="T568"/>
      <c r="U568"/>
      <c r="V568" s="102"/>
      <c r="W568"/>
      <c r="X568" s="101"/>
      <c r="Y568"/>
      <c r="Z568" s="101"/>
      <c r="AA568" s="101"/>
      <c r="AB568" s="101"/>
      <c r="AC568" s="101"/>
      <c r="AD568" s="101"/>
      <c r="AE568"/>
      <c r="AF568" s="101"/>
      <c r="AG568"/>
      <c r="AH568"/>
      <c r="AI568" s="101"/>
      <c r="AJ568" s="101"/>
      <c r="AK568" s="105"/>
      <c r="AL568" s="105"/>
      <c r="AM568" s="105"/>
      <c r="AN568" s="105"/>
      <c r="AO568" s="105"/>
      <c r="AP568"/>
      <c r="AQ568"/>
      <c r="AR568"/>
      <c r="AS568"/>
      <c r="AT568"/>
      <c r="AU568"/>
      <c r="AV568" s="101"/>
      <c r="AW568"/>
      <c r="AX568"/>
      <c r="AY568"/>
      <c r="AZ568"/>
      <c r="BA568"/>
      <c r="BB568"/>
      <c r="BC568"/>
      <c r="BD568"/>
      <c r="BE568"/>
      <c r="BF568"/>
      <c r="BG568"/>
      <c r="BH568"/>
      <c r="BI568"/>
      <c r="BJ568"/>
      <c r="BK568"/>
      <c r="BL568"/>
      <c r="BM568" s="101"/>
      <c r="BN568"/>
      <c r="BO568" s="102"/>
      <c r="BP568"/>
      <c r="BQ568"/>
      <c r="BR568"/>
      <c r="BS568"/>
      <c r="BT568"/>
      <c r="BU568" s="101"/>
      <c r="BV568"/>
      <c r="BW568"/>
      <c r="BX568" s="102"/>
      <c r="BY568" s="101"/>
      <c r="BZ568" s="101"/>
      <c r="CA568" s="101"/>
      <c r="CB568" s="101"/>
      <c r="CC568" s="101"/>
    </row>
    <row r="569" spans="1:81" x14ac:dyDescent="0.25">
      <c r="A569"/>
      <c r="B569" s="101"/>
      <c r="C569"/>
      <c r="D569" s="101"/>
      <c r="E569" s="101"/>
      <c r="F569" s="101"/>
      <c r="G569" s="101"/>
      <c r="H569" s="101"/>
      <c r="I569" s="101"/>
      <c r="J569" s="101"/>
      <c r="K569" s="101"/>
      <c r="L569"/>
      <c r="M569"/>
      <c r="N569"/>
      <c r="O569"/>
      <c r="P569"/>
      <c r="Q569" s="102"/>
      <c r="R569"/>
      <c r="S569"/>
      <c r="T569"/>
      <c r="U569"/>
      <c r="V569" s="102"/>
      <c r="W569"/>
      <c r="X569" s="101"/>
      <c r="Y569"/>
      <c r="Z569" s="101"/>
      <c r="AA569" s="101"/>
      <c r="AB569" s="101"/>
      <c r="AC569" s="101"/>
      <c r="AD569" s="101"/>
      <c r="AE569"/>
      <c r="AF569" s="101"/>
      <c r="AG569"/>
      <c r="AH569"/>
      <c r="AI569" s="101"/>
      <c r="AJ569" s="101"/>
      <c r="AK569" s="101"/>
      <c r="AL569" s="101"/>
      <c r="AM569" s="101"/>
      <c r="AN569" s="101"/>
      <c r="AO569" s="101"/>
      <c r="AP569"/>
      <c r="AQ569"/>
      <c r="AR569"/>
      <c r="AS569"/>
      <c r="AT569"/>
      <c r="AU569"/>
      <c r="AV569" s="101"/>
      <c r="AW569"/>
      <c r="AX569"/>
      <c r="AY569"/>
      <c r="AZ569"/>
      <c r="BA569"/>
      <c r="BB569"/>
      <c r="BC569"/>
      <c r="BD569"/>
      <c r="BE569"/>
      <c r="BF569"/>
      <c r="BG569"/>
      <c r="BH569"/>
      <c r="BI569"/>
      <c r="BJ569"/>
      <c r="BK569"/>
      <c r="BL569"/>
      <c r="BM569" s="101"/>
      <c r="BN569"/>
      <c r="BO569" s="102"/>
      <c r="BP569"/>
      <c r="BQ569"/>
      <c r="BR569"/>
      <c r="BS569"/>
      <c r="BT569"/>
      <c r="BU569" s="101"/>
      <c r="BV569"/>
      <c r="BW569"/>
      <c r="BX569" s="102"/>
      <c r="BY569" s="101"/>
      <c r="BZ569" s="101"/>
      <c r="CA569" s="101"/>
      <c r="CB569" s="101"/>
      <c r="CC569" s="101"/>
    </row>
    <row r="570" spans="1:81" x14ac:dyDescent="0.25">
      <c r="A570"/>
      <c r="B570" s="101"/>
      <c r="C570"/>
      <c r="D570" s="101"/>
      <c r="E570" s="101"/>
      <c r="F570" s="101"/>
      <c r="G570" s="101"/>
      <c r="H570" s="101"/>
      <c r="I570" s="101"/>
      <c r="J570" s="101"/>
      <c r="K570" s="101"/>
      <c r="L570"/>
      <c r="M570"/>
      <c r="N570"/>
      <c r="O570"/>
      <c r="P570"/>
      <c r="Q570" s="102"/>
      <c r="R570"/>
      <c r="S570"/>
      <c r="T570"/>
      <c r="U570"/>
      <c r="V570" s="102"/>
      <c r="W570"/>
      <c r="X570" s="101"/>
      <c r="Y570"/>
      <c r="Z570" s="101"/>
      <c r="AA570" s="101"/>
      <c r="AB570" s="101"/>
      <c r="AC570" s="101"/>
      <c r="AD570" s="101"/>
      <c r="AE570"/>
      <c r="AF570" s="101"/>
      <c r="AG570"/>
      <c r="AH570"/>
      <c r="AI570" s="101"/>
      <c r="AJ570" s="101"/>
      <c r="AK570" s="101"/>
      <c r="AL570" s="101"/>
      <c r="AM570" s="101"/>
      <c r="AN570" s="101"/>
      <c r="AO570" s="101"/>
      <c r="AP570"/>
      <c r="AQ570"/>
      <c r="AR570"/>
      <c r="AS570"/>
      <c r="AT570"/>
      <c r="AU570"/>
      <c r="AV570" s="101"/>
      <c r="AW570"/>
      <c r="AX570"/>
      <c r="AY570"/>
      <c r="AZ570"/>
      <c r="BA570"/>
      <c r="BB570"/>
      <c r="BC570"/>
      <c r="BD570"/>
      <c r="BE570"/>
      <c r="BF570"/>
      <c r="BG570"/>
      <c r="BH570"/>
      <c r="BI570"/>
      <c r="BJ570"/>
      <c r="BK570"/>
      <c r="BL570"/>
      <c r="BM570" s="101"/>
      <c r="BN570"/>
      <c r="BO570" s="102"/>
      <c r="BP570"/>
      <c r="BQ570"/>
      <c r="BR570"/>
      <c r="BS570"/>
      <c r="BT570"/>
      <c r="BU570" s="101"/>
      <c r="BV570"/>
      <c r="BW570"/>
      <c r="BX570" s="102"/>
      <c r="BY570" s="101"/>
      <c r="BZ570" s="101"/>
      <c r="CA570" s="101"/>
      <c r="CB570" s="101"/>
      <c r="CC570" s="101"/>
    </row>
    <row r="571" spans="1:81" x14ac:dyDescent="0.25">
      <c r="A571"/>
      <c r="B571" s="101"/>
      <c r="C571"/>
      <c r="D571" s="101"/>
      <c r="E571" s="101"/>
      <c r="F571" s="101"/>
      <c r="G571" s="101"/>
      <c r="H571" s="101"/>
      <c r="I571" s="101"/>
      <c r="J571" s="101"/>
      <c r="K571" s="101"/>
      <c r="L571"/>
      <c r="M571"/>
      <c r="N571"/>
      <c r="O571"/>
      <c r="P571"/>
      <c r="Q571" s="102"/>
      <c r="R571"/>
      <c r="S571"/>
      <c r="T571"/>
      <c r="U571"/>
      <c r="V571" s="102"/>
      <c r="W571"/>
      <c r="X571" s="101"/>
      <c r="Y571"/>
      <c r="Z571" s="101"/>
      <c r="AA571" s="101"/>
      <c r="AB571" s="101"/>
      <c r="AC571" s="101"/>
      <c r="AD571" s="101"/>
      <c r="AE571"/>
      <c r="AF571" s="101"/>
      <c r="AG571"/>
      <c r="AH571"/>
      <c r="AI571" s="101"/>
      <c r="AJ571" s="101"/>
      <c r="AK571" s="105"/>
      <c r="AL571" s="105"/>
      <c r="AM571" s="105"/>
      <c r="AN571" s="105"/>
      <c r="AO571" s="105"/>
      <c r="AP571" s="106"/>
      <c r="AQ571"/>
      <c r="AR571"/>
      <c r="AS571"/>
      <c r="AT571"/>
      <c r="AU571"/>
      <c r="AV571" s="101"/>
      <c r="AW571"/>
      <c r="AX571"/>
      <c r="AY571"/>
      <c r="AZ571"/>
      <c r="BA571"/>
      <c r="BB571"/>
      <c r="BC571"/>
      <c r="BD571"/>
      <c r="BE571"/>
      <c r="BF571"/>
      <c r="BG571"/>
      <c r="BH571"/>
      <c r="BI571"/>
      <c r="BJ571"/>
      <c r="BK571"/>
      <c r="BL571"/>
      <c r="BM571" s="101"/>
      <c r="BN571"/>
      <c r="BO571" s="102"/>
      <c r="BP571"/>
      <c r="BQ571"/>
      <c r="BR571"/>
      <c r="BS571"/>
      <c r="BT571"/>
      <c r="BU571" s="101"/>
      <c r="BV571"/>
      <c r="BW571"/>
      <c r="BX571" s="102"/>
      <c r="BY571" s="101"/>
      <c r="BZ571" s="101"/>
      <c r="CA571" s="101"/>
      <c r="CB571" s="101"/>
      <c r="CC571" s="101"/>
    </row>
    <row r="572" spans="1:81" x14ac:dyDescent="0.25">
      <c r="A572"/>
      <c r="B572" s="101"/>
      <c r="C572"/>
      <c r="D572" s="101"/>
      <c r="E572" s="101"/>
      <c r="F572" s="101"/>
      <c r="G572" s="101"/>
      <c r="H572" s="101"/>
      <c r="I572" s="101"/>
      <c r="J572" s="101"/>
      <c r="K572" s="101"/>
      <c r="L572"/>
      <c r="M572"/>
      <c r="N572"/>
      <c r="O572"/>
      <c r="P572"/>
      <c r="Q572" s="102"/>
      <c r="R572"/>
      <c r="S572"/>
      <c r="T572"/>
      <c r="U572"/>
      <c r="V572" s="102"/>
      <c r="W572"/>
      <c r="X572" s="101"/>
      <c r="Y572"/>
      <c r="Z572" s="101"/>
      <c r="AA572" s="101"/>
      <c r="AB572" s="101"/>
      <c r="AC572" s="101"/>
      <c r="AD572" s="101"/>
      <c r="AE572"/>
      <c r="AF572" s="101"/>
      <c r="AG572"/>
      <c r="AH572"/>
      <c r="AI572" s="101"/>
      <c r="AJ572" s="101"/>
      <c r="AK572" s="106"/>
      <c r="AL572" s="106"/>
      <c r="AM572" s="106"/>
      <c r="AN572" s="106"/>
      <c r="AO572" s="106"/>
      <c r="AP572" s="105"/>
      <c r="AQ572"/>
      <c r="AR572"/>
      <c r="AS572"/>
      <c r="AT572"/>
      <c r="AU572"/>
      <c r="AV572" s="101"/>
      <c r="AW572"/>
      <c r="AX572"/>
      <c r="AY572"/>
      <c r="AZ572"/>
      <c r="BA572"/>
      <c r="BB572"/>
      <c r="BC572"/>
      <c r="BD572"/>
      <c r="BE572"/>
      <c r="BF572"/>
      <c r="BG572"/>
      <c r="BH572"/>
      <c r="BI572"/>
      <c r="BJ572"/>
      <c r="BK572"/>
      <c r="BL572"/>
      <c r="BM572" s="101"/>
      <c r="BN572"/>
      <c r="BO572" s="102"/>
      <c r="BP572"/>
      <c r="BQ572"/>
      <c r="BR572"/>
      <c r="BS572"/>
      <c r="BT572"/>
      <c r="BU572" s="101"/>
      <c r="BV572"/>
      <c r="BW572"/>
      <c r="BX572" s="102"/>
      <c r="BY572" s="101"/>
      <c r="BZ572" s="101"/>
      <c r="CA572" s="101"/>
      <c r="CB572" s="101"/>
      <c r="CC572" s="101"/>
    </row>
    <row r="573" spans="1:81" x14ac:dyDescent="0.25">
      <c r="A573"/>
      <c r="B573" s="101"/>
      <c r="C573"/>
      <c r="D573" s="101"/>
      <c r="E573" s="101"/>
      <c r="F573" s="101"/>
      <c r="G573" s="101"/>
      <c r="H573" s="101"/>
      <c r="I573" s="101"/>
      <c r="J573" s="101"/>
      <c r="K573" s="101"/>
      <c r="L573"/>
      <c r="M573"/>
      <c r="N573"/>
      <c r="O573"/>
      <c r="P573"/>
      <c r="Q573" s="102"/>
      <c r="R573"/>
      <c r="S573"/>
      <c r="T573"/>
      <c r="U573"/>
      <c r="V573" s="102"/>
      <c r="W573"/>
      <c r="X573" s="101"/>
      <c r="Y573"/>
      <c r="Z573" s="101"/>
      <c r="AA573" s="101"/>
      <c r="AB573" s="101"/>
      <c r="AC573" s="101"/>
      <c r="AD573" s="101"/>
      <c r="AE573"/>
      <c r="AF573" s="101"/>
      <c r="AG573"/>
      <c r="AH573"/>
      <c r="AI573" s="101"/>
      <c r="AJ573" s="101"/>
      <c r="AK573" s="106"/>
      <c r="AL573" s="106"/>
      <c r="AM573" s="106"/>
      <c r="AN573" s="106"/>
      <c r="AO573" s="106"/>
      <c r="AP573" s="101"/>
      <c r="AQ573"/>
      <c r="AR573"/>
      <c r="AS573"/>
      <c r="AT573"/>
      <c r="AU573"/>
      <c r="AV573" s="101"/>
      <c r="AW573"/>
      <c r="AX573"/>
      <c r="AY573"/>
      <c r="AZ573"/>
      <c r="BA573"/>
      <c r="BB573"/>
      <c r="BC573"/>
      <c r="BD573"/>
      <c r="BE573"/>
      <c r="BF573"/>
      <c r="BG573"/>
      <c r="BH573"/>
      <c r="BI573"/>
      <c r="BJ573"/>
      <c r="BK573"/>
      <c r="BL573"/>
      <c r="BM573" s="101"/>
      <c r="BN573"/>
      <c r="BO573" s="102"/>
      <c r="BP573"/>
      <c r="BQ573"/>
      <c r="BR573"/>
      <c r="BS573"/>
      <c r="BT573"/>
      <c r="BU573" s="101"/>
      <c r="BV573"/>
      <c r="BW573"/>
      <c r="BX573" s="102"/>
      <c r="BY573" s="101"/>
      <c r="BZ573" s="101"/>
      <c r="CA573" s="101"/>
      <c r="CB573" s="101"/>
      <c r="CC573" s="101"/>
    </row>
    <row r="574" spans="1:81" x14ac:dyDescent="0.25">
      <c r="A574"/>
      <c r="B574" s="101"/>
      <c r="C574"/>
      <c r="D574" s="101"/>
      <c r="E574" s="101"/>
      <c r="F574" s="101"/>
      <c r="G574" s="101"/>
      <c r="H574" s="101"/>
      <c r="I574" s="101"/>
      <c r="J574" s="101"/>
      <c r="K574" s="101"/>
      <c r="L574"/>
      <c r="M574"/>
      <c r="N574"/>
      <c r="O574"/>
      <c r="P574"/>
      <c r="Q574" s="102"/>
      <c r="R574"/>
      <c r="S574"/>
      <c r="T574"/>
      <c r="U574"/>
      <c r="V574" s="102"/>
      <c r="W574"/>
      <c r="X574" s="101"/>
      <c r="Y574"/>
      <c r="Z574" s="101"/>
      <c r="AA574" s="101"/>
      <c r="AB574" s="101"/>
      <c r="AC574" s="101"/>
      <c r="AD574" s="101"/>
      <c r="AE574"/>
      <c r="AF574" s="101"/>
      <c r="AG574"/>
      <c r="AH574"/>
      <c r="AI574" s="101"/>
      <c r="AJ574" s="101"/>
      <c r="AK574" s="101"/>
      <c r="AL574" s="101"/>
      <c r="AM574" s="101"/>
      <c r="AN574" s="101"/>
      <c r="AO574" s="101"/>
      <c r="AP574"/>
      <c r="AQ574"/>
      <c r="AR574"/>
      <c r="AS574"/>
      <c r="AT574"/>
      <c r="AU574"/>
      <c r="AV574" s="101"/>
      <c r="AW574"/>
      <c r="AX574"/>
      <c r="AY574"/>
      <c r="AZ574"/>
      <c r="BA574"/>
      <c r="BB574"/>
      <c r="BC574"/>
      <c r="BD574"/>
      <c r="BE574"/>
      <c r="BF574"/>
      <c r="BG574"/>
      <c r="BH574"/>
      <c r="BI574"/>
      <c r="BJ574"/>
      <c r="BK574"/>
      <c r="BL574"/>
      <c r="BM574" s="101"/>
      <c r="BN574"/>
      <c r="BO574" s="102"/>
      <c r="BP574"/>
      <c r="BQ574"/>
      <c r="BR574"/>
      <c r="BS574"/>
      <c r="BT574"/>
      <c r="BU574" s="101"/>
      <c r="BV574"/>
      <c r="BW574"/>
      <c r="BX574" s="102"/>
      <c r="BY574" s="101"/>
      <c r="BZ574" s="101"/>
      <c r="CA574" s="101"/>
      <c r="CB574" s="101"/>
      <c r="CC574" s="101"/>
    </row>
    <row r="575" spans="1:81" x14ac:dyDescent="0.25">
      <c r="A575"/>
      <c r="B575" s="101"/>
      <c r="C575"/>
      <c r="D575" s="101"/>
      <c r="E575" s="101"/>
      <c r="F575" s="101"/>
      <c r="G575" s="101"/>
      <c r="H575" s="101"/>
      <c r="I575" s="101"/>
      <c r="J575" s="101"/>
      <c r="K575" s="101"/>
      <c r="L575"/>
      <c r="M575"/>
      <c r="N575"/>
      <c r="O575"/>
      <c r="P575"/>
      <c r="Q575" s="102"/>
      <c r="R575"/>
      <c r="S575"/>
      <c r="T575"/>
      <c r="U575"/>
      <c r="V575" s="102"/>
      <c r="W575"/>
      <c r="X575" s="101"/>
      <c r="Y575"/>
      <c r="Z575" s="101"/>
      <c r="AA575" s="101"/>
      <c r="AB575" s="101"/>
      <c r="AC575" s="101"/>
      <c r="AD575" s="101"/>
      <c r="AE575"/>
      <c r="AF575" s="101"/>
      <c r="AG575"/>
      <c r="AH575"/>
      <c r="AI575" s="101"/>
      <c r="AJ575" s="101"/>
      <c r="AK575" s="105"/>
      <c r="AL575" s="105"/>
      <c r="AM575" s="105"/>
      <c r="AN575" s="105"/>
      <c r="AO575" s="105"/>
      <c r="AP575"/>
      <c r="AQ575"/>
      <c r="AR575"/>
      <c r="AS575"/>
      <c r="AT575"/>
      <c r="AU575"/>
      <c r="AV575" s="101"/>
      <c r="AW575"/>
      <c r="AX575"/>
      <c r="AY575"/>
      <c r="AZ575"/>
      <c r="BA575"/>
      <c r="BB575"/>
      <c r="BC575"/>
      <c r="BD575"/>
      <c r="BE575"/>
      <c r="BF575"/>
      <c r="BG575"/>
      <c r="BH575"/>
      <c r="BI575"/>
      <c r="BJ575"/>
      <c r="BK575"/>
      <c r="BL575"/>
      <c r="BM575" s="101"/>
      <c r="BN575"/>
      <c r="BO575" s="102"/>
      <c r="BP575"/>
      <c r="BQ575"/>
      <c r="BR575"/>
      <c r="BS575"/>
      <c r="BT575"/>
      <c r="BU575" s="101"/>
      <c r="BV575"/>
      <c r="BW575"/>
      <c r="BX575" s="102"/>
      <c r="BY575" s="101"/>
      <c r="BZ575" s="101"/>
      <c r="CA575" s="101"/>
      <c r="CB575" s="101"/>
      <c r="CC575" s="101"/>
    </row>
    <row r="576" spans="1:81" x14ac:dyDescent="0.25">
      <c r="A576"/>
      <c r="B576" s="101"/>
      <c r="C576"/>
      <c r="D576" s="101"/>
      <c r="E576" s="101"/>
      <c r="F576" s="101"/>
      <c r="G576" s="101"/>
      <c r="H576" s="101"/>
      <c r="I576" s="101"/>
      <c r="J576" s="101"/>
      <c r="K576" s="101"/>
      <c r="L576"/>
      <c r="M576"/>
      <c r="N576"/>
      <c r="O576"/>
      <c r="P576"/>
      <c r="Q576" s="102"/>
      <c r="R576"/>
      <c r="S576"/>
      <c r="T576"/>
      <c r="U576"/>
      <c r="V576" s="102"/>
      <c r="W576"/>
      <c r="X576" s="101"/>
      <c r="Y576"/>
      <c r="Z576" s="101"/>
      <c r="AA576" s="101"/>
      <c r="AB576" s="101"/>
      <c r="AC576" s="101"/>
      <c r="AD576" s="101"/>
      <c r="AE576"/>
      <c r="AF576" s="101"/>
      <c r="AG576"/>
      <c r="AH576"/>
      <c r="AI576" s="101"/>
      <c r="AJ576" s="101"/>
      <c r="AK576" s="106"/>
      <c r="AL576" s="106"/>
      <c r="AM576" s="106"/>
      <c r="AN576" s="106"/>
      <c r="AO576" s="106"/>
      <c r="AP576" s="105"/>
      <c r="AQ576"/>
      <c r="AR576"/>
      <c r="AS576"/>
      <c r="AT576"/>
      <c r="AU576"/>
      <c r="AV576" s="101"/>
      <c r="AW576"/>
      <c r="AX576"/>
      <c r="AY576"/>
      <c r="AZ576"/>
      <c r="BA576"/>
      <c r="BB576"/>
      <c r="BC576"/>
      <c r="BD576"/>
      <c r="BE576"/>
      <c r="BF576"/>
      <c r="BG576"/>
      <c r="BH576"/>
      <c r="BI576"/>
      <c r="BJ576"/>
      <c r="BK576"/>
      <c r="BL576"/>
      <c r="BM576" s="101"/>
      <c r="BN576"/>
      <c r="BO576" s="102"/>
      <c r="BP576"/>
      <c r="BQ576"/>
      <c r="BR576"/>
      <c r="BS576"/>
      <c r="BT576"/>
      <c r="BU576" s="101"/>
      <c r="BV576"/>
      <c r="BW576"/>
      <c r="BX576" s="102"/>
      <c r="BY576" s="101"/>
      <c r="BZ576" s="101"/>
      <c r="CA576" s="101"/>
      <c r="CB576" s="101"/>
      <c r="CC576" s="101"/>
    </row>
    <row r="577" spans="1:81" x14ac:dyDescent="0.25">
      <c r="A577"/>
      <c r="B577" s="101"/>
      <c r="C577"/>
      <c r="D577" s="101"/>
      <c r="E577" s="101"/>
      <c r="F577" s="101"/>
      <c r="G577" s="101"/>
      <c r="H577" s="101"/>
      <c r="I577" s="101"/>
      <c r="J577" s="101"/>
      <c r="K577" s="101"/>
      <c r="L577"/>
      <c r="M577"/>
      <c r="N577"/>
      <c r="O577"/>
      <c r="P577"/>
      <c r="Q577" s="102"/>
      <c r="R577"/>
      <c r="S577"/>
      <c r="T577"/>
      <c r="U577"/>
      <c r="V577" s="102"/>
      <c r="W577"/>
      <c r="X577" s="101"/>
      <c r="Y577"/>
      <c r="Z577" s="101"/>
      <c r="AA577" s="101"/>
      <c r="AB577" s="101"/>
      <c r="AC577" s="101"/>
      <c r="AD577" s="101"/>
      <c r="AE577"/>
      <c r="AF577" s="101"/>
      <c r="AG577"/>
      <c r="AH577"/>
      <c r="AI577" s="101"/>
      <c r="AJ577" s="101"/>
      <c r="AK577" s="105"/>
      <c r="AL577" s="105"/>
      <c r="AM577" s="105"/>
      <c r="AN577" s="105"/>
      <c r="AO577" s="105"/>
      <c r="AP577"/>
      <c r="AQ577"/>
      <c r="AR577"/>
      <c r="AS577"/>
      <c r="AT577"/>
      <c r="AU577"/>
      <c r="AV577" s="101"/>
      <c r="AW577"/>
      <c r="AX577"/>
      <c r="AY577"/>
      <c r="AZ577"/>
      <c r="BA577"/>
      <c r="BB577"/>
      <c r="BC577"/>
      <c r="BD577"/>
      <c r="BE577"/>
      <c r="BF577"/>
      <c r="BG577"/>
      <c r="BH577"/>
      <c r="BI577"/>
      <c r="BJ577"/>
      <c r="BK577"/>
      <c r="BL577"/>
      <c r="BM577" s="101"/>
      <c r="BN577"/>
      <c r="BO577" s="102"/>
      <c r="BP577"/>
      <c r="BQ577"/>
      <c r="BR577"/>
      <c r="BS577"/>
      <c r="BT577"/>
      <c r="BU577" s="101"/>
      <c r="BV577"/>
      <c r="BW577"/>
      <c r="BX577" s="102"/>
      <c r="BY577" s="101"/>
      <c r="BZ577" s="101"/>
      <c r="CA577" s="101"/>
      <c r="CB577" s="101"/>
      <c r="CC577" s="101"/>
    </row>
    <row r="578" spans="1:81" x14ac:dyDescent="0.25">
      <c r="A578"/>
      <c r="B578" s="101"/>
      <c r="C578"/>
      <c r="D578" s="101"/>
      <c r="E578" s="101"/>
      <c r="F578" s="101"/>
      <c r="G578" s="101"/>
      <c r="H578" s="101"/>
      <c r="I578" s="101"/>
      <c r="J578" s="101"/>
      <c r="K578" s="101"/>
      <c r="L578"/>
      <c r="M578"/>
      <c r="N578"/>
      <c r="O578"/>
      <c r="P578"/>
      <c r="Q578" s="102"/>
      <c r="R578"/>
      <c r="S578"/>
      <c r="T578"/>
      <c r="U578"/>
      <c r="V578" s="102"/>
      <c r="W578"/>
      <c r="X578" s="101"/>
      <c r="Y578"/>
      <c r="Z578" s="101"/>
      <c r="AA578" s="101"/>
      <c r="AB578" s="101"/>
      <c r="AC578" s="101"/>
      <c r="AD578" s="101"/>
      <c r="AE578"/>
      <c r="AF578" s="101"/>
      <c r="AG578"/>
      <c r="AH578"/>
      <c r="AI578" s="101"/>
      <c r="AJ578" s="101"/>
      <c r="AK578" s="101"/>
      <c r="AL578" s="101"/>
      <c r="AM578" s="101"/>
      <c r="AN578" s="101"/>
      <c r="AO578" s="101"/>
      <c r="AP578" s="105"/>
      <c r="AQ578"/>
      <c r="AR578"/>
      <c r="AS578"/>
      <c r="AT578"/>
      <c r="AU578"/>
      <c r="AV578" s="101"/>
      <c r="AW578"/>
      <c r="AX578"/>
      <c r="AY578"/>
      <c r="AZ578"/>
      <c r="BA578"/>
      <c r="BB578"/>
      <c r="BC578"/>
      <c r="BD578"/>
      <c r="BE578"/>
      <c r="BF578"/>
      <c r="BG578"/>
      <c r="BH578"/>
      <c r="BI578"/>
      <c r="BJ578"/>
      <c r="BK578"/>
      <c r="BL578"/>
      <c r="BM578" s="101"/>
      <c r="BN578"/>
      <c r="BO578" s="102"/>
      <c r="BP578"/>
      <c r="BQ578"/>
      <c r="BR578"/>
      <c r="BS578"/>
      <c r="BT578"/>
      <c r="BU578" s="101"/>
      <c r="BV578"/>
      <c r="BW578"/>
      <c r="BX578" s="102"/>
      <c r="BY578" s="101"/>
      <c r="BZ578" s="101"/>
      <c r="CA578" s="101"/>
      <c r="CB578" s="101"/>
      <c r="CC578" s="101"/>
    </row>
    <row r="579" spans="1:81" x14ac:dyDescent="0.25">
      <c r="A579"/>
      <c r="B579" s="101"/>
      <c r="C579"/>
      <c r="D579" s="101"/>
      <c r="E579" s="101"/>
      <c r="F579" s="101"/>
      <c r="G579" s="101"/>
      <c r="H579" s="101"/>
      <c r="I579" s="101"/>
      <c r="J579" s="101"/>
      <c r="K579" s="101"/>
      <c r="L579"/>
      <c r="M579"/>
      <c r="N579"/>
      <c r="O579"/>
      <c r="P579"/>
      <c r="Q579" s="102"/>
      <c r="R579"/>
      <c r="S579"/>
      <c r="T579"/>
      <c r="U579"/>
      <c r="V579" s="102"/>
      <c r="W579"/>
      <c r="X579" s="101"/>
      <c r="Y579"/>
      <c r="Z579" s="101"/>
      <c r="AA579" s="101"/>
      <c r="AB579" s="101"/>
      <c r="AC579" s="101"/>
      <c r="AD579" s="101"/>
      <c r="AE579"/>
      <c r="AF579" s="101"/>
      <c r="AG579"/>
      <c r="AH579"/>
      <c r="AI579" s="101"/>
      <c r="AJ579" s="101"/>
      <c r="AK579" s="105"/>
      <c r="AL579" s="105"/>
      <c r="AM579" s="105"/>
      <c r="AN579" s="105"/>
      <c r="AO579" s="105"/>
      <c r="AP579" s="106"/>
      <c r="AQ579"/>
      <c r="AR579"/>
      <c r="AS579"/>
      <c r="AT579"/>
      <c r="AU579"/>
      <c r="AV579" s="101"/>
      <c r="AW579"/>
      <c r="AX579"/>
      <c r="AY579"/>
      <c r="AZ579"/>
      <c r="BA579"/>
      <c r="BB579"/>
      <c r="BC579"/>
      <c r="BD579"/>
      <c r="BE579"/>
      <c r="BF579"/>
      <c r="BG579"/>
      <c r="BH579"/>
      <c r="BI579"/>
      <c r="BJ579"/>
      <c r="BK579"/>
      <c r="BL579"/>
      <c r="BM579" s="101"/>
      <c r="BN579"/>
      <c r="BO579" s="102"/>
      <c r="BP579"/>
      <c r="BQ579"/>
      <c r="BR579"/>
      <c r="BS579"/>
      <c r="BT579"/>
      <c r="BU579" s="101"/>
      <c r="BV579"/>
      <c r="BW579"/>
      <c r="BX579" s="102"/>
      <c r="BY579" s="101"/>
      <c r="BZ579" s="101"/>
      <c r="CA579" s="101"/>
      <c r="CB579" s="101"/>
      <c r="CC579" s="101"/>
    </row>
    <row r="580" spans="1:81" x14ac:dyDescent="0.25">
      <c r="A580"/>
      <c r="B580" s="101"/>
      <c r="C580"/>
      <c r="D580" s="101"/>
      <c r="E580" s="101"/>
      <c r="F580" s="101"/>
      <c r="G580" s="101"/>
      <c r="H580" s="101"/>
      <c r="I580" s="101"/>
      <c r="J580" s="101"/>
      <c r="K580" s="101"/>
      <c r="L580"/>
      <c r="M580"/>
      <c r="N580"/>
      <c r="O580"/>
      <c r="P580"/>
      <c r="Q580" s="102"/>
      <c r="R580"/>
      <c r="S580"/>
      <c r="T580"/>
      <c r="U580"/>
      <c r="V580" s="102"/>
      <c r="W580"/>
      <c r="X580" s="101"/>
      <c r="Y580"/>
      <c r="Z580" s="101"/>
      <c r="AA580" s="101"/>
      <c r="AB580" s="101"/>
      <c r="AC580" s="101"/>
      <c r="AD580" s="101"/>
      <c r="AE580"/>
      <c r="AF580" s="101"/>
      <c r="AG580"/>
      <c r="AH580"/>
      <c r="AI580" s="101"/>
      <c r="AJ580" s="101"/>
      <c r="AK580" s="101"/>
      <c r="AL580" s="101"/>
      <c r="AM580" s="101"/>
      <c r="AN580" s="101"/>
      <c r="AO580" s="101"/>
      <c r="AP580"/>
      <c r="AQ580"/>
      <c r="AR580"/>
      <c r="AS580"/>
      <c r="AT580"/>
      <c r="AU580"/>
      <c r="AV580" s="101"/>
      <c r="AW580"/>
      <c r="AX580"/>
      <c r="AY580"/>
      <c r="AZ580"/>
      <c r="BA580"/>
      <c r="BB580"/>
      <c r="BC580"/>
      <c r="BD580"/>
      <c r="BE580"/>
      <c r="BF580"/>
      <c r="BG580"/>
      <c r="BH580"/>
      <c r="BI580"/>
      <c r="BJ580"/>
      <c r="BK580"/>
      <c r="BL580"/>
      <c r="BM580" s="101"/>
      <c r="BN580"/>
      <c r="BO580" s="102"/>
      <c r="BP580"/>
      <c r="BQ580"/>
      <c r="BR580"/>
      <c r="BS580"/>
      <c r="BT580"/>
      <c r="BU580" s="101"/>
      <c r="BV580"/>
      <c r="BW580"/>
      <c r="BX580" s="102"/>
      <c r="BY580" s="101"/>
      <c r="BZ580" s="101"/>
      <c r="CA580" s="101"/>
      <c r="CB580" s="101"/>
      <c r="CC580" s="101"/>
    </row>
    <row r="581" spans="1:81" x14ac:dyDescent="0.25">
      <c r="A581"/>
      <c r="B581" s="101"/>
      <c r="C581"/>
      <c r="D581" s="101"/>
      <c r="E581" s="101"/>
      <c r="F581" s="101"/>
      <c r="G581" s="101"/>
      <c r="H581" s="101"/>
      <c r="I581" s="101"/>
      <c r="J581" s="101"/>
      <c r="K581" s="101"/>
      <c r="L581"/>
      <c r="M581"/>
      <c r="N581"/>
      <c r="O581"/>
      <c r="P581"/>
      <c r="Q581" s="102"/>
      <c r="R581"/>
      <c r="S581"/>
      <c r="T581"/>
      <c r="U581"/>
      <c r="V581" s="102"/>
      <c r="W581"/>
      <c r="X581" s="101"/>
      <c r="Y581"/>
      <c r="Z581" s="101"/>
      <c r="AA581" s="101"/>
      <c r="AB581" s="101"/>
      <c r="AC581" s="101"/>
      <c r="AD581" s="101"/>
      <c r="AE581"/>
      <c r="AF581" s="101"/>
      <c r="AG581"/>
      <c r="AH581"/>
      <c r="AI581" s="101"/>
      <c r="AJ581" s="101"/>
      <c r="AK581"/>
      <c r="AL581"/>
      <c r="AM581"/>
      <c r="AN581"/>
      <c r="AO581"/>
      <c r="AP581" s="101"/>
      <c r="AQ581"/>
      <c r="AR581"/>
      <c r="AS581"/>
      <c r="AT581"/>
      <c r="AU581"/>
      <c r="AV581" s="101"/>
      <c r="AW581"/>
      <c r="AX581"/>
      <c r="AY581"/>
      <c r="AZ581"/>
      <c r="BA581"/>
      <c r="BB581"/>
      <c r="BC581"/>
      <c r="BD581"/>
      <c r="BE581"/>
      <c r="BF581"/>
      <c r="BG581"/>
      <c r="BH581"/>
      <c r="BI581"/>
      <c r="BJ581"/>
      <c r="BK581"/>
      <c r="BL581"/>
      <c r="BM581" s="101"/>
      <c r="BN581"/>
      <c r="BO581" s="102"/>
      <c r="BP581"/>
      <c r="BQ581"/>
      <c r="BR581"/>
      <c r="BS581"/>
      <c r="BT581"/>
      <c r="BU581" s="101"/>
      <c r="BV581"/>
      <c r="BW581"/>
      <c r="BX581" s="102"/>
      <c r="BY581" s="101"/>
      <c r="BZ581" s="101"/>
      <c r="CA581" s="101"/>
      <c r="CB581" s="101"/>
      <c r="CC581" s="101"/>
    </row>
    <row r="582" spans="1:81" x14ac:dyDescent="0.25">
      <c r="A582"/>
      <c r="B582" s="101"/>
      <c r="C582"/>
      <c r="D582" s="101"/>
      <c r="E582" s="101"/>
      <c r="F582" s="101"/>
      <c r="G582" s="101"/>
      <c r="H582" s="101"/>
      <c r="I582" s="101"/>
      <c r="J582" s="101"/>
      <c r="K582" s="101"/>
      <c r="L582"/>
      <c r="M582"/>
      <c r="N582"/>
      <c r="O582"/>
      <c r="P582"/>
      <c r="Q582" s="102"/>
      <c r="R582"/>
      <c r="S582"/>
      <c r="T582"/>
      <c r="U582"/>
      <c r="V582" s="102"/>
      <c r="W582"/>
      <c r="X582" s="101"/>
      <c r="Y582"/>
      <c r="Z582" s="101"/>
      <c r="AA582" s="101"/>
      <c r="AB582" s="101"/>
      <c r="AC582" s="101"/>
      <c r="AD582" s="101"/>
      <c r="AE582"/>
      <c r="AF582" s="101"/>
      <c r="AG582"/>
      <c r="AH582"/>
      <c r="AI582" s="101"/>
      <c r="AJ582" s="101"/>
      <c r="AK582" s="105"/>
      <c r="AL582" s="105"/>
      <c r="AM582" s="105"/>
      <c r="AN582" s="105"/>
      <c r="AO582" s="105"/>
      <c r="AP582" s="106"/>
      <c r="AQ582"/>
      <c r="AR582"/>
      <c r="AS582"/>
      <c r="AT582"/>
      <c r="AU582"/>
      <c r="AV582" s="101"/>
      <c r="AW582"/>
      <c r="AX582"/>
      <c r="AY582"/>
      <c r="AZ582"/>
      <c r="BA582"/>
      <c r="BB582"/>
      <c r="BC582"/>
      <c r="BD582"/>
      <c r="BE582"/>
      <c r="BF582"/>
      <c r="BG582"/>
      <c r="BH582"/>
      <c r="BI582"/>
      <c r="BJ582"/>
      <c r="BK582"/>
      <c r="BL582"/>
      <c r="BM582" s="101"/>
      <c r="BN582"/>
      <c r="BO582" s="102"/>
      <c r="BP582"/>
      <c r="BQ582"/>
      <c r="BR582"/>
      <c r="BS582"/>
      <c r="BT582"/>
      <c r="BU582" s="101"/>
      <c r="BV582"/>
      <c r="BW582"/>
      <c r="BX582" s="102"/>
      <c r="BY582" s="101"/>
      <c r="BZ582" s="101"/>
      <c r="CA582" s="101"/>
      <c r="CB582" s="101"/>
      <c r="CC582" s="101"/>
    </row>
    <row r="583" spans="1:81" x14ac:dyDescent="0.25">
      <c r="A583"/>
      <c r="B583" s="101"/>
      <c r="C583"/>
      <c r="D583" s="101"/>
      <c r="E583" s="101"/>
      <c r="F583" s="101"/>
      <c r="G583" s="101"/>
      <c r="H583" s="101"/>
      <c r="I583" s="101"/>
      <c r="J583" s="101"/>
      <c r="K583" s="101"/>
      <c r="L583"/>
      <c r="M583"/>
      <c r="N583"/>
      <c r="O583"/>
      <c r="P583"/>
      <c r="Q583" s="102"/>
      <c r="R583"/>
      <c r="S583"/>
      <c r="T583"/>
      <c r="U583"/>
      <c r="V583" s="102"/>
      <c r="W583"/>
      <c r="X583" s="101"/>
      <c r="Y583"/>
      <c r="Z583" s="101"/>
      <c r="AA583" s="101"/>
      <c r="AB583" s="101"/>
      <c r="AC583" s="101"/>
      <c r="AD583" s="101"/>
      <c r="AE583"/>
      <c r="AF583" s="101"/>
      <c r="AG583"/>
      <c r="AH583"/>
      <c r="AI583" s="101"/>
      <c r="AJ583" s="101"/>
      <c r="AK583"/>
      <c r="AL583"/>
      <c r="AM583"/>
      <c r="AN583"/>
      <c r="AO583"/>
      <c r="AP583" s="101"/>
      <c r="AQ583"/>
      <c r="AR583"/>
      <c r="AS583"/>
      <c r="AT583"/>
      <c r="AU583"/>
      <c r="AV583" s="101"/>
      <c r="AW583"/>
      <c r="AX583"/>
      <c r="AY583"/>
      <c r="AZ583"/>
      <c r="BA583"/>
      <c r="BB583"/>
      <c r="BC583"/>
      <c r="BD583"/>
      <c r="BE583"/>
      <c r="BF583"/>
      <c r="BG583"/>
      <c r="BH583"/>
      <c r="BI583"/>
      <c r="BJ583"/>
      <c r="BK583"/>
      <c r="BL583"/>
      <c r="BM583" s="101"/>
      <c r="BN583"/>
      <c r="BO583" s="102"/>
      <c r="BP583"/>
      <c r="BQ583"/>
      <c r="BR583"/>
      <c r="BS583"/>
      <c r="BT583"/>
      <c r="BU583" s="101"/>
      <c r="BV583"/>
      <c r="BW583"/>
      <c r="BX583" s="102"/>
      <c r="BY583" s="101"/>
      <c r="BZ583" s="101"/>
      <c r="CA583" s="101"/>
      <c r="CB583" s="101"/>
      <c r="CC583" s="101"/>
    </row>
    <row r="584" spans="1:81" x14ac:dyDescent="0.25">
      <c r="A584"/>
      <c r="B584" s="101"/>
      <c r="C584"/>
      <c r="D584" s="101"/>
      <c r="E584" s="101"/>
      <c r="F584" s="101"/>
      <c r="G584" s="101"/>
      <c r="H584" s="101"/>
      <c r="I584" s="101"/>
      <c r="J584" s="101"/>
      <c r="K584" s="101"/>
      <c r="L584"/>
      <c r="M584"/>
      <c r="N584"/>
      <c r="O584"/>
      <c r="P584"/>
      <c r="Q584" s="102"/>
      <c r="R584"/>
      <c r="S584"/>
      <c r="T584"/>
      <c r="U584"/>
      <c r="V584" s="102"/>
      <c r="W584"/>
      <c r="X584" s="101"/>
      <c r="Y584"/>
      <c r="Z584" s="101"/>
      <c r="AA584" s="101"/>
      <c r="AB584" s="101"/>
      <c r="AC584" s="101"/>
      <c r="AD584" s="101"/>
      <c r="AE584"/>
      <c r="AF584" s="101"/>
      <c r="AG584"/>
      <c r="AH584"/>
      <c r="AI584" s="101"/>
      <c r="AJ584" s="101"/>
      <c r="AK584"/>
      <c r="AL584"/>
      <c r="AM584"/>
      <c r="AN584"/>
      <c r="AO584"/>
      <c r="AP584" s="101"/>
      <c r="AQ584"/>
      <c r="AR584"/>
      <c r="AS584"/>
      <c r="AT584"/>
      <c r="AU584"/>
      <c r="AV584" s="101"/>
      <c r="AW584"/>
      <c r="AX584"/>
      <c r="AY584"/>
      <c r="AZ584"/>
      <c r="BA584"/>
      <c r="BB584"/>
      <c r="BC584"/>
      <c r="BD584"/>
      <c r="BE584"/>
      <c r="BF584"/>
      <c r="BG584"/>
      <c r="BH584"/>
      <c r="BI584"/>
      <c r="BJ584"/>
      <c r="BK584"/>
      <c r="BL584"/>
      <c r="BM584" s="101"/>
      <c r="BN584"/>
      <c r="BO584" s="102"/>
      <c r="BP584"/>
      <c r="BQ584"/>
      <c r="BR584"/>
      <c r="BS584"/>
      <c r="BT584"/>
      <c r="BU584" s="101"/>
      <c r="BV584"/>
      <c r="BW584"/>
      <c r="BX584" s="102"/>
      <c r="BY584" s="101"/>
      <c r="BZ584" s="101"/>
      <c r="CA584" s="101"/>
      <c r="CB584" s="101"/>
      <c r="CC584" s="101"/>
    </row>
    <row r="585" spans="1:81" x14ac:dyDescent="0.25">
      <c r="A585"/>
      <c r="B585" s="101"/>
      <c r="C585"/>
      <c r="D585" s="101"/>
      <c r="E585" s="101"/>
      <c r="F585" s="101"/>
      <c r="G585" s="101"/>
      <c r="H585" s="101"/>
      <c r="I585" s="101"/>
      <c r="J585" s="101"/>
      <c r="K585" s="101"/>
      <c r="L585"/>
      <c r="M585"/>
      <c r="N585"/>
      <c r="O585"/>
      <c r="P585"/>
      <c r="Q585" s="102"/>
      <c r="R585"/>
      <c r="S585"/>
      <c r="T585"/>
      <c r="U585"/>
      <c r="V585" s="102"/>
      <c r="W585"/>
      <c r="X585" s="101"/>
      <c r="Y585"/>
      <c r="Z585" s="101"/>
      <c r="AA585" s="101"/>
      <c r="AB585" s="101"/>
      <c r="AC585" s="101"/>
      <c r="AD585" s="101"/>
      <c r="AE585"/>
      <c r="AF585" s="101"/>
      <c r="AG585"/>
      <c r="AH585"/>
      <c r="AI585" s="101"/>
      <c r="AJ585" s="101"/>
      <c r="AK585" s="106"/>
      <c r="AL585" s="106"/>
      <c r="AM585" s="106"/>
      <c r="AN585" s="106"/>
      <c r="AO585" s="106"/>
      <c r="AP585" s="105"/>
      <c r="AQ585"/>
      <c r="AR585"/>
      <c r="AS585"/>
      <c r="AT585"/>
      <c r="AU585"/>
      <c r="AV585" s="101"/>
      <c r="AW585"/>
      <c r="AX585"/>
      <c r="AY585"/>
      <c r="AZ585"/>
      <c r="BA585"/>
      <c r="BB585"/>
      <c r="BC585"/>
      <c r="BD585"/>
      <c r="BE585"/>
      <c r="BF585"/>
      <c r="BG585"/>
      <c r="BH585"/>
      <c r="BI585"/>
      <c r="BJ585"/>
      <c r="BK585"/>
      <c r="BL585"/>
      <c r="BM585" s="101"/>
      <c r="BN585"/>
      <c r="BO585" s="102"/>
      <c r="BP585"/>
      <c r="BQ585"/>
      <c r="BR585"/>
      <c r="BS585"/>
      <c r="BT585"/>
      <c r="BU585" s="101"/>
      <c r="BV585"/>
      <c r="BW585"/>
      <c r="BX585" s="102"/>
      <c r="BY585" s="101"/>
      <c r="BZ585" s="101"/>
      <c r="CA585" s="101"/>
      <c r="CB585" s="101"/>
      <c r="CC585" s="101"/>
    </row>
    <row r="586" spans="1:81" x14ac:dyDescent="0.25">
      <c r="A586"/>
      <c r="B586" s="101"/>
      <c r="C586"/>
      <c r="D586" s="101"/>
      <c r="E586" s="101"/>
      <c r="F586" s="101"/>
      <c r="G586" s="101"/>
      <c r="H586" s="101"/>
      <c r="I586" s="101"/>
      <c r="J586" s="101"/>
      <c r="K586" s="101"/>
      <c r="L586"/>
      <c r="M586"/>
      <c r="N586"/>
      <c r="O586"/>
      <c r="P586"/>
      <c r="Q586" s="102"/>
      <c r="R586"/>
      <c r="S586"/>
      <c r="T586"/>
      <c r="U586"/>
      <c r="V586" s="102"/>
      <c r="W586"/>
      <c r="X586" s="101"/>
      <c r="Y586"/>
      <c r="Z586" s="101"/>
      <c r="AA586" s="101"/>
      <c r="AB586" s="101"/>
      <c r="AC586" s="101"/>
      <c r="AD586" s="101"/>
      <c r="AE586"/>
      <c r="AF586" s="101"/>
      <c r="AG586"/>
      <c r="AH586"/>
      <c r="AI586" s="101"/>
      <c r="AJ586" s="101"/>
      <c r="AK586" s="101"/>
      <c r="AL586" s="101"/>
      <c r="AM586" s="101"/>
      <c r="AN586" s="101"/>
      <c r="AO586" s="101"/>
      <c r="AP586"/>
      <c r="AQ586"/>
      <c r="AR586"/>
      <c r="AS586"/>
      <c r="AT586"/>
      <c r="AU586"/>
      <c r="AV586" s="101"/>
      <c r="AW586"/>
      <c r="AX586"/>
      <c r="AY586"/>
      <c r="AZ586"/>
      <c r="BA586"/>
      <c r="BB586"/>
      <c r="BC586"/>
      <c r="BD586"/>
      <c r="BE586"/>
      <c r="BF586"/>
      <c r="BG586"/>
      <c r="BH586"/>
      <c r="BI586"/>
      <c r="BJ586"/>
      <c r="BK586"/>
      <c r="BL586"/>
      <c r="BM586" s="101"/>
      <c r="BN586"/>
      <c r="BO586" s="102"/>
      <c r="BP586"/>
      <c r="BQ586"/>
      <c r="BR586"/>
      <c r="BS586"/>
      <c r="BT586"/>
      <c r="BU586" s="101"/>
      <c r="BV586"/>
      <c r="BW586"/>
      <c r="BX586" s="102"/>
      <c r="BY586" s="101"/>
      <c r="BZ586" s="101"/>
      <c r="CA586" s="101"/>
      <c r="CB586" s="101"/>
      <c r="CC586" s="101"/>
    </row>
    <row r="587" spans="1:81" x14ac:dyDescent="0.25">
      <c r="A587"/>
      <c r="B587" s="101"/>
      <c r="C587"/>
      <c r="D587" s="101"/>
      <c r="E587" s="101"/>
      <c r="F587" s="101"/>
      <c r="G587" s="101"/>
      <c r="H587" s="101"/>
      <c r="I587" s="101"/>
      <c r="J587" s="101"/>
      <c r="K587" s="101"/>
      <c r="L587"/>
      <c r="M587"/>
      <c r="N587"/>
      <c r="O587"/>
      <c r="P587"/>
      <c r="Q587" s="102"/>
      <c r="R587"/>
      <c r="S587"/>
      <c r="T587"/>
      <c r="U587"/>
      <c r="V587" s="102"/>
      <c r="W587"/>
      <c r="X587" s="101"/>
      <c r="Y587"/>
      <c r="Z587" s="101"/>
      <c r="AA587" s="101"/>
      <c r="AB587" s="101"/>
      <c r="AC587" s="101"/>
      <c r="AD587" s="101"/>
      <c r="AE587"/>
      <c r="AF587" s="101"/>
      <c r="AG587"/>
      <c r="AH587"/>
      <c r="AI587" s="101"/>
      <c r="AJ587" s="101"/>
      <c r="AK587"/>
      <c r="AL587"/>
      <c r="AM587"/>
      <c r="AN587"/>
      <c r="AO587"/>
      <c r="AP587" s="101"/>
      <c r="AQ587"/>
      <c r="AR587"/>
      <c r="AS587"/>
      <c r="AT587"/>
      <c r="AU587"/>
      <c r="AV587" s="101"/>
      <c r="AW587"/>
      <c r="AX587"/>
      <c r="AY587"/>
      <c r="AZ587"/>
      <c r="BA587"/>
      <c r="BB587"/>
      <c r="BC587"/>
      <c r="BD587"/>
      <c r="BE587"/>
      <c r="BF587"/>
      <c r="BG587"/>
      <c r="BH587"/>
      <c r="BI587"/>
      <c r="BJ587"/>
      <c r="BK587"/>
      <c r="BL587"/>
      <c r="BM587" s="101"/>
      <c r="BN587"/>
      <c r="BO587" s="102"/>
      <c r="BP587"/>
      <c r="BQ587"/>
      <c r="BR587"/>
      <c r="BS587"/>
      <c r="BT587"/>
      <c r="BU587" s="101"/>
      <c r="BV587"/>
      <c r="BW587"/>
      <c r="BX587" s="102"/>
      <c r="BY587" s="101"/>
      <c r="BZ587" s="101"/>
      <c r="CA587" s="101"/>
      <c r="CB587" s="101"/>
      <c r="CC587" s="101"/>
    </row>
    <row r="588" spans="1:81" x14ac:dyDescent="0.25">
      <c r="A588"/>
      <c r="B588" s="101"/>
      <c r="C588"/>
      <c r="D588" s="101"/>
      <c r="E588" s="101"/>
      <c r="F588" s="101"/>
      <c r="G588" s="101"/>
      <c r="H588" s="101"/>
      <c r="I588" s="101"/>
      <c r="J588" s="101"/>
      <c r="K588" s="101"/>
      <c r="L588"/>
      <c r="M588"/>
      <c r="N588"/>
      <c r="O588"/>
      <c r="P588"/>
      <c r="Q588" s="102"/>
      <c r="R588"/>
      <c r="S588"/>
      <c r="T588"/>
      <c r="U588"/>
      <c r="V588" s="102"/>
      <c r="W588"/>
      <c r="X588" s="101"/>
      <c r="Y588"/>
      <c r="Z588" s="101"/>
      <c r="AA588" s="101"/>
      <c r="AB588" s="101"/>
      <c r="AC588" s="101"/>
      <c r="AD588" s="101"/>
      <c r="AE588"/>
      <c r="AF588" s="101"/>
      <c r="AG588"/>
      <c r="AH588"/>
      <c r="AI588" s="101"/>
      <c r="AJ588" s="101"/>
      <c r="AK588" s="101"/>
      <c r="AL588" s="101"/>
      <c r="AM588" s="101"/>
      <c r="AN588" s="101"/>
      <c r="AO588" s="101"/>
      <c r="AP588"/>
      <c r="AQ588"/>
      <c r="AR588"/>
      <c r="AS588"/>
      <c r="AT588"/>
      <c r="AU588"/>
      <c r="AV588" s="101"/>
      <c r="AW588"/>
      <c r="AX588"/>
      <c r="AY588"/>
      <c r="AZ588"/>
      <c r="BA588"/>
      <c r="BB588"/>
      <c r="BC588"/>
      <c r="BD588"/>
      <c r="BE588"/>
      <c r="BF588"/>
      <c r="BG588"/>
      <c r="BH588"/>
      <c r="BI588"/>
      <c r="BJ588"/>
      <c r="BK588"/>
      <c r="BL588"/>
      <c r="BM588" s="101"/>
      <c r="BN588"/>
      <c r="BO588" s="102"/>
      <c r="BP588"/>
      <c r="BQ588"/>
      <c r="BR588"/>
      <c r="BS588"/>
      <c r="BT588"/>
      <c r="BU588" s="101"/>
      <c r="BV588"/>
      <c r="BW588"/>
      <c r="BX588" s="102"/>
      <c r="BY588" s="101"/>
      <c r="BZ588" s="101"/>
      <c r="CA588" s="101"/>
      <c r="CB588" s="101"/>
      <c r="CC588" s="101"/>
    </row>
    <row r="589" spans="1:81" x14ac:dyDescent="0.25">
      <c r="A589"/>
      <c r="B589" s="101"/>
      <c r="C589"/>
      <c r="D589" s="101"/>
      <c r="E589" s="101"/>
      <c r="F589" s="101"/>
      <c r="G589" s="101"/>
      <c r="H589" s="101"/>
      <c r="I589" s="101"/>
      <c r="J589" s="101"/>
      <c r="K589" s="101"/>
      <c r="L589"/>
      <c r="M589"/>
      <c r="N589"/>
      <c r="O589"/>
      <c r="P589"/>
      <c r="Q589" s="102"/>
      <c r="R589"/>
      <c r="S589"/>
      <c r="T589"/>
      <c r="U589"/>
      <c r="V589" s="102"/>
      <c r="W589"/>
      <c r="X589" s="101"/>
      <c r="Y589"/>
      <c r="Z589" s="101"/>
      <c r="AA589" s="101"/>
      <c r="AB589" s="101"/>
      <c r="AC589" s="101"/>
      <c r="AD589" s="101"/>
      <c r="AE589"/>
      <c r="AF589" s="101"/>
      <c r="AG589"/>
      <c r="AH589"/>
      <c r="AI589" s="101"/>
      <c r="AJ589" s="101"/>
      <c r="AK589"/>
      <c r="AL589"/>
      <c r="AM589"/>
      <c r="AN589"/>
      <c r="AO589"/>
      <c r="AP589" s="101"/>
      <c r="AQ589"/>
      <c r="AR589"/>
      <c r="AS589"/>
      <c r="AT589"/>
      <c r="AU589"/>
      <c r="AV589" s="101"/>
      <c r="AW589"/>
      <c r="AX589"/>
      <c r="AY589"/>
      <c r="AZ589"/>
      <c r="BA589"/>
      <c r="BB589"/>
      <c r="BC589"/>
      <c r="BD589"/>
      <c r="BE589"/>
      <c r="BF589"/>
      <c r="BG589"/>
      <c r="BH589"/>
      <c r="BI589"/>
      <c r="BJ589"/>
      <c r="BK589"/>
      <c r="BL589"/>
      <c r="BM589" s="101"/>
      <c r="BN589"/>
      <c r="BO589" s="102"/>
      <c r="BP589"/>
      <c r="BQ589"/>
      <c r="BR589"/>
      <c r="BS589"/>
      <c r="BT589"/>
      <c r="BU589" s="101"/>
      <c r="BV589"/>
      <c r="BW589"/>
      <c r="BX589" s="102"/>
      <c r="BY589" s="101"/>
      <c r="BZ589" s="101"/>
      <c r="CA589" s="101"/>
      <c r="CB589" s="101"/>
      <c r="CC589" s="101"/>
    </row>
    <row r="590" spans="1:81" x14ac:dyDescent="0.25">
      <c r="A590"/>
      <c r="B590" s="101"/>
      <c r="C590"/>
      <c r="D590" s="101"/>
      <c r="E590" s="101"/>
      <c r="F590" s="101"/>
      <c r="G590" s="101"/>
      <c r="H590" s="101"/>
      <c r="I590" s="101"/>
      <c r="J590" s="101"/>
      <c r="K590" s="101"/>
      <c r="L590"/>
      <c r="M590"/>
      <c r="N590"/>
      <c r="O590"/>
      <c r="P590"/>
      <c r="Q590" s="102"/>
      <c r="R590"/>
      <c r="S590"/>
      <c r="T590"/>
      <c r="U590"/>
      <c r="V590" s="102"/>
      <c r="W590"/>
      <c r="X590" s="101"/>
      <c r="Y590"/>
      <c r="Z590" s="101"/>
      <c r="AA590" s="101"/>
      <c r="AB590" s="101"/>
      <c r="AC590" s="101"/>
      <c r="AD590" s="101"/>
      <c r="AE590"/>
      <c r="AF590" s="101"/>
      <c r="AG590"/>
      <c r="AH590"/>
      <c r="AI590" s="101"/>
      <c r="AJ590" s="101"/>
      <c r="AK590" s="101"/>
      <c r="AL590" s="101"/>
      <c r="AM590" s="101"/>
      <c r="AN590" s="101"/>
      <c r="AO590" s="101"/>
      <c r="AP590"/>
      <c r="AQ590"/>
      <c r="AR590"/>
      <c r="AS590"/>
      <c r="AT590"/>
      <c r="AU590"/>
      <c r="AV590" s="101"/>
      <c r="AW590"/>
      <c r="AX590"/>
      <c r="AY590"/>
      <c r="AZ590"/>
      <c r="BA590"/>
      <c r="BB590"/>
      <c r="BC590"/>
      <c r="BD590"/>
      <c r="BE590"/>
      <c r="BF590"/>
      <c r="BG590"/>
      <c r="BH590"/>
      <c r="BI590"/>
      <c r="BJ590"/>
      <c r="BK590"/>
      <c r="BL590"/>
      <c r="BM590" s="101"/>
      <c r="BN590"/>
      <c r="BO590" s="102"/>
      <c r="BP590"/>
      <c r="BQ590"/>
      <c r="BR590"/>
      <c r="BS590"/>
      <c r="BT590"/>
      <c r="BU590" s="101"/>
      <c r="BV590"/>
      <c r="BW590"/>
      <c r="BX590" s="102"/>
      <c r="BY590" s="101"/>
      <c r="BZ590" s="101"/>
      <c r="CA590" s="101"/>
      <c r="CB590" s="101"/>
      <c r="CC590" s="101"/>
    </row>
    <row r="591" spans="1:81" x14ac:dyDescent="0.25">
      <c r="A591"/>
      <c r="B591" s="101"/>
      <c r="C591"/>
      <c r="D591" s="101"/>
      <c r="E591" s="101"/>
      <c r="F591" s="101"/>
      <c r="G591" s="101"/>
      <c r="H591" s="101"/>
      <c r="I591" s="101"/>
      <c r="J591" s="101"/>
      <c r="K591" s="101"/>
      <c r="L591"/>
      <c r="M591"/>
      <c r="N591"/>
      <c r="O591"/>
      <c r="P591"/>
      <c r="Q591" s="102"/>
      <c r="R591"/>
      <c r="S591"/>
      <c r="T591"/>
      <c r="U591"/>
      <c r="V591" s="102"/>
      <c r="W591"/>
      <c r="X591" s="101"/>
      <c r="Y591"/>
      <c r="Z591" s="101"/>
      <c r="AA591" s="101"/>
      <c r="AB591" s="101"/>
      <c r="AC591" s="101"/>
      <c r="AD591" s="101"/>
      <c r="AE591"/>
      <c r="AF591" s="101"/>
      <c r="AG591"/>
      <c r="AH591"/>
      <c r="AI591" s="101"/>
      <c r="AJ591" s="101"/>
      <c r="AK591" s="101"/>
      <c r="AL591" s="101"/>
      <c r="AM591" s="101"/>
      <c r="AN591" s="101"/>
      <c r="AO591" s="101"/>
      <c r="AP591" s="101"/>
      <c r="AQ591"/>
      <c r="AR591"/>
      <c r="AS591"/>
      <c r="AT591"/>
      <c r="AU591"/>
      <c r="AV591" s="101"/>
      <c r="AW591"/>
      <c r="AX591"/>
      <c r="AY591"/>
      <c r="AZ591"/>
      <c r="BA591"/>
      <c r="BB591"/>
      <c r="BC591"/>
      <c r="BD591"/>
      <c r="BE591"/>
      <c r="BF591"/>
      <c r="BG591"/>
      <c r="BH591"/>
      <c r="BI591"/>
      <c r="BJ591"/>
      <c r="BK591"/>
      <c r="BL591"/>
      <c r="BM591" s="101"/>
      <c r="BN591"/>
      <c r="BO591" s="102"/>
      <c r="BP591"/>
      <c r="BQ591"/>
      <c r="BR591"/>
      <c r="BS591"/>
      <c r="BT591"/>
      <c r="BU591" s="101"/>
      <c r="BV591"/>
      <c r="BW591"/>
      <c r="BX591" s="102"/>
      <c r="BY591" s="101"/>
      <c r="BZ591" s="101"/>
      <c r="CA591" s="101"/>
      <c r="CB591" s="101"/>
      <c r="CC591" s="101"/>
    </row>
    <row r="592" spans="1:81" x14ac:dyDescent="0.25">
      <c r="A592"/>
      <c r="B592" s="101"/>
      <c r="C592"/>
      <c r="D592" s="101"/>
      <c r="E592" s="101"/>
      <c r="F592" s="101"/>
      <c r="G592" s="101"/>
      <c r="H592" s="101"/>
      <c r="I592" s="101"/>
      <c r="J592" s="101"/>
      <c r="K592" s="101"/>
      <c r="L592"/>
      <c r="M592"/>
      <c r="N592"/>
      <c r="O592"/>
      <c r="P592"/>
      <c r="Q592" s="102"/>
      <c r="R592"/>
      <c r="S592"/>
      <c r="T592"/>
      <c r="U592"/>
      <c r="V592" s="102"/>
      <c r="W592"/>
      <c r="X592" s="101"/>
      <c r="Y592"/>
      <c r="Z592" s="101"/>
      <c r="AA592" s="101"/>
      <c r="AB592" s="101"/>
      <c r="AC592" s="101"/>
      <c r="AD592" s="101"/>
      <c r="AE592"/>
      <c r="AF592" s="101"/>
      <c r="AG592"/>
      <c r="AH592"/>
      <c r="AI592" s="101"/>
      <c r="AJ592" s="101"/>
      <c r="AK592" s="101"/>
      <c r="AL592" s="101"/>
      <c r="AM592" s="101"/>
      <c r="AN592" s="101"/>
      <c r="AO592" s="101"/>
      <c r="AP592"/>
      <c r="AQ592"/>
      <c r="AR592"/>
      <c r="AS592"/>
      <c r="AT592"/>
      <c r="AU592"/>
      <c r="AV592" s="101"/>
      <c r="AW592"/>
      <c r="AX592"/>
      <c r="AY592"/>
      <c r="AZ592"/>
      <c r="BA592"/>
      <c r="BB592"/>
      <c r="BC592"/>
      <c r="BD592"/>
      <c r="BE592"/>
      <c r="BF592"/>
      <c r="BG592"/>
      <c r="BH592"/>
      <c r="BI592"/>
      <c r="BJ592"/>
      <c r="BK592"/>
      <c r="BL592"/>
      <c r="BM592" s="101"/>
      <c r="BN592"/>
      <c r="BO592" s="102"/>
      <c r="BP592"/>
      <c r="BQ592"/>
      <c r="BR592"/>
      <c r="BS592"/>
      <c r="BT592"/>
      <c r="BU592" s="101"/>
      <c r="BV592"/>
      <c r="BW592"/>
      <c r="BX592" s="102"/>
      <c r="BY592" s="101"/>
      <c r="BZ592" s="101"/>
      <c r="CA592" s="101"/>
      <c r="CB592" s="101"/>
      <c r="CC592" s="101"/>
    </row>
    <row r="593" spans="1:81" x14ac:dyDescent="0.25">
      <c r="A593"/>
      <c r="B593" s="101"/>
      <c r="C593"/>
      <c r="D593" s="101"/>
      <c r="E593" s="101"/>
      <c r="F593" s="101"/>
      <c r="G593" s="101"/>
      <c r="H593" s="101"/>
      <c r="I593" s="101"/>
      <c r="J593" s="101"/>
      <c r="K593" s="101"/>
      <c r="L593"/>
      <c r="M593"/>
      <c r="N593"/>
      <c r="O593"/>
      <c r="P593"/>
      <c r="Q593" s="102"/>
      <c r="R593"/>
      <c r="S593"/>
      <c r="T593"/>
      <c r="U593"/>
      <c r="V593" s="102"/>
      <c r="W593"/>
      <c r="X593" s="101"/>
      <c r="Y593"/>
      <c r="Z593" s="101"/>
      <c r="AA593" s="101"/>
      <c r="AB593" s="101"/>
      <c r="AC593" s="101"/>
      <c r="AD593" s="101"/>
      <c r="AE593"/>
      <c r="AF593" s="101"/>
      <c r="AG593"/>
      <c r="AH593"/>
      <c r="AI593" s="101"/>
      <c r="AJ593" s="101"/>
      <c r="AK593"/>
      <c r="AL593"/>
      <c r="AM593"/>
      <c r="AN593"/>
      <c r="AO593"/>
      <c r="AP593"/>
      <c r="AQ593"/>
      <c r="AR593"/>
      <c r="AS593"/>
      <c r="AT593"/>
      <c r="AU593"/>
      <c r="AV593" s="101"/>
      <c r="AW593"/>
      <c r="AX593"/>
      <c r="AY593"/>
      <c r="AZ593"/>
      <c r="BA593"/>
      <c r="BB593"/>
      <c r="BC593"/>
      <c r="BD593"/>
      <c r="BE593"/>
      <c r="BF593"/>
      <c r="BG593"/>
      <c r="BH593"/>
      <c r="BI593"/>
      <c r="BJ593"/>
      <c r="BK593"/>
      <c r="BL593"/>
      <c r="BM593" s="101"/>
      <c r="BN593"/>
      <c r="BO593" s="102"/>
      <c r="BP593"/>
      <c r="BQ593"/>
      <c r="BR593"/>
      <c r="BS593"/>
      <c r="BT593"/>
      <c r="BU593" s="101"/>
      <c r="BV593"/>
      <c r="BW593"/>
      <c r="BX593" s="102"/>
      <c r="BY593" s="101"/>
      <c r="BZ593" s="101"/>
      <c r="CA593" s="101"/>
      <c r="CB593" s="101"/>
      <c r="CC593" s="101"/>
    </row>
    <row r="594" spans="1:81" x14ac:dyDescent="0.25">
      <c r="A594"/>
      <c r="B594" s="101"/>
      <c r="C594"/>
      <c r="D594" s="101"/>
      <c r="E594" s="101"/>
      <c r="F594" s="101"/>
      <c r="G594" s="101"/>
      <c r="H594" s="101"/>
      <c r="I594" s="101"/>
      <c r="J594" s="101"/>
      <c r="K594" s="101"/>
      <c r="L594"/>
      <c r="M594"/>
      <c r="N594"/>
      <c r="O594"/>
      <c r="P594"/>
      <c r="Q594" s="102"/>
      <c r="R594"/>
      <c r="S594"/>
      <c r="T594"/>
      <c r="U594"/>
      <c r="V594" s="102"/>
      <c r="W594"/>
      <c r="X594" s="101"/>
      <c r="Y594"/>
      <c r="Z594" s="101"/>
      <c r="AA594" s="101"/>
      <c r="AB594" s="101"/>
      <c r="AC594" s="101"/>
      <c r="AD594" s="101"/>
      <c r="AE594"/>
      <c r="AF594" s="101"/>
      <c r="AG594"/>
      <c r="AH594"/>
      <c r="AI594" s="101"/>
      <c r="AJ594" s="101"/>
      <c r="AK594" s="101"/>
      <c r="AL594" s="101"/>
      <c r="AM594" s="101"/>
      <c r="AN594" s="101"/>
      <c r="AO594" s="101"/>
      <c r="AP594"/>
      <c r="AQ594"/>
      <c r="AR594"/>
      <c r="AS594"/>
      <c r="AT594"/>
      <c r="AU594"/>
      <c r="AV594" s="101"/>
      <c r="AW594"/>
      <c r="AX594"/>
      <c r="AY594"/>
      <c r="AZ594"/>
      <c r="BA594"/>
      <c r="BB594"/>
      <c r="BC594"/>
      <c r="BD594"/>
      <c r="BE594"/>
      <c r="BF594"/>
      <c r="BG594"/>
      <c r="BH594"/>
      <c r="BI594"/>
      <c r="BJ594"/>
      <c r="BK594"/>
      <c r="BL594"/>
      <c r="BM594" s="101"/>
      <c r="BN594"/>
      <c r="BO594" s="102"/>
      <c r="BP594"/>
      <c r="BQ594"/>
      <c r="BR594"/>
      <c r="BS594"/>
      <c r="BT594"/>
      <c r="BU594" s="101"/>
      <c r="BV594"/>
      <c r="BW594"/>
      <c r="BX594" s="102"/>
      <c r="BY594" s="101"/>
      <c r="BZ594" s="101"/>
      <c r="CA594" s="101"/>
      <c r="CB594" s="101"/>
      <c r="CC594" s="101"/>
    </row>
    <row r="595" spans="1:81" x14ac:dyDescent="0.25">
      <c r="A595"/>
      <c r="B595" s="101"/>
      <c r="C595"/>
      <c r="D595" s="101"/>
      <c r="E595" s="101"/>
      <c r="F595" s="101"/>
      <c r="G595" s="101"/>
      <c r="H595" s="101"/>
      <c r="I595" s="101"/>
      <c r="J595" s="101"/>
      <c r="K595" s="101"/>
      <c r="L595"/>
      <c r="M595"/>
      <c r="N595"/>
      <c r="O595"/>
      <c r="P595"/>
      <c r="Q595" s="102"/>
      <c r="R595"/>
      <c r="S595"/>
      <c r="T595"/>
      <c r="U595"/>
      <c r="V595" s="102"/>
      <c r="W595"/>
      <c r="X595" s="101"/>
      <c r="Y595"/>
      <c r="Z595" s="101"/>
      <c r="AA595" s="101"/>
      <c r="AB595" s="101"/>
      <c r="AC595" s="101"/>
      <c r="AD595" s="101"/>
      <c r="AE595"/>
      <c r="AF595" s="101"/>
      <c r="AG595"/>
      <c r="AH595"/>
      <c r="AI595" s="101"/>
      <c r="AJ595" s="101"/>
      <c r="AK595"/>
      <c r="AL595"/>
      <c r="AM595"/>
      <c r="AN595"/>
      <c r="AO595"/>
      <c r="AP595" s="101"/>
      <c r="AQ595"/>
      <c r="AR595"/>
      <c r="AS595"/>
      <c r="AT595"/>
      <c r="AU595"/>
      <c r="AV595" s="101"/>
      <c r="AW595"/>
      <c r="AX595"/>
      <c r="AY595"/>
      <c r="AZ595"/>
      <c r="BA595"/>
      <c r="BB595"/>
      <c r="BC595"/>
      <c r="BD595"/>
      <c r="BE595"/>
      <c r="BF595"/>
      <c r="BG595"/>
      <c r="BH595"/>
      <c r="BI595"/>
      <c r="BJ595"/>
      <c r="BK595"/>
      <c r="BL595"/>
      <c r="BM595" s="101"/>
      <c r="BN595"/>
      <c r="BO595" s="102"/>
      <c r="BP595"/>
      <c r="BQ595"/>
      <c r="BR595"/>
      <c r="BS595"/>
      <c r="BT595"/>
      <c r="BU595" s="101"/>
      <c r="BV595"/>
      <c r="BW595"/>
      <c r="BX595" s="102"/>
      <c r="BY595" s="101"/>
      <c r="BZ595" s="101"/>
      <c r="CA595" s="101"/>
      <c r="CB595" s="101"/>
      <c r="CC595" s="101"/>
    </row>
    <row r="596" spans="1:81" x14ac:dyDescent="0.25">
      <c r="A596"/>
      <c r="B596" s="101"/>
      <c r="C596"/>
      <c r="D596" s="101"/>
      <c r="E596" s="101"/>
      <c r="F596" s="101"/>
      <c r="G596" s="101"/>
      <c r="H596" s="101"/>
      <c r="I596" s="101"/>
      <c r="J596" s="101"/>
      <c r="K596" s="101"/>
      <c r="L596"/>
      <c r="M596"/>
      <c r="N596"/>
      <c r="O596"/>
      <c r="P596"/>
      <c r="Q596" s="102"/>
      <c r="R596"/>
      <c r="S596"/>
      <c r="T596"/>
      <c r="U596"/>
      <c r="V596" s="102"/>
      <c r="W596"/>
      <c r="X596" s="101"/>
      <c r="Y596"/>
      <c r="Z596" s="101"/>
      <c r="AA596" s="101"/>
      <c r="AB596" s="101"/>
      <c r="AC596" s="101"/>
      <c r="AD596" s="101"/>
      <c r="AE596"/>
      <c r="AF596" s="101"/>
      <c r="AG596"/>
      <c r="AH596"/>
      <c r="AI596" s="101"/>
      <c r="AJ596" s="101"/>
      <c r="AK596" s="101"/>
      <c r="AL596" s="101"/>
      <c r="AM596" s="101"/>
      <c r="AN596" s="101"/>
      <c r="AO596" s="101"/>
      <c r="AP596" s="101"/>
      <c r="AQ596"/>
      <c r="AR596"/>
      <c r="AS596"/>
      <c r="AT596"/>
      <c r="AU596"/>
      <c r="AV596" s="101"/>
      <c r="AW596"/>
      <c r="AX596"/>
      <c r="AY596"/>
      <c r="AZ596"/>
      <c r="BA596"/>
      <c r="BB596"/>
      <c r="BC596"/>
      <c r="BD596"/>
      <c r="BE596"/>
      <c r="BF596"/>
      <c r="BG596"/>
      <c r="BH596"/>
      <c r="BI596"/>
      <c r="BJ596"/>
      <c r="BK596"/>
      <c r="BL596"/>
      <c r="BM596" s="101"/>
      <c r="BN596"/>
      <c r="BO596" s="102"/>
      <c r="BP596"/>
      <c r="BQ596"/>
      <c r="BR596"/>
      <c r="BS596"/>
      <c r="BT596"/>
      <c r="BU596" s="101"/>
      <c r="BV596"/>
      <c r="BW596"/>
      <c r="BX596" s="102"/>
      <c r="BY596" s="101"/>
      <c r="BZ596" s="101"/>
      <c r="CA596" s="101"/>
      <c r="CB596" s="101"/>
      <c r="CC596" s="101"/>
    </row>
    <row r="597" spans="1:81" x14ac:dyDescent="0.25">
      <c r="A597"/>
      <c r="B597" s="101"/>
      <c r="C597"/>
      <c r="D597" s="101"/>
      <c r="E597" s="101"/>
      <c r="F597" s="101"/>
      <c r="G597" s="101"/>
      <c r="H597" s="101"/>
      <c r="I597" s="101"/>
      <c r="J597" s="101"/>
      <c r="K597" s="101"/>
      <c r="L597"/>
      <c r="M597"/>
      <c r="N597"/>
      <c r="O597"/>
      <c r="P597"/>
      <c r="Q597" s="102"/>
      <c r="R597"/>
      <c r="S597"/>
      <c r="T597"/>
      <c r="U597"/>
      <c r="V597" s="102"/>
      <c r="W597"/>
      <c r="X597" s="101"/>
      <c r="Y597"/>
      <c r="Z597" s="101"/>
      <c r="AA597" s="101"/>
      <c r="AB597" s="101"/>
      <c r="AC597" s="101"/>
      <c r="AD597" s="101"/>
      <c r="AE597"/>
      <c r="AF597" s="101"/>
      <c r="AG597"/>
      <c r="AH597"/>
      <c r="AI597" s="101"/>
      <c r="AJ597" s="101"/>
      <c r="AK597"/>
      <c r="AL597"/>
      <c r="AM597"/>
      <c r="AN597"/>
      <c r="AO597"/>
      <c r="AP597" s="101"/>
      <c r="AQ597"/>
      <c r="AR597"/>
      <c r="AS597"/>
      <c r="AT597"/>
      <c r="AU597"/>
      <c r="AV597" s="101"/>
      <c r="AW597"/>
      <c r="AX597"/>
      <c r="AY597"/>
      <c r="AZ597"/>
      <c r="BA597"/>
      <c r="BB597"/>
      <c r="BC597"/>
      <c r="BD597"/>
      <c r="BE597"/>
      <c r="BF597"/>
      <c r="BG597"/>
      <c r="BH597"/>
      <c r="BI597"/>
      <c r="BJ597"/>
      <c r="BK597"/>
      <c r="BL597"/>
      <c r="BM597" s="101"/>
      <c r="BN597"/>
      <c r="BO597" s="102"/>
      <c r="BP597"/>
      <c r="BQ597"/>
      <c r="BR597"/>
      <c r="BS597"/>
      <c r="BT597"/>
      <c r="BU597" s="101"/>
      <c r="BV597"/>
      <c r="BW597"/>
      <c r="BX597" s="102"/>
      <c r="BY597" s="101"/>
      <c r="BZ597" s="101"/>
      <c r="CA597" s="101"/>
      <c r="CB597" s="101"/>
      <c r="CC597" s="101"/>
    </row>
    <row r="598" spans="1:81" x14ac:dyDescent="0.25">
      <c r="A598"/>
      <c r="B598" s="101"/>
      <c r="C598"/>
      <c r="D598" s="101"/>
      <c r="E598" s="101"/>
      <c r="F598" s="101"/>
      <c r="G598" s="101"/>
      <c r="H598" s="101"/>
      <c r="I598" s="101"/>
      <c r="J598" s="101"/>
      <c r="K598" s="101"/>
      <c r="L598"/>
      <c r="M598"/>
      <c r="N598"/>
      <c r="O598"/>
      <c r="P598"/>
      <c r="Q598" s="102"/>
      <c r="R598"/>
      <c r="S598"/>
      <c r="T598"/>
      <c r="U598"/>
      <c r="V598" s="102"/>
      <c r="W598"/>
      <c r="X598" s="101"/>
      <c r="Y598"/>
      <c r="Z598" s="101"/>
      <c r="AA598" s="101"/>
      <c r="AB598" s="101"/>
      <c r="AC598" s="101"/>
      <c r="AD598" s="101"/>
      <c r="AE598"/>
      <c r="AF598" s="101"/>
      <c r="AG598"/>
      <c r="AH598"/>
      <c r="AI598" s="101"/>
      <c r="AJ598" s="101"/>
      <c r="AK598" s="101"/>
      <c r="AL598" s="101"/>
      <c r="AM598" s="101"/>
      <c r="AN598" s="101"/>
      <c r="AO598" s="101"/>
      <c r="AP598"/>
      <c r="AQ598"/>
      <c r="AR598"/>
      <c r="AS598"/>
      <c r="AT598"/>
      <c r="AU598"/>
      <c r="AV598" s="101"/>
      <c r="AW598"/>
      <c r="AX598"/>
      <c r="AY598"/>
      <c r="AZ598"/>
      <c r="BA598"/>
      <c r="BB598"/>
      <c r="BC598"/>
      <c r="BD598"/>
      <c r="BE598"/>
      <c r="BF598"/>
      <c r="BG598"/>
      <c r="BH598"/>
      <c r="BI598"/>
      <c r="BJ598"/>
      <c r="BK598"/>
      <c r="BL598"/>
      <c r="BM598" s="101"/>
      <c r="BN598"/>
      <c r="BO598" s="102"/>
      <c r="BP598"/>
      <c r="BQ598"/>
      <c r="BR598"/>
      <c r="BS598"/>
      <c r="BT598"/>
      <c r="BU598" s="101"/>
      <c r="BV598"/>
      <c r="BW598"/>
      <c r="BX598" s="102"/>
      <c r="BY598" s="101"/>
      <c r="BZ598" s="101"/>
      <c r="CA598" s="101"/>
      <c r="CB598" s="101"/>
      <c r="CC598" s="101"/>
    </row>
    <row r="599" spans="1:81" x14ac:dyDescent="0.25">
      <c r="A599"/>
      <c r="B599" s="101"/>
      <c r="C599"/>
      <c r="D599" s="101"/>
      <c r="E599" s="101"/>
      <c r="F599" s="101"/>
      <c r="G599" s="101"/>
      <c r="H599" s="101"/>
      <c r="I599" s="101"/>
      <c r="J599" s="101"/>
      <c r="K599" s="101"/>
      <c r="L599"/>
      <c r="M599"/>
      <c r="N599"/>
      <c r="O599"/>
      <c r="P599"/>
      <c r="Q599" s="102"/>
      <c r="R599"/>
      <c r="S599"/>
      <c r="T599"/>
      <c r="U599"/>
      <c r="V599" s="102"/>
      <c r="W599"/>
      <c r="X599" s="101"/>
      <c r="Y599"/>
      <c r="Z599" s="101"/>
      <c r="AA599" s="101"/>
      <c r="AB599" s="101"/>
      <c r="AC599" s="101"/>
      <c r="AD599" s="101"/>
      <c r="AE599"/>
      <c r="AF599" s="101"/>
      <c r="AG599"/>
      <c r="AH599"/>
      <c r="AI599" s="101"/>
      <c r="AJ599" s="101"/>
      <c r="AK599"/>
      <c r="AL599"/>
      <c r="AM599"/>
      <c r="AN599"/>
      <c r="AO599"/>
      <c r="AP599" s="101"/>
      <c r="AQ599"/>
      <c r="AR599"/>
      <c r="AS599"/>
      <c r="AT599"/>
      <c r="AU599"/>
      <c r="AV599" s="101"/>
      <c r="AW599"/>
      <c r="AX599"/>
      <c r="AY599"/>
      <c r="AZ599"/>
      <c r="BA599"/>
      <c r="BB599"/>
      <c r="BC599"/>
      <c r="BD599"/>
      <c r="BE599"/>
      <c r="BF599"/>
      <c r="BG599"/>
      <c r="BH599"/>
      <c r="BI599"/>
      <c r="BJ599"/>
      <c r="BK599"/>
      <c r="BL599"/>
      <c r="BM599" s="101"/>
      <c r="BN599"/>
      <c r="BO599" s="102"/>
      <c r="BP599"/>
      <c r="BQ599"/>
      <c r="BR599"/>
      <c r="BS599"/>
      <c r="BT599"/>
      <c r="BU599" s="101"/>
      <c r="BV599"/>
      <c r="BW599"/>
      <c r="BX599" s="102"/>
      <c r="BY599" s="101"/>
      <c r="BZ599" s="101"/>
      <c r="CA599" s="101"/>
      <c r="CB599" s="101"/>
      <c r="CC599" s="101"/>
    </row>
    <row r="600" spans="1:81" x14ac:dyDescent="0.25">
      <c r="A600"/>
      <c r="B600" s="101"/>
      <c r="C600"/>
      <c r="D600" s="101"/>
      <c r="E600" s="101"/>
      <c r="F600" s="101"/>
      <c r="G600" s="101"/>
      <c r="H600" s="101"/>
      <c r="I600" s="101"/>
      <c r="J600" s="101"/>
      <c r="K600" s="101"/>
      <c r="L600"/>
      <c r="M600"/>
      <c r="N600"/>
      <c r="O600"/>
      <c r="P600"/>
      <c r="Q600" s="102"/>
      <c r="R600"/>
      <c r="S600"/>
      <c r="T600"/>
      <c r="U600"/>
      <c r="V600" s="102"/>
      <c r="W600"/>
      <c r="X600" s="101"/>
      <c r="Y600"/>
      <c r="Z600" s="101"/>
      <c r="AA600" s="101"/>
      <c r="AB600" s="101"/>
      <c r="AC600" s="101"/>
      <c r="AD600" s="101"/>
      <c r="AE600"/>
      <c r="AF600" s="101"/>
      <c r="AG600"/>
      <c r="AH600"/>
      <c r="AI600" s="101"/>
      <c r="AJ600" s="101"/>
      <c r="AK600"/>
      <c r="AL600"/>
      <c r="AM600"/>
      <c r="AN600"/>
      <c r="AO600"/>
      <c r="AP600" s="101"/>
      <c r="AQ600"/>
      <c r="AR600"/>
      <c r="AS600"/>
      <c r="AT600"/>
      <c r="AU600"/>
      <c r="AV600" s="101"/>
      <c r="AW600"/>
      <c r="AX600"/>
      <c r="AY600"/>
      <c r="AZ600"/>
      <c r="BA600"/>
      <c r="BB600"/>
      <c r="BC600"/>
      <c r="BD600"/>
      <c r="BE600"/>
      <c r="BF600"/>
      <c r="BG600"/>
      <c r="BH600"/>
      <c r="BI600"/>
      <c r="BJ600"/>
      <c r="BK600"/>
      <c r="BL600"/>
      <c r="BM600" s="101"/>
      <c r="BN600"/>
      <c r="BO600" s="102"/>
      <c r="BP600"/>
      <c r="BQ600"/>
      <c r="BR600"/>
      <c r="BS600"/>
      <c r="BT600"/>
      <c r="BU600" s="101"/>
      <c r="BV600"/>
      <c r="BW600"/>
      <c r="BX600" s="102"/>
      <c r="BY600" s="101"/>
      <c r="BZ600" s="101"/>
      <c r="CA600" s="101"/>
      <c r="CB600" s="101"/>
      <c r="CC600" s="101"/>
    </row>
    <row r="601" spans="1:81" x14ac:dyDescent="0.25">
      <c r="A601"/>
      <c r="B601" s="101"/>
      <c r="C601"/>
      <c r="D601" s="101"/>
      <c r="E601" s="101"/>
      <c r="F601" s="101"/>
      <c r="G601" s="101"/>
      <c r="H601" s="101"/>
      <c r="I601" s="101"/>
      <c r="J601" s="101"/>
      <c r="K601" s="101"/>
      <c r="L601"/>
      <c r="M601"/>
      <c r="N601"/>
      <c r="O601"/>
      <c r="P601"/>
      <c r="Q601" s="102"/>
      <c r="R601"/>
      <c r="S601"/>
      <c r="T601"/>
      <c r="U601"/>
      <c r="V601" s="102"/>
      <c r="W601"/>
      <c r="X601" s="101"/>
      <c r="Y601"/>
      <c r="Z601" s="101"/>
      <c r="AA601" s="101"/>
      <c r="AB601" s="101"/>
      <c r="AC601" s="101"/>
      <c r="AD601" s="101"/>
      <c r="AE601"/>
      <c r="AF601" s="101"/>
      <c r="AG601"/>
      <c r="AH601"/>
      <c r="AI601" s="101"/>
      <c r="AJ601" s="101"/>
      <c r="AK601"/>
      <c r="AL601"/>
      <c r="AM601"/>
      <c r="AN601"/>
      <c r="AO601"/>
      <c r="AP601" s="101"/>
      <c r="AQ601"/>
      <c r="AR601"/>
      <c r="AS601"/>
      <c r="AT601"/>
      <c r="AU601"/>
      <c r="AV601" s="101"/>
      <c r="AW601"/>
      <c r="AX601"/>
      <c r="AY601"/>
      <c r="AZ601"/>
      <c r="BA601"/>
      <c r="BB601"/>
      <c r="BC601"/>
      <c r="BD601"/>
      <c r="BE601"/>
      <c r="BF601"/>
      <c r="BG601"/>
      <c r="BH601"/>
      <c r="BI601"/>
      <c r="BJ601"/>
      <c r="BK601"/>
      <c r="BL601"/>
      <c r="BM601" s="101"/>
      <c r="BN601"/>
      <c r="BO601" s="102"/>
      <c r="BP601"/>
      <c r="BQ601"/>
      <c r="BR601"/>
      <c r="BS601"/>
      <c r="BT601"/>
      <c r="BU601" s="101"/>
      <c r="BV601"/>
      <c r="BW601"/>
      <c r="BX601" s="102"/>
      <c r="BY601" s="101"/>
      <c r="BZ601" s="101"/>
      <c r="CA601" s="101"/>
      <c r="CB601" s="101"/>
      <c r="CC601" s="101"/>
    </row>
    <row r="602" spans="1:81" x14ac:dyDescent="0.25">
      <c r="A602"/>
      <c r="B602" s="101"/>
      <c r="C602"/>
      <c r="D602" s="101"/>
      <c r="E602" s="101"/>
      <c r="F602" s="101"/>
      <c r="G602" s="101"/>
      <c r="H602" s="101"/>
      <c r="I602" s="101"/>
      <c r="J602" s="101"/>
      <c r="K602" s="101"/>
      <c r="L602"/>
      <c r="M602"/>
      <c r="N602"/>
      <c r="O602"/>
      <c r="P602"/>
      <c r="Q602" s="102"/>
      <c r="R602"/>
      <c r="S602"/>
      <c r="T602"/>
      <c r="U602"/>
      <c r="V602" s="102"/>
      <c r="W602"/>
      <c r="X602" s="101"/>
      <c r="Y602"/>
      <c r="Z602" s="101"/>
      <c r="AA602" s="101"/>
      <c r="AB602" s="101"/>
      <c r="AC602" s="101"/>
      <c r="AD602" s="101"/>
      <c r="AE602"/>
      <c r="AF602" s="101"/>
      <c r="AG602"/>
      <c r="AH602"/>
      <c r="AI602" s="101"/>
      <c r="AJ602" s="101"/>
      <c r="AK602" s="101"/>
      <c r="AL602" s="101"/>
      <c r="AM602" s="101"/>
      <c r="AN602" s="101"/>
      <c r="AO602" s="101"/>
      <c r="AP602"/>
      <c r="AQ602"/>
      <c r="AR602"/>
      <c r="AS602"/>
      <c r="AT602"/>
      <c r="AU602"/>
      <c r="AV602" s="101"/>
      <c r="AW602"/>
      <c r="AX602"/>
      <c r="AY602"/>
      <c r="AZ602"/>
      <c r="BA602"/>
      <c r="BB602"/>
      <c r="BC602"/>
      <c r="BD602"/>
      <c r="BE602"/>
      <c r="BF602"/>
      <c r="BG602"/>
      <c r="BH602"/>
      <c r="BI602"/>
      <c r="BJ602"/>
      <c r="BK602"/>
      <c r="BL602"/>
      <c r="BM602" s="101"/>
      <c r="BN602"/>
      <c r="BO602" s="102"/>
      <c r="BP602"/>
      <c r="BQ602"/>
      <c r="BR602"/>
      <c r="BS602"/>
      <c r="BT602"/>
      <c r="BU602" s="101"/>
      <c r="BV602"/>
      <c r="BW602"/>
      <c r="BX602" s="102"/>
      <c r="BY602" s="101"/>
      <c r="BZ602" s="101"/>
      <c r="CA602" s="101"/>
      <c r="CB602" s="101"/>
      <c r="CC602" s="101"/>
    </row>
    <row r="603" spans="1:81" x14ac:dyDescent="0.25">
      <c r="A603"/>
      <c r="B603" s="101"/>
      <c r="C603"/>
      <c r="D603" s="101"/>
      <c r="E603" s="101"/>
      <c r="F603" s="101"/>
      <c r="G603" s="101"/>
      <c r="H603" s="101"/>
      <c r="I603" s="101"/>
      <c r="J603" s="101"/>
      <c r="K603" s="101"/>
      <c r="L603"/>
      <c r="M603"/>
      <c r="N603"/>
      <c r="O603"/>
      <c r="P603"/>
      <c r="Q603" s="102"/>
      <c r="R603"/>
      <c r="S603"/>
      <c r="T603"/>
      <c r="U603"/>
      <c r="V603" s="102"/>
      <c r="W603"/>
      <c r="X603" s="101"/>
      <c r="Y603"/>
      <c r="Z603" s="101"/>
      <c r="AA603" s="101"/>
      <c r="AB603" s="101"/>
      <c r="AC603" s="101"/>
      <c r="AD603" s="101"/>
      <c r="AE603"/>
      <c r="AF603" s="101"/>
      <c r="AG603"/>
      <c r="AH603"/>
      <c r="AI603" s="101"/>
      <c r="AJ603" s="101"/>
      <c r="AK603"/>
      <c r="AL603"/>
      <c r="AM603"/>
      <c r="AN603"/>
      <c r="AO603"/>
      <c r="AP603" s="101"/>
      <c r="AQ603"/>
      <c r="AR603"/>
      <c r="AS603"/>
      <c r="AT603"/>
      <c r="AU603"/>
      <c r="AV603" s="101"/>
      <c r="AW603"/>
      <c r="AX603"/>
      <c r="AY603"/>
      <c r="AZ603"/>
      <c r="BA603"/>
      <c r="BB603"/>
      <c r="BC603"/>
      <c r="BD603"/>
      <c r="BE603"/>
      <c r="BF603"/>
      <c r="BG603"/>
      <c r="BH603"/>
      <c r="BI603"/>
      <c r="BJ603"/>
      <c r="BK603"/>
      <c r="BL603"/>
      <c r="BM603" s="101"/>
      <c r="BN603"/>
      <c r="BO603" s="102"/>
      <c r="BP603"/>
      <c r="BQ603"/>
      <c r="BR603"/>
      <c r="BS603"/>
      <c r="BT603"/>
      <c r="BU603" s="101"/>
      <c r="BV603"/>
      <c r="BW603"/>
      <c r="BX603" s="102"/>
      <c r="BY603" s="101"/>
      <c r="BZ603" s="101"/>
      <c r="CA603" s="101"/>
      <c r="CB603" s="101"/>
      <c r="CC603" s="101"/>
    </row>
    <row r="604" spans="1:81" x14ac:dyDescent="0.25">
      <c r="A604"/>
      <c r="B604" s="101"/>
      <c r="C604"/>
      <c r="D604" s="101"/>
      <c r="E604" s="101"/>
      <c r="F604" s="101"/>
      <c r="G604" s="101"/>
      <c r="H604" s="101"/>
      <c r="I604" s="101"/>
      <c r="J604" s="101"/>
      <c r="K604" s="101"/>
      <c r="L604"/>
      <c r="M604"/>
      <c r="N604"/>
      <c r="O604"/>
      <c r="P604"/>
      <c r="Q604" s="102"/>
      <c r="R604"/>
      <c r="S604"/>
      <c r="T604"/>
      <c r="U604"/>
      <c r="V604" s="102"/>
      <c r="W604"/>
      <c r="X604" s="101"/>
      <c r="Y604"/>
      <c r="Z604" s="101"/>
      <c r="AA604" s="101"/>
      <c r="AB604" s="101"/>
      <c r="AC604" s="101"/>
      <c r="AD604" s="101"/>
      <c r="AE604"/>
      <c r="AF604" s="101"/>
      <c r="AG604"/>
      <c r="AH604"/>
      <c r="AI604" s="101"/>
      <c r="AJ604" s="101"/>
      <c r="AK604"/>
      <c r="AL604"/>
      <c r="AM604"/>
      <c r="AN604"/>
      <c r="AO604"/>
      <c r="AP604" s="101"/>
      <c r="AQ604"/>
      <c r="AR604"/>
      <c r="AS604"/>
      <c r="AT604"/>
      <c r="AU604"/>
      <c r="AV604" s="101"/>
      <c r="AW604"/>
      <c r="AX604"/>
      <c r="AY604"/>
      <c r="AZ604"/>
      <c r="BA604"/>
      <c r="BB604"/>
      <c r="BC604"/>
      <c r="BD604"/>
      <c r="BE604"/>
      <c r="BF604"/>
      <c r="BG604"/>
      <c r="BH604"/>
      <c r="BI604"/>
      <c r="BJ604"/>
      <c r="BK604"/>
      <c r="BL604"/>
      <c r="BM604" s="101"/>
      <c r="BN604"/>
      <c r="BO604" s="102"/>
      <c r="BP604"/>
      <c r="BQ604"/>
      <c r="BR604"/>
      <c r="BS604"/>
      <c r="BT604"/>
      <c r="BU604" s="101"/>
      <c r="BV604"/>
      <c r="BW604"/>
      <c r="BX604" s="102"/>
      <c r="BY604" s="101"/>
      <c r="BZ604" s="101"/>
      <c r="CA604" s="101"/>
      <c r="CB604" s="101"/>
      <c r="CC604" s="101"/>
    </row>
    <row r="605" spans="1:81" x14ac:dyDescent="0.25">
      <c r="A605"/>
      <c r="B605" s="101"/>
      <c r="C605"/>
      <c r="D605" s="101"/>
      <c r="E605" s="101"/>
      <c r="F605" s="101"/>
      <c r="G605" s="101"/>
      <c r="H605" s="101"/>
      <c r="I605" s="101"/>
      <c r="J605" s="101"/>
      <c r="K605" s="101"/>
      <c r="L605"/>
      <c r="M605"/>
      <c r="N605"/>
      <c r="O605"/>
      <c r="P605"/>
      <c r="Q605" s="102"/>
      <c r="R605"/>
      <c r="S605"/>
      <c r="T605"/>
      <c r="U605"/>
      <c r="V605" s="102"/>
      <c r="W605"/>
      <c r="X605" s="101"/>
      <c r="Y605"/>
      <c r="Z605" s="101"/>
      <c r="AA605" s="101"/>
      <c r="AB605" s="101"/>
      <c r="AC605" s="101"/>
      <c r="AD605" s="101"/>
      <c r="AE605"/>
      <c r="AF605" s="101"/>
      <c r="AG605"/>
      <c r="AH605"/>
      <c r="AI605" s="101"/>
      <c r="AJ605" s="101"/>
      <c r="AK605" s="101"/>
      <c r="AL605" s="101"/>
      <c r="AM605" s="101"/>
      <c r="AN605" s="101"/>
      <c r="AO605" s="101"/>
      <c r="AP605"/>
      <c r="AQ605"/>
      <c r="AR605"/>
      <c r="AS605"/>
      <c r="AT605"/>
      <c r="AU605"/>
      <c r="AV605" s="101"/>
      <c r="AW605"/>
      <c r="AX605"/>
      <c r="AY605"/>
      <c r="AZ605"/>
      <c r="BA605"/>
      <c r="BB605"/>
      <c r="BC605"/>
      <c r="BD605"/>
      <c r="BE605"/>
      <c r="BF605"/>
      <c r="BG605"/>
      <c r="BH605"/>
      <c r="BI605"/>
      <c r="BJ605"/>
      <c r="BK605"/>
      <c r="BL605"/>
      <c r="BM605" s="101"/>
      <c r="BN605"/>
      <c r="BO605" s="102"/>
      <c r="BP605"/>
      <c r="BQ605"/>
      <c r="BR605"/>
      <c r="BS605"/>
      <c r="BT605"/>
      <c r="BU605" s="101"/>
      <c r="BV605"/>
      <c r="BW605"/>
      <c r="BX605" s="102"/>
      <c r="BY605" s="101"/>
      <c r="BZ605" s="101"/>
      <c r="CA605" s="101"/>
      <c r="CB605" s="101"/>
      <c r="CC605" s="101"/>
    </row>
    <row r="606" spans="1:81" x14ac:dyDescent="0.25">
      <c r="A606"/>
      <c r="B606" s="101"/>
      <c r="C606"/>
      <c r="D606" s="101"/>
      <c r="E606" s="101"/>
      <c r="F606" s="101"/>
      <c r="G606" s="101"/>
      <c r="H606" s="101"/>
      <c r="I606" s="101"/>
      <c r="J606" s="101"/>
      <c r="K606" s="101"/>
      <c r="L606"/>
      <c r="M606"/>
      <c r="N606"/>
      <c r="O606"/>
      <c r="P606"/>
      <c r="Q606" s="102"/>
      <c r="R606"/>
      <c r="S606"/>
      <c r="T606"/>
      <c r="U606"/>
      <c r="V606" s="102"/>
      <c r="W606"/>
      <c r="X606" s="101"/>
      <c r="Y606"/>
      <c r="Z606" s="101"/>
      <c r="AA606" s="101"/>
      <c r="AB606" s="101"/>
      <c r="AC606" s="101"/>
      <c r="AD606" s="101"/>
      <c r="AE606"/>
      <c r="AF606" s="101"/>
      <c r="AG606"/>
      <c r="AH606"/>
      <c r="AI606" s="101"/>
      <c r="AJ606" s="101"/>
      <c r="AK606" s="101"/>
      <c r="AL606" s="101"/>
      <c r="AM606" s="101"/>
      <c r="AN606" s="101"/>
      <c r="AO606" s="101"/>
      <c r="AP606"/>
      <c r="AQ606"/>
      <c r="AR606"/>
      <c r="AS606"/>
      <c r="AT606"/>
      <c r="AU606"/>
      <c r="AV606" s="101"/>
      <c r="AW606"/>
      <c r="AX606"/>
      <c r="AY606"/>
      <c r="AZ606"/>
      <c r="BA606"/>
      <c r="BB606"/>
      <c r="BC606"/>
      <c r="BD606"/>
      <c r="BE606"/>
      <c r="BF606"/>
      <c r="BG606"/>
      <c r="BH606"/>
      <c r="BI606"/>
      <c r="BJ606"/>
      <c r="BK606"/>
      <c r="BL606"/>
      <c r="BM606" s="101"/>
      <c r="BN606"/>
      <c r="BO606" s="102"/>
      <c r="BP606"/>
      <c r="BQ606"/>
      <c r="BR606"/>
      <c r="BS606"/>
      <c r="BT606"/>
      <c r="BU606" s="101"/>
      <c r="BV606"/>
      <c r="BW606"/>
      <c r="BX606" s="102"/>
      <c r="BY606" s="101"/>
      <c r="BZ606" s="101"/>
      <c r="CA606" s="101"/>
      <c r="CB606" s="101"/>
      <c r="CC606" s="101"/>
    </row>
    <row r="607" spans="1:81" x14ac:dyDescent="0.25">
      <c r="Q607" s="103"/>
      <c r="V607" s="103"/>
      <c r="BO607" s="103"/>
      <c r="BX607" s="103"/>
    </row>
    <row r="608" spans="1:81" x14ac:dyDescent="0.25">
      <c r="Q608" s="103"/>
      <c r="V608" s="103"/>
      <c r="BO608" s="103"/>
      <c r="BX608" s="103"/>
    </row>
    <row r="609" spans="1:81" x14ac:dyDescent="0.25">
      <c r="A609"/>
      <c r="B609" s="101"/>
      <c r="C609"/>
      <c r="D609" s="101"/>
      <c r="E609" s="101"/>
      <c r="F609" s="101"/>
      <c r="G609" s="101"/>
      <c r="H609" s="101"/>
      <c r="I609" s="101"/>
      <c r="J609" s="101"/>
      <c r="K609" s="101"/>
      <c r="L609"/>
      <c r="M609"/>
      <c r="N609"/>
      <c r="O609"/>
      <c r="P609"/>
      <c r="Q609" s="102"/>
      <c r="R609"/>
      <c r="S609"/>
      <c r="T609"/>
      <c r="U609"/>
      <c r="V609" s="102"/>
      <c r="W609"/>
      <c r="X609" s="101"/>
      <c r="Y609"/>
      <c r="Z609" s="101"/>
      <c r="AA609" s="101"/>
      <c r="AB609" s="101"/>
      <c r="AC609" s="101"/>
      <c r="AD609" s="101"/>
      <c r="AE609"/>
      <c r="AF609" s="101"/>
      <c r="AG609"/>
      <c r="AH609"/>
      <c r="AI609" s="101"/>
      <c r="AJ609" s="101"/>
      <c r="AK609" s="101"/>
      <c r="AL609" s="101"/>
      <c r="AM609" s="101"/>
      <c r="AN609" s="101"/>
      <c r="AO609" s="101"/>
      <c r="AP609"/>
      <c r="AQ609"/>
      <c r="AR609"/>
      <c r="AS609"/>
      <c r="AT609"/>
      <c r="AU609"/>
      <c r="AV609" s="101"/>
      <c r="AW609"/>
      <c r="AX609"/>
      <c r="AY609"/>
      <c r="AZ609"/>
      <c r="BA609"/>
      <c r="BB609"/>
      <c r="BC609"/>
      <c r="BD609"/>
      <c r="BE609"/>
      <c r="BF609"/>
      <c r="BG609"/>
      <c r="BH609"/>
      <c r="BI609"/>
      <c r="BJ609"/>
      <c r="BK609"/>
      <c r="BL609"/>
      <c r="BM609" s="101"/>
      <c r="BN609"/>
      <c r="BO609" s="102"/>
      <c r="BP609"/>
      <c r="BQ609"/>
      <c r="BR609"/>
      <c r="BS609"/>
      <c r="BT609"/>
      <c r="BU609" s="101"/>
      <c r="BV609"/>
      <c r="BW609"/>
      <c r="BX609" s="102"/>
      <c r="BY609" s="101"/>
      <c r="BZ609" s="101"/>
      <c r="CA609" s="101"/>
      <c r="CB609" s="101"/>
      <c r="CC609" s="101"/>
    </row>
    <row r="610" spans="1:81" x14ac:dyDescent="0.25">
      <c r="Q610" s="103"/>
      <c r="V610" s="103"/>
      <c r="BO610" s="103"/>
      <c r="BX610" s="103"/>
    </row>
    <row r="611" spans="1:81" x14ac:dyDescent="0.25">
      <c r="A611"/>
      <c r="B611" s="101"/>
      <c r="C611"/>
      <c r="D611" s="101"/>
      <c r="E611" s="101"/>
      <c r="F611" s="101"/>
      <c r="G611" s="101"/>
      <c r="H611" s="101"/>
      <c r="I611" s="101"/>
      <c r="J611" s="101"/>
      <c r="K611" s="101"/>
      <c r="L611"/>
      <c r="M611"/>
      <c r="N611"/>
      <c r="O611"/>
      <c r="P611"/>
      <c r="Q611" s="102"/>
      <c r="R611"/>
      <c r="S611"/>
      <c r="T611"/>
      <c r="U611"/>
      <c r="V611" s="102"/>
      <c r="W611"/>
      <c r="X611" s="101"/>
      <c r="Y611"/>
      <c r="Z611" s="101"/>
      <c r="AA611" s="101"/>
      <c r="AB611" s="101"/>
      <c r="AC611" s="101"/>
      <c r="AD611" s="101"/>
      <c r="AE611"/>
      <c r="AF611" s="101"/>
      <c r="AG611"/>
      <c r="AH611"/>
      <c r="AI611" s="101"/>
      <c r="AJ611" s="101"/>
      <c r="AK611" s="101"/>
      <c r="AL611" s="101"/>
      <c r="AM611" s="101"/>
      <c r="AN611" s="101"/>
      <c r="AO611" s="101"/>
      <c r="AP611" s="101"/>
      <c r="AQ611"/>
      <c r="AR611"/>
      <c r="AS611"/>
      <c r="AT611"/>
      <c r="AU611"/>
      <c r="AV611" s="101"/>
      <c r="AW611"/>
      <c r="AX611"/>
      <c r="AY611"/>
      <c r="AZ611"/>
      <c r="BA611"/>
      <c r="BB611"/>
      <c r="BC611"/>
      <c r="BD611"/>
      <c r="BE611"/>
      <c r="BF611"/>
      <c r="BG611"/>
      <c r="BH611"/>
      <c r="BI611"/>
      <c r="BJ611"/>
      <c r="BK611"/>
      <c r="BL611"/>
      <c r="BM611" s="101"/>
      <c r="BN611"/>
      <c r="BO611" s="102"/>
      <c r="BP611"/>
      <c r="BQ611"/>
      <c r="BR611"/>
      <c r="BS611"/>
      <c r="BT611"/>
      <c r="BU611" s="101"/>
      <c r="BV611"/>
      <c r="BW611"/>
      <c r="BX611" s="102"/>
      <c r="BY611" s="101"/>
      <c r="BZ611" s="101"/>
      <c r="CA611" s="101"/>
      <c r="CB611" s="101"/>
      <c r="CC611" s="101"/>
    </row>
    <row r="612" spans="1:81" x14ac:dyDescent="0.25">
      <c r="A612"/>
      <c r="B612" s="101"/>
      <c r="C612"/>
      <c r="D612" s="101"/>
      <c r="E612" s="101"/>
      <c r="F612" s="101"/>
      <c r="G612" s="101"/>
      <c r="H612" s="101"/>
      <c r="I612" s="101"/>
      <c r="J612" s="101"/>
      <c r="K612" s="101"/>
      <c r="L612"/>
      <c r="M612"/>
      <c r="N612"/>
      <c r="O612"/>
      <c r="P612"/>
      <c r="Q612" s="102"/>
      <c r="R612"/>
      <c r="S612"/>
      <c r="T612"/>
      <c r="U612"/>
      <c r="V612" s="102"/>
      <c r="W612"/>
      <c r="X612" s="101"/>
      <c r="Y612"/>
      <c r="Z612" s="101"/>
      <c r="AA612" s="101"/>
      <c r="AB612" s="101"/>
      <c r="AC612" s="101"/>
      <c r="AD612" s="101"/>
      <c r="AE612"/>
      <c r="AF612" s="101"/>
      <c r="AG612"/>
      <c r="AH612"/>
      <c r="AI612" s="101"/>
      <c r="AJ612" s="101"/>
      <c r="AK612" s="101"/>
      <c r="AL612" s="101"/>
      <c r="AM612" s="101"/>
      <c r="AN612" s="101"/>
      <c r="AO612" s="101"/>
      <c r="AP612"/>
      <c r="AQ612"/>
      <c r="AR612"/>
      <c r="AS612"/>
      <c r="AT612"/>
      <c r="AU612"/>
      <c r="AV612" s="101"/>
      <c r="AW612"/>
      <c r="AX612"/>
      <c r="AY612"/>
      <c r="AZ612"/>
      <c r="BA612"/>
      <c r="BB612"/>
      <c r="BC612"/>
      <c r="BD612"/>
      <c r="BE612"/>
      <c r="BF612"/>
      <c r="BG612"/>
      <c r="BH612"/>
      <c r="BI612"/>
      <c r="BJ612"/>
      <c r="BK612"/>
      <c r="BL612"/>
      <c r="BM612" s="101"/>
      <c r="BN612"/>
      <c r="BO612" s="102"/>
      <c r="BP612"/>
      <c r="BQ612"/>
      <c r="BR612"/>
      <c r="BS612"/>
      <c r="BT612"/>
      <c r="BU612" s="101"/>
      <c r="BV612"/>
      <c r="BW612"/>
      <c r="BX612" s="102"/>
      <c r="BY612" s="101"/>
      <c r="BZ612" s="101"/>
      <c r="CA612" s="101"/>
      <c r="CB612" s="101"/>
      <c r="CC612" s="101"/>
    </row>
    <row r="613" spans="1:81" x14ac:dyDescent="0.25">
      <c r="Q613" s="103"/>
      <c r="V613" s="103"/>
      <c r="BO613" s="103"/>
      <c r="BX613" s="103"/>
    </row>
    <row r="614" spans="1:81" x14ac:dyDescent="0.25">
      <c r="A614"/>
      <c r="B614" s="101"/>
      <c r="C614"/>
      <c r="D614" s="101"/>
      <c r="E614" s="101"/>
      <c r="F614" s="101"/>
      <c r="G614" s="101"/>
      <c r="H614" s="101"/>
      <c r="I614" s="101"/>
      <c r="J614" s="101"/>
      <c r="K614" s="101"/>
      <c r="L614"/>
      <c r="M614"/>
      <c r="N614"/>
      <c r="O614"/>
      <c r="P614"/>
      <c r="Q614" s="102"/>
      <c r="R614"/>
      <c r="S614"/>
      <c r="T614"/>
      <c r="U614"/>
      <c r="V614" s="102"/>
      <c r="W614"/>
      <c r="X614" s="101"/>
      <c r="Y614"/>
      <c r="Z614" s="101"/>
      <c r="AA614" s="101"/>
      <c r="AB614" s="101"/>
      <c r="AC614" s="101"/>
      <c r="AD614" s="101"/>
      <c r="AE614"/>
      <c r="AF614" s="101"/>
      <c r="AG614"/>
      <c r="AH614"/>
      <c r="AI614" s="101"/>
      <c r="AJ614" s="101"/>
      <c r="AK614"/>
      <c r="AL614"/>
      <c r="AM614"/>
      <c r="AN614"/>
      <c r="AO614"/>
      <c r="AP614"/>
      <c r="AQ614"/>
      <c r="AR614"/>
      <c r="AS614"/>
      <c r="AT614"/>
      <c r="AU614"/>
      <c r="AV614" s="101"/>
      <c r="AW614"/>
      <c r="AX614"/>
      <c r="AY614"/>
      <c r="AZ614"/>
      <c r="BA614"/>
      <c r="BB614"/>
      <c r="BC614"/>
      <c r="BD614"/>
      <c r="BE614"/>
      <c r="BF614"/>
      <c r="BG614"/>
      <c r="BH614"/>
      <c r="BI614"/>
      <c r="BJ614"/>
      <c r="BK614"/>
      <c r="BL614"/>
      <c r="BM614" s="101"/>
      <c r="BN614"/>
      <c r="BO614" s="102"/>
      <c r="BP614"/>
      <c r="BQ614"/>
      <c r="BR614"/>
      <c r="BS614"/>
      <c r="BT614"/>
      <c r="BU614" s="101"/>
      <c r="BV614"/>
      <c r="BW614"/>
      <c r="BX614" s="102"/>
      <c r="BY614" s="101"/>
      <c r="BZ614" s="101"/>
      <c r="CA614" s="101"/>
      <c r="CB614" s="101"/>
      <c r="CC614" s="101"/>
    </row>
    <row r="615" spans="1:81" x14ac:dyDescent="0.25">
      <c r="A615"/>
      <c r="B615" s="101"/>
      <c r="C615"/>
      <c r="D615" s="101"/>
      <c r="E615" s="101"/>
      <c r="F615" s="101"/>
      <c r="G615" s="101"/>
      <c r="H615" s="101"/>
      <c r="I615" s="101"/>
      <c r="J615" s="101"/>
      <c r="K615" s="101"/>
      <c r="L615"/>
      <c r="M615"/>
      <c r="N615"/>
      <c r="O615"/>
      <c r="P615"/>
      <c r="Q615" s="102"/>
      <c r="R615"/>
      <c r="S615"/>
      <c r="T615"/>
      <c r="U615"/>
      <c r="V615" s="102"/>
      <c r="W615"/>
      <c r="X615" s="101"/>
      <c r="Y615"/>
      <c r="Z615" s="101"/>
      <c r="AA615" s="101"/>
      <c r="AB615" s="101"/>
      <c r="AC615" s="101"/>
      <c r="AD615" s="101"/>
      <c r="AE615"/>
      <c r="AF615" s="101"/>
      <c r="AG615"/>
      <c r="AH615"/>
      <c r="AI615" s="101"/>
      <c r="AJ615" s="101"/>
      <c r="AK615"/>
      <c r="AL615"/>
      <c r="AM615"/>
      <c r="AN615"/>
      <c r="AO615"/>
      <c r="AP615"/>
      <c r="AQ615"/>
      <c r="AR615"/>
      <c r="AS615"/>
      <c r="AT615"/>
      <c r="AU615"/>
      <c r="AV615" s="101"/>
      <c r="AW615"/>
      <c r="AX615"/>
      <c r="AY615"/>
      <c r="AZ615"/>
      <c r="BA615"/>
      <c r="BB615"/>
      <c r="BC615"/>
      <c r="BD615"/>
      <c r="BE615"/>
      <c r="BF615"/>
      <c r="BG615"/>
      <c r="BH615"/>
      <c r="BI615"/>
      <c r="BJ615"/>
      <c r="BK615"/>
      <c r="BL615"/>
      <c r="BM615" s="101"/>
      <c r="BN615"/>
      <c r="BO615" s="102"/>
      <c r="BP615"/>
      <c r="BQ615"/>
      <c r="BR615"/>
      <c r="BS615"/>
      <c r="BT615"/>
      <c r="BU615" s="101"/>
      <c r="BV615"/>
      <c r="BW615"/>
      <c r="BX615" s="102"/>
      <c r="BY615" s="101"/>
      <c r="BZ615" s="101"/>
      <c r="CA615" s="101"/>
      <c r="CB615" s="101"/>
      <c r="CC615" s="101"/>
    </row>
    <row r="616" spans="1:81" x14ac:dyDescent="0.25">
      <c r="A616"/>
      <c r="B616" s="101"/>
      <c r="C616"/>
      <c r="D616" s="101"/>
      <c r="E616" s="101"/>
      <c r="F616" s="101"/>
      <c r="G616" s="101"/>
      <c r="H616" s="101"/>
      <c r="I616" s="101"/>
      <c r="J616" s="101"/>
      <c r="K616" s="101"/>
      <c r="L616"/>
      <c r="M616"/>
      <c r="N616"/>
      <c r="O616"/>
      <c r="P616"/>
      <c r="Q616" s="102"/>
      <c r="R616"/>
      <c r="S616"/>
      <c r="T616"/>
      <c r="U616"/>
      <c r="V616" s="102"/>
      <c r="W616"/>
      <c r="X616" s="101"/>
      <c r="Y616"/>
      <c r="Z616" s="101"/>
      <c r="AA616" s="101"/>
      <c r="AB616" s="101"/>
      <c r="AC616" s="101"/>
      <c r="AD616" s="101"/>
      <c r="AE616"/>
      <c r="AF616" s="101"/>
      <c r="AG616"/>
      <c r="AH616"/>
      <c r="AI616" s="101"/>
      <c r="AJ616" s="101"/>
      <c r="AK616"/>
      <c r="AL616"/>
      <c r="AM616"/>
      <c r="AN616"/>
      <c r="AO616"/>
      <c r="AP616"/>
      <c r="AQ616"/>
      <c r="AR616"/>
      <c r="AS616"/>
      <c r="AT616"/>
      <c r="AU616"/>
      <c r="AV616" s="101"/>
      <c r="AW616"/>
      <c r="AX616"/>
      <c r="AY616"/>
      <c r="AZ616"/>
      <c r="BA616"/>
      <c r="BB616"/>
      <c r="BC616"/>
      <c r="BD616"/>
      <c r="BE616"/>
      <c r="BF616"/>
      <c r="BG616"/>
      <c r="BH616"/>
      <c r="BI616"/>
      <c r="BJ616"/>
      <c r="BK616"/>
      <c r="BL616"/>
      <c r="BM616" s="101"/>
      <c r="BN616"/>
      <c r="BO616" s="102"/>
      <c r="BP616"/>
      <c r="BQ616"/>
      <c r="BR616"/>
      <c r="BS616"/>
      <c r="BT616"/>
      <c r="BU616" s="101"/>
      <c r="BV616"/>
      <c r="BW616"/>
      <c r="BX616" s="102"/>
      <c r="BY616" s="101"/>
      <c r="BZ616" s="101"/>
      <c r="CA616" s="101"/>
      <c r="CB616" s="101"/>
      <c r="CC616" s="101"/>
    </row>
    <row r="617" spans="1:81" x14ac:dyDescent="0.25">
      <c r="A617"/>
      <c r="B617" s="101"/>
      <c r="C617"/>
      <c r="D617" s="101"/>
      <c r="E617" s="101"/>
      <c r="F617" s="101"/>
      <c r="G617" s="101"/>
      <c r="H617" s="101"/>
      <c r="I617" s="101"/>
      <c r="J617" s="101"/>
      <c r="K617" s="101"/>
      <c r="L617"/>
      <c r="M617"/>
      <c r="N617"/>
      <c r="O617"/>
      <c r="P617"/>
      <c r="Q617" s="102"/>
      <c r="R617"/>
      <c r="S617"/>
      <c r="T617"/>
      <c r="U617"/>
      <c r="V617" s="102"/>
      <c r="W617"/>
      <c r="X617" s="101"/>
      <c r="Y617"/>
      <c r="Z617" s="101"/>
      <c r="AA617" s="101"/>
      <c r="AB617" s="101"/>
      <c r="AC617" s="101"/>
      <c r="AD617" s="101"/>
      <c r="AE617"/>
      <c r="AF617" s="101"/>
      <c r="AG617"/>
      <c r="AH617"/>
      <c r="AI617" s="101"/>
      <c r="AJ617" s="101"/>
      <c r="AK617" s="101"/>
      <c r="AL617" s="101"/>
      <c r="AM617" s="101"/>
      <c r="AN617" s="101"/>
      <c r="AO617" s="101"/>
      <c r="AP617"/>
      <c r="AQ617"/>
      <c r="AR617"/>
      <c r="AS617"/>
      <c r="AT617"/>
      <c r="AU617"/>
      <c r="AV617" s="101"/>
      <c r="AW617"/>
      <c r="AX617"/>
      <c r="AY617"/>
      <c r="AZ617"/>
      <c r="BA617"/>
      <c r="BB617"/>
      <c r="BC617"/>
      <c r="BD617"/>
      <c r="BE617"/>
      <c r="BF617"/>
      <c r="BG617"/>
      <c r="BH617"/>
      <c r="BI617"/>
      <c r="BJ617"/>
      <c r="BK617"/>
      <c r="BL617"/>
      <c r="BM617" s="101"/>
      <c r="BN617"/>
      <c r="BO617" s="102"/>
      <c r="BP617"/>
      <c r="BQ617"/>
      <c r="BR617"/>
      <c r="BS617"/>
      <c r="BT617"/>
      <c r="BU617" s="101"/>
      <c r="BV617"/>
      <c r="BW617"/>
      <c r="BX617" s="102"/>
      <c r="BY617" s="101"/>
      <c r="BZ617" s="101"/>
      <c r="CA617" s="101"/>
      <c r="CB617" s="101"/>
      <c r="CC617" s="101"/>
    </row>
    <row r="618" spans="1:81" x14ac:dyDescent="0.25">
      <c r="A618"/>
      <c r="B618" s="101"/>
      <c r="C618"/>
      <c r="D618" s="101"/>
      <c r="E618" s="101"/>
      <c r="F618" s="101"/>
      <c r="G618" s="101"/>
      <c r="H618" s="101"/>
      <c r="I618" s="101"/>
      <c r="J618" s="101"/>
      <c r="K618" s="101"/>
      <c r="L618"/>
      <c r="M618"/>
      <c r="N618"/>
      <c r="O618"/>
      <c r="P618"/>
      <c r="Q618" s="102"/>
      <c r="R618"/>
      <c r="S618"/>
      <c r="T618"/>
      <c r="U618"/>
      <c r="V618" s="102"/>
      <c r="W618"/>
      <c r="X618" s="101"/>
      <c r="Y618"/>
      <c r="Z618" s="101"/>
      <c r="AA618" s="101"/>
      <c r="AB618" s="101"/>
      <c r="AC618" s="101"/>
      <c r="AD618" s="101"/>
      <c r="AE618"/>
      <c r="AF618" s="101"/>
      <c r="AG618"/>
      <c r="AH618"/>
      <c r="AI618" s="101"/>
      <c r="AJ618" s="101"/>
      <c r="AK618"/>
      <c r="AL618"/>
      <c r="AM618"/>
      <c r="AN618"/>
      <c r="AO618"/>
      <c r="AP618" s="101"/>
      <c r="AQ618"/>
      <c r="AR618"/>
      <c r="AS618"/>
      <c r="AT618"/>
      <c r="AU618"/>
      <c r="AV618" s="101"/>
      <c r="AW618"/>
      <c r="AX618"/>
      <c r="AY618"/>
      <c r="AZ618"/>
      <c r="BA618"/>
      <c r="BB618"/>
      <c r="BC618"/>
      <c r="BD618"/>
      <c r="BE618"/>
      <c r="BF618"/>
      <c r="BG618"/>
      <c r="BH618"/>
      <c r="BI618"/>
      <c r="BJ618"/>
      <c r="BK618"/>
      <c r="BL618"/>
      <c r="BM618" s="101"/>
      <c r="BN618"/>
      <c r="BO618" s="102"/>
      <c r="BP618"/>
      <c r="BQ618"/>
      <c r="BR618"/>
      <c r="BS618"/>
      <c r="BT618"/>
      <c r="BU618" s="101"/>
      <c r="BV618"/>
      <c r="BW618"/>
      <c r="BX618" s="102"/>
      <c r="BY618" s="101"/>
      <c r="BZ618" s="101"/>
      <c r="CA618" s="101"/>
      <c r="CB618" s="101"/>
      <c r="CC618" s="101"/>
    </row>
    <row r="619" spans="1:81" x14ac:dyDescent="0.25">
      <c r="Q619" s="103"/>
      <c r="V619" s="103"/>
      <c r="BO619" s="103"/>
      <c r="BX619" s="103"/>
    </row>
    <row r="620" spans="1:81" x14ac:dyDescent="0.25">
      <c r="A620"/>
      <c r="B620" s="101"/>
      <c r="C620"/>
      <c r="D620" s="101"/>
      <c r="E620" s="101"/>
      <c r="F620" s="101"/>
      <c r="G620" s="101"/>
      <c r="H620" s="101"/>
      <c r="I620" s="101"/>
      <c r="J620" s="101"/>
      <c r="K620" s="101"/>
      <c r="L620"/>
      <c r="M620"/>
      <c r="N620"/>
      <c r="O620"/>
      <c r="P620"/>
      <c r="Q620" s="102"/>
      <c r="R620"/>
      <c r="S620"/>
      <c r="T620"/>
      <c r="U620"/>
      <c r="V620" s="102"/>
      <c r="W620"/>
      <c r="X620" s="101"/>
      <c r="Y620"/>
      <c r="Z620" s="101"/>
      <c r="AA620" s="101"/>
      <c r="AB620" s="101"/>
      <c r="AC620" s="101"/>
      <c r="AD620" s="101"/>
      <c r="AE620"/>
      <c r="AF620" s="101"/>
      <c r="AG620"/>
      <c r="AH620"/>
      <c r="AI620" s="101"/>
      <c r="AJ620" s="101"/>
      <c r="AK620" s="101"/>
      <c r="AL620" s="101"/>
      <c r="AM620" s="101"/>
      <c r="AN620" s="101"/>
      <c r="AO620" s="101"/>
      <c r="AP620"/>
      <c r="AQ620"/>
      <c r="AR620"/>
      <c r="AS620"/>
      <c r="AT620"/>
      <c r="AU620"/>
      <c r="AV620" s="101"/>
      <c r="AW620"/>
      <c r="AX620"/>
      <c r="AY620"/>
      <c r="AZ620"/>
      <c r="BA620"/>
      <c r="BB620"/>
      <c r="BC620"/>
      <c r="BD620"/>
      <c r="BE620"/>
      <c r="BF620"/>
      <c r="BG620"/>
      <c r="BH620"/>
      <c r="BI620"/>
      <c r="BJ620"/>
      <c r="BK620"/>
      <c r="BL620"/>
      <c r="BM620" s="101"/>
      <c r="BN620"/>
      <c r="BO620" s="102"/>
      <c r="BP620"/>
      <c r="BQ620"/>
      <c r="BR620"/>
      <c r="BS620"/>
      <c r="BT620"/>
      <c r="BU620" s="101"/>
      <c r="BV620"/>
      <c r="BW620"/>
      <c r="BX620" s="102"/>
      <c r="BY620" s="101"/>
      <c r="BZ620" s="101"/>
      <c r="CA620" s="101"/>
      <c r="CB620" s="101"/>
      <c r="CC620" s="101"/>
    </row>
    <row r="621" spans="1:81" x14ac:dyDescent="0.25">
      <c r="A621"/>
      <c r="B621" s="101"/>
      <c r="C621"/>
      <c r="D621" s="101"/>
      <c r="E621" s="101"/>
      <c r="F621" s="101"/>
      <c r="G621" s="101"/>
      <c r="H621" s="101"/>
      <c r="I621" s="101"/>
      <c r="J621" s="101"/>
      <c r="K621" s="101"/>
      <c r="L621"/>
      <c r="M621"/>
      <c r="N621"/>
      <c r="O621"/>
      <c r="P621"/>
      <c r="Q621" s="102"/>
      <c r="R621"/>
      <c r="S621"/>
      <c r="T621"/>
      <c r="U621"/>
      <c r="V621" s="102"/>
      <c r="W621"/>
      <c r="X621" s="101"/>
      <c r="Y621"/>
      <c r="Z621" s="101"/>
      <c r="AA621" s="101"/>
      <c r="AB621" s="101"/>
      <c r="AC621" s="101"/>
      <c r="AD621" s="101"/>
      <c r="AE621"/>
      <c r="AF621" s="101"/>
      <c r="AG621"/>
      <c r="AH621"/>
      <c r="AI621" s="101"/>
      <c r="AJ621" s="101"/>
      <c r="AK621"/>
      <c r="AL621"/>
      <c r="AM621"/>
      <c r="AN621"/>
      <c r="AO621"/>
      <c r="AP621"/>
      <c r="AQ621"/>
      <c r="AR621"/>
      <c r="AS621"/>
      <c r="AT621"/>
      <c r="AU621"/>
      <c r="AV621" s="101"/>
      <c r="AW621"/>
      <c r="AX621"/>
      <c r="AY621"/>
      <c r="AZ621"/>
      <c r="BA621"/>
      <c r="BB621"/>
      <c r="BC621"/>
      <c r="BD621"/>
      <c r="BE621"/>
      <c r="BF621"/>
      <c r="BG621"/>
      <c r="BH621"/>
      <c r="BI621"/>
      <c r="BJ621"/>
      <c r="BK621"/>
      <c r="BL621"/>
      <c r="BM621" s="101"/>
      <c r="BN621"/>
      <c r="BO621" s="102"/>
      <c r="BP621"/>
      <c r="BQ621"/>
      <c r="BR621"/>
      <c r="BS621"/>
      <c r="BT621"/>
      <c r="BU621" s="101"/>
      <c r="BV621"/>
      <c r="BW621"/>
      <c r="BX621" s="102"/>
      <c r="BY621" s="101"/>
      <c r="BZ621" s="101"/>
      <c r="CA621" s="101"/>
      <c r="CB621" s="101"/>
      <c r="CC621" s="101"/>
    </row>
    <row r="622" spans="1:81" x14ac:dyDescent="0.25">
      <c r="A622"/>
      <c r="B622" s="101"/>
      <c r="C622"/>
      <c r="D622" s="101"/>
      <c r="E622" s="101"/>
      <c r="F622" s="101"/>
      <c r="G622" s="101"/>
      <c r="H622" s="101"/>
      <c r="I622" s="101"/>
      <c r="J622" s="101"/>
      <c r="K622" s="101"/>
      <c r="L622"/>
      <c r="M622"/>
      <c r="N622"/>
      <c r="O622"/>
      <c r="P622"/>
      <c r="Q622" s="102"/>
      <c r="R622"/>
      <c r="S622"/>
      <c r="T622"/>
      <c r="U622"/>
      <c r="V622" s="102"/>
      <c r="W622"/>
      <c r="X622" s="101"/>
      <c r="Y622"/>
      <c r="Z622" s="101"/>
      <c r="AA622" s="101"/>
      <c r="AB622" s="101"/>
      <c r="AC622" s="101"/>
      <c r="AD622" s="101"/>
      <c r="AE622"/>
      <c r="AF622" s="101"/>
      <c r="AG622"/>
      <c r="AH622"/>
      <c r="AI622" s="101"/>
      <c r="AJ622" s="101"/>
      <c r="AK622" s="101"/>
      <c r="AL622" s="101"/>
      <c r="AM622" s="101"/>
      <c r="AN622" s="101"/>
      <c r="AO622" s="101"/>
      <c r="AP622" s="101"/>
      <c r="AQ622"/>
      <c r="AR622"/>
      <c r="AS622"/>
      <c r="AT622"/>
      <c r="AU622"/>
      <c r="AV622" s="101"/>
      <c r="AW622"/>
      <c r="AX622"/>
      <c r="AY622"/>
      <c r="AZ622"/>
      <c r="BA622"/>
      <c r="BB622"/>
      <c r="BC622"/>
      <c r="BD622"/>
      <c r="BE622"/>
      <c r="BF622"/>
      <c r="BG622"/>
      <c r="BH622"/>
      <c r="BI622"/>
      <c r="BJ622"/>
      <c r="BK622"/>
      <c r="BL622"/>
      <c r="BM622" s="101"/>
      <c r="BN622"/>
      <c r="BO622" s="102"/>
      <c r="BP622"/>
      <c r="BQ622"/>
      <c r="BR622"/>
      <c r="BS622"/>
      <c r="BT622"/>
      <c r="BU622" s="101"/>
      <c r="BV622"/>
      <c r="BW622"/>
      <c r="BX622" s="102"/>
      <c r="BY622" s="101"/>
      <c r="BZ622" s="101"/>
      <c r="CA622" s="101"/>
      <c r="CB622" s="101"/>
      <c r="CC622" s="101"/>
    </row>
    <row r="623" spans="1:81" x14ac:dyDescent="0.25">
      <c r="A623"/>
      <c r="B623" s="101"/>
      <c r="C623"/>
      <c r="D623" s="101"/>
      <c r="E623" s="101"/>
      <c r="F623" s="101"/>
      <c r="G623" s="101"/>
      <c r="H623" s="101"/>
      <c r="I623" s="101"/>
      <c r="J623" s="101"/>
      <c r="K623" s="101"/>
      <c r="L623"/>
      <c r="M623"/>
      <c r="N623"/>
      <c r="O623"/>
      <c r="P623"/>
      <c r="Q623" s="102"/>
      <c r="R623"/>
      <c r="S623"/>
      <c r="T623"/>
      <c r="U623"/>
      <c r="V623" s="102"/>
      <c r="W623"/>
      <c r="X623" s="101"/>
      <c r="Y623"/>
      <c r="Z623" s="101"/>
      <c r="AA623" s="101"/>
      <c r="AB623" s="101"/>
      <c r="AC623" s="101"/>
      <c r="AD623" s="101"/>
      <c r="AE623"/>
      <c r="AF623" s="101"/>
      <c r="AG623"/>
      <c r="AH623"/>
      <c r="AI623" s="101"/>
      <c r="AJ623" s="101"/>
      <c r="AK623" s="101"/>
      <c r="AL623" s="101"/>
      <c r="AM623" s="101"/>
      <c r="AN623" s="101"/>
      <c r="AO623" s="101"/>
      <c r="AP623"/>
      <c r="AQ623"/>
      <c r="AR623"/>
      <c r="AS623"/>
      <c r="AT623"/>
      <c r="AU623"/>
      <c r="AV623" s="101"/>
      <c r="AW623"/>
      <c r="AX623"/>
      <c r="AY623"/>
      <c r="AZ623"/>
      <c r="BA623"/>
      <c r="BB623"/>
      <c r="BC623"/>
      <c r="BD623"/>
      <c r="BE623"/>
      <c r="BF623"/>
      <c r="BG623"/>
      <c r="BH623"/>
      <c r="BI623"/>
      <c r="BJ623"/>
      <c r="BK623"/>
      <c r="BL623"/>
      <c r="BM623" s="101"/>
      <c r="BN623"/>
      <c r="BO623" s="102"/>
      <c r="BP623"/>
      <c r="BQ623"/>
      <c r="BR623"/>
      <c r="BS623"/>
      <c r="BT623"/>
      <c r="BU623" s="101"/>
      <c r="BV623"/>
      <c r="BW623"/>
      <c r="BX623" s="102"/>
      <c r="BY623" s="101"/>
      <c r="BZ623" s="101"/>
      <c r="CA623" s="101"/>
      <c r="CB623" s="101"/>
      <c r="CC623" s="101"/>
    </row>
    <row r="624" spans="1:81" x14ac:dyDescent="0.25">
      <c r="A624"/>
      <c r="B624" s="101"/>
      <c r="C624"/>
      <c r="D624" s="101"/>
      <c r="E624" s="101"/>
      <c r="F624" s="101"/>
      <c r="G624" s="101"/>
      <c r="H624" s="101"/>
      <c r="I624" s="101"/>
      <c r="J624" s="101"/>
      <c r="K624" s="101"/>
      <c r="L624"/>
      <c r="M624"/>
      <c r="N624"/>
      <c r="O624"/>
      <c r="P624"/>
      <c r="Q624" s="102"/>
      <c r="R624"/>
      <c r="S624"/>
      <c r="T624"/>
      <c r="U624"/>
      <c r="V624" s="102"/>
      <c r="W624"/>
      <c r="X624" s="101"/>
      <c r="Y624"/>
      <c r="Z624" s="101"/>
      <c r="AA624" s="101"/>
      <c r="AB624" s="101"/>
      <c r="AC624" s="101"/>
      <c r="AD624" s="101"/>
      <c r="AE624"/>
      <c r="AF624" s="101"/>
      <c r="AG624"/>
      <c r="AH624"/>
      <c r="AI624" s="101"/>
      <c r="AJ624" s="101"/>
      <c r="AK624"/>
      <c r="AL624"/>
      <c r="AM624"/>
      <c r="AN624"/>
      <c r="AO624"/>
      <c r="AP624" s="101"/>
      <c r="AQ624"/>
      <c r="AR624"/>
      <c r="AS624"/>
      <c r="AT624"/>
      <c r="AU624"/>
      <c r="AV624" s="101"/>
      <c r="AW624"/>
      <c r="AX624"/>
      <c r="AY624"/>
      <c r="AZ624"/>
      <c r="BA624"/>
      <c r="BB624"/>
      <c r="BC624"/>
      <c r="BD624"/>
      <c r="BE624"/>
      <c r="BF624"/>
      <c r="BG624"/>
      <c r="BH624"/>
      <c r="BI624"/>
      <c r="BJ624"/>
      <c r="BK624"/>
      <c r="BL624"/>
      <c r="BM624" s="101"/>
      <c r="BN624"/>
      <c r="BO624" s="102"/>
      <c r="BP624"/>
      <c r="BQ624"/>
      <c r="BR624"/>
      <c r="BS624"/>
      <c r="BT624"/>
      <c r="BU624" s="101"/>
      <c r="BV624"/>
      <c r="BW624"/>
      <c r="BX624" s="102"/>
      <c r="BY624" s="101"/>
      <c r="BZ624" s="101"/>
      <c r="CA624" s="101"/>
      <c r="CB624" s="101"/>
      <c r="CC624" s="101"/>
    </row>
    <row r="625" spans="1:81" x14ac:dyDescent="0.25">
      <c r="A625"/>
      <c r="B625" s="101"/>
      <c r="C625"/>
      <c r="D625" s="101"/>
      <c r="E625" s="101"/>
      <c r="F625" s="101"/>
      <c r="G625" s="101"/>
      <c r="H625" s="101"/>
      <c r="I625" s="101"/>
      <c r="J625" s="101"/>
      <c r="K625" s="101"/>
      <c r="L625"/>
      <c r="M625"/>
      <c r="N625"/>
      <c r="O625"/>
      <c r="P625"/>
      <c r="Q625" s="102"/>
      <c r="R625"/>
      <c r="S625"/>
      <c r="T625"/>
      <c r="U625"/>
      <c r="V625" s="102"/>
      <c r="W625"/>
      <c r="X625" s="101"/>
      <c r="Y625"/>
      <c r="Z625" s="101"/>
      <c r="AA625" s="101"/>
      <c r="AB625" s="101"/>
      <c r="AC625" s="101"/>
      <c r="AD625" s="101"/>
      <c r="AE625"/>
      <c r="AF625" s="101"/>
      <c r="AG625"/>
      <c r="AH625"/>
      <c r="AI625" s="101"/>
      <c r="AJ625" s="101"/>
      <c r="AK625" s="101"/>
      <c r="AL625" s="101"/>
      <c r="AM625" s="101"/>
      <c r="AN625" s="101"/>
      <c r="AO625" s="101"/>
      <c r="AP625"/>
      <c r="AQ625"/>
      <c r="AR625"/>
      <c r="AS625"/>
      <c r="AT625"/>
      <c r="AU625"/>
      <c r="AV625" s="101"/>
      <c r="AW625"/>
      <c r="AX625"/>
      <c r="AY625"/>
      <c r="AZ625"/>
      <c r="BA625"/>
      <c r="BB625"/>
      <c r="BC625"/>
      <c r="BD625"/>
      <c r="BE625"/>
      <c r="BF625"/>
      <c r="BG625"/>
      <c r="BH625"/>
      <c r="BI625"/>
      <c r="BJ625"/>
      <c r="BK625"/>
      <c r="BL625"/>
      <c r="BM625" s="101"/>
      <c r="BN625"/>
      <c r="BO625" s="102"/>
      <c r="BP625"/>
      <c r="BQ625"/>
      <c r="BR625"/>
      <c r="BS625"/>
      <c r="BT625"/>
      <c r="BU625" s="101"/>
      <c r="BV625"/>
      <c r="BW625"/>
      <c r="BX625" s="102"/>
      <c r="BY625" s="101"/>
      <c r="BZ625" s="101"/>
      <c r="CA625" s="101"/>
      <c r="CB625" s="101"/>
      <c r="CC625" s="101"/>
    </row>
    <row r="626" spans="1:81" x14ac:dyDescent="0.25">
      <c r="A626"/>
      <c r="B626" s="101"/>
      <c r="C626"/>
      <c r="D626" s="101"/>
      <c r="E626" s="101"/>
      <c r="F626" s="101"/>
      <c r="G626" s="101"/>
      <c r="H626" s="101"/>
      <c r="I626" s="101"/>
      <c r="J626" s="101"/>
      <c r="K626" s="101"/>
      <c r="L626"/>
      <c r="M626"/>
      <c r="N626"/>
      <c r="O626"/>
      <c r="P626"/>
      <c r="Q626" s="102"/>
      <c r="R626"/>
      <c r="S626"/>
      <c r="T626"/>
      <c r="U626"/>
      <c r="V626" s="102"/>
      <c r="W626"/>
      <c r="X626" s="101"/>
      <c r="Y626"/>
      <c r="Z626" s="101"/>
      <c r="AA626" s="101"/>
      <c r="AB626" s="101"/>
      <c r="AC626" s="101"/>
      <c r="AD626" s="101"/>
      <c r="AE626"/>
      <c r="AF626" s="101"/>
      <c r="AG626"/>
      <c r="AH626"/>
      <c r="AI626" s="101"/>
      <c r="AJ626" s="101"/>
      <c r="AK626"/>
      <c r="AL626"/>
      <c r="AM626"/>
      <c r="AN626"/>
      <c r="AO626"/>
      <c r="AP626" s="101"/>
      <c r="AQ626"/>
      <c r="AR626"/>
      <c r="AS626"/>
      <c r="AT626"/>
      <c r="AU626"/>
      <c r="AV626" s="101"/>
      <c r="AW626"/>
      <c r="AX626"/>
      <c r="AY626"/>
      <c r="AZ626"/>
      <c r="BA626"/>
      <c r="BB626"/>
      <c r="BC626"/>
      <c r="BD626"/>
      <c r="BE626"/>
      <c r="BF626"/>
      <c r="BG626"/>
      <c r="BH626"/>
      <c r="BI626"/>
      <c r="BJ626"/>
      <c r="BK626"/>
      <c r="BL626"/>
      <c r="BM626" s="101"/>
      <c r="BN626"/>
      <c r="BO626" s="102"/>
      <c r="BP626"/>
      <c r="BQ626"/>
      <c r="BR626"/>
      <c r="BS626"/>
      <c r="BT626"/>
      <c r="BU626" s="101"/>
      <c r="BV626"/>
      <c r="BW626"/>
      <c r="BX626" s="102"/>
      <c r="BY626" s="101"/>
      <c r="BZ626" s="101"/>
      <c r="CA626" s="101"/>
      <c r="CB626" s="101"/>
      <c r="CC626" s="101"/>
    </row>
    <row r="627" spans="1:81" x14ac:dyDescent="0.25">
      <c r="A627"/>
      <c r="B627" s="101"/>
      <c r="C627"/>
      <c r="D627" s="101"/>
      <c r="E627" s="101"/>
      <c r="F627" s="101"/>
      <c r="G627" s="101"/>
      <c r="H627" s="101"/>
      <c r="I627" s="101"/>
      <c r="J627" s="101"/>
      <c r="K627" s="101"/>
      <c r="L627"/>
      <c r="M627"/>
      <c r="N627"/>
      <c r="O627"/>
      <c r="P627"/>
      <c r="Q627" s="102"/>
      <c r="R627"/>
      <c r="S627"/>
      <c r="T627"/>
      <c r="U627"/>
      <c r="V627" s="102"/>
      <c r="W627"/>
      <c r="X627" s="101"/>
      <c r="Y627"/>
      <c r="Z627" s="101"/>
      <c r="AA627" s="101"/>
      <c r="AB627" s="101"/>
      <c r="AC627" s="101"/>
      <c r="AD627" s="101"/>
      <c r="AE627"/>
      <c r="AF627" s="101"/>
      <c r="AG627"/>
      <c r="AH627"/>
      <c r="AI627" s="101"/>
      <c r="AJ627" s="101"/>
      <c r="AK627"/>
      <c r="AL627"/>
      <c r="AM627"/>
      <c r="AN627"/>
      <c r="AO627"/>
      <c r="AP627" s="101"/>
      <c r="AQ627"/>
      <c r="AR627"/>
      <c r="AS627"/>
      <c r="AT627"/>
      <c r="AU627"/>
      <c r="AV627" s="101"/>
      <c r="AW627"/>
      <c r="AX627"/>
      <c r="AY627"/>
      <c r="AZ627"/>
      <c r="BA627"/>
      <c r="BB627"/>
      <c r="BC627"/>
      <c r="BD627"/>
      <c r="BE627"/>
      <c r="BF627"/>
      <c r="BG627"/>
      <c r="BH627"/>
      <c r="BI627"/>
      <c r="BJ627"/>
      <c r="BK627"/>
      <c r="BL627"/>
      <c r="BM627" s="101"/>
      <c r="BN627"/>
      <c r="BO627" s="102"/>
      <c r="BP627"/>
      <c r="BQ627"/>
      <c r="BR627"/>
      <c r="BS627"/>
      <c r="BT627"/>
      <c r="BU627" s="101"/>
      <c r="BV627"/>
      <c r="BW627"/>
      <c r="BX627" s="102"/>
      <c r="BY627" s="101"/>
      <c r="BZ627" s="101"/>
      <c r="CA627" s="101"/>
      <c r="CB627" s="101"/>
      <c r="CC627" s="101"/>
    </row>
    <row r="628" spans="1:81" x14ac:dyDescent="0.25">
      <c r="A628"/>
      <c r="B628" s="101"/>
      <c r="C628"/>
      <c r="D628" s="101"/>
      <c r="E628" s="101"/>
      <c r="F628" s="101"/>
      <c r="G628" s="101"/>
      <c r="H628" s="101"/>
      <c r="I628" s="101"/>
      <c r="J628" s="101"/>
      <c r="K628" s="101"/>
      <c r="L628"/>
      <c r="M628"/>
      <c r="N628"/>
      <c r="O628"/>
      <c r="P628"/>
      <c r="Q628" s="102"/>
      <c r="R628"/>
      <c r="S628"/>
      <c r="T628"/>
      <c r="U628"/>
      <c r="V628" s="102"/>
      <c r="W628"/>
      <c r="X628" s="101"/>
      <c r="Y628"/>
      <c r="Z628" s="101"/>
      <c r="AA628" s="101"/>
      <c r="AB628" s="101"/>
      <c r="AC628" s="101"/>
      <c r="AD628" s="101"/>
      <c r="AE628"/>
      <c r="AF628" s="101"/>
      <c r="AG628"/>
      <c r="AH628"/>
      <c r="AI628" s="101"/>
      <c r="AJ628" s="101"/>
      <c r="AK628"/>
      <c r="AL628"/>
      <c r="AM628"/>
      <c r="AN628"/>
      <c r="AO628"/>
      <c r="AP628" s="101"/>
      <c r="AQ628"/>
      <c r="AR628"/>
      <c r="AS628"/>
      <c r="AT628"/>
      <c r="AU628"/>
      <c r="AV628" s="101"/>
      <c r="AW628"/>
      <c r="AX628"/>
      <c r="AY628"/>
      <c r="AZ628"/>
      <c r="BA628"/>
      <c r="BB628"/>
      <c r="BC628"/>
      <c r="BD628"/>
      <c r="BE628"/>
      <c r="BF628"/>
      <c r="BG628"/>
      <c r="BH628"/>
      <c r="BI628"/>
      <c r="BJ628"/>
      <c r="BK628"/>
      <c r="BL628"/>
      <c r="BM628" s="101"/>
      <c r="BN628"/>
      <c r="BO628" s="102"/>
      <c r="BP628"/>
      <c r="BQ628"/>
      <c r="BR628"/>
      <c r="BS628"/>
      <c r="BT628"/>
      <c r="BU628" s="101"/>
      <c r="BV628"/>
      <c r="BW628"/>
      <c r="BX628" s="102"/>
      <c r="BY628" s="101"/>
      <c r="BZ628" s="101"/>
      <c r="CA628" s="101"/>
      <c r="CB628" s="101"/>
      <c r="CC628" s="101"/>
    </row>
    <row r="629" spans="1:81" x14ac:dyDescent="0.25">
      <c r="Q629" s="103"/>
      <c r="V629" s="103"/>
      <c r="BO629" s="103"/>
      <c r="BX629" s="103"/>
    </row>
    <row r="630" spans="1:81" x14ac:dyDescent="0.25">
      <c r="A630"/>
      <c r="B630" s="101"/>
      <c r="C630"/>
      <c r="D630" s="101"/>
      <c r="E630" s="101"/>
      <c r="F630" s="101"/>
      <c r="G630" s="101"/>
      <c r="H630" s="101"/>
      <c r="I630" s="101"/>
      <c r="J630" s="101"/>
      <c r="K630" s="101"/>
      <c r="L630"/>
      <c r="M630"/>
      <c r="N630"/>
      <c r="O630"/>
      <c r="P630"/>
      <c r="Q630" s="102"/>
      <c r="R630"/>
      <c r="S630"/>
      <c r="T630"/>
      <c r="U630"/>
      <c r="V630" s="102"/>
      <c r="W630"/>
      <c r="X630" s="101"/>
      <c r="Y630"/>
      <c r="Z630" s="101"/>
      <c r="AA630" s="101"/>
      <c r="AB630" s="101"/>
      <c r="AC630" s="101"/>
      <c r="AD630" s="101"/>
      <c r="AE630"/>
      <c r="AF630" s="101"/>
      <c r="AG630"/>
      <c r="AH630"/>
      <c r="AI630" s="101"/>
      <c r="AJ630" s="101"/>
      <c r="AK630"/>
      <c r="AL630"/>
      <c r="AM630"/>
      <c r="AN630"/>
      <c r="AO630"/>
      <c r="AP630" s="101"/>
      <c r="AQ630"/>
      <c r="AR630"/>
      <c r="AS630"/>
      <c r="AT630"/>
      <c r="AU630"/>
      <c r="AV630" s="101"/>
      <c r="AW630"/>
      <c r="AX630"/>
      <c r="AY630"/>
      <c r="AZ630"/>
      <c r="BA630"/>
      <c r="BB630"/>
      <c r="BC630"/>
      <c r="BD630"/>
      <c r="BE630"/>
      <c r="BF630"/>
      <c r="BG630"/>
      <c r="BH630"/>
      <c r="BI630"/>
      <c r="BJ630"/>
      <c r="BK630"/>
      <c r="BL630"/>
      <c r="BM630" s="101"/>
      <c r="BN630"/>
      <c r="BO630" s="102"/>
      <c r="BP630"/>
      <c r="BQ630"/>
      <c r="BR630"/>
      <c r="BS630"/>
      <c r="BT630"/>
      <c r="BU630" s="101"/>
      <c r="BV630"/>
      <c r="BW630"/>
      <c r="BX630" s="102"/>
      <c r="BY630" s="101"/>
      <c r="BZ630" s="101"/>
      <c r="CA630" s="101"/>
      <c r="CB630" s="101"/>
      <c r="CC630" s="101"/>
    </row>
    <row r="631" spans="1:81" x14ac:dyDescent="0.25">
      <c r="Q631" s="103"/>
      <c r="V631" s="103"/>
      <c r="BO631" s="103"/>
      <c r="BX631" s="103"/>
    </row>
    <row r="632" spans="1:81" x14ac:dyDescent="0.25">
      <c r="A632"/>
      <c r="B632" s="101"/>
      <c r="C632"/>
      <c r="D632" s="101"/>
      <c r="E632" s="101"/>
      <c r="F632" s="101"/>
      <c r="G632" s="101"/>
      <c r="H632" s="101"/>
      <c r="I632" s="101"/>
      <c r="J632" s="101"/>
      <c r="K632" s="101"/>
      <c r="L632"/>
      <c r="M632"/>
      <c r="N632"/>
      <c r="O632"/>
      <c r="P632"/>
      <c r="Q632" s="102"/>
      <c r="R632"/>
      <c r="S632"/>
      <c r="T632"/>
      <c r="U632"/>
      <c r="V632" s="102"/>
      <c r="W632"/>
      <c r="X632" s="101"/>
      <c r="Y632"/>
      <c r="Z632" s="101"/>
      <c r="AA632" s="101"/>
      <c r="AB632" s="101"/>
      <c r="AC632" s="101"/>
      <c r="AD632" s="101"/>
      <c r="AE632"/>
      <c r="AF632" s="101"/>
      <c r="AG632"/>
      <c r="AH632"/>
      <c r="AI632" s="101"/>
      <c r="AJ632" s="101"/>
      <c r="AK632" s="101"/>
      <c r="AL632" s="101"/>
      <c r="AM632" s="101"/>
      <c r="AN632" s="101"/>
      <c r="AO632" s="101"/>
      <c r="AP632"/>
      <c r="AQ632"/>
      <c r="AR632"/>
      <c r="AS632"/>
      <c r="AT632"/>
      <c r="AU632"/>
      <c r="AV632" s="101"/>
      <c r="AW632"/>
      <c r="AX632"/>
      <c r="AY632"/>
      <c r="AZ632"/>
      <c r="BA632"/>
      <c r="BB632"/>
      <c r="BC632"/>
      <c r="BD632"/>
      <c r="BE632"/>
      <c r="BF632"/>
      <c r="BG632"/>
      <c r="BH632"/>
      <c r="BI632"/>
      <c r="BJ632"/>
      <c r="BK632"/>
      <c r="BL632"/>
      <c r="BM632" s="101"/>
      <c r="BN632"/>
      <c r="BO632" s="102"/>
      <c r="BP632"/>
      <c r="BQ632"/>
      <c r="BR632"/>
      <c r="BS632"/>
      <c r="BT632"/>
      <c r="BU632" s="101"/>
      <c r="BV632"/>
      <c r="BW632"/>
      <c r="BX632" s="102"/>
      <c r="BY632" s="101"/>
      <c r="BZ632" s="101"/>
      <c r="CA632" s="101"/>
      <c r="CB632" s="101"/>
      <c r="CC632" s="101"/>
    </row>
    <row r="633" spans="1:81" x14ac:dyDescent="0.25">
      <c r="A633"/>
      <c r="B633" s="101"/>
      <c r="C633"/>
      <c r="D633" s="101"/>
      <c r="E633" s="101"/>
      <c r="F633" s="101"/>
      <c r="G633" s="101"/>
      <c r="H633" s="101"/>
      <c r="I633" s="101"/>
      <c r="J633" s="101"/>
      <c r="K633" s="101"/>
      <c r="L633"/>
      <c r="M633"/>
      <c r="N633"/>
      <c r="O633"/>
      <c r="P633"/>
      <c r="Q633" s="102"/>
      <c r="R633"/>
      <c r="S633"/>
      <c r="T633"/>
      <c r="U633"/>
      <c r="V633" s="102"/>
      <c r="W633"/>
      <c r="X633" s="101"/>
      <c r="Y633"/>
      <c r="Z633" s="101"/>
      <c r="AA633" s="101"/>
      <c r="AB633" s="101"/>
      <c r="AC633" s="101"/>
      <c r="AD633" s="101"/>
      <c r="AE633"/>
      <c r="AF633" s="101"/>
      <c r="AG633"/>
      <c r="AH633"/>
      <c r="AI633" s="101"/>
      <c r="AJ633" s="101"/>
      <c r="AK633" s="101"/>
      <c r="AL633" s="101"/>
      <c r="AM633" s="101"/>
      <c r="AN633" s="101"/>
      <c r="AO633" s="101"/>
      <c r="AP633"/>
      <c r="AQ633"/>
      <c r="AR633"/>
      <c r="AS633"/>
      <c r="AT633"/>
      <c r="AU633"/>
      <c r="AV633" s="101"/>
      <c r="AW633"/>
      <c r="AX633"/>
      <c r="AY633"/>
      <c r="AZ633"/>
      <c r="BA633"/>
      <c r="BB633"/>
      <c r="BC633"/>
      <c r="BD633"/>
      <c r="BE633"/>
      <c r="BF633"/>
      <c r="BG633"/>
      <c r="BH633"/>
      <c r="BI633"/>
      <c r="BJ633"/>
      <c r="BK633"/>
      <c r="BL633"/>
      <c r="BM633" s="101"/>
      <c r="BN633"/>
      <c r="BO633" s="102"/>
      <c r="BP633"/>
      <c r="BQ633"/>
      <c r="BR633"/>
      <c r="BS633"/>
      <c r="BT633"/>
      <c r="BU633" s="101"/>
      <c r="BV633"/>
      <c r="BW633"/>
      <c r="BX633" s="102"/>
      <c r="BY633" s="101"/>
      <c r="BZ633" s="101"/>
      <c r="CA633" s="101"/>
      <c r="CB633" s="101"/>
      <c r="CC633" s="101"/>
    </row>
    <row r="635" spans="1:81" x14ac:dyDescent="0.25">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row>
    <row r="636" spans="1:81" x14ac:dyDescent="0.25">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row>
    <row r="637" spans="1:81" x14ac:dyDescent="0.25">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row>
    <row r="638" spans="1:81" x14ac:dyDescent="0.25">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row>
    <row r="639" spans="1:81" x14ac:dyDescent="0.25">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row>
    <row r="640" spans="1:81" x14ac:dyDescent="0.25">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row>
    <row r="641" spans="1:81" x14ac:dyDescent="0.25">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row>
    <row r="642" spans="1:81" x14ac:dyDescent="0.25">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row>
    <row r="643" spans="1:81" x14ac:dyDescent="0.25">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row>
    <row r="644" spans="1:81" x14ac:dyDescent="0.25">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row>
    <row r="645" spans="1:81" x14ac:dyDescent="0.25">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row>
    <row r="646" spans="1:81" x14ac:dyDescent="0.25">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row>
    <row r="647" spans="1:81" x14ac:dyDescent="0.25">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row>
    <row r="648" spans="1:81" x14ac:dyDescent="0.25">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row>
    <row r="649" spans="1:81" x14ac:dyDescent="0.25">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row>
    <row r="650" spans="1:81" x14ac:dyDescent="0.25">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row>
    <row r="651" spans="1:81" x14ac:dyDescent="0.25">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row>
    <row r="652" spans="1:81" x14ac:dyDescent="0.25">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row>
    <row r="653" spans="1:81" x14ac:dyDescent="0.25">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row>
    <row r="654" spans="1:81" x14ac:dyDescent="0.25">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row>
    <row r="655" spans="1:81" x14ac:dyDescent="0.25">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row>
    <row r="656" spans="1:81" x14ac:dyDescent="0.25">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row>
    <row r="657" spans="1:81" x14ac:dyDescent="0.25">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row>
    <row r="658" spans="1:81" x14ac:dyDescent="0.25">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row>
    <row r="659" spans="1:81" x14ac:dyDescent="0.25">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row>
    <row r="660" spans="1:81" x14ac:dyDescent="0.25">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row>
    <row r="661" spans="1:81" x14ac:dyDescent="0.25">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row>
    <row r="662" spans="1:81" x14ac:dyDescent="0.25">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row>
    <row r="663" spans="1:81" x14ac:dyDescent="0.25">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row>
    <row r="664" spans="1:81" x14ac:dyDescent="0.25">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row>
    <row r="665" spans="1:81" x14ac:dyDescent="0.25">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row>
    <row r="666" spans="1:81" x14ac:dyDescent="0.25">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row>
    <row r="667" spans="1:81" x14ac:dyDescent="0.25">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row>
    <row r="668" spans="1:81" x14ac:dyDescent="0.25">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row>
    <row r="669" spans="1:81" x14ac:dyDescent="0.25">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row>
    <row r="670" spans="1:81" x14ac:dyDescent="0.25">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row>
    <row r="671" spans="1:81" x14ac:dyDescent="0.25">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row>
    <row r="672" spans="1:81" x14ac:dyDescent="0.25">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row>
    <row r="673" spans="1:81" x14ac:dyDescent="0.25">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row>
    <row r="674" spans="1:81" x14ac:dyDescent="0.25">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row>
    <row r="675" spans="1:81" x14ac:dyDescent="0.25">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row>
    <row r="676" spans="1:81" x14ac:dyDescent="0.25">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row>
    <row r="677" spans="1:81" x14ac:dyDescent="0.25">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row>
    <row r="678" spans="1:81" x14ac:dyDescent="0.25">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row>
    <row r="679" spans="1:81" x14ac:dyDescent="0.25">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row>
    <row r="680" spans="1:81" x14ac:dyDescent="0.25">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row>
    <row r="681" spans="1:81" x14ac:dyDescent="0.25">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row>
    <row r="682" spans="1:81" x14ac:dyDescent="0.25">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row>
    <row r="683" spans="1:81" x14ac:dyDescent="0.25">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row>
    <row r="684" spans="1:81" x14ac:dyDescent="0.25">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row>
    <row r="685" spans="1:81" x14ac:dyDescent="0.25">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row>
    <row r="686" spans="1:81" x14ac:dyDescent="0.25">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row>
    <row r="687" spans="1:81" x14ac:dyDescent="0.25">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row>
    <row r="688" spans="1:81" x14ac:dyDescent="0.25">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row>
    <row r="689" spans="1:81" x14ac:dyDescent="0.25">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row>
    <row r="690" spans="1:81" x14ac:dyDescent="0.25">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row>
    <row r="691" spans="1:81" x14ac:dyDescent="0.25">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row>
    <row r="692" spans="1:81" x14ac:dyDescent="0.25">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row>
    <row r="693" spans="1:81" x14ac:dyDescent="0.25">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row>
    <row r="694" spans="1:81" x14ac:dyDescent="0.25">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row>
    <row r="695" spans="1:81" x14ac:dyDescent="0.25">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row>
    <row r="696" spans="1:81" x14ac:dyDescent="0.25">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row>
    <row r="697" spans="1:81" x14ac:dyDescent="0.25">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row>
    <row r="698" spans="1:81" x14ac:dyDescent="0.25">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row>
    <row r="699" spans="1:81" x14ac:dyDescent="0.25">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row>
    <row r="700" spans="1:81" x14ac:dyDescent="0.25">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row>
    <row r="701" spans="1:81" x14ac:dyDescent="0.25">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row>
    <row r="702" spans="1:81" x14ac:dyDescent="0.25">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row>
    <row r="703" spans="1:81" x14ac:dyDescent="0.25">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row>
    <row r="704" spans="1:81" x14ac:dyDescent="0.25">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row>
    <row r="705" spans="1:81" x14ac:dyDescent="0.25">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row>
    <row r="706" spans="1:81" x14ac:dyDescent="0.25">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row>
    <row r="707" spans="1:81" x14ac:dyDescent="0.25">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row>
    <row r="708" spans="1:81" x14ac:dyDescent="0.25">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row>
    <row r="709" spans="1:81" x14ac:dyDescent="0.25">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row>
    <row r="710" spans="1:81" x14ac:dyDescent="0.25">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row>
    <row r="711" spans="1:81" x14ac:dyDescent="0.25">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row>
    <row r="712" spans="1:81" x14ac:dyDescent="0.25">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row>
    <row r="713" spans="1:81" x14ac:dyDescent="0.25">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row>
    <row r="714" spans="1:81" x14ac:dyDescent="0.25">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row>
    <row r="715" spans="1:81" x14ac:dyDescent="0.25">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row>
    <row r="716" spans="1:81" x14ac:dyDescent="0.25">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row>
    <row r="717" spans="1:81" x14ac:dyDescent="0.25">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row>
    <row r="718" spans="1:81" x14ac:dyDescent="0.25">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row>
    <row r="719" spans="1:81" x14ac:dyDescent="0.25">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row>
    <row r="720" spans="1:81" x14ac:dyDescent="0.25">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row>
    <row r="721" spans="1:81" x14ac:dyDescent="0.25">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row>
    <row r="722" spans="1:81" x14ac:dyDescent="0.25">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row>
    <row r="723" spans="1:81" x14ac:dyDescent="0.25">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row>
    <row r="724" spans="1:81" x14ac:dyDescent="0.25">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row>
    <row r="725" spans="1:81" x14ac:dyDescent="0.25">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row>
    <row r="726" spans="1:81" x14ac:dyDescent="0.25">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row>
    <row r="727" spans="1:81" x14ac:dyDescent="0.25">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row>
    <row r="728" spans="1:81" x14ac:dyDescent="0.25">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row>
    <row r="729" spans="1:81" x14ac:dyDescent="0.25">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row>
    <row r="730" spans="1:81" x14ac:dyDescent="0.25">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row>
    <row r="731" spans="1:81" x14ac:dyDescent="0.25">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row>
    <row r="732" spans="1:81" x14ac:dyDescent="0.25">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row>
    <row r="733" spans="1:81" x14ac:dyDescent="0.25">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row>
    <row r="734" spans="1:81" x14ac:dyDescent="0.25">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row>
    <row r="735" spans="1:81" x14ac:dyDescent="0.25">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row>
    <row r="736" spans="1:81" x14ac:dyDescent="0.25">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row>
    <row r="737" spans="1:81" x14ac:dyDescent="0.25">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row>
    <row r="738" spans="1:81" x14ac:dyDescent="0.25">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row>
    <row r="739" spans="1:81" x14ac:dyDescent="0.25">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row>
    <row r="740" spans="1:81" x14ac:dyDescent="0.25">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row>
    <row r="741" spans="1:81" x14ac:dyDescent="0.25">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row>
    <row r="742" spans="1:81" x14ac:dyDescent="0.25">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row>
    <row r="743" spans="1:81" x14ac:dyDescent="0.25">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row>
    <row r="744" spans="1:81" x14ac:dyDescent="0.25">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row>
    <row r="745" spans="1:81" x14ac:dyDescent="0.25">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row>
    <row r="746" spans="1:81" x14ac:dyDescent="0.25">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row>
    <row r="747" spans="1:81" x14ac:dyDescent="0.25">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row>
    <row r="748" spans="1:81" x14ac:dyDescent="0.25">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row>
    <row r="749" spans="1:81" x14ac:dyDescent="0.25">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row>
    <row r="750" spans="1:81" x14ac:dyDescent="0.25">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row>
    <row r="751" spans="1:81" x14ac:dyDescent="0.25">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row>
    <row r="752" spans="1:81" x14ac:dyDescent="0.25">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row>
    <row r="753" spans="1:81" x14ac:dyDescent="0.25">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row>
    <row r="754" spans="1:81" x14ac:dyDescent="0.25">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row>
    <row r="755" spans="1:81" x14ac:dyDescent="0.25">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row>
    <row r="756" spans="1:81" x14ac:dyDescent="0.25">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row>
    <row r="757" spans="1:81" x14ac:dyDescent="0.25">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row>
    <row r="758" spans="1:81" x14ac:dyDescent="0.25">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row>
    <row r="759" spans="1:81" x14ac:dyDescent="0.25">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row>
    <row r="760" spans="1:81" x14ac:dyDescent="0.25">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row>
    <row r="761" spans="1:81" x14ac:dyDescent="0.25">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row>
    <row r="762" spans="1:81" x14ac:dyDescent="0.25">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row>
    <row r="763" spans="1:81" x14ac:dyDescent="0.25">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row>
    <row r="764" spans="1:81" x14ac:dyDescent="0.25">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row>
    <row r="765" spans="1:81" x14ac:dyDescent="0.25">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row>
    <row r="766" spans="1:81" x14ac:dyDescent="0.25">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row>
    <row r="767" spans="1:81" x14ac:dyDescent="0.25">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row>
    <row r="768" spans="1:81" x14ac:dyDescent="0.25">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row>
    <row r="769" spans="1:81" x14ac:dyDescent="0.25">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row>
    <row r="770" spans="1:81" x14ac:dyDescent="0.25">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row>
    <row r="771" spans="1:81" x14ac:dyDescent="0.25">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row>
    <row r="772" spans="1:81" x14ac:dyDescent="0.25">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row>
    <row r="773" spans="1:81" x14ac:dyDescent="0.25">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row>
    <row r="774" spans="1:81" x14ac:dyDescent="0.25">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row>
    <row r="775" spans="1:81" x14ac:dyDescent="0.25">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row>
    <row r="776" spans="1:81" x14ac:dyDescent="0.25">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row>
    <row r="777" spans="1:81" x14ac:dyDescent="0.25">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row>
    <row r="778" spans="1:81" x14ac:dyDescent="0.25">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row>
    <row r="779" spans="1:81" x14ac:dyDescent="0.25">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row>
    <row r="780" spans="1:81" x14ac:dyDescent="0.25">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row>
    <row r="781" spans="1:81" x14ac:dyDescent="0.25">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row>
    <row r="782" spans="1:81" x14ac:dyDescent="0.25">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row>
    <row r="783" spans="1:81" x14ac:dyDescent="0.25">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row>
    <row r="784" spans="1:81" x14ac:dyDescent="0.25">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row>
    <row r="785" spans="1:81" x14ac:dyDescent="0.25">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row>
    <row r="786" spans="1:81" x14ac:dyDescent="0.25">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row>
    <row r="787" spans="1:81" x14ac:dyDescent="0.25">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row>
    <row r="788" spans="1:81" x14ac:dyDescent="0.25">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row>
    <row r="789" spans="1:81" x14ac:dyDescent="0.25">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row>
    <row r="790" spans="1:81" x14ac:dyDescent="0.25">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row>
    <row r="791" spans="1:81" x14ac:dyDescent="0.25">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row>
    <row r="792" spans="1:81" x14ac:dyDescent="0.25">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row>
    <row r="793" spans="1:81" x14ac:dyDescent="0.25">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row>
    <row r="794" spans="1:81" x14ac:dyDescent="0.25">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row>
    <row r="795" spans="1:81" x14ac:dyDescent="0.25">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row>
    <row r="796" spans="1:81" x14ac:dyDescent="0.25">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row>
    <row r="797" spans="1:81" x14ac:dyDescent="0.25">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row>
    <row r="798" spans="1:81" x14ac:dyDescent="0.25">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row>
    <row r="799" spans="1:81" x14ac:dyDescent="0.25">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row>
    <row r="800" spans="1:81" x14ac:dyDescent="0.25">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row>
    <row r="801" spans="1:81" x14ac:dyDescent="0.25">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row>
    <row r="802" spans="1:81" x14ac:dyDescent="0.25">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row>
    <row r="803" spans="1:81" x14ac:dyDescent="0.25">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row>
    <row r="804" spans="1:81" x14ac:dyDescent="0.25">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row>
    <row r="805" spans="1:81" x14ac:dyDescent="0.25">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row>
    <row r="806" spans="1:81" x14ac:dyDescent="0.25">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row>
    <row r="807" spans="1:81" x14ac:dyDescent="0.25">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row>
    <row r="808" spans="1:81" x14ac:dyDescent="0.25">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row>
    <row r="809" spans="1:81" x14ac:dyDescent="0.25">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row>
    <row r="810" spans="1:81" x14ac:dyDescent="0.25">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row>
    <row r="811" spans="1:81" x14ac:dyDescent="0.25">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row>
    <row r="812" spans="1:81" x14ac:dyDescent="0.25">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row>
    <row r="813" spans="1:81" x14ac:dyDescent="0.25">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row>
    <row r="814" spans="1:81" x14ac:dyDescent="0.25">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row>
    <row r="815" spans="1:81" x14ac:dyDescent="0.25">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row>
    <row r="816" spans="1:81" x14ac:dyDescent="0.25">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row>
    <row r="817" spans="1:81" x14ac:dyDescent="0.25">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row>
    <row r="818" spans="1:81" x14ac:dyDescent="0.25">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row>
    <row r="819" spans="1:81" x14ac:dyDescent="0.25">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row>
    <row r="820" spans="1:81" x14ac:dyDescent="0.25">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row>
    <row r="821" spans="1:81" x14ac:dyDescent="0.25">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row>
    <row r="822" spans="1:81" x14ac:dyDescent="0.25">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row>
    <row r="823" spans="1:81" x14ac:dyDescent="0.25">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row>
    <row r="824" spans="1:81" x14ac:dyDescent="0.25">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row>
    <row r="825" spans="1:81" x14ac:dyDescent="0.25">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row>
    <row r="826" spans="1:81" x14ac:dyDescent="0.25">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row>
    <row r="827" spans="1:81" x14ac:dyDescent="0.25">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row>
    <row r="828" spans="1:81" x14ac:dyDescent="0.25">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row>
    <row r="829" spans="1:81" x14ac:dyDescent="0.25">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row>
    <row r="830" spans="1:81" x14ac:dyDescent="0.25">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row>
    <row r="831" spans="1:81" x14ac:dyDescent="0.25">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row>
    <row r="832" spans="1:81" x14ac:dyDescent="0.25">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row>
    <row r="833" spans="1:81" x14ac:dyDescent="0.25">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row>
    <row r="834" spans="1:81" x14ac:dyDescent="0.25">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row>
    <row r="835" spans="1:81" x14ac:dyDescent="0.25">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row>
    <row r="836" spans="1:81" x14ac:dyDescent="0.25">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row>
    <row r="837" spans="1:81" x14ac:dyDescent="0.25">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row>
    <row r="838" spans="1:81" x14ac:dyDescent="0.25">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row>
    <row r="839" spans="1:81" x14ac:dyDescent="0.25">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row>
    <row r="840" spans="1:81" x14ac:dyDescent="0.25">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row>
    <row r="841" spans="1:81" x14ac:dyDescent="0.25">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row>
    <row r="842" spans="1:81" x14ac:dyDescent="0.25">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row>
    <row r="843" spans="1:81" x14ac:dyDescent="0.25">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row>
    <row r="844" spans="1:81" x14ac:dyDescent="0.25">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row>
    <row r="845" spans="1:81" x14ac:dyDescent="0.25">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row>
    <row r="846" spans="1:81" x14ac:dyDescent="0.25">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row>
    <row r="847" spans="1:81" x14ac:dyDescent="0.25">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row>
    <row r="848" spans="1:81" x14ac:dyDescent="0.25">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row>
    <row r="849" spans="1:81" x14ac:dyDescent="0.25">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row>
    <row r="850" spans="1:81" x14ac:dyDescent="0.25">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row>
    <row r="851" spans="1:81" x14ac:dyDescent="0.25">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row>
    <row r="852" spans="1:81" x14ac:dyDescent="0.25">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row>
    <row r="853" spans="1:81" x14ac:dyDescent="0.25">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row>
    <row r="854" spans="1:81" x14ac:dyDescent="0.25">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row>
    <row r="855" spans="1:81" x14ac:dyDescent="0.25">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row>
    <row r="856" spans="1:81" x14ac:dyDescent="0.25">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row>
    <row r="857" spans="1:81" x14ac:dyDescent="0.25">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row>
    <row r="858" spans="1:81" x14ac:dyDescent="0.25">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row>
    <row r="859" spans="1:81" x14ac:dyDescent="0.25">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row>
    <row r="860" spans="1:81" x14ac:dyDescent="0.25">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row>
    <row r="861" spans="1:81" x14ac:dyDescent="0.2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row>
    <row r="862" spans="1:81" x14ac:dyDescent="0.25">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row>
    <row r="863" spans="1:81" x14ac:dyDescent="0.25">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row>
    <row r="864" spans="1:81" x14ac:dyDescent="0.25">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row>
    <row r="865" spans="1:81" x14ac:dyDescent="0.25">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row>
    <row r="866" spans="1:81" x14ac:dyDescent="0.25">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row>
    <row r="867" spans="1:81" x14ac:dyDescent="0.25">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row>
    <row r="868" spans="1:81" x14ac:dyDescent="0.25">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row>
    <row r="869" spans="1:81" x14ac:dyDescent="0.25">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row>
    <row r="870" spans="1:81" x14ac:dyDescent="0.25">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row>
    <row r="871" spans="1:81" x14ac:dyDescent="0.25">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row>
    <row r="872" spans="1:81" x14ac:dyDescent="0.25">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row>
    <row r="873" spans="1:81" x14ac:dyDescent="0.25">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row>
    <row r="874" spans="1:81" x14ac:dyDescent="0.25">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row>
    <row r="875" spans="1:81" x14ac:dyDescent="0.25">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row>
    <row r="876" spans="1:81" x14ac:dyDescent="0.25">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row>
    <row r="877" spans="1:81" x14ac:dyDescent="0.25">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row>
    <row r="878" spans="1:81" x14ac:dyDescent="0.25">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row>
    <row r="879" spans="1:81" x14ac:dyDescent="0.25">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row>
    <row r="880" spans="1:81" x14ac:dyDescent="0.25">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row>
    <row r="881" spans="1:81" x14ac:dyDescent="0.25">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row>
    <row r="882" spans="1:81" x14ac:dyDescent="0.25">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row>
    <row r="883" spans="1:81" x14ac:dyDescent="0.25">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row>
    <row r="884" spans="1:81" x14ac:dyDescent="0.25">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row>
    <row r="885" spans="1:81" x14ac:dyDescent="0.25">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row>
    <row r="886" spans="1:81" x14ac:dyDescent="0.25">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row>
    <row r="887" spans="1:81" x14ac:dyDescent="0.25">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row>
    <row r="888" spans="1:81" x14ac:dyDescent="0.25">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row>
    <row r="889" spans="1:81" x14ac:dyDescent="0.25">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row>
    <row r="890" spans="1:81" x14ac:dyDescent="0.25">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row>
    <row r="891" spans="1:81" x14ac:dyDescent="0.25">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row>
    <row r="892" spans="1:81" x14ac:dyDescent="0.25">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row>
    <row r="893" spans="1:81" x14ac:dyDescent="0.25">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row>
    <row r="894" spans="1:81" x14ac:dyDescent="0.25">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row>
    <row r="895" spans="1:81" x14ac:dyDescent="0.25">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row>
    <row r="896" spans="1:81" x14ac:dyDescent="0.25">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row>
    <row r="897" spans="1:81" x14ac:dyDescent="0.25">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row>
    <row r="898" spans="1:81" x14ac:dyDescent="0.25">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row>
    <row r="899" spans="1:81" x14ac:dyDescent="0.25">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row>
    <row r="900" spans="1:81" x14ac:dyDescent="0.25">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row>
    <row r="901" spans="1:81" x14ac:dyDescent="0.25">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row>
    <row r="902" spans="1:81" x14ac:dyDescent="0.25">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row>
    <row r="903" spans="1:81" x14ac:dyDescent="0.25">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row>
    <row r="904" spans="1:81" x14ac:dyDescent="0.25">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row>
    <row r="905" spans="1:81" x14ac:dyDescent="0.25">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row>
    <row r="906" spans="1:81" x14ac:dyDescent="0.25">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row>
    <row r="907" spans="1:81" x14ac:dyDescent="0.25">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row>
    <row r="908" spans="1:81" x14ac:dyDescent="0.25">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row>
    <row r="909" spans="1:81" x14ac:dyDescent="0.25">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row>
    <row r="910" spans="1:81" x14ac:dyDescent="0.25">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row>
    <row r="911" spans="1:81" x14ac:dyDescent="0.25">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row>
    <row r="912" spans="1:81" x14ac:dyDescent="0.25">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row>
    <row r="913" spans="1:81" x14ac:dyDescent="0.25">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row>
    <row r="914" spans="1:81" x14ac:dyDescent="0.25">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row>
    <row r="915" spans="1:81" x14ac:dyDescent="0.25">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row>
    <row r="916" spans="1:81" x14ac:dyDescent="0.25">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row>
    <row r="917" spans="1:81" x14ac:dyDescent="0.25">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row>
    <row r="918" spans="1:81" x14ac:dyDescent="0.25">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row>
    <row r="919" spans="1:81" x14ac:dyDescent="0.25">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row>
    <row r="920" spans="1:81" x14ac:dyDescent="0.25">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row>
    <row r="921" spans="1:81" x14ac:dyDescent="0.25">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row>
    <row r="922" spans="1:81" x14ac:dyDescent="0.25">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row>
    <row r="923" spans="1:81" x14ac:dyDescent="0.25">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row>
    <row r="924" spans="1:81" x14ac:dyDescent="0.25">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row>
    <row r="925" spans="1:81" x14ac:dyDescent="0.25">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row>
    <row r="926" spans="1:81" x14ac:dyDescent="0.25">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row>
    <row r="927" spans="1:81" x14ac:dyDescent="0.25">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row>
    <row r="928" spans="1:81" x14ac:dyDescent="0.25">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row>
    <row r="929" spans="1:81" x14ac:dyDescent="0.25">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row>
    <row r="930" spans="1:81" x14ac:dyDescent="0.25">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row>
    <row r="931" spans="1:81" x14ac:dyDescent="0.25">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row>
    <row r="932" spans="1:81" x14ac:dyDescent="0.25">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row>
    <row r="933" spans="1:81" x14ac:dyDescent="0.25">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row>
    <row r="934" spans="1:81" x14ac:dyDescent="0.25">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row>
    <row r="935" spans="1:81" x14ac:dyDescent="0.25">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row>
    <row r="936" spans="1:81" x14ac:dyDescent="0.25">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row>
    <row r="937" spans="1:81" x14ac:dyDescent="0.25">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row>
    <row r="938" spans="1:81" x14ac:dyDescent="0.25">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row>
    <row r="939" spans="1:81" x14ac:dyDescent="0.25">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row>
    <row r="940" spans="1:81" x14ac:dyDescent="0.25">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row>
    <row r="941" spans="1:81" x14ac:dyDescent="0.25">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row>
    <row r="942" spans="1:81" x14ac:dyDescent="0.25">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row>
    <row r="943" spans="1:81" x14ac:dyDescent="0.25">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row>
    <row r="944" spans="1:81" x14ac:dyDescent="0.25">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row>
    <row r="945" spans="1:81" x14ac:dyDescent="0.25">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row>
    <row r="946" spans="1:81" x14ac:dyDescent="0.25">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row>
    <row r="947" spans="1:81" x14ac:dyDescent="0.25">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row>
    <row r="948" spans="1:81" x14ac:dyDescent="0.25">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row>
    <row r="949" spans="1:81" x14ac:dyDescent="0.25">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row>
    <row r="950" spans="1:81" x14ac:dyDescent="0.25">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row>
    <row r="951" spans="1:81" x14ac:dyDescent="0.25">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row>
    <row r="952" spans="1:81" x14ac:dyDescent="0.25">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row>
    <row r="953" spans="1:81" x14ac:dyDescent="0.25">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row>
    <row r="954" spans="1:81" x14ac:dyDescent="0.25">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row>
    <row r="955" spans="1:81" x14ac:dyDescent="0.25">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row>
    <row r="956" spans="1:81" x14ac:dyDescent="0.25">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row>
    <row r="957" spans="1:81" x14ac:dyDescent="0.25">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row>
    <row r="958" spans="1:81" x14ac:dyDescent="0.25">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row>
    <row r="959" spans="1:81" x14ac:dyDescent="0.25">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row>
    <row r="960" spans="1:81" x14ac:dyDescent="0.25">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row>
    <row r="961" spans="1:81" x14ac:dyDescent="0.25">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row>
    <row r="962" spans="1:81" x14ac:dyDescent="0.25">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row>
    <row r="963" spans="1:81" x14ac:dyDescent="0.25">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row>
    <row r="964" spans="1:81" x14ac:dyDescent="0.25">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row>
    <row r="965" spans="1:81" x14ac:dyDescent="0.25">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row>
    <row r="966" spans="1:81" x14ac:dyDescent="0.25">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row>
    <row r="967" spans="1:81" x14ac:dyDescent="0.25">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row>
    <row r="968" spans="1:81" x14ac:dyDescent="0.25">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row>
    <row r="969" spans="1:81" x14ac:dyDescent="0.25">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row>
    <row r="970" spans="1:81" x14ac:dyDescent="0.25">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row>
    <row r="971" spans="1:81" x14ac:dyDescent="0.25">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row>
    <row r="972" spans="1:81" x14ac:dyDescent="0.25">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row>
    <row r="973" spans="1:81" x14ac:dyDescent="0.25">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row>
    <row r="974" spans="1:81" x14ac:dyDescent="0.25">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row>
    <row r="975" spans="1:81" x14ac:dyDescent="0.25">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row>
    <row r="976" spans="1:81" x14ac:dyDescent="0.25">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row>
    <row r="977" spans="1:81" x14ac:dyDescent="0.25">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row>
    <row r="978" spans="1:81" x14ac:dyDescent="0.25">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row>
    <row r="979" spans="1:81" x14ac:dyDescent="0.25">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row>
    <row r="980" spans="1:81" x14ac:dyDescent="0.25">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row>
    <row r="981" spans="1:81" x14ac:dyDescent="0.25">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row>
    <row r="982" spans="1:81" x14ac:dyDescent="0.25">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row>
    <row r="983" spans="1:81" x14ac:dyDescent="0.25">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row>
    <row r="984" spans="1:81" x14ac:dyDescent="0.25">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row>
    <row r="985" spans="1:81" x14ac:dyDescent="0.25">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row>
    <row r="986" spans="1:81" x14ac:dyDescent="0.25">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row>
    <row r="987" spans="1:81" x14ac:dyDescent="0.25">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row>
    <row r="988" spans="1:81" x14ac:dyDescent="0.25">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row>
    <row r="989" spans="1:81" x14ac:dyDescent="0.25">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row>
    <row r="990" spans="1:81" x14ac:dyDescent="0.25">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row>
    <row r="991" spans="1:81" x14ac:dyDescent="0.25">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row>
    <row r="992" spans="1:81" x14ac:dyDescent="0.25">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row>
    <row r="993" spans="1:81" x14ac:dyDescent="0.25">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row>
    <row r="994" spans="1:81" x14ac:dyDescent="0.25">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row>
    <row r="995" spans="1:81" x14ac:dyDescent="0.25">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row>
    <row r="996" spans="1:81" x14ac:dyDescent="0.25">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row>
    <row r="997" spans="1:81" x14ac:dyDescent="0.25">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row>
    <row r="998" spans="1:81" x14ac:dyDescent="0.25">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row>
    <row r="999" spans="1:81" x14ac:dyDescent="0.25">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row>
    <row r="1000" spans="1:81" x14ac:dyDescent="0.25">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row>
    <row r="1001" spans="1:81" x14ac:dyDescent="0.25">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row>
    <row r="1002" spans="1:81" x14ac:dyDescent="0.25">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row>
    <row r="1003" spans="1:81" x14ac:dyDescent="0.25">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row>
    <row r="1004" spans="1:81" x14ac:dyDescent="0.25">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row>
    <row r="1005" spans="1:81" x14ac:dyDescent="0.25">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row>
    <row r="1006" spans="1:81" x14ac:dyDescent="0.25">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row>
    <row r="1007" spans="1:81" x14ac:dyDescent="0.25">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row>
    <row r="1008" spans="1:81" x14ac:dyDescent="0.25">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row>
    <row r="1009" spans="1:81" x14ac:dyDescent="0.25">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row>
    <row r="1010" spans="1:81" x14ac:dyDescent="0.25">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row>
    <row r="1011" spans="1:81" x14ac:dyDescent="0.25">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row>
    <row r="1012" spans="1:81" x14ac:dyDescent="0.25">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row>
    <row r="1013" spans="1:81" x14ac:dyDescent="0.25">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row>
    <row r="1014" spans="1:81" x14ac:dyDescent="0.25">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row>
    <row r="1015" spans="1:81" x14ac:dyDescent="0.25">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row>
    <row r="1016" spans="1:81" x14ac:dyDescent="0.25">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row>
    <row r="1017" spans="1:81" x14ac:dyDescent="0.25">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row>
    <row r="1018" spans="1:81" x14ac:dyDescent="0.25">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row>
    <row r="1019" spans="1:81" x14ac:dyDescent="0.25">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row>
    <row r="1020" spans="1:81" x14ac:dyDescent="0.25">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row>
    <row r="1021" spans="1:81" x14ac:dyDescent="0.25">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row>
    <row r="1022" spans="1:81" x14ac:dyDescent="0.25">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row>
    <row r="1023" spans="1:81" x14ac:dyDescent="0.25">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row>
    <row r="1024" spans="1:81" x14ac:dyDescent="0.25">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row>
    <row r="1025" spans="1:81" x14ac:dyDescent="0.25">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row>
    <row r="1026" spans="1:81" x14ac:dyDescent="0.25">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row>
    <row r="1027" spans="1:81" x14ac:dyDescent="0.25">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row>
    <row r="1028" spans="1:81" x14ac:dyDescent="0.25">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row>
    <row r="1029" spans="1:81" x14ac:dyDescent="0.25">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row>
    <row r="1030" spans="1:81" x14ac:dyDescent="0.25">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row>
    <row r="1031" spans="1:81" x14ac:dyDescent="0.25">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row>
    <row r="1032" spans="1:81" x14ac:dyDescent="0.25">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row>
    <row r="1033" spans="1:81" x14ac:dyDescent="0.25">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row>
    <row r="1034" spans="1:81" x14ac:dyDescent="0.25">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row>
    <row r="1035" spans="1:81" x14ac:dyDescent="0.25">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row>
    <row r="1036" spans="1:81" x14ac:dyDescent="0.25">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row>
    <row r="1037" spans="1:81" x14ac:dyDescent="0.25">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row>
    <row r="1038" spans="1:81" x14ac:dyDescent="0.25">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row>
    <row r="1039" spans="1:81" x14ac:dyDescent="0.25">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row>
    <row r="1040" spans="1:81" x14ac:dyDescent="0.25">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row>
    <row r="1041" spans="1:81" x14ac:dyDescent="0.25">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row>
    <row r="1042" spans="1:81" x14ac:dyDescent="0.25">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row>
    <row r="1043" spans="1:81" x14ac:dyDescent="0.25">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row>
    <row r="1044" spans="1:81" x14ac:dyDescent="0.25">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row>
    <row r="1045" spans="1:81" x14ac:dyDescent="0.25">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row>
    <row r="1046" spans="1:81" x14ac:dyDescent="0.25">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row>
    <row r="1047" spans="1:81" x14ac:dyDescent="0.25">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row>
    <row r="1048" spans="1:81" x14ac:dyDescent="0.25">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row>
    <row r="1049" spans="1:81" x14ac:dyDescent="0.25">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row>
    <row r="1050" spans="1:81" x14ac:dyDescent="0.25">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row>
    <row r="1051" spans="1:81" x14ac:dyDescent="0.25">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row>
    <row r="1052" spans="1:81" x14ac:dyDescent="0.25">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row>
    <row r="1053" spans="1:81" x14ac:dyDescent="0.25">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row>
    <row r="1054" spans="1:81" x14ac:dyDescent="0.25">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row>
    <row r="1055" spans="1:81" x14ac:dyDescent="0.25">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row>
    <row r="1056" spans="1:81" x14ac:dyDescent="0.25">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row>
    <row r="1057" spans="1:81" x14ac:dyDescent="0.25">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row>
    <row r="1058" spans="1:81" x14ac:dyDescent="0.25">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row>
    <row r="1059" spans="1:81" x14ac:dyDescent="0.25">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row>
    <row r="1060" spans="1:81" x14ac:dyDescent="0.25">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row>
    <row r="1061" spans="1:81" x14ac:dyDescent="0.25">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row>
    <row r="1062" spans="1:81" x14ac:dyDescent="0.25">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row>
    <row r="1063" spans="1:81" x14ac:dyDescent="0.25">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row>
    <row r="1064" spans="1:81" x14ac:dyDescent="0.25">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row>
    <row r="1065" spans="1:81" x14ac:dyDescent="0.25">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row>
    <row r="1066" spans="1:81" x14ac:dyDescent="0.25">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row>
    <row r="1067" spans="1:81" x14ac:dyDescent="0.25">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row>
    <row r="1068" spans="1:81" x14ac:dyDescent="0.25">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row>
    <row r="1069" spans="1:81" x14ac:dyDescent="0.25">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row>
    <row r="1070" spans="1:81" x14ac:dyDescent="0.25">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row>
    <row r="1071" spans="1:81" x14ac:dyDescent="0.25">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row>
    <row r="1072" spans="1:81" x14ac:dyDescent="0.25">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row>
    <row r="1073" spans="1:81" x14ac:dyDescent="0.25">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row>
    <row r="1074" spans="1:81" x14ac:dyDescent="0.25">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row>
    <row r="1075" spans="1:81" x14ac:dyDescent="0.25">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row>
    <row r="1076" spans="1:81" x14ac:dyDescent="0.25">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row>
    <row r="1077" spans="1:81" x14ac:dyDescent="0.25">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row>
    <row r="1078" spans="1:81" x14ac:dyDescent="0.25">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row>
    <row r="1079" spans="1:81" x14ac:dyDescent="0.25">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row>
    <row r="1080" spans="1:81" x14ac:dyDescent="0.25">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row>
    <row r="1081" spans="1:81" x14ac:dyDescent="0.25">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row>
    <row r="1082" spans="1:81" x14ac:dyDescent="0.25">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row>
    <row r="1083" spans="1:81" x14ac:dyDescent="0.25">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row>
    <row r="1084" spans="1:81" x14ac:dyDescent="0.25">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row>
    <row r="1085" spans="1:81" x14ac:dyDescent="0.25">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row>
    <row r="1086" spans="1:81" x14ac:dyDescent="0.25">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row>
    <row r="1087" spans="1:81" x14ac:dyDescent="0.25">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row>
    <row r="1088" spans="1:81" x14ac:dyDescent="0.25">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row>
    <row r="1089" spans="1:81" x14ac:dyDescent="0.25">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row>
    <row r="1090" spans="1:81" x14ac:dyDescent="0.25">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row>
    <row r="1091" spans="1:81" x14ac:dyDescent="0.25">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row>
    <row r="1092" spans="1:81" x14ac:dyDescent="0.25">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row>
    <row r="1093" spans="1:81" x14ac:dyDescent="0.25">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row>
    <row r="1094" spans="1:81" x14ac:dyDescent="0.25">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row>
    <row r="1095" spans="1:81" x14ac:dyDescent="0.25">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row>
    <row r="1096" spans="1:81" x14ac:dyDescent="0.25">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row>
    <row r="1097" spans="1:81" x14ac:dyDescent="0.25">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row>
    <row r="1098" spans="1:81" x14ac:dyDescent="0.25">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row>
    <row r="1099" spans="1:81" x14ac:dyDescent="0.25">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row>
    <row r="1100" spans="1:81" x14ac:dyDescent="0.25">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row>
    <row r="1101" spans="1:81" x14ac:dyDescent="0.25">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row>
    <row r="1102" spans="1:81" x14ac:dyDescent="0.25">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row>
    <row r="1103" spans="1:81" x14ac:dyDescent="0.25">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row>
    <row r="1104" spans="1:81" x14ac:dyDescent="0.25">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row>
    <row r="1105" spans="1:81" x14ac:dyDescent="0.25">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row>
    <row r="1106" spans="1:81" x14ac:dyDescent="0.25">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row>
    <row r="1107" spans="1:81" x14ac:dyDescent="0.25">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row>
    <row r="1108" spans="1:81" x14ac:dyDescent="0.25">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row>
    <row r="1109" spans="1:81" x14ac:dyDescent="0.25">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row>
    <row r="1110" spans="1:81" x14ac:dyDescent="0.25">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row>
    <row r="1111" spans="1:81" x14ac:dyDescent="0.25">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row>
    <row r="1112" spans="1:81" x14ac:dyDescent="0.25">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row>
    <row r="1113" spans="1:81" x14ac:dyDescent="0.25">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row>
    <row r="1114" spans="1:81" x14ac:dyDescent="0.25">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row>
    <row r="1115" spans="1:81" x14ac:dyDescent="0.25">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row>
    <row r="1116" spans="1:81" x14ac:dyDescent="0.25">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row>
    <row r="1117" spans="1:81" x14ac:dyDescent="0.25">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row>
    <row r="1118" spans="1:81" x14ac:dyDescent="0.25">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row>
    <row r="1119" spans="1:81" x14ac:dyDescent="0.25">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row>
    <row r="1120" spans="1:81" x14ac:dyDescent="0.25">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row>
    <row r="1121" spans="1:81" x14ac:dyDescent="0.25">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row>
    <row r="1122" spans="1:81" x14ac:dyDescent="0.25">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row>
    <row r="1123" spans="1:81" x14ac:dyDescent="0.25">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row>
    <row r="1124" spans="1:81" x14ac:dyDescent="0.25">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row>
    <row r="1125" spans="1:81" x14ac:dyDescent="0.25">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row>
    <row r="1126" spans="1:81" x14ac:dyDescent="0.25">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row>
    <row r="1127" spans="1:81" x14ac:dyDescent="0.25">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row>
    <row r="1128" spans="1:81" x14ac:dyDescent="0.25">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row>
    <row r="1129" spans="1:81" x14ac:dyDescent="0.25">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row>
    <row r="1130" spans="1:81" x14ac:dyDescent="0.25">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row>
    <row r="1131" spans="1:81" x14ac:dyDescent="0.25">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row>
    <row r="1132" spans="1:81" x14ac:dyDescent="0.25">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row>
    <row r="1133" spans="1:81" x14ac:dyDescent="0.25">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row>
    <row r="1134" spans="1:81" x14ac:dyDescent="0.25">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row>
    <row r="1135" spans="1:81" x14ac:dyDescent="0.25">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row>
    <row r="1136" spans="1:81" x14ac:dyDescent="0.25">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row>
    <row r="1137" spans="1:81" x14ac:dyDescent="0.25">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row>
    <row r="1138" spans="1:81" x14ac:dyDescent="0.25">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row>
    <row r="1139" spans="1:81" x14ac:dyDescent="0.25">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row>
    <row r="1140" spans="1:81" x14ac:dyDescent="0.25">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row>
    <row r="1141" spans="1:81" x14ac:dyDescent="0.25">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row>
    <row r="1142" spans="1:81" x14ac:dyDescent="0.25">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row>
    <row r="1143" spans="1:81" x14ac:dyDescent="0.25">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row>
    <row r="1144" spans="1:81" x14ac:dyDescent="0.25">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row>
    <row r="1145" spans="1:81" x14ac:dyDescent="0.25">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row>
    <row r="1146" spans="1:81" x14ac:dyDescent="0.25">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row>
    <row r="1147" spans="1:81" x14ac:dyDescent="0.25">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row>
    <row r="1148" spans="1:81" x14ac:dyDescent="0.25">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row>
    <row r="1149" spans="1:81" x14ac:dyDescent="0.25">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row>
    <row r="1150" spans="1:81" x14ac:dyDescent="0.25">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row>
    <row r="1151" spans="1:81" x14ac:dyDescent="0.25">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row>
    <row r="1152" spans="1:81" x14ac:dyDescent="0.25">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row>
    <row r="1153" spans="1:81" x14ac:dyDescent="0.25">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row>
    <row r="1154" spans="1:81" x14ac:dyDescent="0.25">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row>
    <row r="1155" spans="1:81" x14ac:dyDescent="0.25">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row>
    <row r="1156" spans="1:81" x14ac:dyDescent="0.25">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row>
    <row r="1157" spans="1:81" x14ac:dyDescent="0.25">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row>
    <row r="1158" spans="1:81" x14ac:dyDescent="0.25">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row>
    <row r="1159" spans="1:81" x14ac:dyDescent="0.25">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row>
    <row r="1160" spans="1:81" x14ac:dyDescent="0.25">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row>
    <row r="1161" spans="1:81" x14ac:dyDescent="0.25">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row>
    <row r="1162" spans="1:81" x14ac:dyDescent="0.25">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row>
    <row r="1163" spans="1:81" x14ac:dyDescent="0.25">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row>
    <row r="1164" spans="1:81" x14ac:dyDescent="0.25">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row>
    <row r="1165" spans="1:81" x14ac:dyDescent="0.25">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row>
    <row r="1166" spans="1:81" x14ac:dyDescent="0.25">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row>
    <row r="1167" spans="1:81" x14ac:dyDescent="0.25">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row>
    <row r="1168" spans="1:81" x14ac:dyDescent="0.25">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row>
    <row r="1169" spans="1:81" x14ac:dyDescent="0.25">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row>
    <row r="1170" spans="1:81" x14ac:dyDescent="0.25">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row>
    <row r="1171" spans="1:81" x14ac:dyDescent="0.25">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row>
    <row r="1172" spans="1:81" x14ac:dyDescent="0.25">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row>
    <row r="1173" spans="1:81" x14ac:dyDescent="0.25">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row>
    <row r="1174" spans="1:81" x14ac:dyDescent="0.25">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row>
    <row r="1175" spans="1:81" x14ac:dyDescent="0.25">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row>
    <row r="1176" spans="1:81" x14ac:dyDescent="0.25">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row>
    <row r="1177" spans="1:81" x14ac:dyDescent="0.25">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row>
    <row r="1178" spans="1:81" x14ac:dyDescent="0.25">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row>
    <row r="1179" spans="1:81" x14ac:dyDescent="0.25">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row>
    <row r="1180" spans="1:81" x14ac:dyDescent="0.25">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row>
    <row r="1181" spans="1:81" x14ac:dyDescent="0.25">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row>
    <row r="1182" spans="1:81" x14ac:dyDescent="0.25">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row>
    <row r="1183" spans="1:81" x14ac:dyDescent="0.25">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row>
    <row r="1184" spans="1:81" x14ac:dyDescent="0.25">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row>
    <row r="1185" spans="1:81" x14ac:dyDescent="0.25">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row>
    <row r="1186" spans="1:81" x14ac:dyDescent="0.25">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row>
    <row r="1187" spans="1:81" x14ac:dyDescent="0.25">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row>
    <row r="1188" spans="1:81" x14ac:dyDescent="0.25">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row>
    <row r="1189" spans="1:81" x14ac:dyDescent="0.25">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row>
    <row r="1190" spans="1:81" x14ac:dyDescent="0.25">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row>
    <row r="1191" spans="1:81" x14ac:dyDescent="0.25">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row>
    <row r="1192" spans="1:81" x14ac:dyDescent="0.25">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row>
    <row r="1193" spans="1:81" x14ac:dyDescent="0.25">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row>
    <row r="1194" spans="1:81" x14ac:dyDescent="0.25">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row>
    <row r="1195" spans="1:81" x14ac:dyDescent="0.25">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row>
    <row r="1196" spans="1:81" x14ac:dyDescent="0.25">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row>
    <row r="1197" spans="1:81" x14ac:dyDescent="0.25">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row>
    <row r="1198" spans="1:81" x14ac:dyDescent="0.25">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row>
    <row r="1199" spans="1:81" x14ac:dyDescent="0.25">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row>
    <row r="1200" spans="1:81" x14ac:dyDescent="0.25">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row>
    <row r="1201" spans="1:81" x14ac:dyDescent="0.25">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row>
    <row r="1202" spans="1:81" x14ac:dyDescent="0.25">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row>
    <row r="1203" spans="1:81" x14ac:dyDescent="0.25">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row>
    <row r="1204" spans="1:81" x14ac:dyDescent="0.25">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row>
    <row r="1205" spans="1:81" x14ac:dyDescent="0.25">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row>
    <row r="1206" spans="1:81" x14ac:dyDescent="0.25">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row>
    <row r="1207" spans="1:81" x14ac:dyDescent="0.25">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row>
    <row r="1208" spans="1:81" x14ac:dyDescent="0.25">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row>
    <row r="1209" spans="1:81" x14ac:dyDescent="0.25">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row>
    <row r="1210" spans="1:81" x14ac:dyDescent="0.25">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row>
    <row r="1211" spans="1:81" x14ac:dyDescent="0.25">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row>
    <row r="1212" spans="1:81" x14ac:dyDescent="0.25">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row>
    <row r="1213" spans="1:81" x14ac:dyDescent="0.25">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row>
    <row r="1214" spans="1:81" x14ac:dyDescent="0.25">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row>
    <row r="1215" spans="1:81" x14ac:dyDescent="0.25">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row>
    <row r="1216" spans="1:81" x14ac:dyDescent="0.25">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row>
    <row r="1217" spans="1:81" x14ac:dyDescent="0.25">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row>
    <row r="1218" spans="1:81" x14ac:dyDescent="0.25">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row>
    <row r="1219" spans="1:81" x14ac:dyDescent="0.25">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row>
    <row r="1220" spans="1:81" x14ac:dyDescent="0.25">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row>
    <row r="1221" spans="1:81" x14ac:dyDescent="0.25">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row>
    <row r="1222" spans="1:81" x14ac:dyDescent="0.25">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row>
    <row r="1223" spans="1:81" x14ac:dyDescent="0.25">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row>
    <row r="1224" spans="1:81" x14ac:dyDescent="0.25">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row>
    <row r="1225" spans="1:81" x14ac:dyDescent="0.25">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row>
    <row r="1226" spans="1:81" x14ac:dyDescent="0.25">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row>
    <row r="1227" spans="1:81" x14ac:dyDescent="0.25">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row>
    <row r="1228" spans="1:81" x14ac:dyDescent="0.25">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row>
    <row r="1229" spans="1:81" x14ac:dyDescent="0.25">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row>
    <row r="1230" spans="1:81" x14ac:dyDescent="0.25">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row>
    <row r="1231" spans="1:81" x14ac:dyDescent="0.25">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row>
    <row r="1232" spans="1:81" x14ac:dyDescent="0.25">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row>
    <row r="1233" spans="1:81" x14ac:dyDescent="0.25">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row>
    <row r="1234" spans="1:81" x14ac:dyDescent="0.25">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row>
    <row r="1235" spans="1:81" x14ac:dyDescent="0.25">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row>
    <row r="1236" spans="1:81" x14ac:dyDescent="0.25">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row>
    <row r="1237" spans="1:81" x14ac:dyDescent="0.25">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row>
    <row r="1238" spans="1:81" x14ac:dyDescent="0.25">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row>
    <row r="1239" spans="1:81" x14ac:dyDescent="0.25">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row>
    <row r="1240" spans="1:81" x14ac:dyDescent="0.25">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row>
    <row r="1241" spans="1:81" x14ac:dyDescent="0.25">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row>
    <row r="1242" spans="1:81" x14ac:dyDescent="0.25">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row>
    <row r="1243" spans="1:81" x14ac:dyDescent="0.25">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row>
    <row r="1244" spans="1:81" x14ac:dyDescent="0.25">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row>
    <row r="1245" spans="1:81" x14ac:dyDescent="0.25">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row>
    <row r="1246" spans="1:81" x14ac:dyDescent="0.25">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row>
    <row r="1247" spans="1:81" x14ac:dyDescent="0.25">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row>
    <row r="1248" spans="1:81" x14ac:dyDescent="0.25">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row>
    <row r="1249" spans="1:81" x14ac:dyDescent="0.25">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row>
    <row r="1250" spans="1:81" x14ac:dyDescent="0.25">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row>
    <row r="1251" spans="1:81" x14ac:dyDescent="0.25">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row>
    <row r="1252" spans="1:81" x14ac:dyDescent="0.25">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row>
    <row r="1253" spans="1:81" x14ac:dyDescent="0.25">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row>
    <row r="1254" spans="1:81" x14ac:dyDescent="0.25">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row>
    <row r="1255" spans="1:81" x14ac:dyDescent="0.25">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row>
    <row r="1256" spans="1:81" x14ac:dyDescent="0.25">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row>
    <row r="1257" spans="1:81" x14ac:dyDescent="0.25">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row>
    <row r="1258" spans="1:81" x14ac:dyDescent="0.25">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row>
    <row r="1259" spans="1:81" x14ac:dyDescent="0.25">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row>
    <row r="1260" spans="1:81" x14ac:dyDescent="0.25">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row>
    <row r="1261" spans="1:81" x14ac:dyDescent="0.25">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row>
    <row r="1262" spans="1:81" x14ac:dyDescent="0.25">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row>
    <row r="1263" spans="1:81" x14ac:dyDescent="0.25">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row>
    <row r="1264" spans="1:81" x14ac:dyDescent="0.25">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row>
    <row r="1265" spans="1:81" x14ac:dyDescent="0.25">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row>
    <row r="1266" spans="1:81" x14ac:dyDescent="0.25">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row>
    <row r="1267" spans="1:81" x14ac:dyDescent="0.25">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row>
    <row r="1268" spans="1:81" x14ac:dyDescent="0.25">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row>
    <row r="1269" spans="1:81" x14ac:dyDescent="0.25">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row>
    <row r="1270" spans="1:81" x14ac:dyDescent="0.25">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row>
    <row r="1271" spans="1:81" x14ac:dyDescent="0.25">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row>
    <row r="1272" spans="1:81" x14ac:dyDescent="0.25">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row>
    <row r="1273" spans="1:81" x14ac:dyDescent="0.25">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row>
    <row r="1274" spans="1:81" x14ac:dyDescent="0.25">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row>
    <row r="1275" spans="1:81" x14ac:dyDescent="0.25">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row>
    <row r="1276" spans="1:81" x14ac:dyDescent="0.25">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row>
    <row r="1277" spans="1:81" x14ac:dyDescent="0.25">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row>
    <row r="1278" spans="1:81" x14ac:dyDescent="0.25">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row>
    <row r="1279" spans="1:81" x14ac:dyDescent="0.25">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row>
    <row r="1280" spans="1:81" x14ac:dyDescent="0.25">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row>
    <row r="1281" spans="1:81" x14ac:dyDescent="0.25">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row>
    <row r="1282" spans="1:81" x14ac:dyDescent="0.25">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row>
    <row r="1283" spans="1:81" x14ac:dyDescent="0.25">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row>
    <row r="1284" spans="1:81" x14ac:dyDescent="0.25">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row>
    <row r="1285" spans="1:81" x14ac:dyDescent="0.25">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row>
    <row r="1286" spans="1:81" x14ac:dyDescent="0.25">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row>
    <row r="1287" spans="1:81" x14ac:dyDescent="0.25">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row>
    <row r="1288" spans="1:81" x14ac:dyDescent="0.25">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row>
    <row r="1289" spans="1:81" x14ac:dyDescent="0.25">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row>
    <row r="1290" spans="1:81" x14ac:dyDescent="0.25">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row>
    <row r="1291" spans="1:81" x14ac:dyDescent="0.25">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row>
    <row r="1292" spans="1:81" x14ac:dyDescent="0.25">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row>
    <row r="1293" spans="1:81" x14ac:dyDescent="0.25">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row>
    <row r="1294" spans="1:81" x14ac:dyDescent="0.25">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row>
    <row r="1295" spans="1:81" x14ac:dyDescent="0.25">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row>
    <row r="1296" spans="1:81" x14ac:dyDescent="0.25">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row>
    <row r="1297" spans="1:81" x14ac:dyDescent="0.25">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row>
    <row r="1298" spans="1:81" x14ac:dyDescent="0.25">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row>
    <row r="1299" spans="1:81" x14ac:dyDescent="0.25">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row>
    <row r="1300" spans="1:81" x14ac:dyDescent="0.25">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row>
    <row r="1301" spans="1:81" x14ac:dyDescent="0.25">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row>
    <row r="1302" spans="1:81" x14ac:dyDescent="0.25">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row>
    <row r="1303" spans="1:81" x14ac:dyDescent="0.25">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row>
    <row r="1304" spans="1:81" x14ac:dyDescent="0.25">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row>
    <row r="1305" spans="1:81" x14ac:dyDescent="0.25">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row>
    <row r="1306" spans="1:81" x14ac:dyDescent="0.25">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row>
    <row r="1307" spans="1:81" x14ac:dyDescent="0.25">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row>
    <row r="1308" spans="1:81" x14ac:dyDescent="0.25">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row>
    <row r="1309" spans="1:81" x14ac:dyDescent="0.25">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row>
    <row r="1310" spans="1:81" x14ac:dyDescent="0.25">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row>
    <row r="1311" spans="1:81" x14ac:dyDescent="0.25">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row>
    <row r="1312" spans="1:81" x14ac:dyDescent="0.25">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row>
    <row r="1313" spans="1:81" x14ac:dyDescent="0.25">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row>
    <row r="1314" spans="1:81" x14ac:dyDescent="0.25">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row>
    <row r="1315" spans="1:81" x14ac:dyDescent="0.25">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row>
    <row r="1316" spans="1:81" x14ac:dyDescent="0.25">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row>
    <row r="1317" spans="1:81" x14ac:dyDescent="0.25">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row>
    <row r="1318" spans="1:81" x14ac:dyDescent="0.25">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row>
    <row r="1319" spans="1:81" x14ac:dyDescent="0.25">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row>
    <row r="1320" spans="1:81" x14ac:dyDescent="0.25">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row>
    <row r="1321" spans="1:81" x14ac:dyDescent="0.25">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row>
    <row r="1322" spans="1:81" x14ac:dyDescent="0.25">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row>
    <row r="1323" spans="1:81" x14ac:dyDescent="0.25">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row>
    <row r="1324" spans="1:81" x14ac:dyDescent="0.25">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row>
    <row r="1325" spans="1:81" x14ac:dyDescent="0.25">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row>
    <row r="1326" spans="1:81" x14ac:dyDescent="0.25">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row>
    <row r="1327" spans="1:81" x14ac:dyDescent="0.25">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row>
    <row r="1328" spans="1:81" x14ac:dyDescent="0.25">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row>
    <row r="1329" spans="1:81" x14ac:dyDescent="0.25">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row>
    <row r="1330" spans="1:81" x14ac:dyDescent="0.25">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row>
    <row r="1331" spans="1:81" x14ac:dyDescent="0.25">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row>
    <row r="1332" spans="1:81" x14ac:dyDescent="0.25">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row>
    <row r="1333" spans="1:81" x14ac:dyDescent="0.25">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row>
    <row r="1334" spans="1:81" x14ac:dyDescent="0.25">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row>
    <row r="1335" spans="1:81" x14ac:dyDescent="0.25">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row>
    <row r="1336" spans="1:81" x14ac:dyDescent="0.25">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row>
    <row r="1337" spans="1:81" x14ac:dyDescent="0.25">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row>
    <row r="1338" spans="1:81" x14ac:dyDescent="0.25">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row>
    <row r="1339" spans="1:81" x14ac:dyDescent="0.25">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row>
    <row r="1340" spans="1:81" x14ac:dyDescent="0.25">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row>
    <row r="1341" spans="1:81" x14ac:dyDescent="0.25">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row>
    <row r="1342" spans="1:81" x14ac:dyDescent="0.25">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row>
    <row r="1343" spans="1:81" x14ac:dyDescent="0.25">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row>
    <row r="1344" spans="1:81" x14ac:dyDescent="0.25">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row>
    <row r="1345" spans="1:81" x14ac:dyDescent="0.25">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row>
    <row r="1346" spans="1:81" x14ac:dyDescent="0.25">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row>
    <row r="1347" spans="1:81" x14ac:dyDescent="0.25">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row>
    <row r="1348" spans="1:81" x14ac:dyDescent="0.25">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row>
    <row r="1349" spans="1:81" x14ac:dyDescent="0.25">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row>
    <row r="1350" spans="1:81" x14ac:dyDescent="0.25">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row>
    <row r="1351" spans="1:81" x14ac:dyDescent="0.25">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row>
    <row r="1352" spans="1:81" x14ac:dyDescent="0.25">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row>
    <row r="1353" spans="1:81" x14ac:dyDescent="0.25">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row>
    <row r="1354" spans="1:81" x14ac:dyDescent="0.25">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row>
    <row r="1355" spans="1:81" x14ac:dyDescent="0.25">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row>
    <row r="1356" spans="1:81" x14ac:dyDescent="0.25">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row>
    <row r="1357" spans="1:81" x14ac:dyDescent="0.25">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row>
    <row r="1358" spans="1:81" x14ac:dyDescent="0.25">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row>
    <row r="1359" spans="1:81" x14ac:dyDescent="0.25">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row>
    <row r="1360" spans="1:81" x14ac:dyDescent="0.25">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row>
    <row r="1361" spans="1:81" x14ac:dyDescent="0.25">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row>
    <row r="1362" spans="1:81" x14ac:dyDescent="0.25">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row>
    <row r="1363" spans="1:81" x14ac:dyDescent="0.25">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row>
    <row r="1364" spans="1:81" x14ac:dyDescent="0.25">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row>
    <row r="1365" spans="1:81" x14ac:dyDescent="0.25">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row>
    <row r="1366" spans="1:81" x14ac:dyDescent="0.25">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row>
    <row r="1367" spans="1:81" x14ac:dyDescent="0.25">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row>
    <row r="1368" spans="1:81" x14ac:dyDescent="0.25">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row>
    <row r="1369" spans="1:81" x14ac:dyDescent="0.25">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row>
    <row r="1370" spans="1:81" x14ac:dyDescent="0.25">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row>
    <row r="1371" spans="1:81" x14ac:dyDescent="0.25">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row>
    <row r="1372" spans="1:81" x14ac:dyDescent="0.25">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row>
    <row r="1373" spans="1:81" x14ac:dyDescent="0.25">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row>
    <row r="1374" spans="1:81" x14ac:dyDescent="0.25">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row>
    <row r="1375" spans="1:81" x14ac:dyDescent="0.25">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row>
    <row r="1376" spans="1:81" x14ac:dyDescent="0.25">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row>
    <row r="1377" spans="1:81" x14ac:dyDescent="0.25">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row>
    <row r="1378" spans="1:81" x14ac:dyDescent="0.25">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row>
    <row r="1379" spans="1:81" x14ac:dyDescent="0.25">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row>
    <row r="1380" spans="1:81" x14ac:dyDescent="0.25">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row>
    <row r="1381" spans="1:81" x14ac:dyDescent="0.25">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row>
    <row r="1382" spans="1:81" x14ac:dyDescent="0.25">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row>
    <row r="1383" spans="1:81" x14ac:dyDescent="0.25">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row>
    <row r="1384" spans="1:81" x14ac:dyDescent="0.25">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row>
    <row r="1385" spans="1:81" x14ac:dyDescent="0.25">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row>
    <row r="1386" spans="1:81" x14ac:dyDescent="0.25">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row>
    <row r="1387" spans="1:81" x14ac:dyDescent="0.25">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row>
    <row r="1388" spans="1:81" x14ac:dyDescent="0.25">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row>
    <row r="1389" spans="1:81" x14ac:dyDescent="0.25">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row>
    <row r="1390" spans="1:81" x14ac:dyDescent="0.25">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row>
    <row r="1391" spans="1:81" x14ac:dyDescent="0.25">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row>
    <row r="1392" spans="1:81" x14ac:dyDescent="0.25">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row>
    <row r="1393" spans="1:81" x14ac:dyDescent="0.25">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row>
    <row r="1394" spans="1:81" x14ac:dyDescent="0.25">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row>
    <row r="1395" spans="1:81" x14ac:dyDescent="0.25">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row>
    <row r="1396" spans="1:81" x14ac:dyDescent="0.25">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row>
    <row r="1397" spans="1:81" x14ac:dyDescent="0.25">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row>
    <row r="1398" spans="1:81" x14ac:dyDescent="0.25">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row>
    <row r="1399" spans="1:81" x14ac:dyDescent="0.25">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row>
    <row r="1400" spans="1:81" x14ac:dyDescent="0.25">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row>
    <row r="1401" spans="1:81" x14ac:dyDescent="0.25">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row>
    <row r="1402" spans="1:81" x14ac:dyDescent="0.25">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row>
    <row r="1403" spans="1:81" x14ac:dyDescent="0.25">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row>
    <row r="1404" spans="1:81" x14ac:dyDescent="0.25">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row>
    <row r="1405" spans="1:81" x14ac:dyDescent="0.25">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row>
    <row r="1406" spans="1:81" x14ac:dyDescent="0.25">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row>
    <row r="1407" spans="1:81" x14ac:dyDescent="0.25">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row>
    <row r="1408" spans="1:81" x14ac:dyDescent="0.25">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row>
    <row r="1409" spans="1:81" x14ac:dyDescent="0.25">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row>
    <row r="1410" spans="1:81" x14ac:dyDescent="0.25">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row>
    <row r="1411" spans="1:81" x14ac:dyDescent="0.25">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row>
    <row r="1412" spans="1:81" x14ac:dyDescent="0.25">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row>
    <row r="1413" spans="1:81" x14ac:dyDescent="0.25">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row>
    <row r="1414" spans="1:81" x14ac:dyDescent="0.25">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row>
    <row r="1415" spans="1:81" x14ac:dyDescent="0.25">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row>
    <row r="1416" spans="1:81" x14ac:dyDescent="0.25">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row>
    <row r="1417" spans="1:81" x14ac:dyDescent="0.25">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row>
    <row r="1418" spans="1:81" x14ac:dyDescent="0.25">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row>
    <row r="1419" spans="1:81" x14ac:dyDescent="0.25">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row>
    <row r="1420" spans="1:81" x14ac:dyDescent="0.25">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row>
    <row r="1421" spans="1:81" x14ac:dyDescent="0.25">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row>
    <row r="1422" spans="1:81" x14ac:dyDescent="0.25">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row>
    <row r="1423" spans="1:81" x14ac:dyDescent="0.25">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row>
    <row r="1424" spans="1:81" x14ac:dyDescent="0.25">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row>
    <row r="1425" spans="1:81" x14ac:dyDescent="0.25">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row>
    <row r="1426" spans="1:81" x14ac:dyDescent="0.25">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row>
    <row r="1427" spans="1:81" x14ac:dyDescent="0.25">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row>
    <row r="1428" spans="1:81" x14ac:dyDescent="0.25">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row>
    <row r="1429" spans="1:81" x14ac:dyDescent="0.25">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row>
    <row r="1430" spans="1:81" x14ac:dyDescent="0.25">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row>
    <row r="1431" spans="1:81" x14ac:dyDescent="0.25">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row>
    <row r="1432" spans="1:81" x14ac:dyDescent="0.25">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row>
    <row r="1433" spans="1:81" x14ac:dyDescent="0.25">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row>
    <row r="1434" spans="1:81" x14ac:dyDescent="0.25">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row>
    <row r="1435" spans="1:81" x14ac:dyDescent="0.25">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row>
    <row r="1436" spans="1:81" x14ac:dyDescent="0.25">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row>
    <row r="1437" spans="1:81" x14ac:dyDescent="0.25">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row>
    <row r="1438" spans="1:81" x14ac:dyDescent="0.25">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row>
    <row r="1439" spans="1:81" x14ac:dyDescent="0.25">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row>
    <row r="1440" spans="1:81" x14ac:dyDescent="0.25">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row>
    <row r="1441" spans="1:81" x14ac:dyDescent="0.25">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row>
    <row r="1442" spans="1:81" x14ac:dyDescent="0.25">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row>
    <row r="1443" spans="1:81" x14ac:dyDescent="0.25">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row>
    <row r="1444" spans="1:81" x14ac:dyDescent="0.25">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row>
    <row r="1445" spans="1:81" x14ac:dyDescent="0.25">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row>
    <row r="1446" spans="1:81" x14ac:dyDescent="0.25">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row>
    <row r="1447" spans="1:81" x14ac:dyDescent="0.25">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row>
    <row r="1448" spans="1:81" x14ac:dyDescent="0.25">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row>
    <row r="1449" spans="1:81" x14ac:dyDescent="0.25">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row>
    <row r="1450" spans="1:81" x14ac:dyDescent="0.25">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row>
    <row r="1451" spans="1:81" x14ac:dyDescent="0.25">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row>
    <row r="1452" spans="1:81" x14ac:dyDescent="0.25">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row>
    <row r="1453" spans="1:81" x14ac:dyDescent="0.25">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row>
    <row r="1454" spans="1:81" x14ac:dyDescent="0.25">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row>
    <row r="1455" spans="1:81" x14ac:dyDescent="0.25">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row>
    <row r="1456" spans="1:81" x14ac:dyDescent="0.25">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row>
    <row r="1457" spans="1:81" x14ac:dyDescent="0.25">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row>
    <row r="1458" spans="1:81" x14ac:dyDescent="0.25">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row>
    <row r="1459" spans="1:81" x14ac:dyDescent="0.25">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row>
    <row r="1460" spans="1:81" x14ac:dyDescent="0.25">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row>
    <row r="1461" spans="1:81" x14ac:dyDescent="0.25">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row>
    <row r="1462" spans="1:81" x14ac:dyDescent="0.25">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row>
    <row r="1463" spans="1:81" x14ac:dyDescent="0.25">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row>
    <row r="1464" spans="1:81" x14ac:dyDescent="0.25">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row>
    <row r="1465" spans="1:81" x14ac:dyDescent="0.25">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row>
    <row r="1466" spans="1:81" x14ac:dyDescent="0.25">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row>
    <row r="1467" spans="1:81" x14ac:dyDescent="0.25">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row>
    <row r="1468" spans="1:81" x14ac:dyDescent="0.25">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row>
    <row r="1469" spans="1:81" x14ac:dyDescent="0.25">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row>
    <row r="1470" spans="1:81" x14ac:dyDescent="0.25">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row>
    <row r="1471" spans="1:81" x14ac:dyDescent="0.25">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row>
    <row r="1472" spans="1:81" x14ac:dyDescent="0.25">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row>
    <row r="1473" spans="1:81" x14ac:dyDescent="0.25">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row>
    <row r="1474" spans="1:81" x14ac:dyDescent="0.25">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row>
    <row r="1475" spans="1:81" x14ac:dyDescent="0.25">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row>
    <row r="1476" spans="1:81" x14ac:dyDescent="0.25">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row>
    <row r="1477" spans="1:81" x14ac:dyDescent="0.25">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row>
    <row r="1478" spans="1:81" x14ac:dyDescent="0.25">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row>
    <row r="1479" spans="1:81" x14ac:dyDescent="0.25">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row>
    <row r="1480" spans="1:81" x14ac:dyDescent="0.25">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row>
    <row r="1481" spans="1:81" x14ac:dyDescent="0.25">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row>
    <row r="1482" spans="1:81" x14ac:dyDescent="0.25">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row>
    <row r="1483" spans="1:81" x14ac:dyDescent="0.25">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row>
    <row r="1484" spans="1:81" x14ac:dyDescent="0.25">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row>
    <row r="1485" spans="1:81" x14ac:dyDescent="0.25">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row>
    <row r="1486" spans="1:81" x14ac:dyDescent="0.25">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row>
    <row r="1487" spans="1:81" x14ac:dyDescent="0.25">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row>
    <row r="1488" spans="1:81" x14ac:dyDescent="0.25">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row>
    <row r="1489" spans="1:81" x14ac:dyDescent="0.25">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row>
    <row r="1490" spans="1:81" x14ac:dyDescent="0.25">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row>
    <row r="1491" spans="1:81" x14ac:dyDescent="0.25">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row>
    <row r="1492" spans="1:81" x14ac:dyDescent="0.25">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row>
    <row r="1493" spans="1:81" x14ac:dyDescent="0.25">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row>
    <row r="1494" spans="1:81" x14ac:dyDescent="0.25">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row>
    <row r="1495" spans="1:81" x14ac:dyDescent="0.25">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row>
    <row r="1496" spans="1:81" x14ac:dyDescent="0.25">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row>
    <row r="1497" spans="1:81" x14ac:dyDescent="0.25">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row>
    <row r="1498" spans="1:81" x14ac:dyDescent="0.25">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row>
    <row r="1499" spans="1:81" x14ac:dyDescent="0.25">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row>
    <row r="1500" spans="1:81" x14ac:dyDescent="0.25">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row>
    <row r="1501" spans="1:81" x14ac:dyDescent="0.25">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row>
    <row r="1502" spans="1:81" x14ac:dyDescent="0.25">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row>
    <row r="1503" spans="1:81" x14ac:dyDescent="0.25">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row>
    <row r="1504" spans="1:81" x14ac:dyDescent="0.25">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row>
    <row r="1505" spans="1:81" x14ac:dyDescent="0.25">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row>
    <row r="1506" spans="1:81" x14ac:dyDescent="0.25">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row>
    <row r="1507" spans="1:81" x14ac:dyDescent="0.25">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row>
    <row r="1508" spans="1:81" x14ac:dyDescent="0.25">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row>
    <row r="1509" spans="1:81" x14ac:dyDescent="0.25">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row>
    <row r="1510" spans="1:81" x14ac:dyDescent="0.25">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row>
    <row r="1511" spans="1:81" x14ac:dyDescent="0.25">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row>
    <row r="1512" spans="1:81" x14ac:dyDescent="0.25">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row>
    <row r="1513" spans="1:81" x14ac:dyDescent="0.25">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row>
    <row r="1514" spans="1:81" x14ac:dyDescent="0.25">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row>
    <row r="1515" spans="1:81" x14ac:dyDescent="0.25">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row>
    <row r="1516" spans="1:81" x14ac:dyDescent="0.25">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row>
    <row r="1517" spans="1:81" x14ac:dyDescent="0.25">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row>
    <row r="1518" spans="1:81" x14ac:dyDescent="0.25">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row>
    <row r="1519" spans="1:81" x14ac:dyDescent="0.25">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row>
    <row r="1520" spans="1:81" x14ac:dyDescent="0.25">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row>
    <row r="1521" spans="1:81" x14ac:dyDescent="0.25">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row>
    <row r="1522" spans="1:81" x14ac:dyDescent="0.25">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row>
    <row r="1523" spans="1:81" x14ac:dyDescent="0.25">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row>
    <row r="1524" spans="1:81" x14ac:dyDescent="0.25">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row>
    <row r="1525" spans="1:81" x14ac:dyDescent="0.25">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row>
    <row r="1526" spans="1:81" x14ac:dyDescent="0.25">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row>
    <row r="1527" spans="1:81" x14ac:dyDescent="0.25">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row>
    <row r="1528" spans="1:81" x14ac:dyDescent="0.25">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row>
    <row r="1529" spans="1:81" x14ac:dyDescent="0.25">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row>
    <row r="1530" spans="1:81" x14ac:dyDescent="0.25">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row>
    <row r="1531" spans="1:81" x14ac:dyDescent="0.25">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row>
    <row r="1532" spans="1:81" x14ac:dyDescent="0.25">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row>
    <row r="1533" spans="1:81" x14ac:dyDescent="0.25">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row>
    <row r="1534" spans="1:81" x14ac:dyDescent="0.25">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row>
    <row r="1535" spans="1:81" x14ac:dyDescent="0.25">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row>
    <row r="1536" spans="1:81" x14ac:dyDescent="0.25">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row>
    <row r="1537" spans="1:81" x14ac:dyDescent="0.25">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row>
    <row r="1538" spans="1:81" x14ac:dyDescent="0.25">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row>
    <row r="1539" spans="1:81" x14ac:dyDescent="0.25">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row>
    <row r="1540" spans="1:81" x14ac:dyDescent="0.25">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row>
    <row r="1541" spans="1:81" x14ac:dyDescent="0.25">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row>
    <row r="1542" spans="1:81" x14ac:dyDescent="0.25">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row>
    <row r="1543" spans="1:81" x14ac:dyDescent="0.25">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row>
    <row r="1544" spans="1:81" x14ac:dyDescent="0.25">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row>
    <row r="1545" spans="1:81" x14ac:dyDescent="0.25">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row>
    <row r="1546" spans="1:81" x14ac:dyDescent="0.25">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row>
    <row r="1547" spans="1:81" x14ac:dyDescent="0.25">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row>
    <row r="1548" spans="1:81" x14ac:dyDescent="0.25">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row>
    <row r="1549" spans="1:81" x14ac:dyDescent="0.25">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row>
    <row r="1550" spans="1:81" x14ac:dyDescent="0.25">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row>
    <row r="1551" spans="1:81" x14ac:dyDescent="0.25">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row>
    <row r="1552" spans="1:81" x14ac:dyDescent="0.25">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row>
    <row r="1553" spans="1:81" x14ac:dyDescent="0.25">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row>
    <row r="1554" spans="1:81" x14ac:dyDescent="0.25">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row>
    <row r="1555" spans="1:81" x14ac:dyDescent="0.25">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row>
    <row r="1556" spans="1:81" x14ac:dyDescent="0.25">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row>
    <row r="1557" spans="1:81" x14ac:dyDescent="0.25">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row>
    <row r="1558" spans="1:81" x14ac:dyDescent="0.25">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row>
    <row r="1559" spans="1:81" x14ac:dyDescent="0.25">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row>
    <row r="1560" spans="1:81" x14ac:dyDescent="0.25">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row>
    <row r="1561" spans="1:81" x14ac:dyDescent="0.25">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row>
    <row r="1562" spans="1:81" x14ac:dyDescent="0.25">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row>
    <row r="1563" spans="1:81" x14ac:dyDescent="0.25">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row>
    <row r="1564" spans="1:81" x14ac:dyDescent="0.25">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row>
    <row r="1565" spans="1:81" x14ac:dyDescent="0.25">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row>
    <row r="1566" spans="1:81" x14ac:dyDescent="0.25">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row>
    <row r="1567" spans="1:81" x14ac:dyDescent="0.25">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row>
    <row r="1568" spans="1:81" x14ac:dyDescent="0.25">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row>
    <row r="1569" spans="1:81" x14ac:dyDescent="0.25">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row>
    <row r="1570" spans="1:81" x14ac:dyDescent="0.25">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row>
    <row r="1571" spans="1:81" x14ac:dyDescent="0.25">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row>
    <row r="1572" spans="1:81" x14ac:dyDescent="0.25">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row>
    <row r="1573" spans="1:81" x14ac:dyDescent="0.25">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row>
    <row r="1574" spans="1:81" x14ac:dyDescent="0.25">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row>
    <row r="1575" spans="1:81" x14ac:dyDescent="0.25">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row>
    <row r="1576" spans="1:81" x14ac:dyDescent="0.25">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row>
    <row r="1577" spans="1:81" x14ac:dyDescent="0.25">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row>
    <row r="1578" spans="1:81" x14ac:dyDescent="0.25">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row>
    <row r="1579" spans="1:81" x14ac:dyDescent="0.25">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row>
    <row r="1580" spans="1:81" x14ac:dyDescent="0.25">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row>
    <row r="1581" spans="1:81" x14ac:dyDescent="0.25">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row>
    <row r="1582" spans="1:81" x14ac:dyDescent="0.25">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row>
    <row r="1583" spans="1:81" x14ac:dyDescent="0.25">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row>
    <row r="1584" spans="1:81" x14ac:dyDescent="0.25">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row>
    <row r="1585" spans="1:81" x14ac:dyDescent="0.25">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row>
    <row r="1586" spans="1:81" x14ac:dyDescent="0.25">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row>
    <row r="1587" spans="1:81" x14ac:dyDescent="0.25">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row>
    <row r="1588" spans="1:81" x14ac:dyDescent="0.25">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row>
    <row r="1589" spans="1:81" x14ac:dyDescent="0.25">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row>
    <row r="1590" spans="1:81" x14ac:dyDescent="0.25">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row>
    <row r="1591" spans="1:81" x14ac:dyDescent="0.25">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row>
    <row r="1592" spans="1:81" x14ac:dyDescent="0.25">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row>
    <row r="1593" spans="1:81" x14ac:dyDescent="0.25">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row>
    <row r="1594" spans="1:81" x14ac:dyDescent="0.25">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row>
    <row r="1595" spans="1:81" x14ac:dyDescent="0.25">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row>
    <row r="1596" spans="1:81" x14ac:dyDescent="0.25">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row>
    <row r="1597" spans="1:81" x14ac:dyDescent="0.25">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row>
    <row r="1598" spans="1:81" x14ac:dyDescent="0.25">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row>
    <row r="1599" spans="1:81" x14ac:dyDescent="0.25">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row>
    <row r="1600" spans="1:81" x14ac:dyDescent="0.25">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row>
    <row r="1601" spans="1:81" x14ac:dyDescent="0.25">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row>
    <row r="1602" spans="1:81" x14ac:dyDescent="0.25">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row>
    <row r="1603" spans="1:81" x14ac:dyDescent="0.25">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row>
    <row r="1604" spans="1:81" x14ac:dyDescent="0.25">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row>
    <row r="1605" spans="1:81" x14ac:dyDescent="0.25">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row>
    <row r="1606" spans="1:81" x14ac:dyDescent="0.25">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row>
    <row r="1607" spans="1:81" x14ac:dyDescent="0.25">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row>
    <row r="1608" spans="1:81" x14ac:dyDescent="0.25">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row>
    <row r="1609" spans="1:81" x14ac:dyDescent="0.25">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row>
    <row r="1610" spans="1:81" x14ac:dyDescent="0.25">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row>
    <row r="1611" spans="1:81" x14ac:dyDescent="0.25">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row>
    <row r="1612" spans="1:81" x14ac:dyDescent="0.25">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row>
    <row r="1613" spans="1:81" x14ac:dyDescent="0.25">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row>
    <row r="1614" spans="1:81" x14ac:dyDescent="0.25">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row>
    <row r="1615" spans="1:81" x14ac:dyDescent="0.25">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row>
    <row r="1616" spans="1:81" x14ac:dyDescent="0.25">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row>
    <row r="1617" spans="1:81" x14ac:dyDescent="0.25">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row>
    <row r="1618" spans="1:81" x14ac:dyDescent="0.25">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row>
    <row r="1619" spans="1:81" x14ac:dyDescent="0.25">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row>
    <row r="1620" spans="1:81" x14ac:dyDescent="0.25">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row>
    <row r="1621" spans="1:81" x14ac:dyDescent="0.25">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row>
    <row r="1622" spans="1:81" x14ac:dyDescent="0.25">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row>
    <row r="1623" spans="1:81" x14ac:dyDescent="0.25">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row>
    <row r="1624" spans="1:81" x14ac:dyDescent="0.25">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row>
    <row r="1625" spans="1:81" x14ac:dyDescent="0.25">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row>
    <row r="1626" spans="1:81" x14ac:dyDescent="0.25">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row>
    <row r="1627" spans="1:81" x14ac:dyDescent="0.25">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row>
    <row r="1628" spans="1:81" x14ac:dyDescent="0.25">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row>
    <row r="1629" spans="1:81" x14ac:dyDescent="0.25">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row>
    <row r="1630" spans="1:81" x14ac:dyDescent="0.25">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row>
    <row r="1631" spans="1:81" x14ac:dyDescent="0.25">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row>
    <row r="1632" spans="1:81" x14ac:dyDescent="0.25">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row>
    <row r="1633" spans="1:81" x14ac:dyDescent="0.25">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row>
    <row r="1634" spans="1:81" x14ac:dyDescent="0.25">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row>
    <row r="1635" spans="1:81" x14ac:dyDescent="0.25">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row>
    <row r="1636" spans="1:81" x14ac:dyDescent="0.25">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row>
    <row r="1637" spans="1:81" x14ac:dyDescent="0.25">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row>
    <row r="1638" spans="1:81" x14ac:dyDescent="0.25">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row>
    <row r="1639" spans="1:81" x14ac:dyDescent="0.25">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row>
    <row r="1640" spans="1:81" x14ac:dyDescent="0.25">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row>
    <row r="1641" spans="1:81" x14ac:dyDescent="0.25">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row>
    <row r="1642" spans="1:81" x14ac:dyDescent="0.25">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row>
    <row r="1643" spans="1:81" x14ac:dyDescent="0.25">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row>
    <row r="1644" spans="1:81" x14ac:dyDescent="0.25">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row>
    <row r="1645" spans="1:81" x14ac:dyDescent="0.25">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row>
    <row r="1646" spans="1:81" x14ac:dyDescent="0.25">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row>
    <row r="1647" spans="1:81" x14ac:dyDescent="0.25">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row>
    <row r="1648" spans="1:81" x14ac:dyDescent="0.25">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row>
    <row r="1649" spans="1:81" x14ac:dyDescent="0.25">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row>
    <row r="1650" spans="1:81" x14ac:dyDescent="0.25">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row>
    <row r="1651" spans="1:81" x14ac:dyDescent="0.25">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row>
    <row r="1652" spans="1:81" x14ac:dyDescent="0.25">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row>
    <row r="1653" spans="1:81" x14ac:dyDescent="0.25">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row>
    <row r="1654" spans="1:81" x14ac:dyDescent="0.25">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row>
    <row r="1655" spans="1:81" x14ac:dyDescent="0.25">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row>
    <row r="1656" spans="1:81" x14ac:dyDescent="0.25">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row>
    <row r="1657" spans="1:81" x14ac:dyDescent="0.25">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row>
    <row r="1658" spans="1:81" x14ac:dyDescent="0.25">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row>
    <row r="1659" spans="1:81" x14ac:dyDescent="0.25">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row>
    <row r="1660" spans="1:81" x14ac:dyDescent="0.25">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row>
    <row r="1661" spans="1:81" x14ac:dyDescent="0.25">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row>
    <row r="1662" spans="1:81" x14ac:dyDescent="0.25">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row>
    <row r="1663" spans="1:81" x14ac:dyDescent="0.25">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row>
    <row r="1664" spans="1:81" x14ac:dyDescent="0.25">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row>
    <row r="1665" spans="1:81" x14ac:dyDescent="0.25">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row>
    <row r="1666" spans="1:81" x14ac:dyDescent="0.25">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row>
    <row r="1667" spans="1:81" x14ac:dyDescent="0.25">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row>
    <row r="1668" spans="1:81" x14ac:dyDescent="0.25">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row>
    <row r="1669" spans="1:81" x14ac:dyDescent="0.25">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row>
    <row r="1670" spans="1:81" x14ac:dyDescent="0.25">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row>
    <row r="1671" spans="1:81" x14ac:dyDescent="0.25">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row>
    <row r="1672" spans="1:81" x14ac:dyDescent="0.25">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row>
    <row r="1673" spans="1:81" x14ac:dyDescent="0.25">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row>
    <row r="1674" spans="1:81" x14ac:dyDescent="0.25">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row>
    <row r="1675" spans="1:81" x14ac:dyDescent="0.25">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row>
    <row r="1676" spans="1:81" x14ac:dyDescent="0.25">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row>
    <row r="1677" spans="1:81" x14ac:dyDescent="0.25">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row>
    <row r="1678" spans="1:81" x14ac:dyDescent="0.25">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row>
    <row r="1679" spans="1:81" x14ac:dyDescent="0.25">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row>
    <row r="1680" spans="1:81" x14ac:dyDescent="0.25">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row>
    <row r="1681" spans="1:81" x14ac:dyDescent="0.25">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row>
    <row r="1682" spans="1:81" x14ac:dyDescent="0.25">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row>
    <row r="1683" spans="1:81" x14ac:dyDescent="0.25">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row>
    <row r="1684" spans="1:81" x14ac:dyDescent="0.25">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row>
    <row r="1685" spans="1:81" x14ac:dyDescent="0.25">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row>
    <row r="1686" spans="1:81" x14ac:dyDescent="0.25">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row>
    <row r="1687" spans="1:81" x14ac:dyDescent="0.25">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row>
    <row r="1688" spans="1:81" x14ac:dyDescent="0.25">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row>
    <row r="1689" spans="1:81" x14ac:dyDescent="0.25">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row>
    <row r="1690" spans="1:81" x14ac:dyDescent="0.25">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row>
    <row r="1691" spans="1:81" x14ac:dyDescent="0.25">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row>
    <row r="1692" spans="1:81" x14ac:dyDescent="0.25">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row>
    <row r="1693" spans="1:81" x14ac:dyDescent="0.25">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row>
    <row r="1694" spans="1:81" x14ac:dyDescent="0.25">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row>
    <row r="1695" spans="1:81" x14ac:dyDescent="0.25">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row>
    <row r="1696" spans="1:81" x14ac:dyDescent="0.25">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row>
    <row r="1697" spans="1:81" x14ac:dyDescent="0.25">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row>
    <row r="1698" spans="1:81" x14ac:dyDescent="0.25">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row>
    <row r="1699" spans="1:81" x14ac:dyDescent="0.25">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row>
    <row r="1700" spans="1:81" x14ac:dyDescent="0.25">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row>
    <row r="1701" spans="1:81" x14ac:dyDescent="0.25">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row>
    <row r="1702" spans="1:81" x14ac:dyDescent="0.25">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row>
    <row r="1703" spans="1:81" x14ac:dyDescent="0.25">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row>
    <row r="1704" spans="1:81" x14ac:dyDescent="0.25">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row>
    <row r="1705" spans="1:81" x14ac:dyDescent="0.25">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row>
    <row r="1706" spans="1:81" x14ac:dyDescent="0.25">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row>
    <row r="1707" spans="1:81" x14ac:dyDescent="0.25">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row>
    <row r="1708" spans="1:81" x14ac:dyDescent="0.25">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row>
    <row r="1709" spans="1:81" x14ac:dyDescent="0.25">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row>
    <row r="1710" spans="1:81" x14ac:dyDescent="0.25">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row>
    <row r="1711" spans="1:81" x14ac:dyDescent="0.25">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row>
    <row r="1712" spans="1:81" x14ac:dyDescent="0.25">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row>
    <row r="1713" spans="1:81" x14ac:dyDescent="0.25">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row>
    <row r="1714" spans="1:81" x14ac:dyDescent="0.25">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row>
    <row r="1715" spans="1:81" x14ac:dyDescent="0.25">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row>
    <row r="1716" spans="1:81" x14ac:dyDescent="0.25">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row>
    <row r="1717" spans="1:81" x14ac:dyDescent="0.25">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row>
    <row r="1718" spans="1:81" x14ac:dyDescent="0.25">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row>
    <row r="1719" spans="1:81" x14ac:dyDescent="0.25">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row>
    <row r="1720" spans="1:81" x14ac:dyDescent="0.25">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row>
    <row r="1721" spans="1:81" x14ac:dyDescent="0.25">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row>
    <row r="1722" spans="1:81" x14ac:dyDescent="0.25">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row>
    <row r="1723" spans="1:81" x14ac:dyDescent="0.25">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row>
    <row r="1724" spans="1:81" x14ac:dyDescent="0.25">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row>
    <row r="1725" spans="1:81" x14ac:dyDescent="0.25">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row>
    <row r="1726" spans="1:81" x14ac:dyDescent="0.25">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row>
    <row r="1727" spans="1:81" x14ac:dyDescent="0.25">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row>
    <row r="1728" spans="1:81" x14ac:dyDescent="0.25">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row>
    <row r="1729" spans="1:81" x14ac:dyDescent="0.25">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row>
    <row r="1730" spans="1:81" x14ac:dyDescent="0.25">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row>
    <row r="1731" spans="1:81" x14ac:dyDescent="0.25">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row>
    <row r="1732" spans="1:81" x14ac:dyDescent="0.25">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row>
    <row r="1733" spans="1:81" x14ac:dyDescent="0.25">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row>
    <row r="1734" spans="1:81" x14ac:dyDescent="0.25">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row>
    <row r="1735" spans="1:81" x14ac:dyDescent="0.25">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row>
    <row r="1736" spans="1:81" x14ac:dyDescent="0.25">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row>
    <row r="1737" spans="1:81" x14ac:dyDescent="0.25">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row>
    <row r="1738" spans="1:81" x14ac:dyDescent="0.25">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row>
    <row r="1739" spans="1:81" x14ac:dyDescent="0.25">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row>
    <row r="1740" spans="1:81" x14ac:dyDescent="0.25">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row>
    <row r="1741" spans="1:81" x14ac:dyDescent="0.25">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row>
    <row r="1742" spans="1:81" x14ac:dyDescent="0.25">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row>
    <row r="1743" spans="1:81" x14ac:dyDescent="0.25">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row>
    <row r="1744" spans="1:81" x14ac:dyDescent="0.25">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row>
    <row r="1745" spans="1:81" x14ac:dyDescent="0.25">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row>
    <row r="1746" spans="1:81" x14ac:dyDescent="0.25">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row>
    <row r="1747" spans="1:81" x14ac:dyDescent="0.25">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row>
    <row r="1748" spans="1:81" x14ac:dyDescent="0.25">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row>
    <row r="1749" spans="1:81" x14ac:dyDescent="0.25">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row>
    <row r="1750" spans="1:81" x14ac:dyDescent="0.25">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row>
    <row r="1751" spans="1:81" x14ac:dyDescent="0.25">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row>
    <row r="1752" spans="1:81" x14ac:dyDescent="0.25">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row>
    <row r="1753" spans="1:81" x14ac:dyDescent="0.25">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row>
    <row r="1754" spans="1:81" x14ac:dyDescent="0.25">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row>
    <row r="1755" spans="1:81" x14ac:dyDescent="0.25">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row>
    <row r="1756" spans="1:81" x14ac:dyDescent="0.25">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row>
    <row r="1757" spans="1:81" x14ac:dyDescent="0.25">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row>
    <row r="1758" spans="1:81" x14ac:dyDescent="0.25">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row>
    <row r="1759" spans="1:81" x14ac:dyDescent="0.25">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row>
    <row r="1760" spans="1:81" x14ac:dyDescent="0.25">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row>
    <row r="1761" spans="1:81" x14ac:dyDescent="0.25">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row>
    <row r="1762" spans="1:81" x14ac:dyDescent="0.25">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row>
    <row r="1763" spans="1:81" x14ac:dyDescent="0.25">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row>
    <row r="1764" spans="1:81" x14ac:dyDescent="0.25">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row>
    <row r="1765" spans="1:81" x14ac:dyDescent="0.25">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row>
    <row r="1766" spans="1:81" x14ac:dyDescent="0.25">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row>
    <row r="1767" spans="1:81" x14ac:dyDescent="0.25">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row>
    <row r="1768" spans="1:81" x14ac:dyDescent="0.25">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row>
    <row r="1769" spans="1:81" x14ac:dyDescent="0.25">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row>
    <row r="1770" spans="1:81" x14ac:dyDescent="0.25">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row>
    <row r="1771" spans="1:81" x14ac:dyDescent="0.25">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row>
    <row r="1772" spans="1:81" x14ac:dyDescent="0.25">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row>
    <row r="1773" spans="1:81" x14ac:dyDescent="0.25">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row>
    <row r="1774" spans="1:81" x14ac:dyDescent="0.25">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row>
    <row r="1775" spans="1:81" x14ac:dyDescent="0.25">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row>
    <row r="1776" spans="1:81" x14ac:dyDescent="0.25">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row>
    <row r="1777" spans="1:81" x14ac:dyDescent="0.25">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row>
    <row r="1778" spans="1:81" x14ac:dyDescent="0.25">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row>
    <row r="1779" spans="1:81" x14ac:dyDescent="0.25">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row>
    <row r="1780" spans="1:81" x14ac:dyDescent="0.25">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row>
    <row r="1781" spans="1:81" x14ac:dyDescent="0.25">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row>
    <row r="1782" spans="1:81" x14ac:dyDescent="0.25">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row>
    <row r="1783" spans="1:81" x14ac:dyDescent="0.25">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row>
    <row r="1784" spans="1:81" x14ac:dyDescent="0.25">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row>
    <row r="1785" spans="1:81" x14ac:dyDescent="0.25">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row>
    <row r="1786" spans="1:81" x14ac:dyDescent="0.25">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row>
    <row r="1787" spans="1:81" x14ac:dyDescent="0.25">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row>
    <row r="1788" spans="1:81" x14ac:dyDescent="0.25">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row>
    <row r="1789" spans="1:81" x14ac:dyDescent="0.25">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row>
    <row r="1790" spans="1:81" x14ac:dyDescent="0.25">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row>
    <row r="1791" spans="1:81" x14ac:dyDescent="0.25">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row>
    <row r="1792" spans="1:81" x14ac:dyDescent="0.25">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row>
    <row r="1793" spans="1:81" x14ac:dyDescent="0.25">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row>
    <row r="1794" spans="1:81" x14ac:dyDescent="0.25">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row>
    <row r="1795" spans="1:81" x14ac:dyDescent="0.25">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row>
    <row r="1796" spans="1:81" x14ac:dyDescent="0.25">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row>
    <row r="1797" spans="1:81" x14ac:dyDescent="0.25">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row>
    <row r="1798" spans="1:81" x14ac:dyDescent="0.25">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row>
    <row r="1799" spans="1:81" x14ac:dyDescent="0.25">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row>
    <row r="1800" spans="1:81" x14ac:dyDescent="0.25">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row>
    <row r="1801" spans="1:81" x14ac:dyDescent="0.25">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row>
    <row r="1802" spans="1:81" x14ac:dyDescent="0.25">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row>
    <row r="1803" spans="1:81" x14ac:dyDescent="0.25">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row>
    <row r="1804" spans="1:81" x14ac:dyDescent="0.25">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row>
    <row r="1805" spans="1:81" x14ac:dyDescent="0.25">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row>
    <row r="1806" spans="1:81" x14ac:dyDescent="0.25">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row>
    <row r="1807" spans="1:81" x14ac:dyDescent="0.25">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row>
    <row r="1808" spans="1:81" x14ac:dyDescent="0.25">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row>
    <row r="1809" spans="1:81" x14ac:dyDescent="0.25">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row>
    <row r="1810" spans="1:81" x14ac:dyDescent="0.25">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row>
    <row r="1811" spans="1:81" x14ac:dyDescent="0.25">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row>
    <row r="1812" spans="1:81" x14ac:dyDescent="0.25">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row>
    <row r="1813" spans="1:81" x14ac:dyDescent="0.25">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row>
    <row r="1814" spans="1:81" x14ac:dyDescent="0.25">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row>
    <row r="1815" spans="1:81" x14ac:dyDescent="0.25">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row>
    <row r="1816" spans="1:81" x14ac:dyDescent="0.25">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row>
    <row r="1817" spans="1:81" x14ac:dyDescent="0.25">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row>
    <row r="1818" spans="1:81" x14ac:dyDescent="0.25">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row>
    <row r="1819" spans="1:81" x14ac:dyDescent="0.25">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row>
    <row r="1820" spans="1:81" x14ac:dyDescent="0.25">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row>
    <row r="1821" spans="1:81" x14ac:dyDescent="0.25">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row>
    <row r="1822" spans="1:81" x14ac:dyDescent="0.25">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row>
    <row r="1823" spans="1:81" x14ac:dyDescent="0.25">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row>
    <row r="1824" spans="1:81" x14ac:dyDescent="0.25">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row>
    <row r="1825" spans="1:81" x14ac:dyDescent="0.25">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row>
    <row r="1826" spans="1:81" x14ac:dyDescent="0.25">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row>
    <row r="1827" spans="1:81" x14ac:dyDescent="0.25">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row>
    <row r="1828" spans="1:81" x14ac:dyDescent="0.25">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row>
    <row r="1829" spans="1:81" x14ac:dyDescent="0.25">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row>
    <row r="1830" spans="1:81" x14ac:dyDescent="0.25">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row>
    <row r="1831" spans="1:81" x14ac:dyDescent="0.25">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row>
    <row r="1832" spans="1:81" x14ac:dyDescent="0.25">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row>
    <row r="1833" spans="1:81" x14ac:dyDescent="0.25">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row>
    <row r="1834" spans="1:81" x14ac:dyDescent="0.25">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row>
    <row r="1835" spans="1:81" x14ac:dyDescent="0.25">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row>
    <row r="1836" spans="1:81" x14ac:dyDescent="0.25">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row>
    <row r="1837" spans="1:81" x14ac:dyDescent="0.25">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row>
    <row r="1838" spans="1:81" x14ac:dyDescent="0.25">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row>
    <row r="1839" spans="1:81" x14ac:dyDescent="0.25">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row>
    <row r="1840" spans="1:81" x14ac:dyDescent="0.25">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row>
    <row r="1841" spans="1:81" x14ac:dyDescent="0.25">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row>
    <row r="1842" spans="1:81" x14ac:dyDescent="0.25">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row>
    <row r="1843" spans="1:81" x14ac:dyDescent="0.25">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row>
    <row r="1844" spans="1:81" x14ac:dyDescent="0.25">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row>
    <row r="1845" spans="1:81" x14ac:dyDescent="0.25">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row>
    <row r="1846" spans="1:81" x14ac:dyDescent="0.25">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row>
    <row r="1847" spans="1:81" x14ac:dyDescent="0.25">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row>
    <row r="1848" spans="1:81" x14ac:dyDescent="0.25">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row>
    <row r="1849" spans="1:81" x14ac:dyDescent="0.25">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row>
    <row r="1850" spans="1:81" x14ac:dyDescent="0.25">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row>
    <row r="1851" spans="1:81" x14ac:dyDescent="0.25">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row>
    <row r="1852" spans="1:81" x14ac:dyDescent="0.25">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row>
    <row r="1853" spans="1:81" x14ac:dyDescent="0.25">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row>
    <row r="1854" spans="1:81" x14ac:dyDescent="0.25">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row>
    <row r="1855" spans="1:81" x14ac:dyDescent="0.25">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row>
    <row r="1856" spans="1:81" x14ac:dyDescent="0.25">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row>
    <row r="1857" spans="1:81" x14ac:dyDescent="0.25">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row>
    <row r="1858" spans="1:81" x14ac:dyDescent="0.25">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row>
    <row r="1859" spans="1:81" x14ac:dyDescent="0.25">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row>
    <row r="1860" spans="1:81" x14ac:dyDescent="0.25">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row>
    <row r="1861" spans="1:81" x14ac:dyDescent="0.25">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row>
    <row r="1862" spans="1:81" x14ac:dyDescent="0.25">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row>
    <row r="1863" spans="1:81" x14ac:dyDescent="0.25">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row>
    <row r="1864" spans="1:81" x14ac:dyDescent="0.25">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row>
    <row r="1865" spans="1:81" x14ac:dyDescent="0.25">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row>
    <row r="1866" spans="1:81" x14ac:dyDescent="0.25">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row>
    <row r="1867" spans="1:81" x14ac:dyDescent="0.25">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row>
    <row r="1868" spans="1:81" x14ac:dyDescent="0.25">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row>
    <row r="1869" spans="1:81" x14ac:dyDescent="0.25">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row>
    <row r="1870" spans="1:81" x14ac:dyDescent="0.25">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row>
    <row r="1871" spans="1:81" x14ac:dyDescent="0.25">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row>
    <row r="1872" spans="1:81" x14ac:dyDescent="0.25">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row>
    <row r="1873" spans="1:81" x14ac:dyDescent="0.25">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row>
    <row r="1874" spans="1:81" x14ac:dyDescent="0.25">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row>
    <row r="1875" spans="1:81" x14ac:dyDescent="0.25">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row>
    <row r="1876" spans="1:81" x14ac:dyDescent="0.25">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row>
    <row r="1877" spans="1:81" x14ac:dyDescent="0.25">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row>
    <row r="1878" spans="1:81" x14ac:dyDescent="0.25">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row>
    <row r="1879" spans="1:81" x14ac:dyDescent="0.25">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row>
    <row r="1880" spans="1:81" x14ac:dyDescent="0.25">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row>
    <row r="1881" spans="1:81" x14ac:dyDescent="0.25">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row>
    <row r="1882" spans="1:81" x14ac:dyDescent="0.25">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row>
    <row r="1883" spans="1:81" x14ac:dyDescent="0.25">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row>
    <row r="1884" spans="1:81" x14ac:dyDescent="0.25">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row>
    <row r="1885" spans="1:81" x14ac:dyDescent="0.25">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row>
    <row r="1886" spans="1:81" x14ac:dyDescent="0.25">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row>
    <row r="1887" spans="1:81" x14ac:dyDescent="0.25">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row>
    <row r="1888" spans="1:81" x14ac:dyDescent="0.25">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row>
    <row r="1889" spans="1:81" x14ac:dyDescent="0.25">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row>
    <row r="1890" spans="1:81" x14ac:dyDescent="0.25">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row>
    <row r="1891" spans="1:81" x14ac:dyDescent="0.25">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row>
    <row r="1892" spans="1:81" x14ac:dyDescent="0.25">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row>
    <row r="1893" spans="1:81" x14ac:dyDescent="0.25">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row>
    <row r="1894" spans="1:81" x14ac:dyDescent="0.25">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row>
    <row r="1895" spans="1:81" x14ac:dyDescent="0.25">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row>
    <row r="1896" spans="1:81" x14ac:dyDescent="0.25">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row>
    <row r="1897" spans="1:81" x14ac:dyDescent="0.25">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row>
    <row r="1898" spans="1:81" x14ac:dyDescent="0.25">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row>
    <row r="1899" spans="1:81" x14ac:dyDescent="0.25">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row>
    <row r="1900" spans="1:81" x14ac:dyDescent="0.25">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row>
    <row r="1901" spans="1:81" x14ac:dyDescent="0.25">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row>
    <row r="1902" spans="1:81" x14ac:dyDescent="0.25">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row>
    <row r="1903" spans="1:81" x14ac:dyDescent="0.25">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row>
    <row r="1904" spans="1:81" x14ac:dyDescent="0.25">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row>
    <row r="1905" spans="1:81" x14ac:dyDescent="0.25">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row>
    <row r="1906" spans="1:81" x14ac:dyDescent="0.25">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row>
    <row r="1907" spans="1:81" x14ac:dyDescent="0.25">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row>
    <row r="1908" spans="1:81" x14ac:dyDescent="0.25">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row>
    <row r="1909" spans="1:81" x14ac:dyDescent="0.25">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row>
    <row r="1910" spans="1:81" x14ac:dyDescent="0.25">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row>
    <row r="1911" spans="1:81" x14ac:dyDescent="0.25">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row>
    <row r="1912" spans="1:81" x14ac:dyDescent="0.25">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row>
    <row r="1913" spans="1:81" x14ac:dyDescent="0.25">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row>
    <row r="1914" spans="1:81" x14ac:dyDescent="0.25">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row>
    <row r="1915" spans="1:81" x14ac:dyDescent="0.25">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row>
    <row r="1916" spans="1:81" x14ac:dyDescent="0.25">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row>
    <row r="1917" spans="1:81" x14ac:dyDescent="0.25">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row>
    <row r="1918" spans="1:81" x14ac:dyDescent="0.25">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row>
    <row r="1919" spans="1:81" x14ac:dyDescent="0.25">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row>
    <row r="1920" spans="1:81" x14ac:dyDescent="0.25">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row>
    <row r="1921" spans="1:81" x14ac:dyDescent="0.25">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row>
    <row r="1922" spans="1:81" x14ac:dyDescent="0.25">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row>
    <row r="1923" spans="1:81" x14ac:dyDescent="0.25">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row>
    <row r="1924" spans="1:81" x14ac:dyDescent="0.25">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row>
    <row r="1925" spans="1:81" x14ac:dyDescent="0.25">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row>
    <row r="1926" spans="1:81" x14ac:dyDescent="0.25">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row>
    <row r="1927" spans="1:81" x14ac:dyDescent="0.25">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row>
    <row r="1928" spans="1:81" x14ac:dyDescent="0.25">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row>
    <row r="1929" spans="1:81" x14ac:dyDescent="0.25">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row>
    <row r="1930" spans="1:81" x14ac:dyDescent="0.25">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row>
    <row r="1931" spans="1:81" x14ac:dyDescent="0.25">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row>
    <row r="1932" spans="1:81" x14ac:dyDescent="0.25">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row>
    <row r="1933" spans="1:81" x14ac:dyDescent="0.25">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row>
    <row r="1934" spans="1:81" x14ac:dyDescent="0.25">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row>
    <row r="1935" spans="1:81" x14ac:dyDescent="0.25">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row>
    <row r="1936" spans="1:81" x14ac:dyDescent="0.25">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row>
    <row r="1937" spans="1:81" x14ac:dyDescent="0.25">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row>
    <row r="1938" spans="1:81" x14ac:dyDescent="0.25">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row>
    <row r="1939" spans="1:81" x14ac:dyDescent="0.25">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row>
    <row r="1940" spans="1:81" x14ac:dyDescent="0.25">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row>
    <row r="1941" spans="1:81" x14ac:dyDescent="0.25">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row>
    <row r="1942" spans="1:81" x14ac:dyDescent="0.25">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row>
    <row r="1943" spans="1:81" x14ac:dyDescent="0.25">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row>
    <row r="1944" spans="1:81" x14ac:dyDescent="0.25">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row>
    <row r="1945" spans="1:81" x14ac:dyDescent="0.25">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row>
    <row r="1946" spans="1:81" x14ac:dyDescent="0.25">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row>
    <row r="1947" spans="1:81" x14ac:dyDescent="0.25">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row>
    <row r="1948" spans="1:81" x14ac:dyDescent="0.25">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row>
    <row r="1949" spans="1:81" x14ac:dyDescent="0.25">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row>
    <row r="1950" spans="1:81" x14ac:dyDescent="0.25">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row>
    <row r="1951" spans="1:81" x14ac:dyDescent="0.25">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row>
    <row r="1952" spans="1:81" x14ac:dyDescent="0.25">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row>
    <row r="1953" spans="1:81" x14ac:dyDescent="0.25">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row>
    <row r="1954" spans="1:81" x14ac:dyDescent="0.25">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row>
    <row r="1955" spans="1:81" x14ac:dyDescent="0.25">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row>
    <row r="1956" spans="1:81" x14ac:dyDescent="0.25">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row>
    <row r="1957" spans="1:81" x14ac:dyDescent="0.25">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row>
    <row r="1958" spans="1:81" x14ac:dyDescent="0.25">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row>
    <row r="1959" spans="1:81" x14ac:dyDescent="0.25">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row>
    <row r="1960" spans="1:81" x14ac:dyDescent="0.25">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row>
    <row r="1961" spans="1:81" x14ac:dyDescent="0.25">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row>
    <row r="1962" spans="1:81" x14ac:dyDescent="0.25">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row>
    <row r="1963" spans="1:81" x14ac:dyDescent="0.25">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row>
    <row r="1964" spans="1:81" x14ac:dyDescent="0.25">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row>
    <row r="1965" spans="1:81" x14ac:dyDescent="0.25">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row>
    <row r="1966" spans="1:81" x14ac:dyDescent="0.25">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row>
    <row r="1967" spans="1:81" x14ac:dyDescent="0.25">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row>
    <row r="1968" spans="1:81" x14ac:dyDescent="0.25">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row>
    <row r="1969" spans="1:81" x14ac:dyDescent="0.25">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row>
    <row r="1970" spans="1:81" x14ac:dyDescent="0.25">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row>
    <row r="1971" spans="1:81" x14ac:dyDescent="0.25">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row>
    <row r="1972" spans="1:81" x14ac:dyDescent="0.25">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row>
    <row r="1973" spans="1:81" x14ac:dyDescent="0.25">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row>
    <row r="1974" spans="1:81" x14ac:dyDescent="0.25">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row>
    <row r="1975" spans="1:81" x14ac:dyDescent="0.25">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row>
    <row r="1976" spans="1:81" x14ac:dyDescent="0.25">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row>
    <row r="1977" spans="1:81" x14ac:dyDescent="0.25">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row>
    <row r="1978" spans="1:81" x14ac:dyDescent="0.25">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row>
    <row r="1979" spans="1:81" x14ac:dyDescent="0.25">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row>
    <row r="1980" spans="1:81" x14ac:dyDescent="0.25">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row>
    <row r="1981" spans="1:81" x14ac:dyDescent="0.25">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row>
    <row r="1982" spans="1:81" x14ac:dyDescent="0.25">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row>
    <row r="1983" spans="1:81" x14ac:dyDescent="0.25">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row>
  </sheetData>
  <autoFilter ref="A1:CC523" xr:uid="{338B1564-202D-4C8D-99CF-F248CE4BFB56}">
    <sortState xmlns:xlrd2="http://schemas.microsoft.com/office/spreadsheetml/2017/richdata2" ref="A2:CC523">
      <sortCondition descending="1" ref="BO1:BO523"/>
    </sortState>
  </autoFilter>
  <sortState xmlns:xlrd2="http://schemas.microsoft.com/office/spreadsheetml/2017/richdata2" ref="A2:CC336">
    <sortCondition ref="D1"/>
  </sortState>
  <conditionalFormatting sqref="F1984:F1048576 F235:F634">
    <cfRule type="duplicateValues" dxfId="5" priority="1"/>
  </conditionalFormatting>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1C0A8-7E55-47C3-8B9E-65952B441A43}">
  <sheetPr codeName="Sheet10"/>
  <dimension ref="A1:X1976"/>
  <sheetViews>
    <sheetView workbookViewId="0">
      <selection sqref="A1:T1921"/>
    </sheetView>
  </sheetViews>
  <sheetFormatPr defaultColWidth="9.140625" defaultRowHeight="15" x14ac:dyDescent="0.25"/>
  <cols>
    <col min="1" max="4" width="9.140625" style="152"/>
    <col min="5" max="5" width="15.42578125" style="152" bestFit="1" customWidth="1"/>
    <col min="6" max="6" width="9.140625" style="104"/>
    <col min="7" max="16384" width="9.140625" style="152"/>
  </cols>
  <sheetData>
    <row r="1" spans="1:24" x14ac:dyDescent="0.25">
      <c r="A1" s="339" t="s">
        <v>602</v>
      </c>
      <c r="B1" s="338" t="s">
        <v>795</v>
      </c>
      <c r="C1" s="338" t="s">
        <v>595</v>
      </c>
      <c r="D1" s="338" t="s">
        <v>761</v>
      </c>
      <c r="E1" s="338" t="s">
        <v>596</v>
      </c>
      <c r="F1" s="288" t="s">
        <v>796</v>
      </c>
      <c r="G1" s="338" t="s">
        <v>597</v>
      </c>
      <c r="H1" s="338" t="s">
        <v>598</v>
      </c>
      <c r="I1" s="338" t="s">
        <v>599</v>
      </c>
      <c r="J1" s="338" t="s">
        <v>762</v>
      </c>
      <c r="K1" s="338" t="s">
        <v>705</v>
      </c>
      <c r="L1" s="338" t="s">
        <v>763</v>
      </c>
      <c r="M1" s="338" t="s">
        <v>764</v>
      </c>
      <c r="N1" s="338" t="s">
        <v>765</v>
      </c>
      <c r="O1" s="338" t="s">
        <v>766</v>
      </c>
      <c r="P1" s="338" t="s">
        <v>767</v>
      </c>
      <c r="Q1" s="338" t="s">
        <v>768</v>
      </c>
      <c r="R1" s="338" t="s">
        <v>600</v>
      </c>
      <c r="S1" s="339" t="s">
        <v>601</v>
      </c>
      <c r="T1" s="338" t="s">
        <v>769</v>
      </c>
      <c r="V1" s="155" t="s">
        <v>193</v>
      </c>
      <c r="W1" s="155" t="s">
        <v>828</v>
      </c>
      <c r="X1" s="154" t="s">
        <v>829</v>
      </c>
    </row>
    <row r="2" spans="1:24" x14ac:dyDescent="0.25">
      <c r="A2" s="336">
        <v>197610</v>
      </c>
      <c r="B2" s="337" t="s">
        <v>928</v>
      </c>
      <c r="C2" s="337" t="s">
        <v>927</v>
      </c>
      <c r="D2" s="337" t="s">
        <v>926</v>
      </c>
      <c r="E2" s="337" t="s">
        <v>4673</v>
      </c>
      <c r="F2" s="104" t="b">
        <f t="array" ref="F2">IF(_xlfn.NUMBERVALUE(RIGHT($E2,2))=MAX(IF(LEFT($E2:$E1922,11)=LEFT($E2,11),_xlfn.NUMBERVALUE(RIGHT($E2:$E1922,2)))),TRUE)</f>
        <v>1</v>
      </c>
      <c r="G2" s="337" t="s">
        <v>603</v>
      </c>
      <c r="H2" s="337" t="s">
        <v>605</v>
      </c>
      <c r="I2" s="337" t="s">
        <v>605</v>
      </c>
      <c r="J2" s="337" t="s">
        <v>770</v>
      </c>
      <c r="K2" s="337" t="s">
        <v>706</v>
      </c>
      <c r="L2" s="337" t="s">
        <v>771</v>
      </c>
      <c r="M2" s="337" t="s">
        <v>771</v>
      </c>
      <c r="N2" s="337" t="s">
        <v>770</v>
      </c>
      <c r="O2" s="337" t="s">
        <v>770</v>
      </c>
      <c r="P2" s="337" t="s">
        <v>773</v>
      </c>
      <c r="Q2" s="337" t="s">
        <v>254</v>
      </c>
      <c r="R2" s="337" t="s">
        <v>4674</v>
      </c>
      <c r="S2" s="340">
        <v>43774</v>
      </c>
      <c r="T2" s="336"/>
      <c r="V2" s="152">
        <v>6</v>
      </c>
      <c r="W2" s="152">
        <v>0</v>
      </c>
      <c r="X2" s="153" t="s">
        <v>604</v>
      </c>
    </row>
    <row r="3" spans="1:24" x14ac:dyDescent="0.25">
      <c r="A3" s="336">
        <v>198044</v>
      </c>
      <c r="B3" s="337" t="s">
        <v>940</v>
      </c>
      <c r="C3" s="337" t="s">
        <v>939</v>
      </c>
      <c r="D3" s="337" t="s">
        <v>938</v>
      </c>
      <c r="E3" s="337" t="s">
        <v>4675</v>
      </c>
      <c r="F3" s="104" t="b">
        <f t="array" ref="F3">IF(_xlfn.NUMBERVALUE(RIGHT($E3,2))=MAX(IF(LEFT($E3:$E1923,11)=LEFT($E3,11),_xlfn.NUMBERVALUE(RIGHT($E3:$E1923,2)))),TRUE)</f>
        <v>1</v>
      </c>
      <c r="G3" s="337" t="s">
        <v>4676</v>
      </c>
      <c r="H3" s="337" t="s">
        <v>604</v>
      </c>
      <c r="I3" s="336"/>
      <c r="J3" s="337" t="s">
        <v>770</v>
      </c>
      <c r="K3" s="337" t="s">
        <v>706</v>
      </c>
      <c r="L3" s="337" t="s">
        <v>771</v>
      </c>
      <c r="M3" s="337" t="s">
        <v>772</v>
      </c>
      <c r="N3" s="337" t="s">
        <v>770</v>
      </c>
      <c r="O3" s="337" t="s">
        <v>770</v>
      </c>
      <c r="P3" s="337" t="s">
        <v>773</v>
      </c>
      <c r="Q3" s="337" t="s">
        <v>254</v>
      </c>
      <c r="R3" s="337" t="s">
        <v>4674</v>
      </c>
      <c r="S3" s="340">
        <v>43774</v>
      </c>
      <c r="T3" s="336"/>
      <c r="V3" s="152">
        <v>6</v>
      </c>
      <c r="W3" s="152">
        <v>0</v>
      </c>
      <c r="X3" s="153" t="s">
        <v>604</v>
      </c>
    </row>
    <row r="4" spans="1:24" x14ac:dyDescent="0.25">
      <c r="A4" s="336">
        <v>198200</v>
      </c>
      <c r="B4" s="337" t="s">
        <v>957</v>
      </c>
      <c r="C4" s="337" t="s">
        <v>948</v>
      </c>
      <c r="D4" s="337" t="s">
        <v>956</v>
      </c>
      <c r="E4" s="337" t="s">
        <v>4849</v>
      </c>
      <c r="F4" s="104" t="b">
        <f t="array" ref="F4">IF(_xlfn.NUMBERVALUE(RIGHT($E4,2))=MAX(IF(LEFT($E4:$E1924,11)=LEFT($E4,11),_xlfn.NUMBERVALUE(RIGHT($E4:$E1924,2)))),TRUE)</f>
        <v>1</v>
      </c>
      <c r="G4" s="337" t="s">
        <v>603</v>
      </c>
      <c r="H4" s="337" t="s">
        <v>604</v>
      </c>
      <c r="I4" s="337" t="s">
        <v>605</v>
      </c>
      <c r="J4" s="337" t="s">
        <v>770</v>
      </c>
      <c r="K4" s="337" t="s">
        <v>706</v>
      </c>
      <c r="L4" s="337" t="s">
        <v>771</v>
      </c>
      <c r="M4" s="337" t="s">
        <v>772</v>
      </c>
      <c r="N4" s="337" t="s">
        <v>770</v>
      </c>
      <c r="O4" s="337" t="s">
        <v>770</v>
      </c>
      <c r="P4" s="337" t="s">
        <v>773</v>
      </c>
      <c r="Q4" s="337" t="s">
        <v>254</v>
      </c>
      <c r="R4" s="337" t="s">
        <v>4674</v>
      </c>
      <c r="S4" s="340">
        <v>43776</v>
      </c>
      <c r="T4" s="336"/>
      <c r="V4" s="152">
        <v>6</v>
      </c>
      <c r="W4" s="152">
        <v>0</v>
      </c>
      <c r="X4" s="153" t="s">
        <v>604</v>
      </c>
    </row>
    <row r="5" spans="1:24" x14ac:dyDescent="0.25">
      <c r="A5" s="336">
        <v>194980</v>
      </c>
      <c r="B5" s="337" t="s">
        <v>979</v>
      </c>
      <c r="C5" s="337" t="s">
        <v>978</v>
      </c>
      <c r="D5" s="337" t="s">
        <v>977</v>
      </c>
      <c r="E5" s="337" t="s">
        <v>4677</v>
      </c>
      <c r="F5" s="104" t="b">
        <f t="array" ref="F5">IF(_xlfn.NUMBERVALUE(RIGHT($E5,2))=MAX(IF(LEFT($E5:$E1925,11)=LEFT($E5,11),_xlfn.NUMBERVALUE(RIGHT($E5:$E1925,2)))),TRUE)</f>
        <v>1</v>
      </c>
      <c r="G5" s="337" t="s">
        <v>4678</v>
      </c>
      <c r="H5" s="337" t="s">
        <v>604</v>
      </c>
      <c r="I5" s="337" t="s">
        <v>605</v>
      </c>
      <c r="J5" s="337" t="s">
        <v>770</v>
      </c>
      <c r="K5" s="337" t="s">
        <v>706</v>
      </c>
      <c r="L5" s="337" t="s">
        <v>771</v>
      </c>
      <c r="M5" s="337" t="s">
        <v>772</v>
      </c>
      <c r="N5" s="337" t="s">
        <v>770</v>
      </c>
      <c r="O5" s="337" t="s">
        <v>770</v>
      </c>
      <c r="P5" s="337" t="s">
        <v>773</v>
      </c>
      <c r="Q5" s="337" t="s">
        <v>254</v>
      </c>
      <c r="R5" s="337" t="s">
        <v>4674</v>
      </c>
      <c r="S5" s="340">
        <v>43774</v>
      </c>
      <c r="T5" s="336"/>
      <c r="V5" s="152">
        <v>6</v>
      </c>
      <c r="W5" s="152">
        <v>0</v>
      </c>
      <c r="X5" s="153" t="s">
        <v>604</v>
      </c>
    </row>
    <row r="6" spans="1:24" x14ac:dyDescent="0.25">
      <c r="A6" s="336">
        <v>195819</v>
      </c>
      <c r="B6" s="337" t="s">
        <v>4146</v>
      </c>
      <c r="C6" s="337" t="s">
        <v>358</v>
      </c>
      <c r="D6" s="337" t="s">
        <v>4145</v>
      </c>
      <c r="E6" s="337" t="s">
        <v>4679</v>
      </c>
      <c r="F6" s="104" t="b">
        <f t="array" ref="F6">IF(_xlfn.NUMBERVALUE(RIGHT($E6,2))=MAX(IF(LEFT($E6:$E1927,11)=LEFT($E6,11),_xlfn.NUMBERVALUE(RIGHT($E6:$E1927,2)))),TRUE)</f>
        <v>1</v>
      </c>
      <c r="G6" s="337" t="s">
        <v>606</v>
      </c>
      <c r="H6" s="337" t="s">
        <v>604</v>
      </c>
      <c r="I6" s="336"/>
      <c r="J6" s="337" t="s">
        <v>770</v>
      </c>
      <c r="K6" s="337" t="s">
        <v>706</v>
      </c>
      <c r="L6" s="337" t="s">
        <v>771</v>
      </c>
      <c r="M6" s="337" t="s">
        <v>772</v>
      </c>
      <c r="N6" s="337" t="s">
        <v>770</v>
      </c>
      <c r="O6" s="337" t="s">
        <v>770</v>
      </c>
      <c r="P6" s="337" t="s">
        <v>773</v>
      </c>
      <c r="Q6" s="337" t="s">
        <v>254</v>
      </c>
      <c r="R6" s="337" t="s">
        <v>4674</v>
      </c>
      <c r="S6" s="340">
        <v>43774</v>
      </c>
      <c r="T6" s="336"/>
      <c r="V6" s="152">
        <v>6</v>
      </c>
      <c r="W6" s="152">
        <v>0</v>
      </c>
      <c r="X6" s="153" t="s">
        <v>604</v>
      </c>
    </row>
    <row r="7" spans="1:24" x14ac:dyDescent="0.25">
      <c r="A7" s="336">
        <v>194947</v>
      </c>
      <c r="B7" s="337" t="s">
        <v>182</v>
      </c>
      <c r="C7" s="337" t="s">
        <v>1005</v>
      </c>
      <c r="D7" s="337" t="s">
        <v>1004</v>
      </c>
      <c r="E7" s="337" t="s">
        <v>4680</v>
      </c>
      <c r="F7" s="104" t="b">
        <f t="array" ref="F7">IF(_xlfn.NUMBERVALUE(RIGHT($E7,2))=MAX(IF(LEFT($E7:$E1928,11)=LEFT($E7,11),_xlfn.NUMBERVALUE(RIGHT($E7:$E1928,2)))),TRUE)</f>
        <v>1</v>
      </c>
      <c r="G7" s="337" t="s">
        <v>4681</v>
      </c>
      <c r="H7" s="337" t="s">
        <v>604</v>
      </c>
      <c r="I7" s="337" t="s">
        <v>605</v>
      </c>
      <c r="J7" s="337" t="s">
        <v>770</v>
      </c>
      <c r="K7" s="337" t="s">
        <v>706</v>
      </c>
      <c r="L7" s="337" t="s">
        <v>771</v>
      </c>
      <c r="M7" s="337" t="s">
        <v>772</v>
      </c>
      <c r="N7" s="337" t="s">
        <v>770</v>
      </c>
      <c r="O7" s="337" t="s">
        <v>770</v>
      </c>
      <c r="P7" s="337" t="s">
        <v>773</v>
      </c>
      <c r="Q7" s="337" t="s">
        <v>254</v>
      </c>
      <c r="R7" s="337" t="s">
        <v>4674</v>
      </c>
      <c r="S7" s="340">
        <v>43774</v>
      </c>
      <c r="T7" s="336"/>
      <c r="V7" s="152">
        <v>6</v>
      </c>
      <c r="W7" s="152">
        <v>0</v>
      </c>
      <c r="X7" s="153" t="s">
        <v>604</v>
      </c>
    </row>
    <row r="8" spans="1:24" x14ac:dyDescent="0.25">
      <c r="A8" s="336">
        <v>196529</v>
      </c>
      <c r="B8" s="337" t="s">
        <v>316</v>
      </c>
      <c r="C8" s="337" t="s">
        <v>1025</v>
      </c>
      <c r="D8" s="337" t="s">
        <v>1024</v>
      </c>
      <c r="E8" s="337" t="s">
        <v>4682</v>
      </c>
      <c r="F8" s="104" t="b">
        <f t="array" ref="F8">IF(_xlfn.NUMBERVALUE(RIGHT($E8,2))=MAX(IF(LEFT($E8:$E1929,11)=LEFT($E8,11),_xlfn.NUMBERVALUE(RIGHT($E8:$E1929,2)))),TRUE)</f>
        <v>1</v>
      </c>
      <c r="G8" s="337" t="s">
        <v>4683</v>
      </c>
      <c r="H8" s="337" t="s">
        <v>604</v>
      </c>
      <c r="I8" s="337" t="s">
        <v>605</v>
      </c>
      <c r="J8" s="337" t="s">
        <v>770</v>
      </c>
      <c r="K8" s="337" t="s">
        <v>706</v>
      </c>
      <c r="L8" s="337" t="s">
        <v>771</v>
      </c>
      <c r="M8" s="337" t="s">
        <v>772</v>
      </c>
      <c r="N8" s="337" t="s">
        <v>770</v>
      </c>
      <c r="O8" s="337" t="s">
        <v>770</v>
      </c>
      <c r="P8" s="337" t="s">
        <v>773</v>
      </c>
      <c r="Q8" s="337" t="s">
        <v>254</v>
      </c>
      <c r="R8" s="337" t="s">
        <v>4674</v>
      </c>
      <c r="S8" s="340">
        <v>43774</v>
      </c>
      <c r="T8" s="336"/>
      <c r="V8" s="152">
        <v>6</v>
      </c>
      <c r="W8" s="152">
        <v>0</v>
      </c>
      <c r="X8" s="153" t="s">
        <v>604</v>
      </c>
    </row>
    <row r="9" spans="1:24" x14ac:dyDescent="0.25">
      <c r="A9" s="336">
        <v>196584</v>
      </c>
      <c r="B9" s="337" t="s">
        <v>448</v>
      </c>
      <c r="C9" s="337" t="s">
        <v>1058</v>
      </c>
      <c r="D9" s="337" t="s">
        <v>1079</v>
      </c>
      <c r="E9" s="337" t="s">
        <v>4850</v>
      </c>
      <c r="F9" s="104" t="b">
        <f t="array" ref="F9">IF(_xlfn.NUMBERVALUE(RIGHT($E9,2))=MAX(IF(LEFT($E9:$E1931,11)=LEFT($E9,11),_xlfn.NUMBERVALUE(RIGHT($E9:$E1931,2)))),TRUE)</f>
        <v>1</v>
      </c>
      <c r="G9" s="337" t="s">
        <v>603</v>
      </c>
      <c r="H9" s="337" t="s">
        <v>605</v>
      </c>
      <c r="I9" s="337" t="s">
        <v>605</v>
      </c>
      <c r="J9" s="337" t="s">
        <v>770</v>
      </c>
      <c r="K9" s="337" t="s">
        <v>706</v>
      </c>
      <c r="L9" s="337" t="s">
        <v>771</v>
      </c>
      <c r="M9" s="337" t="s">
        <v>771</v>
      </c>
      <c r="N9" s="337" t="s">
        <v>770</v>
      </c>
      <c r="O9" s="337" t="s">
        <v>770</v>
      </c>
      <c r="P9" s="337" t="s">
        <v>773</v>
      </c>
      <c r="Q9" s="337" t="s">
        <v>254</v>
      </c>
      <c r="R9" s="337" t="s">
        <v>4674</v>
      </c>
      <c r="S9" s="340">
        <v>43776</v>
      </c>
      <c r="T9" s="336"/>
      <c r="V9" s="152">
        <v>6</v>
      </c>
      <c r="W9" s="152">
        <v>0</v>
      </c>
      <c r="X9" s="153" t="s">
        <v>604</v>
      </c>
    </row>
    <row r="10" spans="1:24" x14ac:dyDescent="0.25">
      <c r="A10" s="336">
        <v>199218</v>
      </c>
      <c r="B10" s="337" t="s">
        <v>4918</v>
      </c>
      <c r="C10" s="337" t="s">
        <v>4917</v>
      </c>
      <c r="D10" s="337" t="s">
        <v>4916</v>
      </c>
      <c r="E10" s="337" t="s">
        <v>6042</v>
      </c>
      <c r="F10" s="104" t="b">
        <f t="array" ref="F10">IF(_xlfn.NUMBERVALUE(RIGHT($E10,2))=MAX(IF(LEFT($E10:$E1932,11)=LEFT($E10,11),_xlfn.NUMBERVALUE(RIGHT($E10:$E1932,2)))),TRUE)</f>
        <v>1</v>
      </c>
      <c r="G10" s="337" t="s">
        <v>6043</v>
      </c>
      <c r="H10" s="337" t="s">
        <v>605</v>
      </c>
      <c r="I10" s="337" t="s">
        <v>605</v>
      </c>
      <c r="J10" s="337" t="s">
        <v>770</v>
      </c>
      <c r="K10" s="337" t="s">
        <v>706</v>
      </c>
      <c r="L10" s="337" t="s">
        <v>771</v>
      </c>
      <c r="M10" s="337" t="s">
        <v>771</v>
      </c>
      <c r="N10" s="337" t="s">
        <v>770</v>
      </c>
      <c r="O10" s="337" t="s">
        <v>770</v>
      </c>
      <c r="P10" s="337" t="s">
        <v>773</v>
      </c>
      <c r="Q10" s="337" t="s">
        <v>254</v>
      </c>
      <c r="R10" s="337" t="s">
        <v>4674</v>
      </c>
      <c r="S10" s="340">
        <v>43790</v>
      </c>
      <c r="T10" s="336"/>
      <c r="V10" s="152">
        <v>6</v>
      </c>
      <c r="W10" s="152">
        <v>0</v>
      </c>
      <c r="X10" s="153" t="s">
        <v>604</v>
      </c>
    </row>
    <row r="11" spans="1:24" x14ac:dyDescent="0.25">
      <c r="A11" s="336">
        <v>194358</v>
      </c>
      <c r="B11" s="337" t="s">
        <v>781</v>
      </c>
      <c r="C11" s="337" t="s">
        <v>1130</v>
      </c>
      <c r="D11" s="337" t="s">
        <v>1129</v>
      </c>
      <c r="E11" s="337" t="s">
        <v>4684</v>
      </c>
      <c r="F11" s="104" t="b">
        <f t="array" ref="F11">IF(_xlfn.NUMBERVALUE(RIGHT($E11,2))=MAX(IF(LEFT($E11:$E1933,11)=LEFT($E11,11),_xlfn.NUMBERVALUE(RIGHT($E11:$E1933,2)))),TRUE)</f>
        <v>1</v>
      </c>
      <c r="G11" s="337" t="s">
        <v>603</v>
      </c>
      <c r="H11" s="337" t="s">
        <v>605</v>
      </c>
      <c r="I11" s="337" t="s">
        <v>605</v>
      </c>
      <c r="J11" s="337" t="s">
        <v>770</v>
      </c>
      <c r="K11" s="337" t="s">
        <v>706</v>
      </c>
      <c r="L11" s="337" t="s">
        <v>771</v>
      </c>
      <c r="M11" s="337" t="s">
        <v>771</v>
      </c>
      <c r="N11" s="337" t="s">
        <v>770</v>
      </c>
      <c r="O11" s="337" t="s">
        <v>770</v>
      </c>
      <c r="P11" s="337" t="s">
        <v>773</v>
      </c>
      <c r="Q11" s="337" t="s">
        <v>254</v>
      </c>
      <c r="R11" s="337" t="s">
        <v>4674</v>
      </c>
      <c r="S11" s="340">
        <v>43774</v>
      </c>
      <c r="T11" s="336"/>
      <c r="V11" s="152">
        <v>6</v>
      </c>
      <c r="W11" s="152">
        <v>0</v>
      </c>
      <c r="X11" s="153" t="s">
        <v>604</v>
      </c>
    </row>
    <row r="12" spans="1:24" x14ac:dyDescent="0.25">
      <c r="A12" s="336">
        <v>196477</v>
      </c>
      <c r="B12" s="337" t="s">
        <v>1141</v>
      </c>
      <c r="C12" s="337" t="s">
        <v>1140</v>
      </c>
      <c r="D12" s="337" t="s">
        <v>1139</v>
      </c>
      <c r="E12" s="337" t="s">
        <v>4685</v>
      </c>
      <c r="F12" s="104" t="b">
        <f t="array" ref="F12">IF(_xlfn.NUMBERVALUE(RIGHT($E12,2))=MAX(IF(LEFT($E12:$E1934,11)=LEFT($E12,11),_xlfn.NUMBERVALUE(RIGHT($E12:$E1934,2)))),TRUE)</f>
        <v>1</v>
      </c>
      <c r="G12" s="337" t="s">
        <v>4686</v>
      </c>
      <c r="H12" s="337" t="s">
        <v>604</v>
      </c>
      <c r="I12" s="336"/>
      <c r="J12" s="337" t="s">
        <v>770</v>
      </c>
      <c r="K12" s="337" t="s">
        <v>706</v>
      </c>
      <c r="L12" s="337" t="s">
        <v>771</v>
      </c>
      <c r="M12" s="337" t="s">
        <v>772</v>
      </c>
      <c r="N12" s="337" t="s">
        <v>770</v>
      </c>
      <c r="O12" s="337" t="s">
        <v>770</v>
      </c>
      <c r="P12" s="337" t="s">
        <v>773</v>
      </c>
      <c r="Q12" s="337" t="s">
        <v>254</v>
      </c>
      <c r="R12" s="337" t="s">
        <v>4674</v>
      </c>
      <c r="S12" s="340">
        <v>43774</v>
      </c>
      <c r="T12" s="336"/>
      <c r="V12" s="152">
        <v>6</v>
      </c>
      <c r="W12" s="152">
        <v>0</v>
      </c>
      <c r="X12" s="153" t="s">
        <v>604</v>
      </c>
    </row>
    <row r="13" spans="1:24" x14ac:dyDescent="0.25">
      <c r="A13" s="336">
        <v>193925</v>
      </c>
      <c r="B13" s="337" t="s">
        <v>1157</v>
      </c>
      <c r="C13" s="337" t="s">
        <v>482</v>
      </c>
      <c r="D13" s="337" t="s">
        <v>1156</v>
      </c>
      <c r="E13" s="337" t="s">
        <v>5315</v>
      </c>
      <c r="F13" s="104" t="b">
        <f t="array" ref="F13">IF(_xlfn.NUMBERVALUE(RIGHT($E13,2))=MAX(IF(LEFT($E13:$E1936,11)=LEFT($E13,11),_xlfn.NUMBERVALUE(RIGHT($E13:$E1936,2)))),TRUE)</f>
        <v>1</v>
      </c>
      <c r="G13" s="337" t="s">
        <v>603</v>
      </c>
      <c r="H13" s="337" t="s">
        <v>604</v>
      </c>
      <c r="I13" s="337" t="s">
        <v>605</v>
      </c>
      <c r="J13" s="337" t="s">
        <v>770</v>
      </c>
      <c r="K13" s="337" t="s">
        <v>706</v>
      </c>
      <c r="L13" s="337" t="s">
        <v>771</v>
      </c>
      <c r="M13" s="337" t="s">
        <v>772</v>
      </c>
      <c r="N13" s="337" t="s">
        <v>770</v>
      </c>
      <c r="O13" s="337" t="s">
        <v>770</v>
      </c>
      <c r="P13" s="337" t="s">
        <v>773</v>
      </c>
      <c r="Q13" s="337" t="s">
        <v>254</v>
      </c>
      <c r="R13" s="337" t="s">
        <v>4674</v>
      </c>
      <c r="S13" s="340">
        <v>43783</v>
      </c>
      <c r="T13" s="336"/>
      <c r="V13" s="152">
        <v>6</v>
      </c>
      <c r="W13" s="152">
        <v>0</v>
      </c>
      <c r="X13" s="153" t="s">
        <v>604</v>
      </c>
    </row>
    <row r="14" spans="1:24" x14ac:dyDescent="0.25">
      <c r="A14" s="336">
        <v>195923</v>
      </c>
      <c r="B14" s="337" t="s">
        <v>470</v>
      </c>
      <c r="C14" s="337" t="s">
        <v>1178</v>
      </c>
      <c r="D14" s="337" t="s">
        <v>5612</v>
      </c>
      <c r="E14" s="337" t="s">
        <v>6044</v>
      </c>
      <c r="F14" s="104" t="b">
        <f t="array" ref="F14">IF(_xlfn.NUMBERVALUE(RIGHT($E14,2))=MAX(IF(LEFT($E14:$E1937,11)=LEFT($E14,11),_xlfn.NUMBERVALUE(RIGHT($E14:$E1937,2)))),TRUE)</f>
        <v>1</v>
      </c>
      <c r="G14" s="337" t="s">
        <v>6045</v>
      </c>
      <c r="H14" s="337" t="s">
        <v>605</v>
      </c>
      <c r="I14" s="337" t="s">
        <v>605</v>
      </c>
      <c r="J14" s="337" t="s">
        <v>770</v>
      </c>
      <c r="K14" s="337" t="s">
        <v>706</v>
      </c>
      <c r="L14" s="337" t="s">
        <v>771</v>
      </c>
      <c r="M14" s="337" t="s">
        <v>771</v>
      </c>
      <c r="N14" s="337" t="s">
        <v>770</v>
      </c>
      <c r="O14" s="337" t="s">
        <v>770</v>
      </c>
      <c r="P14" s="337" t="s">
        <v>773</v>
      </c>
      <c r="Q14" s="337" t="s">
        <v>254</v>
      </c>
      <c r="R14" s="337" t="s">
        <v>4674</v>
      </c>
      <c r="S14" s="340">
        <v>43774</v>
      </c>
      <c r="T14" s="336"/>
      <c r="V14" s="152">
        <v>6</v>
      </c>
      <c r="W14" s="152">
        <v>0</v>
      </c>
      <c r="X14" s="153" t="s">
        <v>604</v>
      </c>
    </row>
    <row r="15" spans="1:24" x14ac:dyDescent="0.25">
      <c r="A15" s="336">
        <v>194388</v>
      </c>
      <c r="B15" s="337" t="s">
        <v>550</v>
      </c>
      <c r="C15" s="337" t="s">
        <v>1178</v>
      </c>
      <c r="D15" s="337" t="s">
        <v>1177</v>
      </c>
      <c r="E15" s="337" t="s">
        <v>4851</v>
      </c>
      <c r="F15" s="104" t="b">
        <f t="array" ref="F15">IF(_xlfn.NUMBERVALUE(RIGHT($E15,2))=MAX(IF(LEFT($E15:$E1939,11)=LEFT($E15,11),_xlfn.NUMBERVALUE(RIGHT($E15:$E1939,2)))),TRUE)</f>
        <v>1</v>
      </c>
      <c r="G15" s="337" t="s">
        <v>4687</v>
      </c>
      <c r="H15" s="337" t="s">
        <v>604</v>
      </c>
      <c r="I15" s="336"/>
      <c r="J15" s="337" t="s">
        <v>770</v>
      </c>
      <c r="K15" s="337" t="s">
        <v>706</v>
      </c>
      <c r="L15" s="337" t="s">
        <v>771</v>
      </c>
      <c r="M15" s="337" t="s">
        <v>772</v>
      </c>
      <c r="N15" s="337" t="s">
        <v>770</v>
      </c>
      <c r="O15" s="337" t="s">
        <v>770</v>
      </c>
      <c r="P15" s="337" t="s">
        <v>773</v>
      </c>
      <c r="Q15" s="337" t="s">
        <v>254</v>
      </c>
      <c r="R15" s="337" t="s">
        <v>4674</v>
      </c>
      <c r="S15" s="340">
        <v>43776</v>
      </c>
      <c r="T15" s="336"/>
      <c r="V15" s="152">
        <v>6</v>
      </c>
      <c r="W15" s="152">
        <v>0</v>
      </c>
      <c r="X15" s="153" t="s">
        <v>604</v>
      </c>
    </row>
    <row r="16" spans="1:24" x14ac:dyDescent="0.25">
      <c r="A16" s="336">
        <v>194962</v>
      </c>
      <c r="B16" s="337" t="s">
        <v>1191</v>
      </c>
      <c r="C16" s="337" t="s">
        <v>1190</v>
      </c>
      <c r="D16" s="337" t="s">
        <v>1189</v>
      </c>
      <c r="E16" s="337" t="s">
        <v>4852</v>
      </c>
      <c r="F16" s="104" t="b">
        <f t="array" ref="F16">IF(_xlfn.NUMBERVALUE(RIGHT($E16,2))=MAX(IF(LEFT($E16:$E1940,11)=LEFT($E16,11),_xlfn.NUMBERVALUE(RIGHT($E16:$E1940,2)))),TRUE)</f>
        <v>1</v>
      </c>
      <c r="G16" s="337" t="s">
        <v>4853</v>
      </c>
      <c r="H16" s="337" t="s">
        <v>604</v>
      </c>
      <c r="I16" s="336"/>
      <c r="J16" s="337" t="s">
        <v>770</v>
      </c>
      <c r="K16" s="337" t="s">
        <v>706</v>
      </c>
      <c r="L16" s="337" t="s">
        <v>771</v>
      </c>
      <c r="M16" s="337" t="s">
        <v>772</v>
      </c>
      <c r="N16" s="337" t="s">
        <v>770</v>
      </c>
      <c r="O16" s="337" t="s">
        <v>770</v>
      </c>
      <c r="P16" s="337" t="s">
        <v>773</v>
      </c>
      <c r="Q16" s="337" t="s">
        <v>254</v>
      </c>
      <c r="R16" s="337" t="s">
        <v>4674</v>
      </c>
      <c r="S16" s="340">
        <v>43774</v>
      </c>
      <c r="T16" s="336"/>
      <c r="V16" s="152">
        <v>6</v>
      </c>
      <c r="W16" s="152">
        <v>0</v>
      </c>
      <c r="X16" s="153" t="s">
        <v>604</v>
      </c>
    </row>
    <row r="17" spans="1:24" x14ac:dyDescent="0.25">
      <c r="A17" s="336">
        <v>192743</v>
      </c>
      <c r="B17" s="337" t="s">
        <v>389</v>
      </c>
      <c r="C17" s="337" t="s">
        <v>1213</v>
      </c>
      <c r="D17" s="337" t="s">
        <v>1212</v>
      </c>
      <c r="E17" s="337" t="s">
        <v>4688</v>
      </c>
      <c r="F17" s="104" t="b">
        <f t="array" ref="F17">IF(_xlfn.NUMBERVALUE(RIGHT($E17,2))=MAX(IF(LEFT($E17:$E1941,11)=LEFT($E17,11),_xlfn.NUMBERVALUE(RIGHT($E17:$E1941,2)))),TRUE)</f>
        <v>1</v>
      </c>
      <c r="G17" s="337" t="s">
        <v>603</v>
      </c>
      <c r="H17" s="337" t="s">
        <v>604</v>
      </c>
      <c r="I17" s="337" t="s">
        <v>605</v>
      </c>
      <c r="J17" s="337" t="s">
        <v>770</v>
      </c>
      <c r="K17" s="337" t="s">
        <v>706</v>
      </c>
      <c r="L17" s="337" t="s">
        <v>771</v>
      </c>
      <c r="M17" s="337" t="s">
        <v>772</v>
      </c>
      <c r="N17" s="337" t="s">
        <v>770</v>
      </c>
      <c r="O17" s="337" t="s">
        <v>770</v>
      </c>
      <c r="P17" s="337" t="s">
        <v>773</v>
      </c>
      <c r="Q17" s="337" t="s">
        <v>254</v>
      </c>
      <c r="R17" s="337" t="s">
        <v>4674</v>
      </c>
      <c r="S17" s="340">
        <v>43774</v>
      </c>
      <c r="T17" s="336"/>
      <c r="V17" s="152">
        <v>6</v>
      </c>
      <c r="W17" s="152">
        <v>0</v>
      </c>
      <c r="X17" s="153" t="s">
        <v>604</v>
      </c>
    </row>
    <row r="18" spans="1:24" x14ac:dyDescent="0.25">
      <c r="A18" s="336">
        <v>195798</v>
      </c>
      <c r="B18" s="337" t="s">
        <v>320</v>
      </c>
      <c r="C18" s="337" t="s">
        <v>1258</v>
      </c>
      <c r="D18" s="337" t="s">
        <v>1257</v>
      </c>
      <c r="E18" s="337" t="s">
        <v>4689</v>
      </c>
      <c r="F18" s="104" t="b">
        <f t="array" ref="F18">IF(_xlfn.NUMBERVALUE(RIGHT($E18,2))=MAX(IF(LEFT($E18:$E1942,11)=LEFT($E18,11),_xlfn.NUMBERVALUE(RIGHT($E18:$E1942,2)))),TRUE)</f>
        <v>1</v>
      </c>
      <c r="G18" s="337" t="s">
        <v>603</v>
      </c>
      <c r="H18" s="337" t="s">
        <v>604</v>
      </c>
      <c r="I18" s="337" t="s">
        <v>605</v>
      </c>
      <c r="J18" s="337" t="s">
        <v>770</v>
      </c>
      <c r="K18" s="337" t="s">
        <v>706</v>
      </c>
      <c r="L18" s="337" t="s">
        <v>771</v>
      </c>
      <c r="M18" s="337" t="s">
        <v>772</v>
      </c>
      <c r="N18" s="337" t="s">
        <v>770</v>
      </c>
      <c r="O18" s="337" t="s">
        <v>770</v>
      </c>
      <c r="P18" s="337" t="s">
        <v>773</v>
      </c>
      <c r="Q18" s="337" t="s">
        <v>254</v>
      </c>
      <c r="R18" s="337" t="s">
        <v>4674</v>
      </c>
      <c r="S18" s="340">
        <v>43774</v>
      </c>
      <c r="T18" s="336"/>
      <c r="V18" s="152">
        <v>6</v>
      </c>
      <c r="W18" s="152">
        <v>0</v>
      </c>
      <c r="X18" s="153" t="s">
        <v>604</v>
      </c>
    </row>
    <row r="19" spans="1:24" x14ac:dyDescent="0.25">
      <c r="A19" s="336">
        <v>196960</v>
      </c>
      <c r="B19" s="337" t="s">
        <v>1283</v>
      </c>
      <c r="C19" s="337" t="s">
        <v>1282</v>
      </c>
      <c r="D19" s="337" t="s">
        <v>1281</v>
      </c>
      <c r="E19" s="337" t="s">
        <v>4690</v>
      </c>
      <c r="F19" s="104" t="b">
        <f t="array" ref="F19">IF(_xlfn.NUMBERVALUE(RIGHT($E19,2))=MAX(IF(LEFT($E19:$E1944,11)=LEFT($E19,11),_xlfn.NUMBERVALUE(RIGHT($E19:$E1944,2)))),TRUE)</f>
        <v>1</v>
      </c>
      <c r="G19" s="337" t="s">
        <v>4691</v>
      </c>
      <c r="H19" s="337" t="s">
        <v>604</v>
      </c>
      <c r="I19" s="336"/>
      <c r="J19" s="337" t="s">
        <v>770</v>
      </c>
      <c r="K19" s="337" t="s">
        <v>706</v>
      </c>
      <c r="L19" s="337" t="s">
        <v>771</v>
      </c>
      <c r="M19" s="337" t="s">
        <v>772</v>
      </c>
      <c r="N19" s="337" t="s">
        <v>605</v>
      </c>
      <c r="O19" s="337" t="s">
        <v>770</v>
      </c>
      <c r="P19" s="337" t="s">
        <v>773</v>
      </c>
      <c r="Q19" s="337" t="s">
        <v>254</v>
      </c>
      <c r="R19" s="337" t="s">
        <v>4674</v>
      </c>
      <c r="S19" s="340">
        <v>43774</v>
      </c>
      <c r="T19" s="336"/>
      <c r="V19" s="152">
        <v>6</v>
      </c>
      <c r="W19" s="152">
        <v>0</v>
      </c>
      <c r="X19" s="153" t="s">
        <v>604</v>
      </c>
    </row>
    <row r="20" spans="1:24" x14ac:dyDescent="0.25">
      <c r="A20" s="336">
        <v>195918</v>
      </c>
      <c r="B20" s="337" t="s">
        <v>1293</v>
      </c>
      <c r="C20" s="337" t="s">
        <v>1292</v>
      </c>
      <c r="D20" s="337" t="s">
        <v>1291</v>
      </c>
      <c r="E20" s="337" t="s">
        <v>4692</v>
      </c>
      <c r="F20" s="104" t="b">
        <f t="array" ref="F20">IF(_xlfn.NUMBERVALUE(RIGHT($E20,2))=MAX(IF(LEFT($E20:$E1945,11)=LEFT($E20,11),_xlfn.NUMBERVALUE(RIGHT($E20:$E1945,2)))),TRUE)</f>
        <v>1</v>
      </c>
      <c r="G20" s="337" t="s">
        <v>603</v>
      </c>
      <c r="H20" s="337" t="s">
        <v>604</v>
      </c>
      <c r="I20" s="337" t="s">
        <v>605</v>
      </c>
      <c r="J20" s="337" t="s">
        <v>770</v>
      </c>
      <c r="K20" s="337" t="s">
        <v>706</v>
      </c>
      <c r="L20" s="337" t="s">
        <v>771</v>
      </c>
      <c r="M20" s="337" t="s">
        <v>772</v>
      </c>
      <c r="N20" s="337" t="s">
        <v>770</v>
      </c>
      <c r="O20" s="337" t="s">
        <v>770</v>
      </c>
      <c r="P20" s="337" t="s">
        <v>773</v>
      </c>
      <c r="Q20" s="337" t="s">
        <v>254</v>
      </c>
      <c r="R20" s="337" t="s">
        <v>4674</v>
      </c>
      <c r="S20" s="340">
        <v>43774</v>
      </c>
      <c r="T20" s="336"/>
      <c r="V20" s="152">
        <v>6</v>
      </c>
      <c r="W20" s="152">
        <v>0</v>
      </c>
      <c r="X20" s="153" t="s">
        <v>604</v>
      </c>
    </row>
    <row r="21" spans="1:24" x14ac:dyDescent="0.25">
      <c r="A21" s="336">
        <v>198364</v>
      </c>
      <c r="B21" s="337" t="s">
        <v>1305</v>
      </c>
      <c r="C21" s="337" t="s">
        <v>1304</v>
      </c>
      <c r="D21" s="337" t="s">
        <v>1303</v>
      </c>
      <c r="E21" s="337" t="s">
        <v>4854</v>
      </c>
      <c r="F21" s="104" t="b">
        <f t="array" ref="F21">IF(_xlfn.NUMBERVALUE(RIGHT($E21,2))=MAX(IF(LEFT($E21:$E1947,11)=LEFT($E21,11),_xlfn.NUMBERVALUE(RIGHT($E21:$E1947,2)))),TRUE)</f>
        <v>1</v>
      </c>
      <c r="G21" s="337" t="s">
        <v>603</v>
      </c>
      <c r="H21" s="337" t="s">
        <v>604</v>
      </c>
      <c r="I21" s="337" t="s">
        <v>605</v>
      </c>
      <c r="J21" s="337" t="s">
        <v>770</v>
      </c>
      <c r="K21" s="337" t="s">
        <v>706</v>
      </c>
      <c r="L21" s="337" t="s">
        <v>771</v>
      </c>
      <c r="M21" s="337" t="s">
        <v>772</v>
      </c>
      <c r="N21" s="337" t="s">
        <v>605</v>
      </c>
      <c r="O21" s="337" t="s">
        <v>770</v>
      </c>
      <c r="P21" s="337" t="s">
        <v>773</v>
      </c>
      <c r="Q21" s="337" t="s">
        <v>254</v>
      </c>
      <c r="R21" s="337" t="s">
        <v>4674</v>
      </c>
      <c r="S21" s="340">
        <v>43774</v>
      </c>
      <c r="T21" s="336"/>
      <c r="V21" s="152">
        <v>6</v>
      </c>
      <c r="W21" s="152">
        <v>0</v>
      </c>
      <c r="X21" s="153" t="s">
        <v>604</v>
      </c>
    </row>
    <row r="22" spans="1:24" x14ac:dyDescent="0.25">
      <c r="A22" s="336">
        <v>198898</v>
      </c>
      <c r="B22" s="337" t="s">
        <v>4200</v>
      </c>
      <c r="C22" s="337" t="s">
        <v>4199</v>
      </c>
      <c r="D22" s="337" t="s">
        <v>4198</v>
      </c>
      <c r="E22" s="337" t="s">
        <v>4855</v>
      </c>
      <c r="F22" s="104" t="b">
        <f t="array" ref="F22">IF(_xlfn.NUMBERVALUE(RIGHT($E22,2))=MAX(IF(LEFT($E22:$E1948,11)=LEFT($E22,11),_xlfn.NUMBERVALUE(RIGHT($E22:$E1948,2)))),TRUE)</f>
        <v>1</v>
      </c>
      <c r="G22" s="337" t="s">
        <v>4856</v>
      </c>
      <c r="H22" s="337" t="s">
        <v>604</v>
      </c>
      <c r="I22" s="336"/>
      <c r="J22" s="337" t="s">
        <v>770</v>
      </c>
      <c r="K22" s="337" t="s">
        <v>706</v>
      </c>
      <c r="L22" s="337" t="s">
        <v>771</v>
      </c>
      <c r="M22" s="337" t="s">
        <v>772</v>
      </c>
      <c r="N22" s="337" t="s">
        <v>770</v>
      </c>
      <c r="O22" s="337" t="s">
        <v>770</v>
      </c>
      <c r="P22" s="337" t="s">
        <v>773</v>
      </c>
      <c r="Q22" s="337" t="s">
        <v>254</v>
      </c>
      <c r="R22" s="337" t="s">
        <v>4674</v>
      </c>
      <c r="S22" s="340">
        <v>43776</v>
      </c>
      <c r="T22" s="336"/>
      <c r="V22" s="152">
        <v>6</v>
      </c>
      <c r="W22" s="152">
        <v>0</v>
      </c>
      <c r="X22" s="153" t="s">
        <v>604</v>
      </c>
    </row>
    <row r="23" spans="1:24" x14ac:dyDescent="0.25">
      <c r="A23" s="336">
        <v>195321</v>
      </c>
      <c r="B23" s="337" t="s">
        <v>296</v>
      </c>
      <c r="C23" s="337" t="s">
        <v>1310</v>
      </c>
      <c r="D23" s="337" t="s">
        <v>1309</v>
      </c>
      <c r="E23" s="337" t="s">
        <v>6125</v>
      </c>
      <c r="F23" s="104" t="b">
        <f t="array" ref="F23">IF(_xlfn.NUMBERVALUE(RIGHT($E23,2))=MAX(IF(LEFT($E23:$E1949,11)=LEFT($E23,11),_xlfn.NUMBERVALUE(RIGHT($E23:$E1949,2)))),TRUE)</f>
        <v>1</v>
      </c>
      <c r="G23" s="337" t="s">
        <v>6126</v>
      </c>
      <c r="H23" s="337" t="s">
        <v>604</v>
      </c>
      <c r="I23" s="336"/>
      <c r="J23" s="337" t="s">
        <v>770</v>
      </c>
      <c r="K23" s="337" t="s">
        <v>706</v>
      </c>
      <c r="L23" s="337" t="s">
        <v>771</v>
      </c>
      <c r="M23" s="337" t="s">
        <v>772</v>
      </c>
      <c r="N23" s="337" t="s">
        <v>770</v>
      </c>
      <c r="O23" s="337" t="s">
        <v>770</v>
      </c>
      <c r="P23" s="337" t="s">
        <v>773</v>
      </c>
      <c r="Q23" s="337" t="s">
        <v>254</v>
      </c>
      <c r="R23" s="337" t="s">
        <v>4674</v>
      </c>
      <c r="S23" s="340">
        <v>43801</v>
      </c>
      <c r="T23" s="336"/>
      <c r="V23" s="152">
        <v>6</v>
      </c>
      <c r="W23" s="152">
        <v>0.8</v>
      </c>
      <c r="X23" s="153" t="s">
        <v>605</v>
      </c>
    </row>
    <row r="24" spans="1:24" x14ac:dyDescent="0.25">
      <c r="A24" s="336">
        <v>195877</v>
      </c>
      <c r="B24" s="337" t="s">
        <v>1320</v>
      </c>
      <c r="C24" s="337" t="s">
        <v>1310</v>
      </c>
      <c r="D24" s="337" t="s">
        <v>1319</v>
      </c>
      <c r="E24" s="337" t="s">
        <v>6046</v>
      </c>
      <c r="F24" s="104" t="b">
        <f t="array" ref="F24">IF(_xlfn.NUMBERVALUE(RIGHT($E24,2))=MAX(IF(LEFT($E24:$E1950,11)=LEFT($E24,11),_xlfn.NUMBERVALUE(RIGHT($E24:$E1950,2)))),TRUE)</f>
        <v>1</v>
      </c>
      <c r="G24" s="337" t="s">
        <v>6047</v>
      </c>
      <c r="H24" s="337" t="s">
        <v>605</v>
      </c>
      <c r="I24" s="337" t="s">
        <v>605</v>
      </c>
      <c r="J24" s="337" t="s">
        <v>770</v>
      </c>
      <c r="K24" s="337" t="s">
        <v>706</v>
      </c>
      <c r="L24" s="337" t="s">
        <v>771</v>
      </c>
      <c r="M24" s="337" t="s">
        <v>771</v>
      </c>
      <c r="N24" s="337" t="s">
        <v>770</v>
      </c>
      <c r="O24" s="337" t="s">
        <v>770</v>
      </c>
      <c r="P24" s="337" t="s">
        <v>773</v>
      </c>
      <c r="Q24" s="337" t="s">
        <v>254</v>
      </c>
      <c r="R24" s="337" t="s">
        <v>4674</v>
      </c>
      <c r="S24" s="340">
        <v>43790</v>
      </c>
      <c r="T24" s="336"/>
      <c r="V24" s="152">
        <v>6</v>
      </c>
      <c r="W24" s="152">
        <v>0</v>
      </c>
      <c r="X24" s="153" t="s">
        <v>604</v>
      </c>
    </row>
    <row r="25" spans="1:24" x14ac:dyDescent="0.25">
      <c r="A25" s="336">
        <v>198711</v>
      </c>
      <c r="B25" s="337" t="s">
        <v>759</v>
      </c>
      <c r="C25" s="337" t="s">
        <v>487</v>
      </c>
      <c r="D25" s="337" t="s">
        <v>1334</v>
      </c>
      <c r="E25" s="337" t="s">
        <v>6048</v>
      </c>
      <c r="F25" s="104" t="b">
        <f t="array" ref="F25">IF(_xlfn.NUMBERVALUE(RIGHT($E25,2))=MAX(IF(LEFT($E25:$E1951,11)=LEFT($E25,11),_xlfn.NUMBERVALUE(RIGHT($E25:$E1951,2)))),TRUE)</f>
        <v>1</v>
      </c>
      <c r="G25" s="337" t="s">
        <v>6049</v>
      </c>
      <c r="H25" s="337" t="s">
        <v>605</v>
      </c>
      <c r="I25" s="337" t="s">
        <v>605</v>
      </c>
      <c r="J25" s="337" t="s">
        <v>770</v>
      </c>
      <c r="K25" s="337" t="s">
        <v>706</v>
      </c>
      <c r="L25" s="337" t="s">
        <v>771</v>
      </c>
      <c r="M25" s="337" t="s">
        <v>771</v>
      </c>
      <c r="N25" s="337" t="s">
        <v>770</v>
      </c>
      <c r="O25" s="337" t="s">
        <v>770</v>
      </c>
      <c r="P25" s="337" t="s">
        <v>773</v>
      </c>
      <c r="Q25" s="337" t="s">
        <v>254</v>
      </c>
      <c r="R25" s="337" t="s">
        <v>4674</v>
      </c>
      <c r="S25" s="340">
        <v>43790</v>
      </c>
      <c r="T25" s="336"/>
      <c r="V25" s="152">
        <v>6</v>
      </c>
      <c r="W25" s="152">
        <v>0</v>
      </c>
      <c r="X25" s="153" t="s">
        <v>604</v>
      </c>
    </row>
    <row r="26" spans="1:24" x14ac:dyDescent="0.25">
      <c r="A26" s="336">
        <v>196288</v>
      </c>
      <c r="B26" s="337" t="s">
        <v>380</v>
      </c>
      <c r="C26" s="337" t="s">
        <v>1345</v>
      </c>
      <c r="D26" s="337" t="s">
        <v>1344</v>
      </c>
      <c r="E26" s="337" t="s">
        <v>5316</v>
      </c>
      <c r="F26" s="104" t="b">
        <f t="array" ref="F26">IF(_xlfn.NUMBERVALUE(RIGHT($E26,2))=MAX(IF(LEFT($E26:$E1952,11)=LEFT($E26,11),_xlfn.NUMBERVALUE(RIGHT($E26:$E1952,2)))),TRUE)</f>
        <v>1</v>
      </c>
      <c r="G26" s="337" t="s">
        <v>603</v>
      </c>
      <c r="H26" s="337" t="s">
        <v>605</v>
      </c>
      <c r="I26" s="337" t="s">
        <v>605</v>
      </c>
      <c r="J26" s="337" t="s">
        <v>605</v>
      </c>
      <c r="K26" s="337" t="s">
        <v>706</v>
      </c>
      <c r="L26" s="337" t="s">
        <v>771</v>
      </c>
      <c r="M26" s="337" t="s">
        <v>771</v>
      </c>
      <c r="N26" s="337" t="s">
        <v>770</v>
      </c>
      <c r="O26" s="337" t="s">
        <v>770</v>
      </c>
      <c r="P26" s="337" t="s">
        <v>773</v>
      </c>
      <c r="Q26" s="337" t="s">
        <v>254</v>
      </c>
      <c r="R26" s="337" t="s">
        <v>4674</v>
      </c>
      <c r="S26" s="340">
        <v>43783</v>
      </c>
      <c r="T26" s="336"/>
      <c r="V26" s="152">
        <v>6</v>
      </c>
      <c r="W26" s="152">
        <v>0</v>
      </c>
      <c r="X26" s="153" t="s">
        <v>604</v>
      </c>
    </row>
    <row r="27" spans="1:24" x14ac:dyDescent="0.25">
      <c r="A27" s="336">
        <v>198858</v>
      </c>
      <c r="B27" s="337" t="s">
        <v>5582</v>
      </c>
      <c r="C27" s="337" t="s">
        <v>5581</v>
      </c>
      <c r="D27" s="337" t="s">
        <v>5580</v>
      </c>
      <c r="E27" s="337" t="s">
        <v>6127</v>
      </c>
      <c r="F27" s="104" t="b">
        <f t="array" ref="F27">IF(_xlfn.NUMBERVALUE(RIGHT($E27,2))=MAX(IF(LEFT($E27:$E1953,11)=LEFT($E27,11),_xlfn.NUMBERVALUE(RIGHT($E27:$E1953,2)))),TRUE)</f>
        <v>1</v>
      </c>
      <c r="G27" s="336"/>
      <c r="H27" s="337" t="s">
        <v>604</v>
      </c>
      <c r="I27" s="336"/>
      <c r="J27" s="337" t="s">
        <v>770</v>
      </c>
      <c r="K27" s="337" t="s">
        <v>323</v>
      </c>
      <c r="L27" s="337" t="s">
        <v>771</v>
      </c>
      <c r="M27" s="337" t="s">
        <v>772</v>
      </c>
      <c r="N27" s="337" t="s">
        <v>770</v>
      </c>
      <c r="O27" s="337" t="s">
        <v>770</v>
      </c>
      <c r="P27" s="337" t="s">
        <v>773</v>
      </c>
      <c r="Q27" s="337" t="s">
        <v>254</v>
      </c>
      <c r="R27" s="337" t="s">
        <v>4674</v>
      </c>
      <c r="S27" s="340">
        <v>43801</v>
      </c>
      <c r="T27" s="336"/>
      <c r="V27" s="152">
        <v>6</v>
      </c>
      <c r="W27" s="152">
        <v>0</v>
      </c>
      <c r="X27" s="153" t="s">
        <v>604</v>
      </c>
    </row>
    <row r="28" spans="1:24" x14ac:dyDescent="0.25">
      <c r="A28" s="336">
        <v>197980</v>
      </c>
      <c r="B28" s="337" t="s">
        <v>1355</v>
      </c>
      <c r="C28" s="337" t="s">
        <v>1354</v>
      </c>
      <c r="D28" s="337" t="s">
        <v>1353</v>
      </c>
      <c r="E28" s="337" t="s">
        <v>6050</v>
      </c>
      <c r="F28" s="104" t="b">
        <f t="array" ref="F28">IF(_xlfn.NUMBERVALUE(RIGHT($E28,2))=MAX(IF(LEFT($E28:$E1954,11)=LEFT($E28,11),_xlfn.NUMBERVALUE(RIGHT($E28:$E1954,2)))),TRUE)</f>
        <v>1</v>
      </c>
      <c r="G28" s="337" t="s">
        <v>6051</v>
      </c>
      <c r="H28" s="337" t="s">
        <v>604</v>
      </c>
      <c r="I28" s="336"/>
      <c r="J28" s="337" t="s">
        <v>770</v>
      </c>
      <c r="K28" s="337" t="s">
        <v>706</v>
      </c>
      <c r="L28" s="337" t="s">
        <v>771</v>
      </c>
      <c r="M28" s="337" t="s">
        <v>772</v>
      </c>
      <c r="N28" s="337" t="s">
        <v>770</v>
      </c>
      <c r="O28" s="337" t="s">
        <v>770</v>
      </c>
      <c r="P28" s="337" t="s">
        <v>773</v>
      </c>
      <c r="Q28" s="337" t="s">
        <v>254</v>
      </c>
      <c r="R28" s="337" t="s">
        <v>4674</v>
      </c>
      <c r="S28" s="340">
        <v>43790</v>
      </c>
      <c r="T28" s="336"/>
      <c r="V28" s="152">
        <v>6</v>
      </c>
      <c r="W28" s="152">
        <v>0</v>
      </c>
      <c r="X28" s="153" t="s">
        <v>604</v>
      </c>
    </row>
    <row r="29" spans="1:24" x14ac:dyDescent="0.25">
      <c r="A29" s="336">
        <v>192880</v>
      </c>
      <c r="B29" s="337" t="s">
        <v>1367</v>
      </c>
      <c r="C29" s="337" t="s">
        <v>1354</v>
      </c>
      <c r="D29" s="337" t="s">
        <v>1366</v>
      </c>
      <c r="E29" s="337" t="s">
        <v>4693</v>
      </c>
      <c r="F29" s="104" t="b">
        <f t="array" ref="F29">IF(_xlfn.NUMBERVALUE(RIGHT($E29,2))=MAX(IF(LEFT($E29:$E1955,11)=LEFT($E29,11),_xlfn.NUMBERVALUE(RIGHT($E29:$E1955,2)))),TRUE)</f>
        <v>1</v>
      </c>
      <c r="G29" s="337" t="s">
        <v>603</v>
      </c>
      <c r="H29" s="337" t="s">
        <v>604</v>
      </c>
      <c r="I29" s="337" t="s">
        <v>605</v>
      </c>
      <c r="J29" s="337" t="s">
        <v>770</v>
      </c>
      <c r="K29" s="337" t="s">
        <v>706</v>
      </c>
      <c r="L29" s="337" t="s">
        <v>771</v>
      </c>
      <c r="M29" s="337" t="s">
        <v>772</v>
      </c>
      <c r="N29" s="337" t="s">
        <v>770</v>
      </c>
      <c r="O29" s="337" t="s">
        <v>770</v>
      </c>
      <c r="P29" s="337" t="s">
        <v>773</v>
      </c>
      <c r="Q29" s="337" t="s">
        <v>254</v>
      </c>
      <c r="R29" s="337" t="s">
        <v>4674</v>
      </c>
      <c r="S29" s="340">
        <v>43774</v>
      </c>
      <c r="T29" s="336"/>
      <c r="V29" s="152">
        <v>6</v>
      </c>
      <c r="W29" s="152">
        <v>0</v>
      </c>
      <c r="X29" s="153" t="s">
        <v>604</v>
      </c>
    </row>
    <row r="30" spans="1:24" x14ac:dyDescent="0.25">
      <c r="A30" s="336">
        <v>195960</v>
      </c>
      <c r="B30" s="337" t="s">
        <v>1379</v>
      </c>
      <c r="C30" s="337" t="s">
        <v>1378</v>
      </c>
      <c r="D30" s="337" t="s">
        <v>1377</v>
      </c>
      <c r="E30" s="337" t="s">
        <v>4694</v>
      </c>
      <c r="F30" s="104" t="b">
        <f t="array" ref="F30">IF(_xlfn.NUMBERVALUE(RIGHT($E30,2))=MAX(IF(LEFT($E30:$E1956,11)=LEFT($E30,11),_xlfn.NUMBERVALUE(RIGHT($E30:$E1956,2)))),TRUE)</f>
        <v>1</v>
      </c>
      <c r="G30" s="337" t="s">
        <v>4695</v>
      </c>
      <c r="H30" s="337" t="s">
        <v>605</v>
      </c>
      <c r="I30" s="337" t="s">
        <v>605</v>
      </c>
      <c r="J30" s="337" t="s">
        <v>770</v>
      </c>
      <c r="K30" s="337" t="s">
        <v>706</v>
      </c>
      <c r="L30" s="337" t="s">
        <v>771</v>
      </c>
      <c r="M30" s="337" t="s">
        <v>771</v>
      </c>
      <c r="N30" s="337" t="s">
        <v>770</v>
      </c>
      <c r="O30" s="337" t="s">
        <v>770</v>
      </c>
      <c r="P30" s="337" t="s">
        <v>773</v>
      </c>
      <c r="Q30" s="337" t="s">
        <v>254</v>
      </c>
      <c r="R30" s="337" t="s">
        <v>4674</v>
      </c>
      <c r="S30" s="340">
        <v>43774</v>
      </c>
      <c r="T30" s="336"/>
      <c r="V30" s="152">
        <v>6</v>
      </c>
      <c r="W30" s="152">
        <v>0</v>
      </c>
      <c r="X30" s="153" t="s">
        <v>604</v>
      </c>
    </row>
    <row r="31" spans="1:24" x14ac:dyDescent="0.25">
      <c r="A31" s="336">
        <v>198284</v>
      </c>
      <c r="B31" s="337" t="s">
        <v>1389</v>
      </c>
      <c r="C31" s="337" t="s">
        <v>1388</v>
      </c>
      <c r="D31" s="337" t="s">
        <v>1387</v>
      </c>
      <c r="E31" s="337" t="s">
        <v>6052</v>
      </c>
      <c r="F31" s="104" t="b">
        <f t="array" ref="F31">IF(_xlfn.NUMBERVALUE(RIGHT($E31,2))=MAX(IF(LEFT($E31:$E1957,11)=LEFT($E31,11),_xlfn.NUMBERVALUE(RIGHT($E31:$E1957,2)))),TRUE)</f>
        <v>1</v>
      </c>
      <c r="G31" s="337" t="s">
        <v>6053</v>
      </c>
      <c r="H31" s="337" t="s">
        <v>604</v>
      </c>
      <c r="I31" s="336"/>
      <c r="J31" s="337" t="s">
        <v>770</v>
      </c>
      <c r="K31" s="337" t="s">
        <v>706</v>
      </c>
      <c r="L31" s="337" t="s">
        <v>771</v>
      </c>
      <c r="M31" s="337" t="s">
        <v>772</v>
      </c>
      <c r="N31" s="337" t="s">
        <v>770</v>
      </c>
      <c r="O31" s="337" t="s">
        <v>770</v>
      </c>
      <c r="P31" s="337" t="s">
        <v>773</v>
      </c>
      <c r="Q31" s="337" t="s">
        <v>254</v>
      </c>
      <c r="R31" s="337" t="s">
        <v>4674</v>
      </c>
      <c r="S31" s="340">
        <v>43790</v>
      </c>
      <c r="T31" s="336"/>
      <c r="V31" s="152">
        <v>6</v>
      </c>
      <c r="W31" s="152">
        <v>0</v>
      </c>
      <c r="X31" s="153" t="s">
        <v>604</v>
      </c>
    </row>
    <row r="32" spans="1:24" x14ac:dyDescent="0.25">
      <c r="A32" s="336">
        <v>196069</v>
      </c>
      <c r="B32" s="337" t="s">
        <v>1412</v>
      </c>
      <c r="C32" s="337" t="s">
        <v>1411</v>
      </c>
      <c r="D32" s="337" t="s">
        <v>1410</v>
      </c>
      <c r="E32" s="337" t="s">
        <v>6054</v>
      </c>
      <c r="F32" s="104" t="b">
        <f t="array" ref="F32">IF(_xlfn.NUMBERVALUE(RIGHT($E32,2))=MAX(IF(LEFT($E32:$E1958,11)=LEFT($E32,11),_xlfn.NUMBERVALUE(RIGHT($E32:$E1958,2)))),TRUE)</f>
        <v>1</v>
      </c>
      <c r="G32" s="337" t="s">
        <v>603</v>
      </c>
      <c r="H32" s="337" t="s">
        <v>604</v>
      </c>
      <c r="I32" s="337" t="s">
        <v>605</v>
      </c>
      <c r="J32" s="337" t="s">
        <v>770</v>
      </c>
      <c r="K32" s="337" t="s">
        <v>706</v>
      </c>
      <c r="L32" s="337" t="s">
        <v>771</v>
      </c>
      <c r="M32" s="337" t="s">
        <v>772</v>
      </c>
      <c r="N32" s="337" t="s">
        <v>770</v>
      </c>
      <c r="O32" s="337" t="s">
        <v>770</v>
      </c>
      <c r="P32" s="337" t="s">
        <v>773</v>
      </c>
      <c r="Q32" s="337" t="s">
        <v>254</v>
      </c>
      <c r="R32" s="337" t="s">
        <v>4674</v>
      </c>
      <c r="S32" s="340">
        <v>43790</v>
      </c>
      <c r="T32" s="336"/>
      <c r="V32" s="152">
        <v>6</v>
      </c>
      <c r="W32" s="152">
        <v>0</v>
      </c>
      <c r="X32" s="153" t="s">
        <v>604</v>
      </c>
    </row>
    <row r="33" spans="1:24" x14ac:dyDescent="0.25">
      <c r="A33" s="336">
        <v>196398</v>
      </c>
      <c r="B33" s="337" t="s">
        <v>401</v>
      </c>
      <c r="C33" s="337" t="s">
        <v>1418</v>
      </c>
      <c r="D33" s="337" t="s">
        <v>1417</v>
      </c>
      <c r="E33" s="337" t="s">
        <v>5317</v>
      </c>
      <c r="F33" s="104" t="b">
        <f t="array" ref="F33">IF(_xlfn.NUMBERVALUE(RIGHT($E33,2))=MAX(IF(LEFT($E33:$E1959,11)=LEFT($E33,11),_xlfn.NUMBERVALUE(RIGHT($E33:$E1959,2)))),TRUE)</f>
        <v>1</v>
      </c>
      <c r="G33" s="337" t="s">
        <v>603</v>
      </c>
      <c r="H33" s="337" t="s">
        <v>604</v>
      </c>
      <c r="I33" s="337" t="s">
        <v>605</v>
      </c>
      <c r="J33" s="337" t="s">
        <v>770</v>
      </c>
      <c r="K33" s="337" t="s">
        <v>706</v>
      </c>
      <c r="L33" s="337" t="s">
        <v>771</v>
      </c>
      <c r="M33" s="337" t="s">
        <v>772</v>
      </c>
      <c r="N33" s="337" t="s">
        <v>770</v>
      </c>
      <c r="O33" s="337" t="s">
        <v>770</v>
      </c>
      <c r="P33" s="337" t="s">
        <v>773</v>
      </c>
      <c r="Q33" s="337" t="s">
        <v>254</v>
      </c>
      <c r="R33" s="337" t="s">
        <v>4674</v>
      </c>
      <c r="S33" s="340">
        <v>43783</v>
      </c>
      <c r="T33" s="336"/>
      <c r="V33" s="152">
        <v>6</v>
      </c>
      <c r="W33" s="152">
        <v>0</v>
      </c>
      <c r="X33" s="153" t="s">
        <v>604</v>
      </c>
    </row>
    <row r="34" spans="1:24" x14ac:dyDescent="0.25">
      <c r="A34" s="336">
        <v>196290</v>
      </c>
      <c r="B34" s="337" t="s">
        <v>4949</v>
      </c>
      <c r="C34" s="337" t="s">
        <v>4948</v>
      </c>
      <c r="D34" s="337" t="s">
        <v>4947</v>
      </c>
      <c r="E34" s="337" t="s">
        <v>5318</v>
      </c>
      <c r="F34" s="104" t="b">
        <f t="array" ref="F34">IF(_xlfn.NUMBERVALUE(RIGHT($E34,2))=MAX(IF(LEFT($E34:$E1960,11)=LEFT($E34,11),_xlfn.NUMBERVALUE(RIGHT($E34:$E1960,2)))),TRUE)</f>
        <v>1</v>
      </c>
      <c r="G34" s="337" t="s">
        <v>5319</v>
      </c>
      <c r="H34" s="337" t="s">
        <v>605</v>
      </c>
      <c r="I34" s="337" t="s">
        <v>605</v>
      </c>
      <c r="J34" s="337" t="s">
        <v>770</v>
      </c>
      <c r="K34" s="337" t="s">
        <v>706</v>
      </c>
      <c r="L34" s="337" t="s">
        <v>771</v>
      </c>
      <c r="M34" s="337" t="s">
        <v>771</v>
      </c>
      <c r="N34" s="337" t="s">
        <v>770</v>
      </c>
      <c r="O34" s="337" t="s">
        <v>770</v>
      </c>
      <c r="P34" s="337" t="s">
        <v>773</v>
      </c>
      <c r="Q34" s="337" t="s">
        <v>254</v>
      </c>
      <c r="R34" s="337" t="s">
        <v>4674</v>
      </c>
      <c r="S34" s="340">
        <v>43774</v>
      </c>
      <c r="T34" s="336"/>
      <c r="V34" s="152">
        <v>6</v>
      </c>
      <c r="W34" s="152">
        <v>0</v>
      </c>
      <c r="X34" s="153" t="s">
        <v>604</v>
      </c>
    </row>
    <row r="35" spans="1:24" x14ac:dyDescent="0.25">
      <c r="A35" s="336">
        <v>198213</v>
      </c>
      <c r="B35" s="337" t="s">
        <v>506</v>
      </c>
      <c r="C35" s="337" t="s">
        <v>1440</v>
      </c>
      <c r="D35" s="337" t="s">
        <v>1439</v>
      </c>
      <c r="E35" s="337" t="s">
        <v>4696</v>
      </c>
      <c r="F35" s="104" t="b">
        <f t="array" ref="F35">IF(_xlfn.NUMBERVALUE(RIGHT($E35,2))=MAX(IF(LEFT($E35:$E1961,11)=LEFT($E35,11),_xlfn.NUMBERVALUE(RIGHT($E35:$E1961,2)))),TRUE)</f>
        <v>1</v>
      </c>
      <c r="G35" s="337" t="s">
        <v>603</v>
      </c>
      <c r="H35" s="337" t="s">
        <v>604</v>
      </c>
      <c r="I35" s="337" t="s">
        <v>605</v>
      </c>
      <c r="J35" s="337" t="s">
        <v>770</v>
      </c>
      <c r="K35" s="337" t="s">
        <v>706</v>
      </c>
      <c r="L35" s="337" t="s">
        <v>771</v>
      </c>
      <c r="M35" s="337" t="s">
        <v>772</v>
      </c>
      <c r="N35" s="337" t="s">
        <v>770</v>
      </c>
      <c r="O35" s="337" t="s">
        <v>770</v>
      </c>
      <c r="P35" s="337" t="s">
        <v>773</v>
      </c>
      <c r="Q35" s="337" t="s">
        <v>254</v>
      </c>
      <c r="R35" s="337" t="s">
        <v>4674</v>
      </c>
      <c r="S35" s="340">
        <v>43774</v>
      </c>
      <c r="T35" s="336"/>
      <c r="V35" s="152">
        <v>6</v>
      </c>
      <c r="W35" s="152">
        <v>0</v>
      </c>
      <c r="X35" s="153" t="s">
        <v>604</v>
      </c>
    </row>
    <row r="36" spans="1:24" x14ac:dyDescent="0.25">
      <c r="A36" s="336">
        <v>199303</v>
      </c>
      <c r="B36" s="337" t="s">
        <v>5624</v>
      </c>
      <c r="C36" s="337" t="s">
        <v>5623</v>
      </c>
      <c r="D36" s="337" t="s">
        <v>5622</v>
      </c>
      <c r="E36" s="337" t="s">
        <v>6055</v>
      </c>
      <c r="F36" s="104" t="b">
        <f t="array" ref="F36">IF(_xlfn.NUMBERVALUE(RIGHT($E36,2))=MAX(IF(LEFT($E36:$E1963,11)=LEFT($E36,11),_xlfn.NUMBERVALUE(RIGHT($E36:$E1963,2)))),TRUE)</f>
        <v>1</v>
      </c>
      <c r="G36" s="337" t="s">
        <v>603</v>
      </c>
      <c r="H36" s="337" t="s">
        <v>605</v>
      </c>
      <c r="I36" s="337" t="s">
        <v>605</v>
      </c>
      <c r="J36" s="337" t="s">
        <v>770</v>
      </c>
      <c r="K36" s="337" t="s">
        <v>706</v>
      </c>
      <c r="L36" s="337" t="s">
        <v>771</v>
      </c>
      <c r="M36" s="337" t="s">
        <v>771</v>
      </c>
      <c r="N36" s="337" t="s">
        <v>605</v>
      </c>
      <c r="O36" s="337" t="s">
        <v>770</v>
      </c>
      <c r="P36" s="337" t="s">
        <v>773</v>
      </c>
      <c r="Q36" s="337" t="s">
        <v>254</v>
      </c>
      <c r="R36" s="337" t="s">
        <v>4674</v>
      </c>
      <c r="S36" s="340">
        <v>43783</v>
      </c>
      <c r="T36" s="336"/>
      <c r="V36" s="152">
        <v>6</v>
      </c>
      <c r="W36" s="152">
        <v>0</v>
      </c>
      <c r="X36" s="153" t="s">
        <v>604</v>
      </c>
    </row>
    <row r="37" spans="1:24" x14ac:dyDescent="0.25">
      <c r="A37" s="336">
        <v>197971</v>
      </c>
      <c r="B37" s="337" t="s">
        <v>518</v>
      </c>
      <c r="C37" s="337" t="s">
        <v>757</v>
      </c>
      <c r="D37" s="337" t="s">
        <v>1463</v>
      </c>
      <c r="E37" s="337" t="s">
        <v>4697</v>
      </c>
      <c r="F37" s="104" t="b">
        <f t="array" ref="F37">IF(_xlfn.NUMBERVALUE(RIGHT($E37,2))=MAX(IF(LEFT($E37:$E1964,11)=LEFT($E37,11),_xlfn.NUMBERVALUE(RIGHT($E37:$E1964,2)))),TRUE)</f>
        <v>1</v>
      </c>
      <c r="G37" s="337" t="s">
        <v>603</v>
      </c>
      <c r="H37" s="337" t="s">
        <v>604</v>
      </c>
      <c r="I37" s="337" t="s">
        <v>605</v>
      </c>
      <c r="J37" s="337" t="s">
        <v>605</v>
      </c>
      <c r="K37" s="337" t="s">
        <v>706</v>
      </c>
      <c r="L37" s="337" t="s">
        <v>771</v>
      </c>
      <c r="M37" s="337" t="s">
        <v>772</v>
      </c>
      <c r="N37" s="337" t="s">
        <v>770</v>
      </c>
      <c r="O37" s="337" t="s">
        <v>770</v>
      </c>
      <c r="P37" s="337" t="s">
        <v>773</v>
      </c>
      <c r="Q37" s="337" t="s">
        <v>254</v>
      </c>
      <c r="R37" s="337" t="s">
        <v>4674</v>
      </c>
      <c r="S37" s="340">
        <v>43774</v>
      </c>
      <c r="T37" s="336"/>
      <c r="V37" s="152">
        <v>6</v>
      </c>
      <c r="W37" s="152">
        <v>0</v>
      </c>
      <c r="X37" s="153" t="s">
        <v>604</v>
      </c>
    </row>
    <row r="38" spans="1:24" x14ac:dyDescent="0.25">
      <c r="A38" s="336">
        <v>192420</v>
      </c>
      <c r="B38" s="337" t="s">
        <v>470</v>
      </c>
      <c r="C38" s="337" t="s">
        <v>1487</v>
      </c>
      <c r="D38" s="337" t="s">
        <v>1486</v>
      </c>
      <c r="E38" s="337" t="s">
        <v>6156</v>
      </c>
      <c r="F38" s="104" t="b">
        <f t="array" ref="F38">IF(_xlfn.NUMBERVALUE(RIGHT($E38,2))=MAX(IF(LEFT($E38:$E1965,11)=LEFT($E38,11),_xlfn.NUMBERVALUE(RIGHT($E38:$E1965,2)))),TRUE)</f>
        <v>1</v>
      </c>
      <c r="G38" s="337" t="s">
        <v>603</v>
      </c>
      <c r="H38" s="337" t="s">
        <v>604</v>
      </c>
      <c r="I38" s="337" t="s">
        <v>605</v>
      </c>
      <c r="J38" s="337" t="s">
        <v>770</v>
      </c>
      <c r="K38" s="337" t="s">
        <v>706</v>
      </c>
      <c r="L38" s="337" t="s">
        <v>771</v>
      </c>
      <c r="M38" s="337" t="s">
        <v>772</v>
      </c>
      <c r="N38" s="337" t="s">
        <v>770</v>
      </c>
      <c r="O38" s="337" t="s">
        <v>770</v>
      </c>
      <c r="P38" s="337" t="s">
        <v>773</v>
      </c>
      <c r="Q38" s="337" t="s">
        <v>254</v>
      </c>
      <c r="R38" s="337" t="s">
        <v>4674</v>
      </c>
      <c r="S38" s="340">
        <v>43804</v>
      </c>
      <c r="T38" s="336"/>
      <c r="V38" s="152">
        <v>6</v>
      </c>
      <c r="W38" s="152">
        <v>0</v>
      </c>
      <c r="X38" s="153" t="s">
        <v>604</v>
      </c>
    </row>
    <row r="39" spans="1:24" x14ac:dyDescent="0.25">
      <c r="A39" s="336">
        <v>198730</v>
      </c>
      <c r="B39" s="337" t="s">
        <v>4230</v>
      </c>
      <c r="C39" s="337" t="s">
        <v>1487</v>
      </c>
      <c r="D39" s="337" t="s">
        <v>4229</v>
      </c>
      <c r="E39" s="337" t="s">
        <v>6056</v>
      </c>
      <c r="F39" s="104" t="b">
        <f t="array" ref="F39">IF(_xlfn.NUMBERVALUE(RIGHT($E39,2))=MAX(IF(LEFT($E39:$E1967,11)=LEFT($E39,11),_xlfn.NUMBERVALUE(RIGHT($E39:$E1967,2)))),TRUE)</f>
        <v>1</v>
      </c>
      <c r="G39" s="337" t="s">
        <v>603</v>
      </c>
      <c r="H39" s="337" t="s">
        <v>604</v>
      </c>
      <c r="I39" s="337" t="s">
        <v>605</v>
      </c>
      <c r="J39" s="337" t="s">
        <v>770</v>
      </c>
      <c r="K39" s="337" t="s">
        <v>706</v>
      </c>
      <c r="L39" s="337" t="s">
        <v>771</v>
      </c>
      <c r="M39" s="337" t="s">
        <v>772</v>
      </c>
      <c r="N39" s="337" t="s">
        <v>605</v>
      </c>
      <c r="O39" s="337" t="s">
        <v>770</v>
      </c>
      <c r="P39" s="337" t="s">
        <v>773</v>
      </c>
      <c r="Q39" s="337" t="s">
        <v>254</v>
      </c>
      <c r="R39" s="337" t="s">
        <v>4674</v>
      </c>
      <c r="S39" s="340">
        <v>43790</v>
      </c>
      <c r="T39" s="336"/>
      <c r="V39" s="152">
        <v>6</v>
      </c>
      <c r="W39" s="152">
        <v>0</v>
      </c>
      <c r="X39" s="153" t="s">
        <v>604</v>
      </c>
    </row>
    <row r="40" spans="1:24" x14ac:dyDescent="0.25">
      <c r="A40" s="336">
        <v>199531</v>
      </c>
      <c r="B40" s="337" t="s">
        <v>6212</v>
      </c>
      <c r="C40" s="337" t="s">
        <v>6211</v>
      </c>
      <c r="D40" s="337" t="s">
        <v>6210</v>
      </c>
      <c r="E40" s="337" t="s">
        <v>6559</v>
      </c>
      <c r="F40" s="104" t="b">
        <f t="array" ref="F40">IF(_xlfn.NUMBERVALUE(RIGHT($E40,2))=MAX(IF(LEFT($E40:$E1969,11)=LEFT($E40,11),_xlfn.NUMBERVALUE(RIGHT($E40:$E1969,2)))),TRUE)</f>
        <v>1</v>
      </c>
      <c r="G40" s="337" t="s">
        <v>603</v>
      </c>
      <c r="H40" s="337" t="s">
        <v>605</v>
      </c>
      <c r="I40" s="337" t="s">
        <v>605</v>
      </c>
      <c r="J40" s="337" t="s">
        <v>770</v>
      </c>
      <c r="K40" s="337" t="s">
        <v>278</v>
      </c>
      <c r="L40" s="337" t="s">
        <v>771</v>
      </c>
      <c r="M40" s="337" t="s">
        <v>771</v>
      </c>
      <c r="N40" s="337" t="s">
        <v>770</v>
      </c>
      <c r="O40" s="337" t="s">
        <v>770</v>
      </c>
      <c r="P40" s="337" t="s">
        <v>773</v>
      </c>
      <c r="Q40" s="337" t="s">
        <v>254</v>
      </c>
      <c r="R40" s="337" t="s">
        <v>4674</v>
      </c>
      <c r="S40" s="340">
        <v>43804</v>
      </c>
      <c r="T40" s="336"/>
      <c r="V40" s="152">
        <v>6</v>
      </c>
      <c r="W40" s="152">
        <v>0</v>
      </c>
      <c r="X40" s="153" t="s">
        <v>604</v>
      </c>
    </row>
    <row r="41" spans="1:24" x14ac:dyDescent="0.25">
      <c r="A41" s="336">
        <v>198383</v>
      </c>
      <c r="B41" s="337" t="s">
        <v>1498</v>
      </c>
      <c r="C41" s="337" t="s">
        <v>1497</v>
      </c>
      <c r="D41" s="337" t="s">
        <v>1496</v>
      </c>
      <c r="E41" s="337" t="s">
        <v>6128</v>
      </c>
      <c r="F41" s="104" t="b">
        <f t="array" ref="F41">IF(_xlfn.NUMBERVALUE(RIGHT($E41,2))=MAX(IF(LEFT($E41:$E1970,11)=LEFT($E41,11),_xlfn.NUMBERVALUE(RIGHT($E41:$E1970,2)))),TRUE)</f>
        <v>1</v>
      </c>
      <c r="G41" s="337" t="s">
        <v>6129</v>
      </c>
      <c r="H41" s="337" t="s">
        <v>604</v>
      </c>
      <c r="I41" s="336"/>
      <c r="J41" s="337" t="s">
        <v>770</v>
      </c>
      <c r="K41" s="337" t="s">
        <v>706</v>
      </c>
      <c r="L41" s="337" t="s">
        <v>771</v>
      </c>
      <c r="M41" s="337" t="s">
        <v>772</v>
      </c>
      <c r="N41" s="337" t="s">
        <v>770</v>
      </c>
      <c r="O41" s="337" t="s">
        <v>770</v>
      </c>
      <c r="P41" s="337" t="s">
        <v>773</v>
      </c>
      <c r="Q41" s="337" t="s">
        <v>254</v>
      </c>
      <c r="R41" s="337" t="s">
        <v>4674</v>
      </c>
      <c r="S41" s="340">
        <v>43801</v>
      </c>
      <c r="T41" s="336"/>
      <c r="V41" s="152">
        <v>6</v>
      </c>
      <c r="W41" s="152">
        <v>0</v>
      </c>
      <c r="X41" s="153" t="s">
        <v>604</v>
      </c>
    </row>
    <row r="42" spans="1:24" x14ac:dyDescent="0.25">
      <c r="A42" s="336">
        <v>198483</v>
      </c>
      <c r="B42" s="337" t="s">
        <v>4239</v>
      </c>
      <c r="C42" s="337" t="s">
        <v>4238</v>
      </c>
      <c r="D42" s="337" t="s">
        <v>4237</v>
      </c>
      <c r="E42" s="337" t="s">
        <v>4857</v>
      </c>
      <c r="F42" s="104" t="b">
        <f t="array" ref="F42">IF(_xlfn.NUMBERVALUE(RIGHT($E42,2))=MAX(IF(LEFT($E42:$E1973,11)=LEFT($E42,11),_xlfn.NUMBERVALUE(RIGHT($E42:$E1973,2)))),TRUE)</f>
        <v>1</v>
      </c>
      <c r="G42" s="337" t="s">
        <v>4698</v>
      </c>
      <c r="H42" s="337" t="s">
        <v>605</v>
      </c>
      <c r="I42" s="337" t="s">
        <v>605</v>
      </c>
      <c r="J42" s="337" t="s">
        <v>770</v>
      </c>
      <c r="K42" s="337" t="s">
        <v>706</v>
      </c>
      <c r="L42" s="337" t="s">
        <v>771</v>
      </c>
      <c r="M42" s="337" t="s">
        <v>771</v>
      </c>
      <c r="N42" s="337" t="s">
        <v>770</v>
      </c>
      <c r="O42" s="337" t="s">
        <v>770</v>
      </c>
      <c r="P42" s="337" t="s">
        <v>773</v>
      </c>
      <c r="Q42" s="337" t="s">
        <v>254</v>
      </c>
      <c r="R42" s="337" t="s">
        <v>4674</v>
      </c>
      <c r="S42" s="340">
        <v>43776</v>
      </c>
      <c r="T42" s="336"/>
      <c r="V42" s="152">
        <v>6</v>
      </c>
      <c r="W42" s="152">
        <v>0</v>
      </c>
      <c r="X42" s="153" t="s">
        <v>604</v>
      </c>
    </row>
    <row r="43" spans="1:24" x14ac:dyDescent="0.25">
      <c r="A43" s="336">
        <v>197958</v>
      </c>
      <c r="B43" s="337" t="s">
        <v>4249</v>
      </c>
      <c r="C43" s="337" t="s">
        <v>4248</v>
      </c>
      <c r="D43" s="337" t="s">
        <v>1503</v>
      </c>
      <c r="E43" s="337" t="s">
        <v>4858</v>
      </c>
      <c r="F43" s="104" t="b">
        <f t="array" ref="F43">IF(_xlfn.NUMBERVALUE(RIGHT($E43,2))=MAX(IF(LEFT($E43:$E1974,11)=LEFT($E43,11),_xlfn.NUMBERVALUE(RIGHT($E43:$E1974,2)))),TRUE)</f>
        <v>1</v>
      </c>
      <c r="G43" s="337" t="s">
        <v>603</v>
      </c>
      <c r="H43" s="337" t="s">
        <v>604</v>
      </c>
      <c r="I43" s="337" t="s">
        <v>605</v>
      </c>
      <c r="J43" s="337" t="s">
        <v>770</v>
      </c>
      <c r="K43" s="337" t="s">
        <v>706</v>
      </c>
      <c r="L43" s="337" t="s">
        <v>771</v>
      </c>
      <c r="M43" s="337" t="s">
        <v>772</v>
      </c>
      <c r="N43" s="337" t="s">
        <v>770</v>
      </c>
      <c r="O43" s="337" t="s">
        <v>770</v>
      </c>
      <c r="P43" s="337" t="s">
        <v>773</v>
      </c>
      <c r="Q43" s="337" t="s">
        <v>254</v>
      </c>
      <c r="R43" s="337" t="s">
        <v>4674</v>
      </c>
      <c r="S43" s="340">
        <v>43776</v>
      </c>
      <c r="T43" s="336"/>
      <c r="V43" s="152">
        <v>6</v>
      </c>
      <c r="W43" s="152">
        <v>0</v>
      </c>
      <c r="X43" s="153" t="s">
        <v>604</v>
      </c>
    </row>
    <row r="44" spans="1:24" x14ac:dyDescent="0.25">
      <c r="A44" s="336">
        <v>196262</v>
      </c>
      <c r="B44" s="337" t="s">
        <v>1521</v>
      </c>
      <c r="C44" s="337" t="s">
        <v>1520</v>
      </c>
      <c r="D44" s="337" t="s">
        <v>1519</v>
      </c>
      <c r="E44" s="337" t="s">
        <v>4699</v>
      </c>
      <c r="F44" s="104" t="b">
        <f t="array" ref="F44">IF(_xlfn.NUMBERVALUE(RIGHT($E44,2))=MAX(IF(LEFT($E44:$E1975,11)=LEFT($E44,11),_xlfn.NUMBERVALUE(RIGHT($E44:$E1975,2)))),TRUE)</f>
        <v>1</v>
      </c>
      <c r="G44" s="337" t="s">
        <v>603</v>
      </c>
      <c r="H44" s="337" t="s">
        <v>604</v>
      </c>
      <c r="I44" s="337" t="s">
        <v>605</v>
      </c>
      <c r="J44" s="337" t="s">
        <v>770</v>
      </c>
      <c r="K44" s="337" t="s">
        <v>706</v>
      </c>
      <c r="L44" s="337" t="s">
        <v>771</v>
      </c>
      <c r="M44" s="337" t="s">
        <v>772</v>
      </c>
      <c r="N44" s="337" t="s">
        <v>770</v>
      </c>
      <c r="O44" s="337" t="s">
        <v>770</v>
      </c>
      <c r="P44" s="337" t="s">
        <v>773</v>
      </c>
      <c r="Q44" s="337" t="s">
        <v>254</v>
      </c>
      <c r="R44" s="337" t="s">
        <v>4674</v>
      </c>
      <c r="S44" s="340">
        <v>43774</v>
      </c>
      <c r="T44" s="336"/>
      <c r="V44" s="152">
        <v>6</v>
      </c>
      <c r="W44" s="152">
        <v>0</v>
      </c>
      <c r="X44" s="153" t="s">
        <v>604</v>
      </c>
    </row>
    <row r="45" spans="1:24" x14ac:dyDescent="0.25">
      <c r="A45" s="336">
        <v>196094</v>
      </c>
      <c r="B45" s="337" t="s">
        <v>470</v>
      </c>
      <c r="C45" s="337" t="s">
        <v>1539</v>
      </c>
      <c r="D45" s="337" t="s">
        <v>1538</v>
      </c>
      <c r="E45" s="337" t="s">
        <v>4860</v>
      </c>
      <c r="F45" s="104" t="b">
        <f t="array" ref="F45">IF(_xlfn.NUMBERVALUE(RIGHT($E45,2))=MAX(IF(LEFT($E45:$E1978,11)=LEFT($E45,11),_xlfn.NUMBERVALUE(RIGHT($E45:$E1978,2)))),TRUE)</f>
        <v>1</v>
      </c>
      <c r="G45" s="337" t="s">
        <v>4859</v>
      </c>
      <c r="H45" s="337" t="s">
        <v>604</v>
      </c>
      <c r="I45" s="336"/>
      <c r="J45" s="337" t="s">
        <v>770</v>
      </c>
      <c r="K45" s="337" t="s">
        <v>706</v>
      </c>
      <c r="L45" s="337" t="s">
        <v>771</v>
      </c>
      <c r="M45" s="337" t="s">
        <v>772</v>
      </c>
      <c r="N45" s="337" t="s">
        <v>770</v>
      </c>
      <c r="O45" s="337" t="s">
        <v>770</v>
      </c>
      <c r="P45" s="337" t="s">
        <v>773</v>
      </c>
      <c r="Q45" s="337" t="s">
        <v>254</v>
      </c>
      <c r="R45" s="337" t="s">
        <v>4674</v>
      </c>
      <c r="S45" s="340">
        <v>43774</v>
      </c>
      <c r="T45" s="336"/>
      <c r="V45" s="152">
        <v>6</v>
      </c>
      <c r="W45" s="152">
        <v>0</v>
      </c>
      <c r="X45" s="153" t="s">
        <v>604</v>
      </c>
    </row>
    <row r="46" spans="1:24" x14ac:dyDescent="0.25">
      <c r="A46" s="336">
        <v>199255</v>
      </c>
      <c r="B46" s="337" t="s">
        <v>5376</v>
      </c>
      <c r="C46" s="337" t="s">
        <v>5375</v>
      </c>
      <c r="D46" s="337" t="s">
        <v>5374</v>
      </c>
      <c r="E46" s="337" t="s">
        <v>6057</v>
      </c>
      <c r="F46" s="104" t="b">
        <f t="array" ref="F46">IF(_xlfn.NUMBERVALUE(RIGHT($E46,2))=MAX(IF(LEFT($E46:$E1979,11)=LEFT($E46,11),_xlfn.NUMBERVALUE(RIGHT($E46:$E1979,2)))),TRUE)</f>
        <v>1</v>
      </c>
      <c r="G46" s="337" t="s">
        <v>6058</v>
      </c>
      <c r="H46" s="337" t="s">
        <v>604</v>
      </c>
      <c r="I46" s="336"/>
      <c r="J46" s="337" t="s">
        <v>770</v>
      </c>
      <c r="K46" s="337" t="s">
        <v>706</v>
      </c>
      <c r="L46" s="337" t="s">
        <v>771</v>
      </c>
      <c r="M46" s="337" t="s">
        <v>772</v>
      </c>
      <c r="N46" s="337" t="s">
        <v>770</v>
      </c>
      <c r="O46" s="337" t="s">
        <v>770</v>
      </c>
      <c r="P46" s="337" t="s">
        <v>773</v>
      </c>
      <c r="Q46" s="337" t="s">
        <v>254</v>
      </c>
      <c r="R46" s="337" t="s">
        <v>4674</v>
      </c>
      <c r="S46" s="340">
        <v>43774</v>
      </c>
      <c r="T46" s="336"/>
      <c r="V46" s="152">
        <v>6</v>
      </c>
      <c r="W46" s="152">
        <v>0</v>
      </c>
      <c r="X46" s="153" t="s">
        <v>604</v>
      </c>
    </row>
    <row r="47" spans="1:24" x14ac:dyDescent="0.25">
      <c r="A47" s="336">
        <v>198282</v>
      </c>
      <c r="B47" s="337" t="s">
        <v>320</v>
      </c>
      <c r="C47" s="337" t="s">
        <v>1149</v>
      </c>
      <c r="D47" s="337" t="s">
        <v>1547</v>
      </c>
      <c r="E47" s="337" t="s">
        <v>4861</v>
      </c>
      <c r="F47" s="104" t="b">
        <f t="array" ref="F47">IF(_xlfn.NUMBERVALUE(RIGHT($E47,2))=MAX(IF(LEFT($E47:$E1980,11)=LEFT($E47,11),_xlfn.NUMBERVALUE(RIGHT($E47:$E1980,2)))),TRUE)</f>
        <v>1</v>
      </c>
      <c r="G47" s="337" t="s">
        <v>603</v>
      </c>
      <c r="H47" s="337" t="s">
        <v>605</v>
      </c>
      <c r="I47" s="337" t="s">
        <v>605</v>
      </c>
      <c r="J47" s="337" t="s">
        <v>605</v>
      </c>
      <c r="K47" s="337" t="s">
        <v>706</v>
      </c>
      <c r="L47" s="337" t="s">
        <v>771</v>
      </c>
      <c r="M47" s="337" t="s">
        <v>771</v>
      </c>
      <c r="N47" s="337" t="s">
        <v>770</v>
      </c>
      <c r="O47" s="337" t="s">
        <v>770</v>
      </c>
      <c r="P47" s="337" t="s">
        <v>773</v>
      </c>
      <c r="Q47" s="337" t="s">
        <v>254</v>
      </c>
      <c r="R47" s="337" t="s">
        <v>4674</v>
      </c>
      <c r="S47" s="340">
        <v>43776</v>
      </c>
      <c r="T47" s="336"/>
      <c r="V47" s="152">
        <v>6</v>
      </c>
      <c r="W47" s="152">
        <v>0</v>
      </c>
      <c r="X47" s="153" t="s">
        <v>604</v>
      </c>
    </row>
    <row r="48" spans="1:24" x14ac:dyDescent="0.25">
      <c r="A48" s="336">
        <v>198585</v>
      </c>
      <c r="B48" s="337" t="s">
        <v>1305</v>
      </c>
      <c r="C48" s="337" t="s">
        <v>6231</v>
      </c>
      <c r="D48" s="337" t="s">
        <v>6230</v>
      </c>
      <c r="E48" s="337" t="s">
        <v>6560</v>
      </c>
      <c r="F48" s="104" t="b">
        <f t="array" ref="F48">IF(_xlfn.NUMBERVALUE(RIGHT($E48,2))=MAX(IF(LEFT($E48:$E1984,11)=LEFT($E48,11),_xlfn.NUMBERVALUE(RIGHT($E48:$E1984,2)))),TRUE)</f>
        <v>1</v>
      </c>
      <c r="G48" s="336"/>
      <c r="H48" s="337" t="s">
        <v>604</v>
      </c>
      <c r="I48" s="336"/>
      <c r="J48" s="337" t="s">
        <v>770</v>
      </c>
      <c r="K48" s="337" t="s">
        <v>323</v>
      </c>
      <c r="L48" s="337" t="s">
        <v>771</v>
      </c>
      <c r="M48" s="337" t="s">
        <v>772</v>
      </c>
      <c r="N48" s="337" t="s">
        <v>770</v>
      </c>
      <c r="O48" s="337" t="s">
        <v>770</v>
      </c>
      <c r="P48" s="337" t="s">
        <v>773</v>
      </c>
      <c r="Q48" s="337" t="s">
        <v>254</v>
      </c>
      <c r="R48" s="337" t="s">
        <v>4674</v>
      </c>
      <c r="S48" s="340">
        <v>43776</v>
      </c>
      <c r="T48" s="336"/>
      <c r="V48" s="152">
        <v>6</v>
      </c>
      <c r="W48" s="152">
        <v>0</v>
      </c>
      <c r="X48" s="153" t="s">
        <v>604</v>
      </c>
    </row>
    <row r="49" spans="1:24" x14ac:dyDescent="0.25">
      <c r="A49" s="336">
        <v>195707</v>
      </c>
      <c r="B49" s="337" t="s">
        <v>515</v>
      </c>
      <c r="C49" s="337" t="s">
        <v>1590</v>
      </c>
      <c r="D49" s="337" t="s">
        <v>1589</v>
      </c>
      <c r="E49" s="337" t="s">
        <v>4700</v>
      </c>
      <c r="F49" s="104" t="b">
        <f t="array" ref="F49">IF(_xlfn.NUMBERVALUE(RIGHT($E49,2))=MAX(IF(LEFT($E49:$E1985,11)=LEFT($E49,11),_xlfn.NUMBERVALUE(RIGHT($E49:$E1985,2)))),TRUE)</f>
        <v>1</v>
      </c>
      <c r="G49" s="337" t="s">
        <v>4701</v>
      </c>
      <c r="H49" s="337" t="s">
        <v>605</v>
      </c>
      <c r="I49" s="337" t="s">
        <v>605</v>
      </c>
      <c r="J49" s="337" t="s">
        <v>770</v>
      </c>
      <c r="K49" s="337" t="s">
        <v>706</v>
      </c>
      <c r="L49" s="337" t="s">
        <v>771</v>
      </c>
      <c r="M49" s="337" t="s">
        <v>771</v>
      </c>
      <c r="N49" s="337" t="s">
        <v>770</v>
      </c>
      <c r="O49" s="337" t="s">
        <v>770</v>
      </c>
      <c r="P49" s="337" t="s">
        <v>773</v>
      </c>
      <c r="Q49" s="337" t="s">
        <v>254</v>
      </c>
      <c r="R49" s="337" t="s">
        <v>4674</v>
      </c>
      <c r="S49" s="340">
        <v>43774</v>
      </c>
      <c r="T49" s="336"/>
      <c r="V49" s="152">
        <v>6</v>
      </c>
      <c r="W49" s="152">
        <v>0</v>
      </c>
      <c r="X49" s="153" t="s">
        <v>604</v>
      </c>
    </row>
    <row r="50" spans="1:24" x14ac:dyDescent="0.25">
      <c r="A50" s="336">
        <v>192303</v>
      </c>
      <c r="B50" s="337" t="s">
        <v>4257</v>
      </c>
      <c r="C50" s="337" t="s">
        <v>4256</v>
      </c>
      <c r="D50" s="337" t="s">
        <v>4255</v>
      </c>
      <c r="E50" s="337" t="s">
        <v>5320</v>
      </c>
      <c r="F50" s="104" t="b">
        <f t="array" ref="F50">IF(_xlfn.NUMBERVALUE(RIGHT($E50,2))=MAX(IF(LEFT($E50:$E1986,11)=LEFT($E50,11),_xlfn.NUMBERVALUE(RIGHT($E50:$E1986,2)))),TRUE)</f>
        <v>1</v>
      </c>
      <c r="G50" s="337" t="s">
        <v>5321</v>
      </c>
      <c r="H50" s="337" t="s">
        <v>604</v>
      </c>
      <c r="I50" s="336"/>
      <c r="J50" s="337" t="s">
        <v>770</v>
      </c>
      <c r="K50" s="337" t="s">
        <v>706</v>
      </c>
      <c r="L50" s="337" t="s">
        <v>771</v>
      </c>
      <c r="M50" s="337" t="s">
        <v>772</v>
      </c>
      <c r="N50" s="337" t="s">
        <v>770</v>
      </c>
      <c r="O50" s="337" t="s">
        <v>770</v>
      </c>
      <c r="P50" s="337" t="s">
        <v>773</v>
      </c>
      <c r="Q50" s="337" t="s">
        <v>254</v>
      </c>
      <c r="R50" s="337" t="s">
        <v>4674</v>
      </c>
      <c r="S50" s="340">
        <v>43783</v>
      </c>
      <c r="T50" s="336"/>
      <c r="V50" s="152">
        <v>6</v>
      </c>
      <c r="W50" s="152">
        <v>0</v>
      </c>
      <c r="X50" s="153" t="s">
        <v>604</v>
      </c>
    </row>
    <row r="51" spans="1:24" x14ac:dyDescent="0.25">
      <c r="A51" s="336">
        <v>197730</v>
      </c>
      <c r="B51" s="337" t="s">
        <v>478</v>
      </c>
      <c r="C51" s="337" t="s">
        <v>488</v>
      </c>
      <c r="D51" s="337" t="s">
        <v>1599</v>
      </c>
      <c r="E51" s="337" t="s">
        <v>4862</v>
      </c>
      <c r="F51" s="104" t="b">
        <f t="array" ref="F51">IF(_xlfn.NUMBERVALUE(RIGHT($E51,2))=MAX(IF(LEFT($E51:$E1987,11)=LEFT($E51,11),_xlfn.NUMBERVALUE(RIGHT($E51:$E1987,2)))),TRUE)</f>
        <v>1</v>
      </c>
      <c r="G51" s="337" t="s">
        <v>4863</v>
      </c>
      <c r="H51" s="337" t="s">
        <v>604</v>
      </c>
      <c r="I51" s="336"/>
      <c r="J51" s="337" t="s">
        <v>770</v>
      </c>
      <c r="K51" s="337" t="s">
        <v>706</v>
      </c>
      <c r="L51" s="337" t="s">
        <v>771</v>
      </c>
      <c r="M51" s="337" t="s">
        <v>772</v>
      </c>
      <c r="N51" s="337" t="s">
        <v>770</v>
      </c>
      <c r="O51" s="337" t="s">
        <v>770</v>
      </c>
      <c r="P51" s="337" t="s">
        <v>773</v>
      </c>
      <c r="Q51" s="337" t="s">
        <v>254</v>
      </c>
      <c r="R51" s="337" t="s">
        <v>4674</v>
      </c>
      <c r="S51" s="340">
        <v>43774</v>
      </c>
      <c r="T51" s="336"/>
      <c r="V51" s="152">
        <v>6</v>
      </c>
      <c r="W51" s="152">
        <v>0</v>
      </c>
      <c r="X51" s="153" t="s">
        <v>604</v>
      </c>
    </row>
    <row r="52" spans="1:24" x14ac:dyDescent="0.25">
      <c r="A52" s="336">
        <v>196800</v>
      </c>
      <c r="B52" s="337" t="s">
        <v>1643</v>
      </c>
      <c r="C52" s="337" t="s">
        <v>1642</v>
      </c>
      <c r="D52" s="337" t="s">
        <v>1641</v>
      </c>
      <c r="E52" s="337" t="s">
        <v>4864</v>
      </c>
      <c r="F52" s="104" t="b">
        <f t="array" ref="F52">IF(_xlfn.NUMBERVALUE(RIGHT($E52,2))=MAX(IF(LEFT($E52:$E1988,11)=LEFT($E52,11),_xlfn.NUMBERVALUE(RIGHT($E52:$E1988,2)))),TRUE)</f>
        <v>1</v>
      </c>
      <c r="G52" s="337" t="s">
        <v>4865</v>
      </c>
      <c r="H52" s="337" t="s">
        <v>604</v>
      </c>
      <c r="I52" s="336"/>
      <c r="J52" s="337" t="s">
        <v>770</v>
      </c>
      <c r="K52" s="337" t="s">
        <v>706</v>
      </c>
      <c r="L52" s="337" t="s">
        <v>771</v>
      </c>
      <c r="M52" s="337" t="s">
        <v>772</v>
      </c>
      <c r="N52" s="337" t="s">
        <v>770</v>
      </c>
      <c r="O52" s="337" t="s">
        <v>770</v>
      </c>
      <c r="P52" s="337" t="s">
        <v>773</v>
      </c>
      <c r="Q52" s="337" t="s">
        <v>254</v>
      </c>
      <c r="R52" s="337" t="s">
        <v>4674</v>
      </c>
      <c r="S52" s="340">
        <v>43776</v>
      </c>
      <c r="T52" s="336"/>
      <c r="V52" s="152">
        <v>6</v>
      </c>
      <c r="W52" s="152">
        <v>0</v>
      </c>
      <c r="X52" s="153" t="s">
        <v>604</v>
      </c>
    </row>
    <row r="53" spans="1:24" x14ac:dyDescent="0.25">
      <c r="A53" s="336">
        <v>197630</v>
      </c>
      <c r="B53" s="337" t="s">
        <v>317</v>
      </c>
      <c r="C53" s="337" t="s">
        <v>1654</v>
      </c>
      <c r="D53" s="337" t="s">
        <v>1653</v>
      </c>
      <c r="E53" s="337" t="s">
        <v>4866</v>
      </c>
      <c r="F53" s="104" t="b">
        <f t="array" ref="F53">IF(_xlfn.NUMBERVALUE(RIGHT($E53,2))=MAX(IF(LEFT($E53:$E1989,11)=LEFT($E53,11),_xlfn.NUMBERVALUE(RIGHT($E53:$E1989,2)))),TRUE)</f>
        <v>1</v>
      </c>
      <c r="G53" s="337" t="s">
        <v>603</v>
      </c>
      <c r="H53" s="337" t="s">
        <v>604</v>
      </c>
      <c r="I53" s="337" t="s">
        <v>605</v>
      </c>
      <c r="J53" s="337" t="s">
        <v>770</v>
      </c>
      <c r="K53" s="337" t="s">
        <v>706</v>
      </c>
      <c r="L53" s="337" t="s">
        <v>771</v>
      </c>
      <c r="M53" s="337" t="s">
        <v>772</v>
      </c>
      <c r="N53" s="337" t="s">
        <v>770</v>
      </c>
      <c r="O53" s="337" t="s">
        <v>770</v>
      </c>
      <c r="P53" s="337" t="s">
        <v>773</v>
      </c>
      <c r="Q53" s="337" t="s">
        <v>254</v>
      </c>
      <c r="R53" s="337" t="s">
        <v>4674</v>
      </c>
      <c r="S53" s="340">
        <v>43776</v>
      </c>
      <c r="T53" s="336"/>
      <c r="V53" s="152">
        <v>6</v>
      </c>
      <c r="W53" s="152">
        <v>0</v>
      </c>
      <c r="X53" s="153" t="s">
        <v>604</v>
      </c>
    </row>
    <row r="54" spans="1:24" x14ac:dyDescent="0.25">
      <c r="A54" s="336">
        <v>195130</v>
      </c>
      <c r="B54" s="337" t="s">
        <v>1682</v>
      </c>
      <c r="C54" s="337" t="s">
        <v>1681</v>
      </c>
      <c r="D54" s="337" t="s">
        <v>1680</v>
      </c>
      <c r="E54" s="337" t="s">
        <v>4702</v>
      </c>
      <c r="F54" s="104" t="b">
        <f t="array" ref="F54">IF(_xlfn.NUMBERVALUE(RIGHT($E54,2))=MAX(IF(LEFT($E54:$E1990,11)=LEFT($E54,11),_xlfn.NUMBERVALUE(RIGHT($E54:$E1990,2)))),TRUE)</f>
        <v>1</v>
      </c>
      <c r="G54" s="337" t="s">
        <v>603</v>
      </c>
      <c r="H54" s="337" t="s">
        <v>604</v>
      </c>
      <c r="I54" s="337" t="s">
        <v>605</v>
      </c>
      <c r="J54" s="337" t="s">
        <v>770</v>
      </c>
      <c r="K54" s="337" t="s">
        <v>706</v>
      </c>
      <c r="L54" s="337" t="s">
        <v>771</v>
      </c>
      <c r="M54" s="337" t="s">
        <v>772</v>
      </c>
      <c r="N54" s="337" t="s">
        <v>770</v>
      </c>
      <c r="O54" s="337" t="s">
        <v>770</v>
      </c>
      <c r="P54" s="337" t="s">
        <v>773</v>
      </c>
      <c r="Q54" s="337" t="s">
        <v>254</v>
      </c>
      <c r="R54" s="337" t="s">
        <v>4674</v>
      </c>
      <c r="S54" s="340">
        <v>43774</v>
      </c>
      <c r="T54" s="336"/>
      <c r="V54" s="152">
        <v>6</v>
      </c>
      <c r="W54" s="152">
        <v>0</v>
      </c>
      <c r="X54" s="153" t="s">
        <v>604</v>
      </c>
    </row>
    <row r="55" spans="1:24" x14ac:dyDescent="0.25">
      <c r="A55" s="336">
        <v>198736</v>
      </c>
      <c r="B55" s="337" t="s">
        <v>3418</v>
      </c>
      <c r="C55" s="337" t="s">
        <v>5635</v>
      </c>
      <c r="D55" s="337" t="s">
        <v>5634</v>
      </c>
      <c r="E55" s="337" t="s">
        <v>6059</v>
      </c>
      <c r="F55" s="104" t="b">
        <f t="array" ref="F55">IF(_xlfn.NUMBERVALUE(RIGHT($E55,2))=MAX(IF(LEFT($E55:$E1991,11)=LEFT($E55,11),_xlfn.NUMBERVALUE(RIGHT($E55:$E1991,2)))),TRUE)</f>
        <v>1</v>
      </c>
      <c r="G55" s="337" t="s">
        <v>6060</v>
      </c>
      <c r="H55" s="337" t="s">
        <v>604</v>
      </c>
      <c r="I55" s="336"/>
      <c r="J55" s="337" t="s">
        <v>770</v>
      </c>
      <c r="K55" s="337" t="s">
        <v>706</v>
      </c>
      <c r="L55" s="337" t="s">
        <v>771</v>
      </c>
      <c r="M55" s="337" t="s">
        <v>772</v>
      </c>
      <c r="N55" s="337" t="s">
        <v>770</v>
      </c>
      <c r="O55" s="337" t="s">
        <v>770</v>
      </c>
      <c r="P55" s="337" t="s">
        <v>773</v>
      </c>
      <c r="Q55" s="337" t="s">
        <v>254</v>
      </c>
      <c r="R55" s="337" t="s">
        <v>4674</v>
      </c>
      <c r="S55" s="340">
        <v>43774</v>
      </c>
      <c r="T55" s="336"/>
      <c r="V55" s="152">
        <v>6</v>
      </c>
      <c r="W55" s="152">
        <v>0</v>
      </c>
      <c r="X55" s="153" t="s">
        <v>604</v>
      </c>
    </row>
    <row r="56" spans="1:24" x14ac:dyDescent="0.25">
      <c r="A56" s="336">
        <v>193590</v>
      </c>
      <c r="B56" s="337" t="s">
        <v>1235</v>
      </c>
      <c r="C56" s="337" t="s">
        <v>1725</v>
      </c>
      <c r="D56" s="337" t="s">
        <v>1724</v>
      </c>
      <c r="E56" s="337" t="s">
        <v>4703</v>
      </c>
      <c r="F56" s="104" t="b">
        <f t="array" ref="F56">IF(_xlfn.NUMBERVALUE(RIGHT($E56,2))=MAX(IF(LEFT($E56:$E1992,11)=LEFT($E56,11),_xlfn.NUMBERVALUE(RIGHT($E56:$E1992,2)))),TRUE)</f>
        <v>1</v>
      </c>
      <c r="G56" s="337" t="s">
        <v>4704</v>
      </c>
      <c r="H56" s="337" t="s">
        <v>604</v>
      </c>
      <c r="I56" s="336"/>
      <c r="J56" s="337" t="s">
        <v>770</v>
      </c>
      <c r="K56" s="337" t="s">
        <v>706</v>
      </c>
      <c r="L56" s="337" t="s">
        <v>771</v>
      </c>
      <c r="M56" s="337" t="s">
        <v>772</v>
      </c>
      <c r="N56" s="337" t="s">
        <v>770</v>
      </c>
      <c r="O56" s="337" t="s">
        <v>770</v>
      </c>
      <c r="P56" s="337" t="s">
        <v>773</v>
      </c>
      <c r="Q56" s="337" t="s">
        <v>254</v>
      </c>
      <c r="R56" s="337" t="s">
        <v>4674</v>
      </c>
      <c r="S56" s="340">
        <v>43774</v>
      </c>
      <c r="T56" s="336"/>
      <c r="V56" s="152">
        <v>6</v>
      </c>
      <c r="W56" s="152">
        <v>0</v>
      </c>
      <c r="X56" s="153" t="s">
        <v>604</v>
      </c>
    </row>
    <row r="57" spans="1:24" x14ac:dyDescent="0.25">
      <c r="A57" s="336">
        <v>194205</v>
      </c>
      <c r="B57" s="337" t="s">
        <v>1734</v>
      </c>
      <c r="C57" s="337" t="s">
        <v>1733</v>
      </c>
      <c r="D57" s="337" t="s">
        <v>1732</v>
      </c>
      <c r="E57" s="337" t="s">
        <v>4705</v>
      </c>
      <c r="F57" s="104" t="b">
        <f t="array" ref="F57">IF(_xlfn.NUMBERVALUE(RIGHT($E57,2))=MAX(IF(LEFT($E57:$E1993,11)=LEFT($E57,11),_xlfn.NUMBERVALUE(RIGHT($E57:$E1993,2)))),TRUE)</f>
        <v>1</v>
      </c>
      <c r="G57" s="337" t="s">
        <v>603</v>
      </c>
      <c r="H57" s="337" t="s">
        <v>604</v>
      </c>
      <c r="I57" s="337" t="s">
        <v>605</v>
      </c>
      <c r="J57" s="337" t="s">
        <v>770</v>
      </c>
      <c r="K57" s="337" t="s">
        <v>706</v>
      </c>
      <c r="L57" s="337" t="s">
        <v>771</v>
      </c>
      <c r="M57" s="337" t="s">
        <v>772</v>
      </c>
      <c r="N57" s="337" t="s">
        <v>770</v>
      </c>
      <c r="O57" s="337" t="s">
        <v>770</v>
      </c>
      <c r="P57" s="337" t="s">
        <v>773</v>
      </c>
      <c r="Q57" s="337" t="s">
        <v>254</v>
      </c>
      <c r="R57" s="337" t="s">
        <v>4674</v>
      </c>
      <c r="S57" s="340">
        <v>43774</v>
      </c>
      <c r="T57" s="336"/>
      <c r="V57" s="152">
        <v>6</v>
      </c>
      <c r="W57" s="152">
        <v>0</v>
      </c>
      <c r="X57" s="153" t="s">
        <v>604</v>
      </c>
    </row>
    <row r="58" spans="1:24" x14ac:dyDescent="0.25">
      <c r="A58" s="336">
        <v>198032</v>
      </c>
      <c r="B58" s="337" t="s">
        <v>1745</v>
      </c>
      <c r="C58" s="337" t="s">
        <v>1744</v>
      </c>
      <c r="D58" s="337" t="s">
        <v>1743</v>
      </c>
      <c r="E58" s="337" t="s">
        <v>4706</v>
      </c>
      <c r="F58" s="104" t="b">
        <f t="array" ref="F58">IF(_xlfn.NUMBERVALUE(RIGHT($E58,2))=MAX(IF(LEFT($E58:$E1994,11)=LEFT($E58,11),_xlfn.NUMBERVALUE(RIGHT($E58:$E1994,2)))),TRUE)</f>
        <v>1</v>
      </c>
      <c r="G58" s="337" t="s">
        <v>4707</v>
      </c>
      <c r="H58" s="337" t="s">
        <v>604</v>
      </c>
      <c r="I58" s="337" t="s">
        <v>605</v>
      </c>
      <c r="J58" s="337" t="s">
        <v>770</v>
      </c>
      <c r="K58" s="337" t="s">
        <v>706</v>
      </c>
      <c r="L58" s="337" t="s">
        <v>771</v>
      </c>
      <c r="M58" s="337" t="s">
        <v>772</v>
      </c>
      <c r="N58" s="337" t="s">
        <v>770</v>
      </c>
      <c r="O58" s="337" t="s">
        <v>770</v>
      </c>
      <c r="P58" s="337" t="s">
        <v>773</v>
      </c>
      <c r="Q58" s="337" t="s">
        <v>254</v>
      </c>
      <c r="R58" s="337" t="s">
        <v>4674</v>
      </c>
      <c r="S58" s="340">
        <v>43774</v>
      </c>
      <c r="T58" s="336"/>
      <c r="V58" s="152">
        <v>6</v>
      </c>
      <c r="W58" s="152">
        <v>0</v>
      </c>
      <c r="X58" s="153" t="s">
        <v>604</v>
      </c>
    </row>
    <row r="59" spans="1:24" x14ac:dyDescent="0.25">
      <c r="A59" s="336">
        <v>191895</v>
      </c>
      <c r="B59" s="337" t="s">
        <v>406</v>
      </c>
      <c r="C59" s="337" t="s">
        <v>5657</v>
      </c>
      <c r="D59" s="337" t="s">
        <v>5656</v>
      </c>
      <c r="E59" s="337" t="s">
        <v>6061</v>
      </c>
      <c r="F59" s="104" t="b">
        <f t="array" ref="F59">IF(_xlfn.NUMBERVALUE(RIGHT($E59,2))=MAX(IF(LEFT($E59:$E1995,11)=LEFT($E59,11),_xlfn.NUMBERVALUE(RIGHT($E59:$E1995,2)))),TRUE)</f>
        <v>1</v>
      </c>
      <c r="G59" s="337" t="s">
        <v>6062</v>
      </c>
      <c r="H59" s="337" t="s">
        <v>604</v>
      </c>
      <c r="I59" s="336"/>
      <c r="J59" s="337" t="s">
        <v>770</v>
      </c>
      <c r="K59" s="337" t="s">
        <v>706</v>
      </c>
      <c r="L59" s="337" t="s">
        <v>771</v>
      </c>
      <c r="M59" s="337" t="s">
        <v>772</v>
      </c>
      <c r="N59" s="337" t="s">
        <v>770</v>
      </c>
      <c r="O59" s="337" t="s">
        <v>770</v>
      </c>
      <c r="P59" s="337" t="s">
        <v>773</v>
      </c>
      <c r="Q59" s="337" t="s">
        <v>254</v>
      </c>
      <c r="R59" s="337" t="s">
        <v>4674</v>
      </c>
      <c r="S59" s="340">
        <v>43790</v>
      </c>
      <c r="T59" s="336"/>
      <c r="V59" s="152">
        <v>6</v>
      </c>
      <c r="W59" s="152">
        <v>0</v>
      </c>
      <c r="X59" s="153" t="s">
        <v>604</v>
      </c>
    </row>
    <row r="60" spans="1:24" x14ac:dyDescent="0.25">
      <c r="A60" s="336">
        <v>194296</v>
      </c>
      <c r="B60" s="337" t="s">
        <v>1767</v>
      </c>
      <c r="C60" s="337" t="s">
        <v>1766</v>
      </c>
      <c r="D60" s="337" t="s">
        <v>1765</v>
      </c>
      <c r="E60" s="337" t="s">
        <v>6063</v>
      </c>
      <c r="F60" s="104" t="b">
        <f t="array" ref="F60">IF(_xlfn.NUMBERVALUE(RIGHT($E60,2))=MAX(IF(LEFT($E60:$E1997,11)=LEFT($E60,11),_xlfn.NUMBERVALUE(RIGHT($E60:$E1997,2)))),TRUE)</f>
        <v>1</v>
      </c>
      <c r="G60" s="336"/>
      <c r="H60" s="337" t="s">
        <v>604</v>
      </c>
      <c r="I60" s="336"/>
      <c r="J60" s="337" t="s">
        <v>770</v>
      </c>
      <c r="K60" s="337" t="s">
        <v>323</v>
      </c>
      <c r="L60" s="337" t="s">
        <v>771</v>
      </c>
      <c r="M60" s="337" t="s">
        <v>772</v>
      </c>
      <c r="N60" s="337" t="s">
        <v>770</v>
      </c>
      <c r="O60" s="337" t="s">
        <v>770</v>
      </c>
      <c r="P60" s="337" t="s">
        <v>773</v>
      </c>
      <c r="Q60" s="337" t="s">
        <v>254</v>
      </c>
      <c r="R60" s="337" t="s">
        <v>4674</v>
      </c>
      <c r="S60" s="340">
        <v>43790</v>
      </c>
      <c r="T60" s="336"/>
      <c r="V60" s="152">
        <v>6</v>
      </c>
      <c r="W60" s="152">
        <v>0</v>
      </c>
      <c r="X60" s="153" t="s">
        <v>604</v>
      </c>
    </row>
    <row r="61" spans="1:24" x14ac:dyDescent="0.25">
      <c r="A61" s="336">
        <v>198946</v>
      </c>
      <c r="B61" s="337" t="s">
        <v>524</v>
      </c>
      <c r="C61" s="337" t="s">
        <v>5685</v>
      </c>
      <c r="D61" s="337" t="s">
        <v>5684</v>
      </c>
      <c r="E61" s="337" t="s">
        <v>6157</v>
      </c>
      <c r="F61" s="104" t="b">
        <f t="array" ref="F61">IF(_xlfn.NUMBERVALUE(RIGHT($E61,2))=MAX(IF(LEFT($E61:$E2000,11)=LEFT($E61,11),_xlfn.NUMBERVALUE(RIGHT($E61:$E2000,2)))),TRUE)</f>
        <v>1</v>
      </c>
      <c r="G61" s="337" t="s">
        <v>6064</v>
      </c>
      <c r="H61" s="337" t="s">
        <v>604</v>
      </c>
      <c r="I61" s="336"/>
      <c r="J61" s="337" t="s">
        <v>770</v>
      </c>
      <c r="K61" s="337" t="s">
        <v>706</v>
      </c>
      <c r="L61" s="337" t="s">
        <v>771</v>
      </c>
      <c r="M61" s="337" t="s">
        <v>772</v>
      </c>
      <c r="N61" s="337" t="s">
        <v>770</v>
      </c>
      <c r="O61" s="337" t="s">
        <v>770</v>
      </c>
      <c r="P61" s="337" t="s">
        <v>773</v>
      </c>
      <c r="Q61" s="337" t="s">
        <v>254</v>
      </c>
      <c r="R61" s="337" t="s">
        <v>4674</v>
      </c>
      <c r="S61" s="340">
        <v>43804</v>
      </c>
      <c r="T61" s="336"/>
      <c r="V61" s="152">
        <v>6</v>
      </c>
      <c r="W61" s="152">
        <v>0</v>
      </c>
      <c r="X61" s="153" t="s">
        <v>604</v>
      </c>
    </row>
    <row r="62" spans="1:24" x14ac:dyDescent="0.25">
      <c r="A62" s="336">
        <v>195618</v>
      </c>
      <c r="B62" s="337" t="s">
        <v>1778</v>
      </c>
      <c r="C62" s="337" t="s">
        <v>1777</v>
      </c>
      <c r="D62" s="337" t="s">
        <v>1776</v>
      </c>
      <c r="E62" s="337" t="s">
        <v>4708</v>
      </c>
      <c r="F62" s="104" t="b">
        <f t="array" ref="F62">IF(_xlfn.NUMBERVALUE(RIGHT($E62,2))=MAX(IF(LEFT($E62:$E2003,11)=LEFT($E62,11),_xlfn.NUMBERVALUE(RIGHT($E62:$E2003,2)))),TRUE)</f>
        <v>1</v>
      </c>
      <c r="G62" s="337" t="s">
        <v>4709</v>
      </c>
      <c r="H62" s="337" t="s">
        <v>605</v>
      </c>
      <c r="I62" s="337" t="s">
        <v>605</v>
      </c>
      <c r="J62" s="337" t="s">
        <v>770</v>
      </c>
      <c r="K62" s="337" t="s">
        <v>706</v>
      </c>
      <c r="L62" s="337" t="s">
        <v>771</v>
      </c>
      <c r="M62" s="337" t="s">
        <v>771</v>
      </c>
      <c r="N62" s="337" t="s">
        <v>605</v>
      </c>
      <c r="O62" s="337" t="s">
        <v>770</v>
      </c>
      <c r="P62" s="337" t="s">
        <v>773</v>
      </c>
      <c r="Q62" s="337" t="s">
        <v>254</v>
      </c>
      <c r="R62" s="337" t="s">
        <v>4674</v>
      </c>
      <c r="S62" s="340">
        <v>43774</v>
      </c>
      <c r="T62" s="336"/>
      <c r="V62" s="152">
        <v>6</v>
      </c>
      <c r="W62" s="152">
        <v>0</v>
      </c>
      <c r="X62" s="153" t="s">
        <v>604</v>
      </c>
    </row>
    <row r="63" spans="1:24" x14ac:dyDescent="0.25">
      <c r="A63" s="336">
        <v>198900</v>
      </c>
      <c r="B63" s="337" t="s">
        <v>5695</v>
      </c>
      <c r="C63" s="337" t="s">
        <v>5694</v>
      </c>
      <c r="D63" s="337" t="s">
        <v>5693</v>
      </c>
      <c r="E63" s="337" t="s">
        <v>6065</v>
      </c>
      <c r="F63" s="104" t="b">
        <f t="array" ref="F63">IF(_xlfn.NUMBERVALUE(RIGHT($E63,2))=MAX(IF(LEFT($E63:$E2004,11)=LEFT($E63,11),_xlfn.NUMBERVALUE(RIGHT($E63:$E2004,2)))),TRUE)</f>
        <v>1</v>
      </c>
      <c r="G63" s="337" t="s">
        <v>6066</v>
      </c>
      <c r="H63" s="337" t="s">
        <v>604</v>
      </c>
      <c r="I63" s="336"/>
      <c r="J63" s="337" t="s">
        <v>770</v>
      </c>
      <c r="K63" s="337" t="s">
        <v>706</v>
      </c>
      <c r="L63" s="337" t="s">
        <v>771</v>
      </c>
      <c r="M63" s="337" t="s">
        <v>772</v>
      </c>
      <c r="N63" s="337" t="s">
        <v>770</v>
      </c>
      <c r="O63" s="337" t="s">
        <v>770</v>
      </c>
      <c r="P63" s="337" t="s">
        <v>773</v>
      </c>
      <c r="Q63" s="337" t="s">
        <v>254</v>
      </c>
      <c r="R63" s="337" t="s">
        <v>4674</v>
      </c>
      <c r="S63" s="340">
        <v>43774</v>
      </c>
      <c r="T63" s="336"/>
      <c r="V63" s="152">
        <v>6</v>
      </c>
      <c r="W63" s="152">
        <v>0</v>
      </c>
      <c r="X63" s="153" t="s">
        <v>604</v>
      </c>
    </row>
    <row r="64" spans="1:24" x14ac:dyDescent="0.25">
      <c r="A64" s="336">
        <v>197631</v>
      </c>
      <c r="B64" s="337" t="s">
        <v>6251</v>
      </c>
      <c r="C64" s="337" t="s">
        <v>6250</v>
      </c>
      <c r="D64" s="337" t="s">
        <v>6249</v>
      </c>
      <c r="E64" s="337" t="s">
        <v>6561</v>
      </c>
      <c r="F64" s="104" t="b">
        <f t="array" ref="F64">IF(_xlfn.NUMBERVALUE(RIGHT($E64,2))=MAX(IF(LEFT($E64:$E2005,11)=LEFT($E64,11),_xlfn.NUMBERVALUE(RIGHT($E64:$E2005,2)))),TRUE)</f>
        <v>1</v>
      </c>
      <c r="G64" s="337" t="s">
        <v>603</v>
      </c>
      <c r="H64" s="337" t="s">
        <v>604</v>
      </c>
      <c r="I64" s="337" t="s">
        <v>605</v>
      </c>
      <c r="J64" s="337" t="s">
        <v>770</v>
      </c>
      <c r="K64" s="337" t="s">
        <v>706</v>
      </c>
      <c r="L64" s="337" t="s">
        <v>771</v>
      </c>
      <c r="M64" s="337" t="s">
        <v>772</v>
      </c>
      <c r="N64" s="337" t="s">
        <v>770</v>
      </c>
      <c r="O64" s="337" t="s">
        <v>770</v>
      </c>
      <c r="P64" s="337" t="s">
        <v>773</v>
      </c>
      <c r="Q64" s="337" t="s">
        <v>254</v>
      </c>
      <c r="R64" s="337" t="s">
        <v>4674</v>
      </c>
      <c r="S64" s="340">
        <v>43774</v>
      </c>
      <c r="T64" s="336"/>
      <c r="V64" s="152">
        <v>6</v>
      </c>
      <c r="W64" s="152">
        <v>0</v>
      </c>
      <c r="X64" s="153" t="s">
        <v>604</v>
      </c>
    </row>
    <row r="65" spans="1:24" x14ac:dyDescent="0.25">
      <c r="A65" s="336">
        <v>198137</v>
      </c>
      <c r="B65" s="337" t="s">
        <v>516</v>
      </c>
      <c r="C65" s="337" t="s">
        <v>1801</v>
      </c>
      <c r="D65" s="337" t="s">
        <v>1800</v>
      </c>
      <c r="E65" s="337" t="s">
        <v>4710</v>
      </c>
      <c r="F65" s="104" t="b">
        <f t="array" ref="F65">IF(_xlfn.NUMBERVALUE(RIGHT($E65,2))=MAX(IF(LEFT($E65:$E2006,11)=LEFT($E65,11),_xlfn.NUMBERVALUE(RIGHT($E65:$E2006,2)))),TRUE)</f>
        <v>1</v>
      </c>
      <c r="G65" s="337" t="s">
        <v>603</v>
      </c>
      <c r="H65" s="337" t="s">
        <v>604</v>
      </c>
      <c r="I65" s="337" t="s">
        <v>605</v>
      </c>
      <c r="J65" s="337" t="s">
        <v>770</v>
      </c>
      <c r="K65" s="337" t="s">
        <v>706</v>
      </c>
      <c r="L65" s="337" t="s">
        <v>771</v>
      </c>
      <c r="M65" s="337" t="s">
        <v>772</v>
      </c>
      <c r="N65" s="337" t="s">
        <v>770</v>
      </c>
      <c r="O65" s="337" t="s">
        <v>770</v>
      </c>
      <c r="P65" s="337" t="s">
        <v>773</v>
      </c>
      <c r="Q65" s="337" t="s">
        <v>254</v>
      </c>
      <c r="R65" s="337" t="s">
        <v>4674</v>
      </c>
      <c r="S65" s="340">
        <v>43774</v>
      </c>
      <c r="T65" s="336"/>
      <c r="V65" s="152">
        <v>6</v>
      </c>
      <c r="W65" s="152">
        <v>0</v>
      </c>
      <c r="X65" s="153" t="s">
        <v>604</v>
      </c>
    </row>
    <row r="66" spans="1:24" x14ac:dyDescent="0.25">
      <c r="A66" s="336">
        <v>192389</v>
      </c>
      <c r="B66" s="337" t="s">
        <v>566</v>
      </c>
      <c r="C66" s="337" t="s">
        <v>1847</v>
      </c>
      <c r="D66" s="337" t="s">
        <v>1846</v>
      </c>
      <c r="E66" s="337" t="s">
        <v>4711</v>
      </c>
      <c r="F66" s="104" t="b">
        <f t="array" ref="F66">IF(_xlfn.NUMBERVALUE(RIGHT($E66,2))=MAX(IF(LEFT($E66:$E2007,11)=LEFT($E66,11),_xlfn.NUMBERVALUE(RIGHT($E66:$E2007,2)))),TRUE)</f>
        <v>1</v>
      </c>
      <c r="G66" s="337" t="s">
        <v>603</v>
      </c>
      <c r="H66" s="337" t="s">
        <v>604</v>
      </c>
      <c r="I66" s="337" t="s">
        <v>605</v>
      </c>
      <c r="J66" s="337" t="s">
        <v>770</v>
      </c>
      <c r="K66" s="337" t="s">
        <v>706</v>
      </c>
      <c r="L66" s="337" t="s">
        <v>771</v>
      </c>
      <c r="M66" s="337" t="s">
        <v>772</v>
      </c>
      <c r="N66" s="337" t="s">
        <v>770</v>
      </c>
      <c r="O66" s="337" t="s">
        <v>770</v>
      </c>
      <c r="P66" s="337" t="s">
        <v>773</v>
      </c>
      <c r="Q66" s="337" t="s">
        <v>254</v>
      </c>
      <c r="R66" s="337" t="s">
        <v>4674</v>
      </c>
      <c r="S66" s="340">
        <v>43774</v>
      </c>
      <c r="T66" s="336"/>
      <c r="V66" s="152">
        <v>6</v>
      </c>
      <c r="W66" s="152">
        <v>0</v>
      </c>
      <c r="X66" s="153" t="s">
        <v>604</v>
      </c>
    </row>
    <row r="67" spans="1:24" x14ac:dyDescent="0.25">
      <c r="A67" s="336">
        <v>197681</v>
      </c>
      <c r="B67" s="337" t="s">
        <v>1857</v>
      </c>
      <c r="C67" s="337" t="s">
        <v>1856</v>
      </c>
      <c r="D67" s="337" t="s">
        <v>1855</v>
      </c>
      <c r="E67" s="337" t="s">
        <v>4867</v>
      </c>
      <c r="F67" s="104" t="b">
        <f t="array" ref="F67">IF(_xlfn.NUMBERVALUE(RIGHT($E67,2))=MAX(IF(LEFT($E67:$E2008,11)=LEFT($E67,11),_xlfn.NUMBERVALUE(RIGHT($E67:$E2008,2)))),TRUE)</f>
        <v>1</v>
      </c>
      <c r="G67" s="337" t="s">
        <v>4868</v>
      </c>
      <c r="H67" s="337" t="s">
        <v>604</v>
      </c>
      <c r="I67" s="336"/>
      <c r="J67" s="337" t="s">
        <v>770</v>
      </c>
      <c r="K67" s="337" t="s">
        <v>706</v>
      </c>
      <c r="L67" s="337" t="s">
        <v>771</v>
      </c>
      <c r="M67" s="337" t="s">
        <v>772</v>
      </c>
      <c r="N67" s="337" t="s">
        <v>770</v>
      </c>
      <c r="O67" s="337" t="s">
        <v>770</v>
      </c>
      <c r="P67" s="337" t="s">
        <v>773</v>
      </c>
      <c r="Q67" s="337" t="s">
        <v>254</v>
      </c>
      <c r="R67" s="337" t="s">
        <v>4674</v>
      </c>
      <c r="S67" s="340">
        <v>43776</v>
      </c>
      <c r="T67" s="336"/>
      <c r="V67" s="152">
        <v>6</v>
      </c>
      <c r="W67" s="152">
        <v>0</v>
      </c>
      <c r="X67" s="153" t="s">
        <v>604</v>
      </c>
    </row>
    <row r="68" spans="1:24" x14ac:dyDescent="0.25">
      <c r="A68" s="336">
        <v>198155</v>
      </c>
      <c r="B68" s="337" t="s">
        <v>4972</v>
      </c>
      <c r="C68" s="337" t="s">
        <v>4971</v>
      </c>
      <c r="D68" s="337" t="s">
        <v>4970</v>
      </c>
      <c r="E68" s="337" t="s">
        <v>6067</v>
      </c>
      <c r="F68" s="104" t="b">
        <f t="array" ref="F68">IF(_xlfn.NUMBERVALUE(RIGHT($E68,2))=MAX(IF(LEFT($E68:$E2011,11)=LEFT($E68,11),_xlfn.NUMBERVALUE(RIGHT($E68:$E2011,2)))),TRUE)</f>
        <v>1</v>
      </c>
      <c r="G68" s="337" t="s">
        <v>603</v>
      </c>
      <c r="H68" s="337" t="s">
        <v>604</v>
      </c>
      <c r="I68" s="337" t="s">
        <v>605</v>
      </c>
      <c r="J68" s="337" t="s">
        <v>770</v>
      </c>
      <c r="K68" s="337" t="s">
        <v>706</v>
      </c>
      <c r="L68" s="337" t="s">
        <v>771</v>
      </c>
      <c r="M68" s="337" t="s">
        <v>772</v>
      </c>
      <c r="N68" s="337" t="s">
        <v>770</v>
      </c>
      <c r="O68" s="337" t="s">
        <v>770</v>
      </c>
      <c r="P68" s="337" t="s">
        <v>773</v>
      </c>
      <c r="Q68" s="337" t="s">
        <v>254</v>
      </c>
      <c r="R68" s="337" t="s">
        <v>4674</v>
      </c>
      <c r="S68" s="340">
        <v>43790</v>
      </c>
      <c r="T68" s="336"/>
      <c r="V68" s="152">
        <v>6</v>
      </c>
      <c r="W68" s="152">
        <v>0</v>
      </c>
      <c r="X68" s="153" t="s">
        <v>604</v>
      </c>
    </row>
    <row r="69" spans="1:24" x14ac:dyDescent="0.25">
      <c r="A69" s="336">
        <v>198861</v>
      </c>
      <c r="B69" s="337" t="s">
        <v>4982</v>
      </c>
      <c r="C69" s="337" t="s">
        <v>4981</v>
      </c>
      <c r="D69" s="337" t="s">
        <v>4980</v>
      </c>
      <c r="E69" s="337" t="s">
        <v>5322</v>
      </c>
      <c r="F69" s="104" t="b">
        <f t="array" ref="F69">IF(_xlfn.NUMBERVALUE(RIGHT($E69,2))=MAX(IF(LEFT($E69:$E2013,11)=LEFT($E69,11),_xlfn.NUMBERVALUE(RIGHT($E69:$E2013,2)))),TRUE)</f>
        <v>1</v>
      </c>
      <c r="G69" s="337" t="s">
        <v>603</v>
      </c>
      <c r="H69" s="337" t="s">
        <v>604</v>
      </c>
      <c r="I69" s="337" t="s">
        <v>605</v>
      </c>
      <c r="J69" s="337" t="s">
        <v>770</v>
      </c>
      <c r="K69" s="337" t="s">
        <v>706</v>
      </c>
      <c r="L69" s="337" t="s">
        <v>771</v>
      </c>
      <c r="M69" s="337" t="s">
        <v>772</v>
      </c>
      <c r="N69" s="337" t="s">
        <v>770</v>
      </c>
      <c r="O69" s="337" t="s">
        <v>770</v>
      </c>
      <c r="P69" s="337" t="s">
        <v>773</v>
      </c>
      <c r="Q69" s="337" t="s">
        <v>254</v>
      </c>
      <c r="R69" s="337" t="s">
        <v>4674</v>
      </c>
      <c r="S69" s="340">
        <v>43783</v>
      </c>
      <c r="T69" s="336"/>
      <c r="V69" s="152">
        <v>6</v>
      </c>
      <c r="W69" s="152">
        <v>0</v>
      </c>
      <c r="X69" s="153" t="s">
        <v>604</v>
      </c>
    </row>
    <row r="70" spans="1:24" x14ac:dyDescent="0.25">
      <c r="A70" s="336">
        <v>197756</v>
      </c>
      <c r="B70" s="337" t="s">
        <v>4992</v>
      </c>
      <c r="C70" s="337" t="s">
        <v>4991</v>
      </c>
      <c r="D70" s="337" t="s">
        <v>4990</v>
      </c>
      <c r="E70" s="337" t="s">
        <v>5323</v>
      </c>
      <c r="F70" s="104" t="b">
        <f t="array" ref="F70">IF(_xlfn.NUMBERVALUE(RIGHT($E70,2))=MAX(IF(LEFT($E70:$E2014,11)=LEFT($E70,11),_xlfn.NUMBERVALUE(RIGHT($E70:$E2014,2)))),TRUE)</f>
        <v>1</v>
      </c>
      <c r="G70" s="337" t="s">
        <v>603</v>
      </c>
      <c r="H70" s="337" t="s">
        <v>605</v>
      </c>
      <c r="I70" s="337" t="s">
        <v>605</v>
      </c>
      <c r="J70" s="337" t="s">
        <v>770</v>
      </c>
      <c r="K70" s="337" t="s">
        <v>278</v>
      </c>
      <c r="L70" s="337" t="s">
        <v>771</v>
      </c>
      <c r="M70" s="337" t="s">
        <v>771</v>
      </c>
      <c r="N70" s="337" t="s">
        <v>770</v>
      </c>
      <c r="O70" s="337" t="s">
        <v>770</v>
      </c>
      <c r="P70" s="337" t="s">
        <v>773</v>
      </c>
      <c r="Q70" s="337" t="s">
        <v>254</v>
      </c>
      <c r="R70" s="337" t="s">
        <v>4674</v>
      </c>
      <c r="S70" s="340">
        <v>43774</v>
      </c>
      <c r="T70" s="336"/>
      <c r="V70" s="152">
        <v>6</v>
      </c>
      <c r="W70" s="152">
        <v>0</v>
      </c>
      <c r="X70" s="153" t="s">
        <v>604</v>
      </c>
    </row>
    <row r="71" spans="1:24" x14ac:dyDescent="0.25">
      <c r="A71" s="336">
        <v>198323</v>
      </c>
      <c r="B71" s="337" t="s">
        <v>1895</v>
      </c>
      <c r="C71" s="337" t="s">
        <v>1894</v>
      </c>
      <c r="D71" s="337" t="s">
        <v>1893</v>
      </c>
      <c r="E71" s="337" t="s">
        <v>6158</v>
      </c>
      <c r="F71" s="104" t="b">
        <f t="array" ref="F71">IF(_xlfn.NUMBERVALUE(RIGHT($E71,2))=MAX(IF(LEFT($E71:$E2015,11)=LEFT($E71,11),_xlfn.NUMBERVALUE(RIGHT($E71:$E2015,2)))),TRUE)</f>
        <v>1</v>
      </c>
      <c r="G71" s="337" t="s">
        <v>603</v>
      </c>
      <c r="H71" s="337" t="s">
        <v>604</v>
      </c>
      <c r="I71" s="337" t="s">
        <v>605</v>
      </c>
      <c r="J71" s="337" t="s">
        <v>770</v>
      </c>
      <c r="K71" s="337" t="s">
        <v>706</v>
      </c>
      <c r="L71" s="337" t="s">
        <v>771</v>
      </c>
      <c r="M71" s="337" t="s">
        <v>772</v>
      </c>
      <c r="N71" s="337" t="s">
        <v>770</v>
      </c>
      <c r="O71" s="337" t="s">
        <v>770</v>
      </c>
      <c r="P71" s="337" t="s">
        <v>773</v>
      </c>
      <c r="Q71" s="337" t="s">
        <v>254</v>
      </c>
      <c r="R71" s="337" t="s">
        <v>4674</v>
      </c>
      <c r="S71" s="340">
        <v>43804</v>
      </c>
      <c r="T71" s="336"/>
      <c r="V71" s="152">
        <v>6</v>
      </c>
      <c r="W71" s="152">
        <v>0</v>
      </c>
      <c r="X71" s="153" t="s">
        <v>604</v>
      </c>
    </row>
    <row r="72" spans="1:24" x14ac:dyDescent="0.25">
      <c r="A72" s="336">
        <v>198230</v>
      </c>
      <c r="B72" s="337" t="s">
        <v>4293</v>
      </c>
      <c r="C72" s="337" t="s">
        <v>501</v>
      </c>
      <c r="D72" s="337" t="s">
        <v>4292</v>
      </c>
      <c r="E72" s="337" t="s">
        <v>5324</v>
      </c>
      <c r="F72" s="104" t="b">
        <f t="array" ref="F72">IF(_xlfn.NUMBERVALUE(RIGHT($E72,2))=MAX(IF(LEFT($E72:$E2016,11)=LEFT($E72,11),_xlfn.NUMBERVALUE(RIGHT($E72:$E2016,2)))),TRUE)</f>
        <v>1</v>
      </c>
      <c r="G72" s="337" t="s">
        <v>5325</v>
      </c>
      <c r="H72" s="337" t="s">
        <v>605</v>
      </c>
      <c r="I72" s="337" t="s">
        <v>605</v>
      </c>
      <c r="J72" s="337" t="s">
        <v>770</v>
      </c>
      <c r="K72" s="337" t="s">
        <v>706</v>
      </c>
      <c r="L72" s="337" t="s">
        <v>771</v>
      </c>
      <c r="M72" s="337" t="s">
        <v>771</v>
      </c>
      <c r="N72" s="337" t="s">
        <v>770</v>
      </c>
      <c r="O72" s="337" t="s">
        <v>770</v>
      </c>
      <c r="P72" s="337" t="s">
        <v>773</v>
      </c>
      <c r="Q72" s="337" t="s">
        <v>254</v>
      </c>
      <c r="R72" s="337" t="s">
        <v>4674</v>
      </c>
      <c r="S72" s="340">
        <v>43783</v>
      </c>
      <c r="T72" s="336"/>
      <c r="V72" s="152">
        <v>6</v>
      </c>
      <c r="W72" s="152">
        <v>0</v>
      </c>
      <c r="X72" s="153" t="s">
        <v>604</v>
      </c>
    </row>
    <row r="73" spans="1:24" x14ac:dyDescent="0.25">
      <c r="A73" s="336">
        <v>199370</v>
      </c>
      <c r="B73" s="337" t="s">
        <v>380</v>
      </c>
      <c r="C73" s="337" t="s">
        <v>5397</v>
      </c>
      <c r="D73" s="337" t="s">
        <v>5396</v>
      </c>
      <c r="E73" s="337" t="s">
        <v>6159</v>
      </c>
      <c r="F73" s="104" t="b">
        <f t="array" ref="F73">IF(_xlfn.NUMBERVALUE(RIGHT($E73,2))=MAX(IF(LEFT($E73:$E2017,11)=LEFT($E73,11),_xlfn.NUMBERVALUE(RIGHT($E73:$E2017,2)))),TRUE)</f>
        <v>1</v>
      </c>
      <c r="G73" s="337" t="s">
        <v>6160</v>
      </c>
      <c r="H73" s="337" t="s">
        <v>605</v>
      </c>
      <c r="I73" s="337" t="s">
        <v>605</v>
      </c>
      <c r="J73" s="337" t="s">
        <v>770</v>
      </c>
      <c r="K73" s="337" t="s">
        <v>706</v>
      </c>
      <c r="L73" s="337" t="s">
        <v>771</v>
      </c>
      <c r="M73" s="337" t="s">
        <v>771</v>
      </c>
      <c r="N73" s="337" t="s">
        <v>770</v>
      </c>
      <c r="O73" s="337" t="s">
        <v>770</v>
      </c>
      <c r="P73" s="337" t="s">
        <v>773</v>
      </c>
      <c r="Q73" s="337" t="s">
        <v>254</v>
      </c>
      <c r="R73" s="337" t="s">
        <v>4674</v>
      </c>
      <c r="S73" s="340">
        <v>43804</v>
      </c>
      <c r="T73" s="336"/>
      <c r="V73" s="152">
        <v>6</v>
      </c>
      <c r="W73" s="152">
        <v>0</v>
      </c>
      <c r="X73" s="153" t="s">
        <v>604</v>
      </c>
    </row>
    <row r="74" spans="1:24" x14ac:dyDescent="0.25">
      <c r="A74" s="336">
        <v>196007</v>
      </c>
      <c r="B74" s="337" t="s">
        <v>4303</v>
      </c>
      <c r="C74" s="337" t="s">
        <v>4302</v>
      </c>
      <c r="D74" s="337" t="s">
        <v>4301</v>
      </c>
      <c r="E74" s="337" t="s">
        <v>6068</v>
      </c>
      <c r="F74" s="104" t="b">
        <f t="array" ref="F74">IF(_xlfn.NUMBERVALUE(RIGHT($E74,2))=MAX(IF(LEFT($E74:$E2018,11)=LEFT($E74,11),_xlfn.NUMBERVALUE(RIGHT($E74:$E2018,2)))),TRUE)</f>
        <v>1</v>
      </c>
      <c r="G74" s="337" t="s">
        <v>6069</v>
      </c>
      <c r="H74" s="337" t="s">
        <v>604</v>
      </c>
      <c r="I74" s="337" t="s">
        <v>605</v>
      </c>
      <c r="J74" s="337" t="s">
        <v>770</v>
      </c>
      <c r="K74" s="337" t="s">
        <v>706</v>
      </c>
      <c r="L74" s="337" t="s">
        <v>771</v>
      </c>
      <c r="M74" s="337" t="s">
        <v>772</v>
      </c>
      <c r="N74" s="337" t="s">
        <v>770</v>
      </c>
      <c r="O74" s="337" t="s">
        <v>770</v>
      </c>
      <c r="P74" s="337" t="s">
        <v>773</v>
      </c>
      <c r="Q74" s="337" t="s">
        <v>254</v>
      </c>
      <c r="R74" s="337" t="s">
        <v>4674</v>
      </c>
      <c r="S74" s="340">
        <v>43790</v>
      </c>
      <c r="T74" s="336"/>
      <c r="V74" s="152">
        <v>6</v>
      </c>
      <c r="W74" s="152">
        <v>0</v>
      </c>
      <c r="X74" s="153" t="s">
        <v>604</v>
      </c>
    </row>
    <row r="75" spans="1:24" x14ac:dyDescent="0.25">
      <c r="A75" s="336">
        <v>195435</v>
      </c>
      <c r="B75" s="337" t="s">
        <v>1929</v>
      </c>
      <c r="C75" s="337" t="s">
        <v>1928</v>
      </c>
      <c r="D75" s="337" t="s">
        <v>1927</v>
      </c>
      <c r="E75" s="337" t="s">
        <v>4712</v>
      </c>
      <c r="F75" s="104" t="b">
        <f t="array" ref="F75">IF(_xlfn.NUMBERVALUE(RIGHT($E75,2))=MAX(IF(LEFT($E75:$E2019,11)=LEFT($E75,11),_xlfn.NUMBERVALUE(RIGHT($E75:$E2019,2)))),TRUE)</f>
        <v>1</v>
      </c>
      <c r="G75" s="337" t="s">
        <v>4713</v>
      </c>
      <c r="H75" s="337" t="s">
        <v>604</v>
      </c>
      <c r="I75" s="336"/>
      <c r="J75" s="337" t="s">
        <v>770</v>
      </c>
      <c r="K75" s="337" t="s">
        <v>706</v>
      </c>
      <c r="L75" s="337" t="s">
        <v>771</v>
      </c>
      <c r="M75" s="337" t="s">
        <v>772</v>
      </c>
      <c r="N75" s="337" t="s">
        <v>770</v>
      </c>
      <c r="O75" s="337" t="s">
        <v>770</v>
      </c>
      <c r="P75" s="337" t="s">
        <v>773</v>
      </c>
      <c r="Q75" s="337" t="s">
        <v>254</v>
      </c>
      <c r="R75" s="337" t="s">
        <v>4674</v>
      </c>
      <c r="S75" s="340">
        <v>43774</v>
      </c>
      <c r="T75" s="336"/>
      <c r="V75" s="152">
        <v>6</v>
      </c>
      <c r="W75" s="152">
        <v>0</v>
      </c>
      <c r="X75" s="153" t="s">
        <v>604</v>
      </c>
    </row>
    <row r="76" spans="1:24" x14ac:dyDescent="0.25">
      <c r="A76" s="336">
        <v>194512</v>
      </c>
      <c r="B76" s="337" t="s">
        <v>6262</v>
      </c>
      <c r="C76" s="337" t="s">
        <v>6261</v>
      </c>
      <c r="D76" s="337" t="s">
        <v>6260</v>
      </c>
      <c r="E76" s="337" t="s">
        <v>6562</v>
      </c>
      <c r="F76" s="104" t="b">
        <f t="array" ref="F76">IF(_xlfn.NUMBERVALUE(RIGHT($E76,2))=MAX(IF(LEFT($E76:$E2021,11)=LEFT($E76,11),_xlfn.NUMBERVALUE(RIGHT($E76:$E2021,2)))),TRUE)</f>
        <v>1</v>
      </c>
      <c r="G76" s="337" t="s">
        <v>6563</v>
      </c>
      <c r="H76" s="337" t="s">
        <v>605</v>
      </c>
      <c r="I76" s="337" t="s">
        <v>605</v>
      </c>
      <c r="J76" s="337" t="s">
        <v>770</v>
      </c>
      <c r="K76" s="337" t="s">
        <v>706</v>
      </c>
      <c r="L76" s="337" t="s">
        <v>771</v>
      </c>
      <c r="M76" s="337" t="s">
        <v>771</v>
      </c>
      <c r="N76" s="337" t="s">
        <v>605</v>
      </c>
      <c r="O76" s="337" t="s">
        <v>770</v>
      </c>
      <c r="P76" s="337" t="s">
        <v>773</v>
      </c>
      <c r="Q76" s="337" t="s">
        <v>254</v>
      </c>
      <c r="R76" s="337" t="s">
        <v>4674</v>
      </c>
      <c r="S76" s="340">
        <v>43790</v>
      </c>
      <c r="T76" s="336"/>
      <c r="V76" s="152">
        <v>6</v>
      </c>
      <c r="W76" s="152">
        <v>0</v>
      </c>
      <c r="X76" s="153" t="s">
        <v>604</v>
      </c>
    </row>
    <row r="77" spans="1:24" x14ac:dyDescent="0.25">
      <c r="A77" s="336">
        <v>193913</v>
      </c>
      <c r="B77" s="337" t="s">
        <v>1791</v>
      </c>
      <c r="C77" s="337" t="s">
        <v>1939</v>
      </c>
      <c r="D77" s="337" t="s">
        <v>1938</v>
      </c>
      <c r="E77" s="337" t="s">
        <v>4714</v>
      </c>
      <c r="F77" s="104" t="b">
        <f t="array" ref="F77">IF(_xlfn.NUMBERVALUE(RIGHT($E77,2))=MAX(IF(LEFT($E77:$E2022,11)=LEFT($E77,11),_xlfn.NUMBERVALUE(RIGHT($E77:$E2022,2)))),TRUE)</f>
        <v>1</v>
      </c>
      <c r="G77" s="337" t="s">
        <v>4715</v>
      </c>
      <c r="H77" s="337" t="s">
        <v>605</v>
      </c>
      <c r="I77" s="337" t="s">
        <v>605</v>
      </c>
      <c r="J77" s="337" t="s">
        <v>770</v>
      </c>
      <c r="K77" s="337" t="s">
        <v>706</v>
      </c>
      <c r="L77" s="337" t="s">
        <v>771</v>
      </c>
      <c r="M77" s="337" t="s">
        <v>771</v>
      </c>
      <c r="N77" s="337" t="s">
        <v>770</v>
      </c>
      <c r="O77" s="337" t="s">
        <v>770</v>
      </c>
      <c r="P77" s="337" t="s">
        <v>773</v>
      </c>
      <c r="Q77" s="337" t="s">
        <v>254</v>
      </c>
      <c r="R77" s="337" t="s">
        <v>4674</v>
      </c>
      <c r="S77" s="340">
        <v>43774</v>
      </c>
      <c r="T77" s="336"/>
      <c r="V77" s="152">
        <v>6</v>
      </c>
      <c r="W77" s="152">
        <v>0</v>
      </c>
      <c r="X77" s="153" t="s">
        <v>604</v>
      </c>
    </row>
    <row r="78" spans="1:24" x14ac:dyDescent="0.25">
      <c r="A78" s="336">
        <v>198128</v>
      </c>
      <c r="B78" s="337" t="s">
        <v>515</v>
      </c>
      <c r="C78" s="337" t="s">
        <v>1949</v>
      </c>
      <c r="D78" s="337" t="s">
        <v>1948</v>
      </c>
      <c r="E78" s="337" t="s">
        <v>4716</v>
      </c>
      <c r="F78" s="104" t="b">
        <f t="array" ref="F78">IF(_xlfn.NUMBERVALUE(RIGHT($E78,2))=MAX(IF(LEFT($E78:$E2023,11)=LEFT($E78,11),_xlfn.NUMBERVALUE(RIGHT($E78:$E2023,2)))),TRUE)</f>
        <v>1</v>
      </c>
      <c r="G78" s="337" t="s">
        <v>4717</v>
      </c>
      <c r="H78" s="337" t="s">
        <v>604</v>
      </c>
      <c r="I78" s="336"/>
      <c r="J78" s="337" t="s">
        <v>770</v>
      </c>
      <c r="K78" s="337" t="s">
        <v>706</v>
      </c>
      <c r="L78" s="337" t="s">
        <v>771</v>
      </c>
      <c r="M78" s="337" t="s">
        <v>772</v>
      </c>
      <c r="N78" s="337" t="s">
        <v>770</v>
      </c>
      <c r="O78" s="337" t="s">
        <v>770</v>
      </c>
      <c r="P78" s="337" t="s">
        <v>773</v>
      </c>
      <c r="Q78" s="337" t="s">
        <v>254</v>
      </c>
      <c r="R78" s="337" t="s">
        <v>4674</v>
      </c>
      <c r="S78" s="340">
        <v>43774</v>
      </c>
      <c r="T78" s="336"/>
      <c r="V78" s="152">
        <v>6</v>
      </c>
      <c r="W78" s="152">
        <v>0</v>
      </c>
      <c r="X78" s="153" t="s">
        <v>604</v>
      </c>
    </row>
    <row r="79" spans="1:24" x14ac:dyDescent="0.25">
      <c r="A79" s="336">
        <v>192374</v>
      </c>
      <c r="B79" s="337" t="s">
        <v>750</v>
      </c>
      <c r="C79" s="337" t="s">
        <v>1961</v>
      </c>
      <c r="D79" s="337" t="s">
        <v>1960</v>
      </c>
      <c r="E79" s="337" t="s">
        <v>5326</v>
      </c>
      <c r="F79" s="104" t="b">
        <f t="array" ref="F79">IF(_xlfn.NUMBERVALUE(RIGHT($E79,2))=MAX(IF(LEFT($E79:$E2024,11)=LEFT($E79,11),_xlfn.NUMBERVALUE(RIGHT($E79:$E2024,2)))),TRUE)</f>
        <v>1</v>
      </c>
      <c r="G79" s="337" t="s">
        <v>5327</v>
      </c>
      <c r="H79" s="337" t="s">
        <v>604</v>
      </c>
      <c r="I79" s="336"/>
      <c r="J79" s="337" t="s">
        <v>770</v>
      </c>
      <c r="K79" s="337" t="s">
        <v>706</v>
      </c>
      <c r="L79" s="337" t="s">
        <v>771</v>
      </c>
      <c r="M79" s="337" t="s">
        <v>772</v>
      </c>
      <c r="N79" s="337" t="s">
        <v>770</v>
      </c>
      <c r="O79" s="337" t="s">
        <v>770</v>
      </c>
      <c r="P79" s="337" t="s">
        <v>773</v>
      </c>
      <c r="Q79" s="337" t="s">
        <v>254</v>
      </c>
      <c r="R79" s="337" t="s">
        <v>4674</v>
      </c>
      <c r="S79" s="340">
        <v>43783</v>
      </c>
      <c r="T79" s="336"/>
      <c r="V79" s="152">
        <v>6</v>
      </c>
      <c r="W79" s="152">
        <v>0</v>
      </c>
      <c r="X79" s="153" t="s">
        <v>604</v>
      </c>
    </row>
    <row r="80" spans="1:24" x14ac:dyDescent="0.25">
      <c r="A80" s="336">
        <v>199747</v>
      </c>
      <c r="B80" s="337" t="s">
        <v>1121</v>
      </c>
      <c r="C80" s="337" t="s">
        <v>6271</v>
      </c>
      <c r="D80" s="337" t="s">
        <v>6270</v>
      </c>
      <c r="E80" s="337" t="s">
        <v>6564</v>
      </c>
      <c r="F80" s="104" t="b">
        <f t="array" ref="F80">IF(_xlfn.NUMBERVALUE(RIGHT($E80,2))=MAX(IF(LEFT($E80:$E2025,11)=LEFT($E80,11),_xlfn.NUMBERVALUE(RIGHT($E80:$E2025,2)))),TRUE)</f>
        <v>1</v>
      </c>
      <c r="G80" s="337" t="s">
        <v>603</v>
      </c>
      <c r="H80" s="337" t="s">
        <v>604</v>
      </c>
      <c r="I80" s="337" t="s">
        <v>605</v>
      </c>
      <c r="J80" s="337" t="s">
        <v>770</v>
      </c>
      <c r="K80" s="337" t="s">
        <v>706</v>
      </c>
      <c r="L80" s="337" t="s">
        <v>771</v>
      </c>
      <c r="M80" s="337" t="s">
        <v>772</v>
      </c>
      <c r="N80" s="337" t="s">
        <v>770</v>
      </c>
      <c r="O80" s="337" t="s">
        <v>770</v>
      </c>
      <c r="P80" s="337" t="s">
        <v>773</v>
      </c>
      <c r="Q80" s="337" t="s">
        <v>254</v>
      </c>
      <c r="R80" s="337" t="s">
        <v>4674</v>
      </c>
      <c r="S80" s="340">
        <v>43774</v>
      </c>
      <c r="T80" s="336"/>
      <c r="V80" s="152">
        <v>6</v>
      </c>
      <c r="W80" s="152">
        <v>0</v>
      </c>
      <c r="X80" s="153" t="s">
        <v>604</v>
      </c>
    </row>
    <row r="81" spans="1:24" x14ac:dyDescent="0.25">
      <c r="A81" s="336">
        <v>198199</v>
      </c>
      <c r="B81" s="337" t="s">
        <v>390</v>
      </c>
      <c r="C81" s="337" t="s">
        <v>1971</v>
      </c>
      <c r="D81" s="337" t="s">
        <v>1970</v>
      </c>
      <c r="E81" s="337" t="s">
        <v>4718</v>
      </c>
      <c r="F81" s="104" t="b">
        <f t="array" ref="F81">IF(_xlfn.NUMBERVALUE(RIGHT($E81,2))=MAX(IF(LEFT($E81:$E2027,11)=LEFT($E81,11),_xlfn.NUMBERVALUE(RIGHT($E81:$E2027,2)))),TRUE)</f>
        <v>1</v>
      </c>
      <c r="G81" s="337" t="s">
        <v>4719</v>
      </c>
      <c r="H81" s="337" t="s">
        <v>604</v>
      </c>
      <c r="I81" s="336"/>
      <c r="J81" s="337" t="s">
        <v>770</v>
      </c>
      <c r="K81" s="337" t="s">
        <v>706</v>
      </c>
      <c r="L81" s="337" t="s">
        <v>771</v>
      </c>
      <c r="M81" s="337" t="s">
        <v>772</v>
      </c>
      <c r="N81" s="337" t="s">
        <v>770</v>
      </c>
      <c r="O81" s="337" t="s">
        <v>770</v>
      </c>
      <c r="P81" s="337" t="s">
        <v>773</v>
      </c>
      <c r="Q81" s="337" t="s">
        <v>254</v>
      </c>
      <c r="R81" s="337" t="s">
        <v>4674</v>
      </c>
      <c r="S81" s="340">
        <v>43774</v>
      </c>
      <c r="T81" s="336"/>
      <c r="V81" s="152">
        <v>6</v>
      </c>
      <c r="W81" s="152">
        <v>0</v>
      </c>
      <c r="X81" s="153" t="s">
        <v>604</v>
      </c>
    </row>
    <row r="82" spans="1:24" x14ac:dyDescent="0.25">
      <c r="A82" s="336">
        <v>193776</v>
      </c>
      <c r="B82" s="337" t="s">
        <v>505</v>
      </c>
      <c r="C82" s="337" t="s">
        <v>5720</v>
      </c>
      <c r="D82" s="337" t="s">
        <v>5719</v>
      </c>
      <c r="E82" s="337" t="s">
        <v>6070</v>
      </c>
      <c r="F82" s="104" t="b">
        <f t="array" ref="F82">IF(_xlfn.NUMBERVALUE(RIGHT($E82,2))=MAX(IF(LEFT($E82:$E2028,11)=LEFT($E82,11),_xlfn.NUMBERVALUE(RIGHT($E82:$E2028,2)))),TRUE)</f>
        <v>1</v>
      </c>
      <c r="G82" s="337" t="s">
        <v>603</v>
      </c>
      <c r="H82" s="337" t="s">
        <v>604</v>
      </c>
      <c r="I82" s="337" t="s">
        <v>605</v>
      </c>
      <c r="J82" s="337" t="s">
        <v>770</v>
      </c>
      <c r="K82" s="337" t="s">
        <v>706</v>
      </c>
      <c r="L82" s="337" t="s">
        <v>771</v>
      </c>
      <c r="M82" s="337" t="s">
        <v>772</v>
      </c>
      <c r="N82" s="337" t="s">
        <v>770</v>
      </c>
      <c r="O82" s="337" t="s">
        <v>770</v>
      </c>
      <c r="P82" s="337" t="s">
        <v>773</v>
      </c>
      <c r="Q82" s="337" t="s">
        <v>254</v>
      </c>
      <c r="R82" s="337" t="s">
        <v>4674</v>
      </c>
      <c r="S82" s="340">
        <v>43774</v>
      </c>
      <c r="T82" s="336"/>
      <c r="V82" s="152">
        <v>6</v>
      </c>
      <c r="W82" s="152">
        <v>0</v>
      </c>
      <c r="X82" s="153" t="s">
        <v>604</v>
      </c>
    </row>
    <row r="83" spans="1:24" x14ac:dyDescent="0.25">
      <c r="A83" s="336">
        <v>198349</v>
      </c>
      <c r="B83" s="337" t="s">
        <v>2009</v>
      </c>
      <c r="C83" s="337" t="s">
        <v>1998</v>
      </c>
      <c r="D83" s="337" t="s">
        <v>2008</v>
      </c>
      <c r="E83" s="337" t="s">
        <v>4720</v>
      </c>
      <c r="F83" s="104" t="b">
        <f t="array" ref="F83">IF(_xlfn.NUMBERVALUE(RIGHT($E83,2))=MAX(IF(LEFT($E83:$E2029,11)=LEFT($E83,11),_xlfn.NUMBERVALUE(RIGHT($E83:$E2029,2)))),TRUE)</f>
        <v>1</v>
      </c>
      <c r="G83" s="337" t="s">
        <v>603</v>
      </c>
      <c r="H83" s="337" t="s">
        <v>605</v>
      </c>
      <c r="I83" s="337" t="s">
        <v>605</v>
      </c>
      <c r="J83" s="337" t="s">
        <v>605</v>
      </c>
      <c r="K83" s="337" t="s">
        <v>278</v>
      </c>
      <c r="L83" s="337" t="s">
        <v>771</v>
      </c>
      <c r="M83" s="337" t="s">
        <v>771</v>
      </c>
      <c r="N83" s="337" t="s">
        <v>770</v>
      </c>
      <c r="O83" s="337" t="s">
        <v>770</v>
      </c>
      <c r="P83" s="337" t="s">
        <v>773</v>
      </c>
      <c r="Q83" s="337" t="s">
        <v>254</v>
      </c>
      <c r="R83" s="337" t="s">
        <v>4674</v>
      </c>
      <c r="S83" s="340">
        <v>43774</v>
      </c>
      <c r="T83" s="336"/>
      <c r="V83" s="152">
        <v>6</v>
      </c>
      <c r="W83" s="152">
        <v>0</v>
      </c>
      <c r="X83" s="153" t="s">
        <v>604</v>
      </c>
    </row>
    <row r="84" spans="1:24" x14ac:dyDescent="0.25">
      <c r="A84" s="336">
        <v>192082</v>
      </c>
      <c r="B84" s="337" t="s">
        <v>470</v>
      </c>
      <c r="C84" s="337" t="s">
        <v>5406</v>
      </c>
      <c r="D84" s="337" t="s">
        <v>5405</v>
      </c>
      <c r="E84" s="337" t="s">
        <v>6071</v>
      </c>
      <c r="F84" s="104" t="b">
        <f t="array" ref="F84">IF(_xlfn.NUMBERVALUE(RIGHT($E84,2))=MAX(IF(LEFT($E84:$E2030,11)=LEFT($E84,11),_xlfn.NUMBERVALUE(RIGHT($E84:$E2030,2)))),TRUE)</f>
        <v>1</v>
      </c>
      <c r="G84" s="337" t="s">
        <v>6072</v>
      </c>
      <c r="H84" s="337" t="s">
        <v>604</v>
      </c>
      <c r="I84" s="336"/>
      <c r="J84" s="337" t="s">
        <v>770</v>
      </c>
      <c r="K84" s="337" t="s">
        <v>706</v>
      </c>
      <c r="L84" s="337" t="s">
        <v>771</v>
      </c>
      <c r="M84" s="337" t="s">
        <v>772</v>
      </c>
      <c r="N84" s="337" t="s">
        <v>770</v>
      </c>
      <c r="O84" s="337" t="s">
        <v>770</v>
      </c>
      <c r="P84" s="337" t="s">
        <v>773</v>
      </c>
      <c r="Q84" s="337" t="s">
        <v>254</v>
      </c>
      <c r="R84" s="337" t="s">
        <v>4674</v>
      </c>
      <c r="S84" s="340">
        <v>43776</v>
      </c>
      <c r="T84" s="336"/>
      <c r="V84" s="152">
        <v>6</v>
      </c>
      <c r="W84" s="152">
        <v>0</v>
      </c>
      <c r="X84" s="153" t="s">
        <v>604</v>
      </c>
    </row>
    <row r="85" spans="1:24" x14ac:dyDescent="0.25">
      <c r="A85" s="336">
        <v>194998</v>
      </c>
      <c r="B85" s="337" t="s">
        <v>2032</v>
      </c>
      <c r="C85" s="337" t="s">
        <v>2031</v>
      </c>
      <c r="D85" s="337" t="s">
        <v>2030</v>
      </c>
      <c r="E85" s="337" t="s">
        <v>4721</v>
      </c>
      <c r="F85" s="104" t="b">
        <f t="array" ref="F85">IF(_xlfn.NUMBERVALUE(RIGHT($E85,2))=MAX(IF(LEFT($E85:$E2031,11)=LEFT($E85,11),_xlfn.NUMBERVALUE(RIGHT($E85:$E2031,2)))),TRUE)</f>
        <v>1</v>
      </c>
      <c r="G85" s="337" t="s">
        <v>4722</v>
      </c>
      <c r="H85" s="337" t="s">
        <v>605</v>
      </c>
      <c r="I85" s="336"/>
      <c r="J85" s="337" t="s">
        <v>770</v>
      </c>
      <c r="K85" s="337" t="s">
        <v>706</v>
      </c>
      <c r="L85" s="337" t="s">
        <v>771</v>
      </c>
      <c r="M85" s="337" t="s">
        <v>771</v>
      </c>
      <c r="N85" s="337" t="s">
        <v>770</v>
      </c>
      <c r="O85" s="337" t="s">
        <v>770</v>
      </c>
      <c r="P85" s="337" t="s">
        <v>773</v>
      </c>
      <c r="Q85" s="337" t="s">
        <v>254</v>
      </c>
      <c r="R85" s="337" t="s">
        <v>4674</v>
      </c>
      <c r="S85" s="340">
        <v>43774</v>
      </c>
      <c r="T85" s="336"/>
      <c r="V85" s="152">
        <v>6</v>
      </c>
      <c r="W85" s="152">
        <v>0</v>
      </c>
      <c r="X85" s="153" t="s">
        <v>604</v>
      </c>
    </row>
    <row r="86" spans="1:24" x14ac:dyDescent="0.25">
      <c r="A86" s="336">
        <v>199107</v>
      </c>
      <c r="B86" s="337" t="s">
        <v>6281</v>
      </c>
      <c r="C86" s="337" t="s">
        <v>6280</v>
      </c>
      <c r="D86" s="337" t="s">
        <v>6279</v>
      </c>
      <c r="E86" s="337" t="s">
        <v>6565</v>
      </c>
      <c r="F86" s="104" t="b">
        <f t="array" ref="F86">IF(_xlfn.NUMBERVALUE(RIGHT($E86,2))=MAX(IF(LEFT($E86:$E2032,11)=LEFT($E86,11),_xlfn.NUMBERVALUE(RIGHT($E86:$E2032,2)))),TRUE)</f>
        <v>1</v>
      </c>
      <c r="G86" s="337" t="s">
        <v>6566</v>
      </c>
      <c r="H86" s="337" t="s">
        <v>604</v>
      </c>
      <c r="I86" s="337" t="s">
        <v>605</v>
      </c>
      <c r="J86" s="337" t="s">
        <v>770</v>
      </c>
      <c r="K86" s="337" t="s">
        <v>706</v>
      </c>
      <c r="L86" s="337" t="s">
        <v>771</v>
      </c>
      <c r="M86" s="337" t="s">
        <v>772</v>
      </c>
      <c r="N86" s="337" t="s">
        <v>770</v>
      </c>
      <c r="O86" s="337" t="s">
        <v>770</v>
      </c>
      <c r="P86" s="337" t="s">
        <v>773</v>
      </c>
      <c r="Q86" s="337" t="s">
        <v>254</v>
      </c>
      <c r="R86" s="337" t="s">
        <v>4674</v>
      </c>
      <c r="S86" s="340">
        <v>43774</v>
      </c>
      <c r="T86" s="336"/>
      <c r="V86" s="152">
        <v>6</v>
      </c>
      <c r="W86" s="152">
        <v>0</v>
      </c>
      <c r="X86" s="153" t="s">
        <v>604</v>
      </c>
    </row>
    <row r="87" spans="1:24" x14ac:dyDescent="0.25">
      <c r="A87" s="336">
        <v>198142</v>
      </c>
      <c r="B87" s="337" t="s">
        <v>1895</v>
      </c>
      <c r="C87" s="337" t="s">
        <v>2044</v>
      </c>
      <c r="D87" s="337" t="s">
        <v>2043</v>
      </c>
      <c r="E87" s="337" t="s">
        <v>4869</v>
      </c>
      <c r="F87" s="104" t="b">
        <f t="array" ref="F87">IF(_xlfn.NUMBERVALUE(RIGHT($E87,2))=MAX(IF(LEFT($E87:$E2033,11)=LEFT($E87,11),_xlfn.NUMBERVALUE(RIGHT($E87:$E2033,2)))),TRUE)</f>
        <v>1</v>
      </c>
      <c r="G87" s="337" t="s">
        <v>4870</v>
      </c>
      <c r="H87" s="337" t="s">
        <v>604</v>
      </c>
      <c r="I87" s="336"/>
      <c r="J87" s="337" t="s">
        <v>770</v>
      </c>
      <c r="K87" s="337" t="s">
        <v>706</v>
      </c>
      <c r="L87" s="337" t="s">
        <v>771</v>
      </c>
      <c r="M87" s="337" t="s">
        <v>772</v>
      </c>
      <c r="N87" s="337" t="s">
        <v>770</v>
      </c>
      <c r="O87" s="337" t="s">
        <v>770</v>
      </c>
      <c r="P87" s="337" t="s">
        <v>773</v>
      </c>
      <c r="Q87" s="337" t="s">
        <v>254</v>
      </c>
      <c r="R87" s="337" t="s">
        <v>4674</v>
      </c>
      <c r="S87" s="340">
        <v>43774</v>
      </c>
      <c r="T87" s="336"/>
      <c r="V87" s="152">
        <v>6</v>
      </c>
      <c r="W87" s="152">
        <v>0</v>
      </c>
      <c r="X87" s="153" t="s">
        <v>604</v>
      </c>
    </row>
    <row r="88" spans="1:24" x14ac:dyDescent="0.25">
      <c r="A88" s="336">
        <v>198175</v>
      </c>
      <c r="B88" s="337" t="s">
        <v>2053</v>
      </c>
      <c r="C88" s="337" t="s">
        <v>526</v>
      </c>
      <c r="D88" s="337" t="s">
        <v>2052</v>
      </c>
      <c r="E88" s="337" t="s">
        <v>4723</v>
      </c>
      <c r="F88" s="104" t="b">
        <f t="array" ref="F88">IF(_xlfn.NUMBERVALUE(RIGHT($E88,2))=MAX(IF(LEFT($E88:$E2035,11)=LEFT($E88,11),_xlfn.NUMBERVALUE(RIGHT($E88:$E2035,2)))),TRUE)</f>
        <v>1</v>
      </c>
      <c r="G88" s="337" t="s">
        <v>603</v>
      </c>
      <c r="H88" s="337" t="s">
        <v>604</v>
      </c>
      <c r="I88" s="337" t="s">
        <v>605</v>
      </c>
      <c r="J88" s="337" t="s">
        <v>770</v>
      </c>
      <c r="K88" s="337" t="s">
        <v>706</v>
      </c>
      <c r="L88" s="337" t="s">
        <v>771</v>
      </c>
      <c r="M88" s="337" t="s">
        <v>772</v>
      </c>
      <c r="N88" s="337" t="s">
        <v>770</v>
      </c>
      <c r="O88" s="337" t="s">
        <v>770</v>
      </c>
      <c r="P88" s="337" t="s">
        <v>773</v>
      </c>
      <c r="Q88" s="337" t="s">
        <v>254</v>
      </c>
      <c r="R88" s="337" t="s">
        <v>4674</v>
      </c>
      <c r="S88" s="340">
        <v>43774</v>
      </c>
      <c r="T88" s="336"/>
      <c r="V88" s="152">
        <v>6</v>
      </c>
      <c r="W88" s="152">
        <v>0</v>
      </c>
      <c r="X88" s="153" t="s">
        <v>604</v>
      </c>
    </row>
    <row r="89" spans="1:24" x14ac:dyDescent="0.25">
      <c r="A89" s="336">
        <v>196076</v>
      </c>
      <c r="B89" s="337" t="s">
        <v>4313</v>
      </c>
      <c r="C89" s="337" t="s">
        <v>4312</v>
      </c>
      <c r="D89" s="337" t="s">
        <v>4311</v>
      </c>
      <c r="E89" s="337" t="s">
        <v>6073</v>
      </c>
      <c r="F89" s="104" t="b">
        <f t="array" ref="F89">IF(_xlfn.NUMBERVALUE(RIGHT($E89,2))=MAX(IF(LEFT($E89:$E2036,11)=LEFT($E89,11),_xlfn.NUMBERVALUE(RIGHT($E89:$E2036,2)))),TRUE)</f>
        <v>1</v>
      </c>
      <c r="G89" s="337" t="s">
        <v>603</v>
      </c>
      <c r="H89" s="337" t="s">
        <v>604</v>
      </c>
      <c r="I89" s="337" t="s">
        <v>605</v>
      </c>
      <c r="J89" s="337" t="s">
        <v>770</v>
      </c>
      <c r="K89" s="337" t="s">
        <v>706</v>
      </c>
      <c r="L89" s="337" t="s">
        <v>771</v>
      </c>
      <c r="M89" s="337" t="s">
        <v>772</v>
      </c>
      <c r="N89" s="337" t="s">
        <v>770</v>
      </c>
      <c r="O89" s="337" t="s">
        <v>770</v>
      </c>
      <c r="P89" s="337" t="s">
        <v>773</v>
      </c>
      <c r="Q89" s="337" t="s">
        <v>254</v>
      </c>
      <c r="R89" s="337" t="s">
        <v>4674</v>
      </c>
      <c r="S89" s="340">
        <v>43790</v>
      </c>
      <c r="T89" s="336"/>
      <c r="V89" s="152">
        <v>6</v>
      </c>
      <c r="W89" s="152">
        <v>0</v>
      </c>
      <c r="X89" s="153" t="s">
        <v>604</v>
      </c>
    </row>
    <row r="90" spans="1:24" x14ac:dyDescent="0.25">
      <c r="A90" s="336">
        <v>198403</v>
      </c>
      <c r="B90" s="337" t="s">
        <v>882</v>
      </c>
      <c r="C90" s="337" t="s">
        <v>4322</v>
      </c>
      <c r="D90" s="337" t="s">
        <v>4321</v>
      </c>
      <c r="E90" s="337" t="s">
        <v>4724</v>
      </c>
      <c r="F90" s="104" t="b">
        <f t="array" ref="F90">IF(_xlfn.NUMBERVALUE(RIGHT($E90,2))=MAX(IF(LEFT($E90:$E2037,11)=LEFT($E90,11),_xlfn.NUMBERVALUE(RIGHT($E90:$E2037,2)))),TRUE)</f>
        <v>1</v>
      </c>
      <c r="G90" s="337" t="s">
        <v>4725</v>
      </c>
      <c r="H90" s="337" t="s">
        <v>605</v>
      </c>
      <c r="I90" s="337" t="s">
        <v>605</v>
      </c>
      <c r="J90" s="337" t="s">
        <v>770</v>
      </c>
      <c r="K90" s="337" t="s">
        <v>706</v>
      </c>
      <c r="L90" s="337" t="s">
        <v>771</v>
      </c>
      <c r="M90" s="337" t="s">
        <v>771</v>
      </c>
      <c r="N90" s="337" t="s">
        <v>770</v>
      </c>
      <c r="O90" s="337" t="s">
        <v>770</v>
      </c>
      <c r="P90" s="337" t="s">
        <v>773</v>
      </c>
      <c r="Q90" s="337" t="s">
        <v>254</v>
      </c>
      <c r="R90" s="337" t="s">
        <v>4674</v>
      </c>
      <c r="S90" s="340">
        <v>43774</v>
      </c>
      <c r="T90" s="336"/>
      <c r="V90" s="152">
        <v>6</v>
      </c>
      <c r="W90" s="152">
        <v>0</v>
      </c>
      <c r="X90" s="153" t="s">
        <v>604</v>
      </c>
    </row>
    <row r="91" spans="1:24" x14ac:dyDescent="0.25">
      <c r="A91" s="336">
        <v>195714</v>
      </c>
      <c r="B91" s="337" t="s">
        <v>451</v>
      </c>
      <c r="C91" s="337" t="s">
        <v>4652</v>
      </c>
      <c r="D91" s="337" t="s">
        <v>4651</v>
      </c>
      <c r="E91" s="337" t="s">
        <v>5328</v>
      </c>
      <c r="F91" s="104" t="b">
        <f t="array" ref="F91">IF(_xlfn.NUMBERVALUE(RIGHT($E91,2))=MAX(IF(LEFT($E91:$E2039,11)=LEFT($E91,11),_xlfn.NUMBERVALUE(RIGHT($E91:$E2039,2)))),TRUE)</f>
        <v>1</v>
      </c>
      <c r="G91" s="337" t="s">
        <v>5329</v>
      </c>
      <c r="H91" s="337" t="s">
        <v>604</v>
      </c>
      <c r="I91" s="336"/>
      <c r="J91" s="337" t="s">
        <v>770</v>
      </c>
      <c r="K91" s="337" t="s">
        <v>706</v>
      </c>
      <c r="L91" s="337" t="s">
        <v>771</v>
      </c>
      <c r="M91" s="337" t="s">
        <v>772</v>
      </c>
      <c r="N91" s="337" t="s">
        <v>605</v>
      </c>
      <c r="O91" s="337" t="s">
        <v>770</v>
      </c>
      <c r="P91" s="337" t="s">
        <v>773</v>
      </c>
      <c r="Q91" s="337" t="s">
        <v>254</v>
      </c>
      <c r="R91" s="337" t="s">
        <v>4674</v>
      </c>
      <c r="S91" s="340">
        <v>43783</v>
      </c>
      <c r="T91" s="336"/>
      <c r="V91" s="152">
        <v>6</v>
      </c>
      <c r="W91" s="152">
        <v>0</v>
      </c>
      <c r="X91" s="153" t="s">
        <v>604</v>
      </c>
    </row>
    <row r="92" spans="1:24" x14ac:dyDescent="0.25">
      <c r="A92" s="336">
        <v>198416</v>
      </c>
      <c r="B92" s="337" t="s">
        <v>2103</v>
      </c>
      <c r="C92" s="337" t="s">
        <v>2093</v>
      </c>
      <c r="D92" s="337" t="s">
        <v>2102</v>
      </c>
      <c r="E92" s="337" t="s">
        <v>4871</v>
      </c>
      <c r="F92" s="104" t="b">
        <f t="array" ref="F92">IF(_xlfn.NUMBERVALUE(RIGHT($E92,2))=MAX(IF(LEFT($E92:$E2040,11)=LEFT($E92,11),_xlfn.NUMBERVALUE(RIGHT($E92:$E2040,2)))),TRUE)</f>
        <v>1</v>
      </c>
      <c r="G92" s="337" t="s">
        <v>603</v>
      </c>
      <c r="H92" s="337" t="s">
        <v>605</v>
      </c>
      <c r="I92" s="337" t="s">
        <v>605</v>
      </c>
      <c r="J92" s="337" t="s">
        <v>770</v>
      </c>
      <c r="K92" s="337" t="s">
        <v>278</v>
      </c>
      <c r="L92" s="337" t="s">
        <v>771</v>
      </c>
      <c r="M92" s="337" t="s">
        <v>771</v>
      </c>
      <c r="N92" s="337" t="s">
        <v>770</v>
      </c>
      <c r="O92" s="337" t="s">
        <v>770</v>
      </c>
      <c r="P92" s="337" t="s">
        <v>773</v>
      </c>
      <c r="Q92" s="337" t="s">
        <v>254</v>
      </c>
      <c r="R92" s="337" t="s">
        <v>4674</v>
      </c>
      <c r="S92" s="340">
        <v>43776</v>
      </c>
      <c r="T92" s="336"/>
      <c r="V92" s="152">
        <v>6</v>
      </c>
      <c r="W92" s="152">
        <v>0</v>
      </c>
      <c r="X92" s="153" t="s">
        <v>604</v>
      </c>
    </row>
    <row r="93" spans="1:24" x14ac:dyDescent="0.25">
      <c r="A93" s="336">
        <v>199316</v>
      </c>
      <c r="B93" s="337" t="s">
        <v>2569</v>
      </c>
      <c r="C93" s="337" t="s">
        <v>2093</v>
      </c>
      <c r="D93" s="337" t="s">
        <v>5728</v>
      </c>
      <c r="E93" s="337" t="s">
        <v>6161</v>
      </c>
      <c r="F93" s="104" t="b">
        <f t="array" ref="F93">IF(_xlfn.NUMBERVALUE(RIGHT($E93,2))=MAX(IF(LEFT($E93:$E2042,11)=LEFT($E93,11),_xlfn.NUMBERVALUE(RIGHT($E93:$E2042,2)))),TRUE)</f>
        <v>1</v>
      </c>
      <c r="G93" s="337" t="s">
        <v>603</v>
      </c>
      <c r="H93" s="337" t="s">
        <v>604</v>
      </c>
      <c r="I93" s="337" t="s">
        <v>605</v>
      </c>
      <c r="J93" s="337" t="s">
        <v>770</v>
      </c>
      <c r="K93" s="337" t="s">
        <v>706</v>
      </c>
      <c r="L93" s="337" t="s">
        <v>771</v>
      </c>
      <c r="M93" s="337" t="s">
        <v>772</v>
      </c>
      <c r="N93" s="337" t="s">
        <v>770</v>
      </c>
      <c r="O93" s="337" t="s">
        <v>770</v>
      </c>
      <c r="P93" s="337" t="s">
        <v>773</v>
      </c>
      <c r="Q93" s="337" t="s">
        <v>254</v>
      </c>
      <c r="R93" s="337" t="s">
        <v>4674</v>
      </c>
      <c r="S93" s="340">
        <v>43804</v>
      </c>
      <c r="T93" s="336"/>
      <c r="V93" s="152">
        <v>6</v>
      </c>
      <c r="W93" s="152">
        <v>0</v>
      </c>
      <c r="X93" s="153" t="s">
        <v>604</v>
      </c>
    </row>
    <row r="94" spans="1:24" x14ac:dyDescent="0.25">
      <c r="A94" s="336">
        <v>196122</v>
      </c>
      <c r="B94" s="337" t="s">
        <v>2120</v>
      </c>
      <c r="C94" s="337" t="s">
        <v>2119</v>
      </c>
      <c r="D94" s="337" t="s">
        <v>2118</v>
      </c>
      <c r="E94" s="337" t="s">
        <v>4726</v>
      </c>
      <c r="F94" s="104" t="b">
        <f t="array" ref="F94">IF(_xlfn.NUMBERVALUE(RIGHT($E94,2))=MAX(IF(LEFT($E94:$E2043,11)=LEFT($E94,11),_xlfn.NUMBERVALUE(RIGHT($E94:$E2043,2)))),TRUE)</f>
        <v>1</v>
      </c>
      <c r="G94" s="337" t="s">
        <v>603</v>
      </c>
      <c r="H94" s="337" t="s">
        <v>604</v>
      </c>
      <c r="I94" s="337" t="s">
        <v>605</v>
      </c>
      <c r="J94" s="337" t="s">
        <v>770</v>
      </c>
      <c r="K94" s="337" t="s">
        <v>278</v>
      </c>
      <c r="L94" s="337" t="s">
        <v>771</v>
      </c>
      <c r="M94" s="337" t="s">
        <v>772</v>
      </c>
      <c r="N94" s="337" t="s">
        <v>770</v>
      </c>
      <c r="O94" s="337" t="s">
        <v>770</v>
      </c>
      <c r="P94" s="337" t="s">
        <v>773</v>
      </c>
      <c r="Q94" s="337" t="s">
        <v>254</v>
      </c>
      <c r="R94" s="337" t="s">
        <v>4674</v>
      </c>
      <c r="S94" s="340">
        <v>43774</v>
      </c>
      <c r="T94" s="336"/>
      <c r="V94" s="152">
        <v>6</v>
      </c>
      <c r="W94" s="152">
        <v>0</v>
      </c>
      <c r="X94" s="153" t="s">
        <v>604</v>
      </c>
    </row>
    <row r="95" spans="1:24" x14ac:dyDescent="0.25">
      <c r="A95" s="336">
        <v>197050</v>
      </c>
      <c r="B95" s="337" t="s">
        <v>2132</v>
      </c>
      <c r="C95" s="337" t="s">
        <v>2131</v>
      </c>
      <c r="D95" s="337" t="s">
        <v>2130</v>
      </c>
      <c r="E95" s="337" t="s">
        <v>4727</v>
      </c>
      <c r="F95" s="104" t="b">
        <f t="array" ref="F95">IF(_xlfn.NUMBERVALUE(RIGHT($E95,2))=MAX(IF(LEFT($E95:$E2044,11)=LEFT($E95,11),_xlfn.NUMBERVALUE(RIGHT($E95:$E2044,2)))),TRUE)</f>
        <v>1</v>
      </c>
      <c r="G95" s="337" t="s">
        <v>603</v>
      </c>
      <c r="H95" s="337" t="s">
        <v>604</v>
      </c>
      <c r="I95" s="337" t="s">
        <v>605</v>
      </c>
      <c r="J95" s="337" t="s">
        <v>770</v>
      </c>
      <c r="K95" s="337" t="s">
        <v>706</v>
      </c>
      <c r="L95" s="337" t="s">
        <v>771</v>
      </c>
      <c r="M95" s="337" t="s">
        <v>772</v>
      </c>
      <c r="N95" s="337" t="s">
        <v>770</v>
      </c>
      <c r="O95" s="337" t="s">
        <v>770</v>
      </c>
      <c r="P95" s="337" t="s">
        <v>773</v>
      </c>
      <c r="Q95" s="337" t="s">
        <v>254</v>
      </c>
      <c r="R95" s="337" t="s">
        <v>4674</v>
      </c>
      <c r="S95" s="340">
        <v>43774</v>
      </c>
      <c r="T95" s="336"/>
      <c r="V95" s="152">
        <v>6</v>
      </c>
      <c r="W95" s="152">
        <v>0</v>
      </c>
      <c r="X95" s="153" t="s">
        <v>604</v>
      </c>
    </row>
    <row r="96" spans="1:24" x14ac:dyDescent="0.25">
      <c r="A96" s="336">
        <v>193561</v>
      </c>
      <c r="B96" s="337" t="s">
        <v>716</v>
      </c>
      <c r="C96" s="337" t="s">
        <v>2143</v>
      </c>
      <c r="D96" s="337" t="s">
        <v>2154</v>
      </c>
      <c r="E96" s="337" t="s">
        <v>4728</v>
      </c>
      <c r="F96" s="104" t="b">
        <f t="array" ref="F96">IF(_xlfn.NUMBERVALUE(RIGHT($E96,2))=MAX(IF(LEFT($E96:$E2045,11)=LEFT($E96,11),_xlfn.NUMBERVALUE(RIGHT($E96:$E2045,2)))),TRUE)</f>
        <v>1</v>
      </c>
      <c r="G96" s="337" t="s">
        <v>4729</v>
      </c>
      <c r="H96" s="337" t="s">
        <v>604</v>
      </c>
      <c r="I96" s="336"/>
      <c r="J96" s="337" t="s">
        <v>770</v>
      </c>
      <c r="K96" s="337" t="s">
        <v>706</v>
      </c>
      <c r="L96" s="337" t="s">
        <v>771</v>
      </c>
      <c r="M96" s="337" t="s">
        <v>772</v>
      </c>
      <c r="N96" s="337" t="s">
        <v>770</v>
      </c>
      <c r="O96" s="337" t="s">
        <v>770</v>
      </c>
      <c r="P96" s="337" t="s">
        <v>773</v>
      </c>
      <c r="Q96" s="337" t="s">
        <v>254</v>
      </c>
      <c r="R96" s="337" t="s">
        <v>4674</v>
      </c>
      <c r="S96" s="340">
        <v>43774</v>
      </c>
      <c r="T96" s="336"/>
      <c r="V96" s="152">
        <v>6</v>
      </c>
      <c r="W96" s="152">
        <v>0</v>
      </c>
      <c r="X96" s="153" t="s">
        <v>604</v>
      </c>
    </row>
    <row r="97" spans="1:24" x14ac:dyDescent="0.25">
      <c r="A97" s="336">
        <v>196581</v>
      </c>
      <c r="B97" s="337" t="s">
        <v>467</v>
      </c>
      <c r="C97" s="337" t="s">
        <v>5733</v>
      </c>
      <c r="D97" s="337" t="s">
        <v>5732</v>
      </c>
      <c r="E97" s="337" t="s">
        <v>6130</v>
      </c>
      <c r="F97" s="104" t="b">
        <f t="array" ref="F97">IF(_xlfn.NUMBERVALUE(RIGHT($E97,2))=MAX(IF(LEFT($E97:$E2046,11)=LEFT($E97,11),_xlfn.NUMBERVALUE(RIGHT($E97:$E2046,2)))),TRUE)</f>
        <v>1</v>
      </c>
      <c r="G97" s="337" t="s">
        <v>6131</v>
      </c>
      <c r="H97" s="337" t="s">
        <v>604</v>
      </c>
      <c r="I97" s="336"/>
      <c r="J97" s="337" t="s">
        <v>770</v>
      </c>
      <c r="K97" s="337" t="s">
        <v>706</v>
      </c>
      <c r="L97" s="337" t="s">
        <v>771</v>
      </c>
      <c r="M97" s="337" t="s">
        <v>772</v>
      </c>
      <c r="N97" s="337" t="s">
        <v>770</v>
      </c>
      <c r="O97" s="337" t="s">
        <v>770</v>
      </c>
      <c r="P97" s="337" t="s">
        <v>773</v>
      </c>
      <c r="Q97" s="337" t="s">
        <v>254</v>
      </c>
      <c r="R97" s="337" t="s">
        <v>4674</v>
      </c>
      <c r="S97" s="340">
        <v>43801</v>
      </c>
      <c r="T97" s="336"/>
      <c r="V97" s="152">
        <v>6</v>
      </c>
      <c r="W97" s="152">
        <v>0</v>
      </c>
      <c r="X97" s="153" t="s">
        <v>604</v>
      </c>
    </row>
    <row r="98" spans="1:24" x14ac:dyDescent="0.25">
      <c r="A98" s="336">
        <v>195851</v>
      </c>
      <c r="B98" s="337" t="s">
        <v>2189</v>
      </c>
      <c r="C98" s="337" t="s">
        <v>2188</v>
      </c>
      <c r="D98" s="337" t="s">
        <v>2187</v>
      </c>
      <c r="E98" s="337" t="s">
        <v>4730</v>
      </c>
      <c r="F98" s="104" t="b">
        <f t="array" ref="F98">IF(_xlfn.NUMBERVALUE(RIGHT($E98,2))=MAX(IF(LEFT($E98:$E2048,11)=LEFT($E98,11),_xlfn.NUMBERVALUE(RIGHT($E98:$E2048,2)))),TRUE)</f>
        <v>1</v>
      </c>
      <c r="G98" s="337" t="s">
        <v>4731</v>
      </c>
      <c r="H98" s="337" t="s">
        <v>605</v>
      </c>
      <c r="I98" s="337" t="s">
        <v>605</v>
      </c>
      <c r="J98" s="337" t="s">
        <v>770</v>
      </c>
      <c r="K98" s="337" t="s">
        <v>706</v>
      </c>
      <c r="L98" s="337" t="s">
        <v>771</v>
      </c>
      <c r="M98" s="337" t="s">
        <v>771</v>
      </c>
      <c r="N98" s="337" t="s">
        <v>770</v>
      </c>
      <c r="O98" s="337" t="s">
        <v>770</v>
      </c>
      <c r="P98" s="337" t="s">
        <v>773</v>
      </c>
      <c r="Q98" s="337" t="s">
        <v>254</v>
      </c>
      <c r="R98" s="337" t="s">
        <v>4674</v>
      </c>
      <c r="S98" s="340">
        <v>43774</v>
      </c>
      <c r="T98" s="336"/>
      <c r="V98" s="152">
        <v>6</v>
      </c>
      <c r="W98" s="152">
        <v>0</v>
      </c>
      <c r="X98" s="153" t="s">
        <v>604</v>
      </c>
    </row>
    <row r="99" spans="1:24" x14ac:dyDescent="0.25">
      <c r="A99" s="336">
        <v>197096</v>
      </c>
      <c r="B99" s="337" t="s">
        <v>2209</v>
      </c>
      <c r="C99" s="337" t="s">
        <v>2208</v>
      </c>
      <c r="D99" s="337" t="s">
        <v>2207</v>
      </c>
      <c r="E99" s="337" t="s">
        <v>4732</v>
      </c>
      <c r="F99" s="104" t="b">
        <f t="array" ref="F99">IF(_xlfn.NUMBERVALUE(RIGHT($E99,2))=MAX(IF(LEFT($E99:$E2049,11)=LEFT($E99,11),_xlfn.NUMBERVALUE(RIGHT($E99:$E2049,2)))),TRUE)</f>
        <v>1</v>
      </c>
      <c r="G99" s="337" t="s">
        <v>4733</v>
      </c>
      <c r="H99" s="337" t="s">
        <v>605</v>
      </c>
      <c r="I99" s="337" t="s">
        <v>605</v>
      </c>
      <c r="J99" s="337" t="s">
        <v>605</v>
      </c>
      <c r="K99" s="337" t="s">
        <v>706</v>
      </c>
      <c r="L99" s="337" t="s">
        <v>771</v>
      </c>
      <c r="M99" s="337" t="s">
        <v>771</v>
      </c>
      <c r="N99" s="337" t="s">
        <v>770</v>
      </c>
      <c r="O99" s="337" t="s">
        <v>770</v>
      </c>
      <c r="P99" s="337" t="s">
        <v>773</v>
      </c>
      <c r="Q99" s="337" t="s">
        <v>254</v>
      </c>
      <c r="R99" s="337" t="s">
        <v>4674</v>
      </c>
      <c r="S99" s="340">
        <v>43774</v>
      </c>
      <c r="T99" s="336"/>
      <c r="V99" s="152">
        <v>6</v>
      </c>
      <c r="W99" s="152">
        <v>0</v>
      </c>
      <c r="X99" s="153" t="s">
        <v>604</v>
      </c>
    </row>
    <row r="100" spans="1:24" x14ac:dyDescent="0.25">
      <c r="A100" s="336">
        <v>199577</v>
      </c>
      <c r="B100" s="337" t="s">
        <v>5744</v>
      </c>
      <c r="C100" s="337" t="s">
        <v>5743</v>
      </c>
      <c r="D100" s="337" t="s">
        <v>5742</v>
      </c>
      <c r="E100" s="337" t="s">
        <v>6074</v>
      </c>
      <c r="F100" s="104" t="b">
        <f t="array" ref="F100">IF(_xlfn.NUMBERVALUE(RIGHT($E100,2))=MAX(IF(LEFT($E100:$E2050,11)=LEFT($E100,11),_xlfn.NUMBERVALUE(RIGHT($E100:$E2050,2)))),TRUE)</f>
        <v>1</v>
      </c>
      <c r="G100" s="337" t="s">
        <v>6075</v>
      </c>
      <c r="H100" s="337" t="s">
        <v>604</v>
      </c>
      <c r="I100" s="336"/>
      <c r="J100" s="337" t="s">
        <v>770</v>
      </c>
      <c r="K100" s="337" t="s">
        <v>706</v>
      </c>
      <c r="L100" s="337" t="s">
        <v>771</v>
      </c>
      <c r="M100" s="337" t="s">
        <v>772</v>
      </c>
      <c r="N100" s="337" t="s">
        <v>770</v>
      </c>
      <c r="O100" s="337" t="s">
        <v>770</v>
      </c>
      <c r="P100" s="337" t="s">
        <v>773</v>
      </c>
      <c r="Q100" s="337" t="s">
        <v>254</v>
      </c>
      <c r="R100" s="337" t="s">
        <v>4674</v>
      </c>
      <c r="S100" s="340">
        <v>43774</v>
      </c>
      <c r="T100" s="336"/>
      <c r="V100" s="152">
        <v>6</v>
      </c>
      <c r="W100" s="152">
        <v>0</v>
      </c>
      <c r="X100" s="153" t="s">
        <v>604</v>
      </c>
    </row>
    <row r="101" spans="1:24" x14ac:dyDescent="0.25">
      <c r="A101" s="336">
        <v>198744</v>
      </c>
      <c r="B101" s="337" t="s">
        <v>5015</v>
      </c>
      <c r="C101" s="337" t="s">
        <v>5014</v>
      </c>
      <c r="D101" s="337" t="s">
        <v>5013</v>
      </c>
      <c r="E101" s="337" t="s">
        <v>6077</v>
      </c>
      <c r="F101" s="104" t="b">
        <f t="array" ref="F101">IF(_xlfn.NUMBERVALUE(RIGHT($E101,2))=MAX(IF(LEFT($E101:$E2052,11)=LEFT($E101,11),_xlfn.NUMBERVALUE(RIGHT($E101:$E2052,2)))),TRUE)</f>
        <v>1</v>
      </c>
      <c r="G101" s="337" t="s">
        <v>6076</v>
      </c>
      <c r="H101" s="337" t="s">
        <v>605</v>
      </c>
      <c r="I101" s="337" t="s">
        <v>605</v>
      </c>
      <c r="J101" s="337" t="s">
        <v>770</v>
      </c>
      <c r="K101" s="337" t="s">
        <v>706</v>
      </c>
      <c r="L101" s="337" t="s">
        <v>771</v>
      </c>
      <c r="M101" s="337" t="s">
        <v>771</v>
      </c>
      <c r="N101" s="337" t="s">
        <v>770</v>
      </c>
      <c r="O101" s="337" t="s">
        <v>770</v>
      </c>
      <c r="P101" s="337" t="s">
        <v>773</v>
      </c>
      <c r="Q101" s="337" t="s">
        <v>254</v>
      </c>
      <c r="R101" s="337" t="s">
        <v>4674</v>
      </c>
      <c r="S101" s="340">
        <v>43790</v>
      </c>
      <c r="T101" s="336"/>
      <c r="V101" s="152">
        <v>6</v>
      </c>
      <c r="W101" s="152">
        <v>0</v>
      </c>
      <c r="X101" s="153" t="s">
        <v>604</v>
      </c>
    </row>
    <row r="102" spans="1:24" x14ac:dyDescent="0.25">
      <c r="A102" s="336">
        <v>198314</v>
      </c>
      <c r="B102" s="337" t="s">
        <v>442</v>
      </c>
      <c r="C102" s="337" t="s">
        <v>5023</v>
      </c>
      <c r="D102" s="337" t="s">
        <v>5022</v>
      </c>
      <c r="E102" s="337" t="s">
        <v>5330</v>
      </c>
      <c r="F102" s="104" t="b">
        <f t="array" ref="F102">IF(_xlfn.NUMBERVALUE(RIGHT($E102,2))=MAX(IF(LEFT($E102:$E2054,11)=LEFT($E102,11),_xlfn.NUMBERVALUE(RIGHT($E102:$E2054,2)))),TRUE)</f>
        <v>1</v>
      </c>
      <c r="G102" s="337" t="s">
        <v>603</v>
      </c>
      <c r="H102" s="337" t="s">
        <v>605</v>
      </c>
      <c r="I102" s="337" t="s">
        <v>605</v>
      </c>
      <c r="J102" s="337" t="s">
        <v>770</v>
      </c>
      <c r="K102" s="337" t="s">
        <v>706</v>
      </c>
      <c r="L102" s="337" t="s">
        <v>771</v>
      </c>
      <c r="M102" s="337" t="s">
        <v>771</v>
      </c>
      <c r="N102" s="337" t="s">
        <v>770</v>
      </c>
      <c r="O102" s="337" t="s">
        <v>770</v>
      </c>
      <c r="P102" s="337" t="s">
        <v>773</v>
      </c>
      <c r="Q102" s="337" t="s">
        <v>254</v>
      </c>
      <c r="R102" s="337" t="s">
        <v>4674</v>
      </c>
      <c r="S102" s="340">
        <v>43776</v>
      </c>
      <c r="T102" s="336"/>
      <c r="V102" s="152">
        <v>6</v>
      </c>
      <c r="W102" s="152">
        <v>0</v>
      </c>
      <c r="X102" s="153" t="s">
        <v>604</v>
      </c>
    </row>
    <row r="103" spans="1:24" x14ac:dyDescent="0.25">
      <c r="A103" s="336">
        <v>195148</v>
      </c>
      <c r="B103" s="337" t="s">
        <v>485</v>
      </c>
      <c r="C103" s="337" t="s">
        <v>571</v>
      </c>
      <c r="D103" s="337" t="s">
        <v>2230</v>
      </c>
      <c r="E103" s="337" t="s">
        <v>4734</v>
      </c>
      <c r="F103" s="104" t="b">
        <f t="array" ref="F103">IF(_xlfn.NUMBERVALUE(RIGHT($E103,2))=MAX(IF(LEFT($E103:$E2055,11)=LEFT($E103,11),_xlfn.NUMBERVALUE(RIGHT($E103:$E2055,2)))),TRUE)</f>
        <v>1</v>
      </c>
      <c r="G103" s="337" t="s">
        <v>4735</v>
      </c>
      <c r="H103" s="337" t="s">
        <v>604</v>
      </c>
      <c r="I103" s="336"/>
      <c r="J103" s="337" t="s">
        <v>770</v>
      </c>
      <c r="K103" s="337" t="s">
        <v>706</v>
      </c>
      <c r="L103" s="337" t="s">
        <v>771</v>
      </c>
      <c r="M103" s="337" t="s">
        <v>772</v>
      </c>
      <c r="N103" s="337" t="s">
        <v>770</v>
      </c>
      <c r="O103" s="337" t="s">
        <v>770</v>
      </c>
      <c r="P103" s="337" t="s">
        <v>773</v>
      </c>
      <c r="Q103" s="337" t="s">
        <v>254</v>
      </c>
      <c r="R103" s="337" t="s">
        <v>4674</v>
      </c>
      <c r="S103" s="340">
        <v>43774</v>
      </c>
      <c r="T103" s="336"/>
      <c r="V103" s="152">
        <v>6</v>
      </c>
      <c r="W103" s="152">
        <v>0</v>
      </c>
      <c r="X103" s="153" t="s">
        <v>604</v>
      </c>
    </row>
    <row r="104" spans="1:24" x14ac:dyDescent="0.25">
      <c r="A104" s="336">
        <v>198226</v>
      </c>
      <c r="B104" s="337" t="s">
        <v>6286</v>
      </c>
      <c r="C104" s="337" t="s">
        <v>2240</v>
      </c>
      <c r="D104" s="337" t="s">
        <v>6285</v>
      </c>
      <c r="E104" s="337" t="s">
        <v>6567</v>
      </c>
      <c r="F104" s="104" t="b">
        <f t="array" ref="F104">IF(_xlfn.NUMBERVALUE(RIGHT($E104,2))=MAX(IF(LEFT($E104:$E2058,11)=LEFT($E104,11),_xlfn.NUMBERVALUE(RIGHT($E104:$E2058,2)))),TRUE)</f>
        <v>1</v>
      </c>
      <c r="G104" s="337" t="s">
        <v>603</v>
      </c>
      <c r="H104" s="337" t="s">
        <v>605</v>
      </c>
      <c r="I104" s="337" t="s">
        <v>605</v>
      </c>
      <c r="J104" s="337" t="s">
        <v>770</v>
      </c>
      <c r="K104" s="337" t="s">
        <v>706</v>
      </c>
      <c r="L104" s="337" t="s">
        <v>771</v>
      </c>
      <c r="M104" s="337" t="s">
        <v>771</v>
      </c>
      <c r="N104" s="337" t="s">
        <v>770</v>
      </c>
      <c r="O104" s="337" t="s">
        <v>770</v>
      </c>
      <c r="P104" s="337" t="s">
        <v>773</v>
      </c>
      <c r="Q104" s="337" t="s">
        <v>254</v>
      </c>
      <c r="R104" s="337" t="s">
        <v>4674</v>
      </c>
      <c r="S104" s="340">
        <v>43801</v>
      </c>
      <c r="T104" s="336"/>
      <c r="V104" s="152">
        <v>6</v>
      </c>
      <c r="W104" s="152">
        <v>0</v>
      </c>
      <c r="X104" s="153" t="s">
        <v>604</v>
      </c>
    </row>
    <row r="105" spans="1:24" x14ac:dyDescent="0.25">
      <c r="A105" s="336">
        <v>195706</v>
      </c>
      <c r="B105" s="337" t="s">
        <v>2271</v>
      </c>
      <c r="C105" s="337" t="s">
        <v>871</v>
      </c>
      <c r="D105" s="337" t="s">
        <v>2270</v>
      </c>
      <c r="E105" s="337" t="s">
        <v>6132</v>
      </c>
      <c r="F105" s="104" t="b">
        <f t="array" ref="F105">IF(_xlfn.NUMBERVALUE(RIGHT($E105,2))=MAX(IF(LEFT($E105:$E2059,11)=LEFT($E105,11),_xlfn.NUMBERVALUE(RIGHT($E105:$E2059,2)))),TRUE)</f>
        <v>1</v>
      </c>
      <c r="G105" s="337" t="s">
        <v>6133</v>
      </c>
      <c r="H105" s="337" t="s">
        <v>605</v>
      </c>
      <c r="I105" s="337" t="s">
        <v>605</v>
      </c>
      <c r="J105" s="337" t="s">
        <v>770</v>
      </c>
      <c r="K105" s="337" t="s">
        <v>706</v>
      </c>
      <c r="L105" s="337" t="s">
        <v>771</v>
      </c>
      <c r="M105" s="337" t="s">
        <v>771</v>
      </c>
      <c r="N105" s="337" t="s">
        <v>770</v>
      </c>
      <c r="O105" s="337" t="s">
        <v>770</v>
      </c>
      <c r="P105" s="337" t="s">
        <v>773</v>
      </c>
      <c r="Q105" s="337" t="s">
        <v>254</v>
      </c>
      <c r="R105" s="337" t="s">
        <v>4674</v>
      </c>
      <c r="S105" s="340">
        <v>43801</v>
      </c>
      <c r="T105" s="336"/>
      <c r="V105" s="152">
        <v>6</v>
      </c>
      <c r="W105" s="152">
        <v>0</v>
      </c>
      <c r="X105" s="153" t="s">
        <v>604</v>
      </c>
    </row>
    <row r="106" spans="1:24" x14ac:dyDescent="0.25">
      <c r="A106" s="336">
        <v>193634</v>
      </c>
      <c r="B106" s="337" t="s">
        <v>438</v>
      </c>
      <c r="C106" s="337" t="s">
        <v>2289</v>
      </c>
      <c r="D106" s="337" t="s">
        <v>2288</v>
      </c>
      <c r="E106" s="337" t="s">
        <v>4736</v>
      </c>
      <c r="F106" s="104" t="b">
        <f t="array" ref="F106">IF(_xlfn.NUMBERVALUE(RIGHT($E106,2))=MAX(IF(LEFT($E106:$E2060,11)=LEFT($E106,11),_xlfn.NUMBERVALUE(RIGHT($E106:$E2060,2)))),TRUE)</f>
        <v>1</v>
      </c>
      <c r="G106" s="337" t="s">
        <v>603</v>
      </c>
      <c r="H106" s="337" t="s">
        <v>604</v>
      </c>
      <c r="I106" s="337" t="s">
        <v>605</v>
      </c>
      <c r="J106" s="337" t="s">
        <v>770</v>
      </c>
      <c r="K106" s="337" t="s">
        <v>706</v>
      </c>
      <c r="L106" s="337" t="s">
        <v>771</v>
      </c>
      <c r="M106" s="337" t="s">
        <v>772</v>
      </c>
      <c r="N106" s="337" t="s">
        <v>770</v>
      </c>
      <c r="O106" s="337" t="s">
        <v>770</v>
      </c>
      <c r="P106" s="337" t="s">
        <v>773</v>
      </c>
      <c r="Q106" s="337" t="s">
        <v>254</v>
      </c>
      <c r="R106" s="337" t="s">
        <v>4674</v>
      </c>
      <c r="S106" s="340">
        <v>43774</v>
      </c>
      <c r="T106" s="336"/>
      <c r="V106" s="152">
        <v>6</v>
      </c>
      <c r="W106" s="152">
        <v>0</v>
      </c>
      <c r="X106" s="153" t="s">
        <v>604</v>
      </c>
    </row>
    <row r="107" spans="1:24" x14ac:dyDescent="0.25">
      <c r="A107" s="336">
        <v>198030</v>
      </c>
      <c r="B107" s="337" t="s">
        <v>538</v>
      </c>
      <c r="C107" s="337" t="s">
        <v>2331</v>
      </c>
      <c r="D107" s="337" t="s">
        <v>2330</v>
      </c>
      <c r="E107" s="337" t="s">
        <v>6162</v>
      </c>
      <c r="F107" s="104" t="b">
        <f t="array" ref="F107">IF(_xlfn.NUMBERVALUE(RIGHT($E107,2))=MAX(IF(LEFT($E107:$E2062,11)=LEFT($E107,11),_xlfn.NUMBERVALUE(RIGHT($E107:$E2062,2)))),TRUE)</f>
        <v>1</v>
      </c>
      <c r="G107" s="337" t="s">
        <v>603</v>
      </c>
      <c r="H107" s="337" t="s">
        <v>604</v>
      </c>
      <c r="I107" s="337" t="s">
        <v>605</v>
      </c>
      <c r="J107" s="337" t="s">
        <v>770</v>
      </c>
      <c r="K107" s="337" t="s">
        <v>706</v>
      </c>
      <c r="L107" s="337" t="s">
        <v>771</v>
      </c>
      <c r="M107" s="337" t="s">
        <v>772</v>
      </c>
      <c r="N107" s="337" t="s">
        <v>770</v>
      </c>
      <c r="O107" s="337" t="s">
        <v>770</v>
      </c>
      <c r="P107" s="337" t="s">
        <v>773</v>
      </c>
      <c r="Q107" s="337" t="s">
        <v>254</v>
      </c>
      <c r="R107" s="337" t="s">
        <v>4674</v>
      </c>
      <c r="S107" s="340">
        <v>43804</v>
      </c>
      <c r="T107" s="336"/>
      <c r="V107" s="152">
        <v>6</v>
      </c>
      <c r="W107" s="152">
        <v>0</v>
      </c>
      <c r="X107" s="153" t="s">
        <v>604</v>
      </c>
    </row>
    <row r="108" spans="1:24" x14ac:dyDescent="0.25">
      <c r="A108" s="336">
        <v>193345</v>
      </c>
      <c r="B108" s="337" t="s">
        <v>5762</v>
      </c>
      <c r="C108" s="337" t="s">
        <v>5761</v>
      </c>
      <c r="D108" s="337" t="s">
        <v>5760</v>
      </c>
      <c r="E108" s="337" t="s">
        <v>6078</v>
      </c>
      <c r="F108" s="104" t="b">
        <f t="array" ref="F108">IF(_xlfn.NUMBERVALUE(RIGHT($E108,2))=MAX(IF(LEFT($E108:$E2063,11)=LEFT($E108,11),_xlfn.NUMBERVALUE(RIGHT($E108:$E2063,2)))),TRUE)</f>
        <v>1</v>
      </c>
      <c r="G108" s="337" t="s">
        <v>6079</v>
      </c>
      <c r="H108" s="337" t="s">
        <v>604</v>
      </c>
      <c r="I108" s="337" t="s">
        <v>605</v>
      </c>
      <c r="J108" s="337" t="s">
        <v>770</v>
      </c>
      <c r="K108" s="337" t="s">
        <v>706</v>
      </c>
      <c r="L108" s="337" t="s">
        <v>771</v>
      </c>
      <c r="M108" s="337" t="s">
        <v>772</v>
      </c>
      <c r="N108" s="337" t="s">
        <v>770</v>
      </c>
      <c r="O108" s="337" t="s">
        <v>770</v>
      </c>
      <c r="P108" s="337" t="s">
        <v>773</v>
      </c>
      <c r="Q108" s="337" t="s">
        <v>254</v>
      </c>
      <c r="R108" s="337" t="s">
        <v>4674</v>
      </c>
      <c r="S108" s="340">
        <v>43790</v>
      </c>
      <c r="T108" s="336"/>
      <c r="V108" s="152">
        <v>6</v>
      </c>
      <c r="W108" s="152">
        <v>0</v>
      </c>
      <c r="X108" s="153" t="s">
        <v>604</v>
      </c>
    </row>
    <row r="109" spans="1:24" x14ac:dyDescent="0.25">
      <c r="A109" s="336">
        <v>196822</v>
      </c>
      <c r="B109" s="337" t="s">
        <v>2341</v>
      </c>
      <c r="C109" s="337" t="s">
        <v>2340</v>
      </c>
      <c r="D109" s="337" t="s">
        <v>2339</v>
      </c>
      <c r="E109" s="337" t="s">
        <v>4737</v>
      </c>
      <c r="F109" s="104" t="b">
        <f t="array" ref="F109">IF(_xlfn.NUMBERVALUE(RIGHT($E109,2))=MAX(IF(LEFT($E109:$E2064,11)=LEFT($E109,11),_xlfn.NUMBERVALUE(RIGHT($E109:$E2064,2)))),TRUE)</f>
        <v>1</v>
      </c>
      <c r="G109" s="337" t="s">
        <v>4738</v>
      </c>
      <c r="H109" s="337" t="s">
        <v>605</v>
      </c>
      <c r="I109" s="337" t="s">
        <v>605</v>
      </c>
      <c r="J109" s="337" t="s">
        <v>770</v>
      </c>
      <c r="K109" s="337" t="s">
        <v>706</v>
      </c>
      <c r="L109" s="337" t="s">
        <v>771</v>
      </c>
      <c r="M109" s="337" t="s">
        <v>771</v>
      </c>
      <c r="N109" s="337" t="s">
        <v>770</v>
      </c>
      <c r="O109" s="337" t="s">
        <v>770</v>
      </c>
      <c r="P109" s="337" t="s">
        <v>773</v>
      </c>
      <c r="Q109" s="337" t="s">
        <v>254</v>
      </c>
      <c r="R109" s="337" t="s">
        <v>4674</v>
      </c>
      <c r="S109" s="340">
        <v>43774</v>
      </c>
      <c r="T109" s="336"/>
      <c r="V109" s="152">
        <v>6</v>
      </c>
      <c r="W109" s="152">
        <v>0</v>
      </c>
      <c r="X109" s="153" t="s">
        <v>604</v>
      </c>
    </row>
    <row r="110" spans="1:24" x14ac:dyDescent="0.25">
      <c r="A110" s="336">
        <v>197644</v>
      </c>
      <c r="B110" s="337" t="s">
        <v>443</v>
      </c>
      <c r="C110" s="337" t="s">
        <v>4660</v>
      </c>
      <c r="D110" s="337" t="s">
        <v>4659</v>
      </c>
      <c r="E110" s="337" t="s">
        <v>4739</v>
      </c>
      <c r="F110" s="104" t="b">
        <f t="array" ref="F110">IF(_xlfn.NUMBERVALUE(RIGHT($E110,2))=MAX(IF(LEFT($E110:$E2065,11)=LEFT($E110,11),_xlfn.NUMBERVALUE(RIGHT($E110:$E2065,2)))),TRUE)</f>
        <v>1</v>
      </c>
      <c r="G110" s="337" t="s">
        <v>603</v>
      </c>
      <c r="H110" s="337" t="s">
        <v>605</v>
      </c>
      <c r="I110" s="337" t="s">
        <v>605</v>
      </c>
      <c r="J110" s="337" t="s">
        <v>770</v>
      </c>
      <c r="K110" s="337" t="s">
        <v>278</v>
      </c>
      <c r="L110" s="337" t="s">
        <v>771</v>
      </c>
      <c r="M110" s="337" t="s">
        <v>771</v>
      </c>
      <c r="N110" s="337" t="s">
        <v>770</v>
      </c>
      <c r="O110" s="337" t="s">
        <v>770</v>
      </c>
      <c r="P110" s="337" t="s">
        <v>773</v>
      </c>
      <c r="Q110" s="337" t="s">
        <v>254</v>
      </c>
      <c r="R110" s="337" t="s">
        <v>4674</v>
      </c>
      <c r="S110" s="340">
        <v>43774</v>
      </c>
      <c r="T110" s="336"/>
      <c r="V110" s="152">
        <v>6</v>
      </c>
      <c r="W110" s="152">
        <v>0</v>
      </c>
      <c r="X110" s="153" t="s">
        <v>604</v>
      </c>
    </row>
    <row r="111" spans="1:24" x14ac:dyDescent="0.25">
      <c r="A111" s="336">
        <v>197544</v>
      </c>
      <c r="B111" s="337" t="s">
        <v>485</v>
      </c>
      <c r="C111" s="337" t="s">
        <v>2362</v>
      </c>
      <c r="D111" s="337" t="s">
        <v>2361</v>
      </c>
      <c r="E111" s="337" t="s">
        <v>4740</v>
      </c>
      <c r="F111" s="104" t="b">
        <f t="array" ref="F111">IF(_xlfn.NUMBERVALUE(RIGHT($E111,2))=MAX(IF(LEFT($E111:$E2066,11)=LEFT($E111,11),_xlfn.NUMBERVALUE(RIGHT($E111:$E2066,2)))),TRUE)</f>
        <v>1</v>
      </c>
      <c r="G111" s="337" t="s">
        <v>4741</v>
      </c>
      <c r="H111" s="337" t="s">
        <v>604</v>
      </c>
      <c r="I111" s="336"/>
      <c r="J111" s="337" t="s">
        <v>770</v>
      </c>
      <c r="K111" s="337" t="s">
        <v>706</v>
      </c>
      <c r="L111" s="337" t="s">
        <v>771</v>
      </c>
      <c r="M111" s="337" t="s">
        <v>772</v>
      </c>
      <c r="N111" s="337" t="s">
        <v>770</v>
      </c>
      <c r="O111" s="337" t="s">
        <v>770</v>
      </c>
      <c r="P111" s="337" t="s">
        <v>773</v>
      </c>
      <c r="Q111" s="337" t="s">
        <v>254</v>
      </c>
      <c r="R111" s="337" t="s">
        <v>4674</v>
      </c>
      <c r="S111" s="340">
        <v>43774</v>
      </c>
      <c r="T111" s="336"/>
      <c r="V111" s="152">
        <v>6</v>
      </c>
      <c r="W111" s="152">
        <v>0</v>
      </c>
      <c r="X111" s="153" t="s">
        <v>604</v>
      </c>
    </row>
    <row r="112" spans="1:24" x14ac:dyDescent="0.25">
      <c r="A112" s="336">
        <v>198706</v>
      </c>
      <c r="B112" s="337" t="s">
        <v>5052</v>
      </c>
      <c r="C112" s="337" t="s">
        <v>5051</v>
      </c>
      <c r="D112" s="337" t="s">
        <v>5050</v>
      </c>
      <c r="E112" s="337" t="s">
        <v>5331</v>
      </c>
      <c r="F112" s="104" t="b">
        <f t="array" ref="F112">IF(_xlfn.NUMBERVALUE(RIGHT($E112,2))=MAX(IF(LEFT($E112:$E2067,11)=LEFT($E112,11),_xlfn.NUMBERVALUE(RIGHT($E112:$E2067,2)))),TRUE)</f>
        <v>1</v>
      </c>
      <c r="G112" s="337" t="s">
        <v>5332</v>
      </c>
      <c r="H112" s="337" t="s">
        <v>604</v>
      </c>
      <c r="I112" s="336"/>
      <c r="J112" s="337" t="s">
        <v>770</v>
      </c>
      <c r="K112" s="337" t="s">
        <v>706</v>
      </c>
      <c r="L112" s="337" t="s">
        <v>771</v>
      </c>
      <c r="M112" s="337" t="s">
        <v>772</v>
      </c>
      <c r="N112" s="337" t="s">
        <v>770</v>
      </c>
      <c r="O112" s="337" t="s">
        <v>770</v>
      </c>
      <c r="P112" s="337" t="s">
        <v>773</v>
      </c>
      <c r="Q112" s="337" t="s">
        <v>254</v>
      </c>
      <c r="R112" s="337" t="s">
        <v>4674</v>
      </c>
      <c r="S112" s="340">
        <v>43774</v>
      </c>
      <c r="T112" s="336"/>
      <c r="V112" s="152">
        <v>6</v>
      </c>
      <c r="W112" s="152">
        <v>0</v>
      </c>
      <c r="X112" s="153" t="s">
        <v>604</v>
      </c>
    </row>
    <row r="113" spans="1:24" x14ac:dyDescent="0.25">
      <c r="A113" s="336">
        <v>195734</v>
      </c>
      <c r="B113" s="337" t="s">
        <v>262</v>
      </c>
      <c r="C113" s="337" t="s">
        <v>3898</v>
      </c>
      <c r="D113" s="337" t="s">
        <v>4332</v>
      </c>
      <c r="E113" s="337" t="s">
        <v>6134</v>
      </c>
      <c r="F113" s="104" t="b">
        <f t="array" ref="F113">IF(_xlfn.NUMBERVALUE(RIGHT($E113,2))=MAX(IF(LEFT($E113:$E2068,11)=LEFT($E113,11),_xlfn.NUMBERVALUE(RIGHT($E113:$E2068,2)))),TRUE)</f>
        <v>1</v>
      </c>
      <c r="G113" s="337" t="s">
        <v>6135</v>
      </c>
      <c r="H113" s="337" t="s">
        <v>604</v>
      </c>
      <c r="I113" s="336"/>
      <c r="J113" s="337" t="s">
        <v>770</v>
      </c>
      <c r="K113" s="337" t="s">
        <v>706</v>
      </c>
      <c r="L113" s="337" t="s">
        <v>771</v>
      </c>
      <c r="M113" s="337" t="s">
        <v>772</v>
      </c>
      <c r="N113" s="337" t="s">
        <v>770</v>
      </c>
      <c r="O113" s="337" t="s">
        <v>770</v>
      </c>
      <c r="P113" s="337" t="s">
        <v>773</v>
      </c>
      <c r="Q113" s="337" t="s">
        <v>254</v>
      </c>
      <c r="R113" s="337" t="s">
        <v>4674</v>
      </c>
      <c r="S113" s="340">
        <v>43801</v>
      </c>
      <c r="T113" s="336"/>
      <c r="V113" s="152">
        <v>6</v>
      </c>
      <c r="W113" s="152">
        <v>0</v>
      </c>
      <c r="X113" s="153" t="s">
        <v>604</v>
      </c>
    </row>
    <row r="114" spans="1:24" x14ac:dyDescent="0.25">
      <c r="A114" s="336">
        <v>189129</v>
      </c>
      <c r="B114" s="337" t="s">
        <v>2370</v>
      </c>
      <c r="C114" s="337" t="s">
        <v>2369</v>
      </c>
      <c r="D114" s="337" t="s">
        <v>2368</v>
      </c>
      <c r="E114" s="337" t="s">
        <v>4742</v>
      </c>
      <c r="F114" s="104" t="b">
        <f t="array" ref="F114">IF(_xlfn.NUMBERVALUE(RIGHT($E114,2))=MAX(IF(LEFT($E114:$E2069,11)=LEFT($E114,11),_xlfn.NUMBERVALUE(RIGHT($E114:$E2069,2)))),TRUE)</f>
        <v>1</v>
      </c>
      <c r="G114" s="337" t="s">
        <v>4743</v>
      </c>
      <c r="H114" s="337" t="s">
        <v>604</v>
      </c>
      <c r="I114" s="337" t="s">
        <v>605</v>
      </c>
      <c r="J114" s="337" t="s">
        <v>770</v>
      </c>
      <c r="K114" s="337" t="s">
        <v>706</v>
      </c>
      <c r="L114" s="337" t="s">
        <v>771</v>
      </c>
      <c r="M114" s="337" t="s">
        <v>772</v>
      </c>
      <c r="N114" s="337" t="s">
        <v>770</v>
      </c>
      <c r="O114" s="337" t="s">
        <v>770</v>
      </c>
      <c r="P114" s="337" t="s">
        <v>773</v>
      </c>
      <c r="Q114" s="337" t="s">
        <v>254</v>
      </c>
      <c r="R114" s="337" t="s">
        <v>4674</v>
      </c>
      <c r="S114" s="340">
        <v>43774</v>
      </c>
      <c r="T114" s="336"/>
      <c r="V114" s="152">
        <v>6</v>
      </c>
      <c r="W114" s="152">
        <v>1</v>
      </c>
      <c r="X114" s="153" t="s">
        <v>605</v>
      </c>
    </row>
    <row r="115" spans="1:24" x14ac:dyDescent="0.25">
      <c r="A115" s="336">
        <v>196178</v>
      </c>
      <c r="B115" s="337" t="s">
        <v>343</v>
      </c>
      <c r="C115" s="337" t="s">
        <v>2382</v>
      </c>
      <c r="D115" s="337" t="s">
        <v>2381</v>
      </c>
      <c r="E115" s="337" t="s">
        <v>4744</v>
      </c>
      <c r="F115" s="104" t="b">
        <f t="array" ref="F115">IF(_xlfn.NUMBERVALUE(RIGHT($E115,2))=MAX(IF(LEFT($E115:$E2070,11)=LEFT($E115,11),_xlfn.NUMBERVALUE(RIGHT($E115:$E2070,2)))),TRUE)</f>
        <v>1</v>
      </c>
      <c r="G115" s="337" t="s">
        <v>603</v>
      </c>
      <c r="H115" s="337" t="s">
        <v>604</v>
      </c>
      <c r="I115" s="337" t="s">
        <v>605</v>
      </c>
      <c r="J115" s="337" t="s">
        <v>770</v>
      </c>
      <c r="K115" s="337" t="s">
        <v>706</v>
      </c>
      <c r="L115" s="337" t="s">
        <v>771</v>
      </c>
      <c r="M115" s="337" t="s">
        <v>772</v>
      </c>
      <c r="N115" s="337" t="s">
        <v>770</v>
      </c>
      <c r="O115" s="337" t="s">
        <v>770</v>
      </c>
      <c r="P115" s="337" t="s">
        <v>773</v>
      </c>
      <c r="Q115" s="337" t="s">
        <v>254</v>
      </c>
      <c r="R115" s="337" t="s">
        <v>4674</v>
      </c>
      <c r="S115" s="340">
        <v>43774</v>
      </c>
      <c r="T115" s="336"/>
      <c r="V115" s="152">
        <v>6</v>
      </c>
      <c r="W115" s="152">
        <v>0</v>
      </c>
      <c r="X115" s="153" t="s">
        <v>604</v>
      </c>
    </row>
    <row r="116" spans="1:24" x14ac:dyDescent="0.25">
      <c r="A116" s="336">
        <v>192406</v>
      </c>
      <c r="B116" s="337" t="s">
        <v>2394</v>
      </c>
      <c r="C116" s="337" t="s">
        <v>2393</v>
      </c>
      <c r="D116" s="337" t="s">
        <v>2392</v>
      </c>
      <c r="E116" s="337" t="s">
        <v>4745</v>
      </c>
      <c r="F116" s="104" t="b">
        <f t="array" ref="F116">IF(_xlfn.NUMBERVALUE(RIGHT($E116,2))=MAX(IF(LEFT($E116:$E2071,11)=LEFT($E116,11),_xlfn.NUMBERVALUE(RIGHT($E116:$E2071,2)))),TRUE)</f>
        <v>1</v>
      </c>
      <c r="G116" s="337" t="s">
        <v>4746</v>
      </c>
      <c r="H116" s="337" t="s">
        <v>605</v>
      </c>
      <c r="I116" s="337" t="s">
        <v>605</v>
      </c>
      <c r="J116" s="337" t="s">
        <v>770</v>
      </c>
      <c r="K116" s="337" t="s">
        <v>706</v>
      </c>
      <c r="L116" s="337" t="s">
        <v>771</v>
      </c>
      <c r="M116" s="337" t="s">
        <v>771</v>
      </c>
      <c r="N116" s="337" t="s">
        <v>770</v>
      </c>
      <c r="O116" s="337" t="s">
        <v>770</v>
      </c>
      <c r="P116" s="337" t="s">
        <v>773</v>
      </c>
      <c r="Q116" s="337" t="s">
        <v>254</v>
      </c>
      <c r="R116" s="337" t="s">
        <v>4674</v>
      </c>
      <c r="S116" s="340">
        <v>43774</v>
      </c>
      <c r="T116" s="336"/>
      <c r="V116" s="152">
        <v>6</v>
      </c>
      <c r="W116" s="152">
        <v>0</v>
      </c>
      <c r="X116" s="153" t="s">
        <v>604</v>
      </c>
    </row>
    <row r="117" spans="1:24" x14ac:dyDescent="0.25">
      <c r="A117" s="336">
        <v>199076</v>
      </c>
      <c r="B117" s="337" t="s">
        <v>505</v>
      </c>
      <c r="C117" s="337" t="s">
        <v>6315</v>
      </c>
      <c r="D117" s="337" t="s">
        <v>6314</v>
      </c>
      <c r="E117" s="337" t="s">
        <v>6568</v>
      </c>
      <c r="F117" s="104" t="b">
        <f t="array" ref="F117">IF(_xlfn.NUMBERVALUE(RIGHT($E117,2))=MAX(IF(LEFT($E117:$E2072,11)=LEFT($E117,11),_xlfn.NUMBERVALUE(RIGHT($E117:$E2072,2)))),TRUE)</f>
        <v>1</v>
      </c>
      <c r="G117" s="337" t="s">
        <v>6569</v>
      </c>
      <c r="H117" s="337" t="s">
        <v>604</v>
      </c>
      <c r="I117" s="336"/>
      <c r="J117" s="337" t="s">
        <v>770</v>
      </c>
      <c r="K117" s="337" t="s">
        <v>706</v>
      </c>
      <c r="L117" s="337" t="s">
        <v>771</v>
      </c>
      <c r="M117" s="337" t="s">
        <v>772</v>
      </c>
      <c r="N117" s="337" t="s">
        <v>770</v>
      </c>
      <c r="O117" s="337" t="s">
        <v>770</v>
      </c>
      <c r="P117" s="337" t="s">
        <v>773</v>
      </c>
      <c r="Q117" s="337" t="s">
        <v>254</v>
      </c>
      <c r="R117" s="337" t="s">
        <v>4674</v>
      </c>
      <c r="S117" s="340">
        <v>43790</v>
      </c>
      <c r="T117" s="336"/>
      <c r="V117" s="152">
        <v>6</v>
      </c>
      <c r="W117" s="152">
        <v>0</v>
      </c>
      <c r="X117" s="153" t="s">
        <v>604</v>
      </c>
    </row>
    <row r="118" spans="1:24" x14ac:dyDescent="0.25">
      <c r="A118" s="336">
        <v>198091</v>
      </c>
      <c r="B118" s="337" t="s">
        <v>451</v>
      </c>
      <c r="C118" s="337" t="s">
        <v>782</v>
      </c>
      <c r="D118" s="337" t="s">
        <v>4338</v>
      </c>
      <c r="E118" s="337" t="s">
        <v>4747</v>
      </c>
      <c r="F118" s="104" t="b">
        <f t="array" ref="F118">IF(_xlfn.NUMBERVALUE(RIGHT($E118,2))=MAX(IF(LEFT($E118:$E2073,11)=LEFT($E118,11),_xlfn.NUMBERVALUE(RIGHT($E118:$E2073,2)))),TRUE)</f>
        <v>1</v>
      </c>
      <c r="G118" s="337" t="s">
        <v>4748</v>
      </c>
      <c r="H118" s="337" t="s">
        <v>604</v>
      </c>
      <c r="I118" s="336"/>
      <c r="J118" s="337" t="s">
        <v>605</v>
      </c>
      <c r="K118" s="337" t="s">
        <v>706</v>
      </c>
      <c r="L118" s="337" t="s">
        <v>771</v>
      </c>
      <c r="M118" s="337" t="s">
        <v>772</v>
      </c>
      <c r="N118" s="337" t="s">
        <v>770</v>
      </c>
      <c r="O118" s="337" t="s">
        <v>770</v>
      </c>
      <c r="P118" s="337" t="s">
        <v>773</v>
      </c>
      <c r="Q118" s="337" t="s">
        <v>254</v>
      </c>
      <c r="R118" s="337" t="s">
        <v>4674</v>
      </c>
      <c r="S118" s="340">
        <v>43774</v>
      </c>
      <c r="T118" s="336"/>
      <c r="V118" s="152">
        <v>6</v>
      </c>
      <c r="W118" s="152">
        <v>0</v>
      </c>
      <c r="X118" s="153" t="s">
        <v>604</v>
      </c>
    </row>
    <row r="119" spans="1:24" x14ac:dyDescent="0.25">
      <c r="A119" s="336">
        <v>197677</v>
      </c>
      <c r="B119" s="337" t="s">
        <v>2415</v>
      </c>
      <c r="C119" s="337" t="s">
        <v>395</v>
      </c>
      <c r="D119" s="337" t="s">
        <v>2414</v>
      </c>
      <c r="E119" s="337" t="s">
        <v>4749</v>
      </c>
      <c r="F119" s="104" t="b">
        <f t="array" ref="F119">IF(_xlfn.NUMBERVALUE(RIGHT($E119,2))=MAX(IF(LEFT($E119:$E2074,11)=LEFT($E119,11),_xlfn.NUMBERVALUE(RIGHT($E119:$E2074,2)))),TRUE)</f>
        <v>1</v>
      </c>
      <c r="G119" s="337" t="s">
        <v>4750</v>
      </c>
      <c r="H119" s="337" t="s">
        <v>605</v>
      </c>
      <c r="I119" s="337" t="s">
        <v>605</v>
      </c>
      <c r="J119" s="337" t="s">
        <v>770</v>
      </c>
      <c r="K119" s="337" t="s">
        <v>706</v>
      </c>
      <c r="L119" s="337" t="s">
        <v>771</v>
      </c>
      <c r="M119" s="337" t="s">
        <v>771</v>
      </c>
      <c r="N119" s="337" t="s">
        <v>770</v>
      </c>
      <c r="O119" s="337" t="s">
        <v>770</v>
      </c>
      <c r="P119" s="337" t="s">
        <v>773</v>
      </c>
      <c r="Q119" s="337" t="s">
        <v>254</v>
      </c>
      <c r="R119" s="337" t="s">
        <v>4674</v>
      </c>
      <c r="S119" s="340">
        <v>43774</v>
      </c>
      <c r="T119" s="336"/>
      <c r="V119" s="152">
        <v>6</v>
      </c>
      <c r="W119" s="152">
        <v>0</v>
      </c>
      <c r="X119" s="153" t="s">
        <v>604</v>
      </c>
    </row>
    <row r="120" spans="1:24" x14ac:dyDescent="0.25">
      <c r="A120" s="336">
        <v>199163</v>
      </c>
      <c r="B120" s="337" t="s">
        <v>320</v>
      </c>
      <c r="C120" s="337" t="s">
        <v>5810</v>
      </c>
      <c r="D120" s="337" t="s">
        <v>5809</v>
      </c>
      <c r="E120" s="337" t="s">
        <v>6080</v>
      </c>
      <c r="F120" s="104" t="b">
        <f t="array" ref="F120">IF(_xlfn.NUMBERVALUE(RIGHT($E120,2))=MAX(IF(LEFT($E120:$E2075,11)=LEFT($E120,11),_xlfn.NUMBERVALUE(RIGHT($E120:$E2075,2)))),TRUE)</f>
        <v>1</v>
      </c>
      <c r="G120" s="337" t="s">
        <v>6081</v>
      </c>
      <c r="H120" s="337" t="s">
        <v>604</v>
      </c>
      <c r="I120" s="336"/>
      <c r="J120" s="337" t="s">
        <v>770</v>
      </c>
      <c r="K120" s="337" t="s">
        <v>706</v>
      </c>
      <c r="L120" s="337" t="s">
        <v>771</v>
      </c>
      <c r="M120" s="337" t="s">
        <v>772</v>
      </c>
      <c r="N120" s="337" t="s">
        <v>770</v>
      </c>
      <c r="O120" s="337" t="s">
        <v>770</v>
      </c>
      <c r="P120" s="337" t="s">
        <v>773</v>
      </c>
      <c r="Q120" s="337" t="s">
        <v>254</v>
      </c>
      <c r="R120" s="337" t="s">
        <v>4674</v>
      </c>
      <c r="S120" s="340">
        <v>43774</v>
      </c>
      <c r="T120" s="336"/>
      <c r="V120" s="152">
        <v>6</v>
      </c>
      <c r="W120" s="152">
        <v>0</v>
      </c>
      <c r="X120" s="153" t="s">
        <v>604</v>
      </c>
    </row>
    <row r="121" spans="1:24" x14ac:dyDescent="0.25">
      <c r="A121" s="336">
        <v>198714</v>
      </c>
      <c r="B121" s="337" t="s">
        <v>451</v>
      </c>
      <c r="C121" s="337" t="s">
        <v>913</v>
      </c>
      <c r="D121" s="337" t="s">
        <v>2434</v>
      </c>
      <c r="E121" s="337" t="s">
        <v>4751</v>
      </c>
      <c r="F121" s="104" t="b">
        <f t="array" ref="F121">IF(_xlfn.NUMBERVALUE(RIGHT($E121,2))=MAX(IF(LEFT($E121:$E2076,11)=LEFT($E121,11),_xlfn.NUMBERVALUE(RIGHT($E121:$E2076,2)))),TRUE)</f>
        <v>1</v>
      </c>
      <c r="G121" s="337" t="s">
        <v>4752</v>
      </c>
      <c r="H121" s="337" t="s">
        <v>605</v>
      </c>
      <c r="I121" s="337" t="s">
        <v>605</v>
      </c>
      <c r="J121" s="337" t="s">
        <v>770</v>
      </c>
      <c r="K121" s="337" t="s">
        <v>706</v>
      </c>
      <c r="L121" s="337" t="s">
        <v>771</v>
      </c>
      <c r="M121" s="337" t="s">
        <v>771</v>
      </c>
      <c r="N121" s="337" t="s">
        <v>770</v>
      </c>
      <c r="O121" s="337" t="s">
        <v>770</v>
      </c>
      <c r="P121" s="337" t="s">
        <v>773</v>
      </c>
      <c r="Q121" s="337" t="s">
        <v>254</v>
      </c>
      <c r="R121" s="337" t="s">
        <v>4674</v>
      </c>
      <c r="S121" s="340">
        <v>43774</v>
      </c>
      <c r="T121" s="336"/>
      <c r="V121" s="152">
        <v>6</v>
      </c>
      <c r="W121" s="152">
        <v>0</v>
      </c>
      <c r="X121" s="153" t="s">
        <v>604</v>
      </c>
    </row>
    <row r="122" spans="1:24" x14ac:dyDescent="0.25">
      <c r="A122" s="336">
        <v>199222</v>
      </c>
      <c r="B122" s="337" t="s">
        <v>395</v>
      </c>
      <c r="C122" s="337" t="s">
        <v>513</v>
      </c>
      <c r="D122" s="337" t="s">
        <v>5463</v>
      </c>
      <c r="E122" s="337" t="s">
        <v>6082</v>
      </c>
      <c r="F122" s="104" t="b">
        <f t="array" ref="F122">IF(_xlfn.NUMBERVALUE(RIGHT($E122,2))=MAX(IF(LEFT($E122:$E2077,11)=LEFT($E122,11),_xlfn.NUMBERVALUE(RIGHT($E122:$E2077,2)))),TRUE)</f>
        <v>1</v>
      </c>
      <c r="G122" s="337" t="s">
        <v>603</v>
      </c>
      <c r="H122" s="337" t="s">
        <v>604</v>
      </c>
      <c r="I122" s="337" t="s">
        <v>605</v>
      </c>
      <c r="J122" s="337" t="s">
        <v>770</v>
      </c>
      <c r="K122" s="337" t="s">
        <v>706</v>
      </c>
      <c r="L122" s="337" t="s">
        <v>771</v>
      </c>
      <c r="M122" s="337" t="s">
        <v>772</v>
      </c>
      <c r="N122" s="337" t="s">
        <v>770</v>
      </c>
      <c r="O122" s="337" t="s">
        <v>770</v>
      </c>
      <c r="P122" s="337" t="s">
        <v>773</v>
      </c>
      <c r="Q122" s="337" t="s">
        <v>254</v>
      </c>
      <c r="R122" s="337" t="s">
        <v>4674</v>
      </c>
      <c r="S122" s="340">
        <v>43776</v>
      </c>
      <c r="T122" s="336"/>
      <c r="V122" s="152">
        <v>6</v>
      </c>
      <c r="W122" s="152">
        <v>0</v>
      </c>
      <c r="X122" s="153" t="s">
        <v>604</v>
      </c>
    </row>
    <row r="123" spans="1:24" x14ac:dyDescent="0.25">
      <c r="A123" s="336">
        <v>197833</v>
      </c>
      <c r="B123" s="337" t="s">
        <v>2465</v>
      </c>
      <c r="C123" s="337" t="s">
        <v>387</v>
      </c>
      <c r="D123" s="337" t="s">
        <v>2464</v>
      </c>
      <c r="E123" s="337" t="s">
        <v>4753</v>
      </c>
      <c r="F123" s="104" t="b">
        <f t="array" ref="F123">IF(_xlfn.NUMBERVALUE(RIGHT($E123,2))=MAX(IF(LEFT($E123:$E2078,11)=LEFT($E123,11),_xlfn.NUMBERVALUE(RIGHT($E123:$E2078,2)))),TRUE)</f>
        <v>1</v>
      </c>
      <c r="G123" s="337" t="s">
        <v>4754</v>
      </c>
      <c r="H123" s="337" t="s">
        <v>604</v>
      </c>
      <c r="I123" s="336"/>
      <c r="J123" s="337" t="s">
        <v>770</v>
      </c>
      <c r="K123" s="337" t="s">
        <v>706</v>
      </c>
      <c r="L123" s="337" t="s">
        <v>771</v>
      </c>
      <c r="M123" s="337" t="s">
        <v>772</v>
      </c>
      <c r="N123" s="337" t="s">
        <v>770</v>
      </c>
      <c r="O123" s="337" t="s">
        <v>770</v>
      </c>
      <c r="P123" s="337" t="s">
        <v>773</v>
      </c>
      <c r="Q123" s="337" t="s">
        <v>254</v>
      </c>
      <c r="R123" s="337" t="s">
        <v>4674</v>
      </c>
      <c r="S123" s="340">
        <v>43774</v>
      </c>
      <c r="T123" s="336"/>
      <c r="V123" s="152">
        <v>6</v>
      </c>
      <c r="W123" s="152">
        <v>0</v>
      </c>
      <c r="X123" s="153" t="s">
        <v>604</v>
      </c>
    </row>
    <row r="124" spans="1:24" x14ac:dyDescent="0.25">
      <c r="A124" s="336">
        <v>199324</v>
      </c>
      <c r="B124" s="337" t="s">
        <v>478</v>
      </c>
      <c r="C124" s="337" t="s">
        <v>6326</v>
      </c>
      <c r="D124" s="337" t="s">
        <v>6325</v>
      </c>
      <c r="E124" s="337" t="s">
        <v>6571</v>
      </c>
      <c r="F124" s="104" t="b">
        <f t="array" ref="F124">IF(_xlfn.NUMBERVALUE(RIGHT($E124,2))=MAX(IF(LEFT($E124:$E2080,11)=LEFT($E124,11),_xlfn.NUMBERVALUE(RIGHT($E124:$E2080,2)))),TRUE)</f>
        <v>1</v>
      </c>
      <c r="G124" s="337" t="s">
        <v>6570</v>
      </c>
      <c r="H124" s="337" t="s">
        <v>605</v>
      </c>
      <c r="I124" s="337" t="s">
        <v>605</v>
      </c>
      <c r="J124" s="337" t="s">
        <v>770</v>
      </c>
      <c r="K124" s="337" t="s">
        <v>706</v>
      </c>
      <c r="L124" s="337" t="s">
        <v>771</v>
      </c>
      <c r="M124" s="337" t="s">
        <v>771</v>
      </c>
      <c r="N124" s="337" t="s">
        <v>770</v>
      </c>
      <c r="O124" s="337" t="s">
        <v>770</v>
      </c>
      <c r="P124" s="337" t="s">
        <v>773</v>
      </c>
      <c r="Q124" s="337" t="s">
        <v>254</v>
      </c>
      <c r="R124" s="337" t="s">
        <v>4674</v>
      </c>
      <c r="S124" s="340">
        <v>43776</v>
      </c>
      <c r="T124" s="336"/>
      <c r="V124" s="152">
        <v>6</v>
      </c>
      <c r="W124" s="152">
        <v>0</v>
      </c>
      <c r="X124" s="153" t="s">
        <v>604</v>
      </c>
    </row>
    <row r="125" spans="1:24" x14ac:dyDescent="0.25">
      <c r="A125" s="336">
        <v>195541</v>
      </c>
      <c r="B125" s="337" t="s">
        <v>787</v>
      </c>
      <c r="C125" s="337" t="s">
        <v>2484</v>
      </c>
      <c r="D125" s="337" t="s">
        <v>2483</v>
      </c>
      <c r="E125" s="337" t="s">
        <v>5333</v>
      </c>
      <c r="F125" s="104" t="b">
        <f t="array" ref="F125">IF(_xlfn.NUMBERVALUE(RIGHT($E125,2))=MAX(IF(LEFT($E125:$E2082,11)=LEFT($E125,11),_xlfn.NUMBERVALUE(RIGHT($E125:$E2082,2)))),TRUE)</f>
        <v>1</v>
      </c>
      <c r="G125" s="337" t="s">
        <v>4755</v>
      </c>
      <c r="H125" s="337" t="s">
        <v>604</v>
      </c>
      <c r="I125" s="336"/>
      <c r="J125" s="337" t="s">
        <v>770</v>
      </c>
      <c r="K125" s="337" t="s">
        <v>706</v>
      </c>
      <c r="L125" s="337" t="s">
        <v>771</v>
      </c>
      <c r="M125" s="337" t="s">
        <v>772</v>
      </c>
      <c r="N125" s="337" t="s">
        <v>770</v>
      </c>
      <c r="O125" s="337" t="s">
        <v>770</v>
      </c>
      <c r="P125" s="337" t="s">
        <v>773</v>
      </c>
      <c r="Q125" s="337" t="s">
        <v>254</v>
      </c>
      <c r="R125" s="337" t="s">
        <v>4674</v>
      </c>
      <c r="S125" s="340">
        <v>43783</v>
      </c>
      <c r="T125" s="336"/>
      <c r="V125" s="152">
        <v>6</v>
      </c>
      <c r="W125" s="152">
        <v>0</v>
      </c>
      <c r="X125" s="153" t="s">
        <v>604</v>
      </c>
    </row>
    <row r="126" spans="1:24" x14ac:dyDescent="0.25">
      <c r="A126" s="336">
        <v>198271</v>
      </c>
      <c r="B126" s="337" t="s">
        <v>5059</v>
      </c>
      <c r="C126" s="337" t="s">
        <v>2484</v>
      </c>
      <c r="D126" s="337" t="s">
        <v>5058</v>
      </c>
      <c r="E126" s="337" t="s">
        <v>6163</v>
      </c>
      <c r="F126" s="104" t="b">
        <f t="array" ref="F126">IF(_xlfn.NUMBERVALUE(RIGHT($E126,2))=MAX(IF(LEFT($E126:$E2083,11)=LEFT($E126,11),_xlfn.NUMBERVALUE(RIGHT($E126:$E2083,2)))),TRUE)</f>
        <v>1</v>
      </c>
      <c r="G126" s="337" t="s">
        <v>6164</v>
      </c>
      <c r="H126" s="337" t="s">
        <v>604</v>
      </c>
      <c r="I126" s="336"/>
      <c r="J126" s="337" t="s">
        <v>770</v>
      </c>
      <c r="K126" s="337" t="s">
        <v>706</v>
      </c>
      <c r="L126" s="337" t="s">
        <v>771</v>
      </c>
      <c r="M126" s="337" t="s">
        <v>772</v>
      </c>
      <c r="N126" s="337" t="s">
        <v>770</v>
      </c>
      <c r="O126" s="337" t="s">
        <v>770</v>
      </c>
      <c r="P126" s="337" t="s">
        <v>773</v>
      </c>
      <c r="Q126" s="337" t="s">
        <v>254</v>
      </c>
      <c r="R126" s="337" t="s">
        <v>4674</v>
      </c>
      <c r="S126" s="340">
        <v>43804</v>
      </c>
      <c r="T126" s="336"/>
      <c r="V126" s="152">
        <v>6</v>
      </c>
      <c r="W126" s="152">
        <v>0</v>
      </c>
      <c r="X126" s="153" t="s">
        <v>604</v>
      </c>
    </row>
    <row r="127" spans="1:24" x14ac:dyDescent="0.25">
      <c r="A127" s="336">
        <v>197956</v>
      </c>
      <c r="B127" s="337" t="s">
        <v>2507</v>
      </c>
      <c r="C127" s="337" t="s">
        <v>2506</v>
      </c>
      <c r="D127" s="337" t="s">
        <v>2505</v>
      </c>
      <c r="E127" s="337" t="s">
        <v>4756</v>
      </c>
      <c r="F127" s="104" t="b">
        <f t="array" ref="F127">IF(_xlfn.NUMBERVALUE(RIGHT($E127,2))=MAX(IF(LEFT($E127:$E2084,11)=LEFT($E127,11),_xlfn.NUMBERVALUE(RIGHT($E127:$E2084,2)))),TRUE)</f>
        <v>1</v>
      </c>
      <c r="G127" s="337" t="s">
        <v>603</v>
      </c>
      <c r="H127" s="337" t="s">
        <v>605</v>
      </c>
      <c r="I127" s="337" t="s">
        <v>605</v>
      </c>
      <c r="J127" s="337" t="s">
        <v>770</v>
      </c>
      <c r="K127" s="337" t="s">
        <v>706</v>
      </c>
      <c r="L127" s="337" t="s">
        <v>771</v>
      </c>
      <c r="M127" s="337" t="s">
        <v>771</v>
      </c>
      <c r="N127" s="337" t="s">
        <v>770</v>
      </c>
      <c r="O127" s="337" t="s">
        <v>770</v>
      </c>
      <c r="P127" s="337" t="s">
        <v>773</v>
      </c>
      <c r="Q127" s="337" t="s">
        <v>254</v>
      </c>
      <c r="R127" s="337" t="s">
        <v>4674</v>
      </c>
      <c r="S127" s="340">
        <v>43774</v>
      </c>
      <c r="T127" s="336"/>
      <c r="V127" s="152">
        <v>6</v>
      </c>
      <c r="W127" s="152">
        <v>0</v>
      </c>
      <c r="X127" s="153" t="s">
        <v>604</v>
      </c>
    </row>
    <row r="128" spans="1:24" x14ac:dyDescent="0.25">
      <c r="A128" s="336">
        <v>198565</v>
      </c>
      <c r="B128" s="337" t="s">
        <v>2516</v>
      </c>
      <c r="C128" s="337" t="s">
        <v>2515</v>
      </c>
      <c r="D128" s="337" t="s">
        <v>2514</v>
      </c>
      <c r="E128" s="337" t="s">
        <v>4757</v>
      </c>
      <c r="F128" s="104" t="b">
        <f t="array" ref="F128">IF(_xlfn.NUMBERVALUE(RIGHT($E128,2))=MAX(IF(LEFT($E128:$E2085,11)=LEFT($E128,11),_xlfn.NUMBERVALUE(RIGHT($E128:$E2085,2)))),TRUE)</f>
        <v>1</v>
      </c>
      <c r="G128" s="337" t="s">
        <v>4758</v>
      </c>
      <c r="H128" s="337" t="s">
        <v>604</v>
      </c>
      <c r="I128" s="336"/>
      <c r="J128" s="337" t="s">
        <v>770</v>
      </c>
      <c r="K128" s="337" t="s">
        <v>706</v>
      </c>
      <c r="L128" s="337" t="s">
        <v>771</v>
      </c>
      <c r="M128" s="337" t="s">
        <v>772</v>
      </c>
      <c r="N128" s="337" t="s">
        <v>770</v>
      </c>
      <c r="O128" s="337" t="s">
        <v>770</v>
      </c>
      <c r="P128" s="337" t="s">
        <v>773</v>
      </c>
      <c r="Q128" s="337" t="s">
        <v>254</v>
      </c>
      <c r="R128" s="337" t="s">
        <v>4674</v>
      </c>
      <c r="S128" s="340">
        <v>43774</v>
      </c>
      <c r="T128" s="336"/>
      <c r="V128" s="152">
        <v>6</v>
      </c>
      <c r="W128" s="152">
        <v>0</v>
      </c>
      <c r="X128" s="153" t="s">
        <v>604</v>
      </c>
    </row>
    <row r="129" spans="1:24" x14ac:dyDescent="0.25">
      <c r="A129" s="336">
        <v>198508</v>
      </c>
      <c r="B129" s="337" t="s">
        <v>399</v>
      </c>
      <c r="C129" s="337" t="s">
        <v>2524</v>
      </c>
      <c r="D129" s="337" t="s">
        <v>4349</v>
      </c>
      <c r="E129" s="337" t="s">
        <v>4759</v>
      </c>
      <c r="F129" s="104" t="b">
        <f t="array" ref="F129">IF(_xlfn.NUMBERVALUE(RIGHT($E129,2))=MAX(IF(LEFT($E129:$E2086,11)=LEFT($E129,11),_xlfn.NUMBERVALUE(RIGHT($E129:$E2086,2)))),TRUE)</f>
        <v>1</v>
      </c>
      <c r="G129" s="337" t="s">
        <v>4760</v>
      </c>
      <c r="H129" s="337" t="s">
        <v>604</v>
      </c>
      <c r="I129" s="336"/>
      <c r="J129" s="337" t="s">
        <v>770</v>
      </c>
      <c r="K129" s="337" t="s">
        <v>706</v>
      </c>
      <c r="L129" s="337" t="s">
        <v>771</v>
      </c>
      <c r="M129" s="337" t="s">
        <v>772</v>
      </c>
      <c r="N129" s="337" t="s">
        <v>770</v>
      </c>
      <c r="O129" s="337" t="s">
        <v>770</v>
      </c>
      <c r="P129" s="337" t="s">
        <v>773</v>
      </c>
      <c r="Q129" s="337" t="s">
        <v>254</v>
      </c>
      <c r="R129" s="337" t="s">
        <v>4674</v>
      </c>
      <c r="S129" s="340">
        <v>43774</v>
      </c>
      <c r="T129" s="336"/>
      <c r="V129" s="152">
        <v>6</v>
      </c>
      <c r="W129" s="152">
        <v>0</v>
      </c>
      <c r="X129" s="153" t="s">
        <v>604</v>
      </c>
    </row>
    <row r="130" spans="1:24" x14ac:dyDescent="0.25">
      <c r="A130" s="336">
        <v>197661</v>
      </c>
      <c r="B130" s="337" t="s">
        <v>2536</v>
      </c>
      <c r="C130" s="337" t="s">
        <v>2535</v>
      </c>
      <c r="D130" s="337" t="s">
        <v>2534</v>
      </c>
      <c r="E130" s="337" t="s">
        <v>4872</v>
      </c>
      <c r="F130" s="104" t="b">
        <f t="array" ref="F130">IF(_xlfn.NUMBERVALUE(RIGHT($E130,2))=MAX(IF(LEFT($E130:$E2087,11)=LEFT($E130,11),_xlfn.NUMBERVALUE(RIGHT($E130:$E2087,2)))),TRUE)</f>
        <v>1</v>
      </c>
      <c r="G130" s="337" t="s">
        <v>4873</v>
      </c>
      <c r="H130" s="337" t="s">
        <v>605</v>
      </c>
      <c r="I130" s="337" t="s">
        <v>605</v>
      </c>
      <c r="J130" s="337" t="s">
        <v>770</v>
      </c>
      <c r="K130" s="337" t="s">
        <v>706</v>
      </c>
      <c r="L130" s="337" t="s">
        <v>771</v>
      </c>
      <c r="M130" s="337" t="s">
        <v>771</v>
      </c>
      <c r="N130" s="337" t="s">
        <v>770</v>
      </c>
      <c r="O130" s="337" t="s">
        <v>770</v>
      </c>
      <c r="P130" s="337" t="s">
        <v>773</v>
      </c>
      <c r="Q130" s="337" t="s">
        <v>254</v>
      </c>
      <c r="R130" s="337" t="s">
        <v>4674</v>
      </c>
      <c r="S130" s="340">
        <v>43776</v>
      </c>
      <c r="T130" s="336"/>
      <c r="V130" s="152">
        <v>6</v>
      </c>
      <c r="W130" s="152">
        <v>0</v>
      </c>
      <c r="X130" s="153" t="s">
        <v>604</v>
      </c>
    </row>
    <row r="131" spans="1:24" x14ac:dyDescent="0.25">
      <c r="A131" s="336">
        <v>199585</v>
      </c>
      <c r="B131" s="337" t="s">
        <v>6338</v>
      </c>
      <c r="C131" s="337" t="s">
        <v>6337</v>
      </c>
      <c r="D131" s="337" t="s">
        <v>6336</v>
      </c>
      <c r="E131" s="337" t="s">
        <v>6572</v>
      </c>
      <c r="F131" s="104" t="b">
        <f t="array" ref="F131">IF(_xlfn.NUMBERVALUE(RIGHT($E131,2))=MAX(IF(LEFT($E131:$E2088,11)=LEFT($E131,11),_xlfn.NUMBERVALUE(RIGHT($E131:$E2088,2)))),TRUE)</f>
        <v>1</v>
      </c>
      <c r="G131" s="337" t="s">
        <v>603</v>
      </c>
      <c r="H131" s="337" t="s">
        <v>604</v>
      </c>
      <c r="I131" s="337" t="s">
        <v>605</v>
      </c>
      <c r="J131" s="337" t="s">
        <v>770</v>
      </c>
      <c r="K131" s="337" t="s">
        <v>706</v>
      </c>
      <c r="L131" s="337" t="s">
        <v>771</v>
      </c>
      <c r="M131" s="337" t="s">
        <v>772</v>
      </c>
      <c r="N131" s="337" t="s">
        <v>770</v>
      </c>
      <c r="O131" s="337" t="s">
        <v>770</v>
      </c>
      <c r="P131" s="337" t="s">
        <v>773</v>
      </c>
      <c r="Q131" s="337" t="s">
        <v>254</v>
      </c>
      <c r="R131" s="337" t="s">
        <v>4674</v>
      </c>
      <c r="S131" s="340">
        <v>43801</v>
      </c>
      <c r="T131" s="336"/>
      <c r="V131" s="152">
        <v>6</v>
      </c>
      <c r="W131" s="152">
        <v>0</v>
      </c>
      <c r="X131" s="153" t="s">
        <v>604</v>
      </c>
    </row>
    <row r="132" spans="1:24" x14ac:dyDescent="0.25">
      <c r="A132" s="336">
        <v>199456</v>
      </c>
      <c r="B132" s="337" t="s">
        <v>5820</v>
      </c>
      <c r="C132" s="337" t="s">
        <v>4358</v>
      </c>
      <c r="D132" s="337" t="s">
        <v>5819</v>
      </c>
      <c r="E132" s="337" t="s">
        <v>6136</v>
      </c>
      <c r="F132" s="104" t="b">
        <f t="array" ref="F132">IF(_xlfn.NUMBERVALUE(RIGHT($E132,2))=MAX(IF(LEFT($E132:$E2089,11)=LEFT($E132,11),_xlfn.NUMBERVALUE(RIGHT($E132:$E2089,2)))),TRUE)</f>
        <v>1</v>
      </c>
      <c r="G132" s="337" t="s">
        <v>6137</v>
      </c>
      <c r="H132" s="337" t="s">
        <v>605</v>
      </c>
      <c r="I132" s="336"/>
      <c r="J132" s="337" t="s">
        <v>770</v>
      </c>
      <c r="K132" s="337" t="s">
        <v>706</v>
      </c>
      <c r="L132" s="337" t="s">
        <v>771</v>
      </c>
      <c r="M132" s="337" t="s">
        <v>771</v>
      </c>
      <c r="N132" s="337" t="s">
        <v>770</v>
      </c>
      <c r="O132" s="337" t="s">
        <v>770</v>
      </c>
      <c r="P132" s="337" t="s">
        <v>773</v>
      </c>
      <c r="Q132" s="337" t="s">
        <v>254</v>
      </c>
      <c r="R132" s="337" t="s">
        <v>4674</v>
      </c>
      <c r="S132" s="340">
        <v>43801</v>
      </c>
      <c r="T132" s="336"/>
      <c r="V132" s="152">
        <v>6</v>
      </c>
      <c r="W132" s="152">
        <v>0</v>
      </c>
      <c r="X132" s="153" t="s">
        <v>604</v>
      </c>
    </row>
    <row r="133" spans="1:24" x14ac:dyDescent="0.25">
      <c r="A133" s="336">
        <v>196370</v>
      </c>
      <c r="B133" s="337" t="s">
        <v>518</v>
      </c>
      <c r="C133" s="337" t="s">
        <v>4358</v>
      </c>
      <c r="D133" s="337" t="s">
        <v>4357</v>
      </c>
      <c r="E133" s="337" t="s">
        <v>5334</v>
      </c>
      <c r="F133" s="104" t="b">
        <f t="array" ref="F133">IF(_xlfn.NUMBERVALUE(RIGHT($E133,2))=MAX(IF(LEFT($E133:$E2090,11)=LEFT($E133,11),_xlfn.NUMBERVALUE(RIGHT($E133:$E2090,2)))),TRUE)</f>
        <v>1</v>
      </c>
      <c r="G133" s="337" t="s">
        <v>5335</v>
      </c>
      <c r="H133" s="337" t="s">
        <v>604</v>
      </c>
      <c r="I133" s="337" t="s">
        <v>605</v>
      </c>
      <c r="J133" s="337" t="s">
        <v>770</v>
      </c>
      <c r="K133" s="337" t="s">
        <v>706</v>
      </c>
      <c r="L133" s="337" t="s">
        <v>771</v>
      </c>
      <c r="M133" s="337" t="s">
        <v>772</v>
      </c>
      <c r="N133" s="337" t="s">
        <v>770</v>
      </c>
      <c r="O133" s="337" t="s">
        <v>770</v>
      </c>
      <c r="P133" s="337" t="s">
        <v>773</v>
      </c>
      <c r="Q133" s="337" t="s">
        <v>254</v>
      </c>
      <c r="R133" s="337" t="s">
        <v>4674</v>
      </c>
      <c r="S133" s="340">
        <v>43783</v>
      </c>
      <c r="T133" s="336"/>
      <c r="V133" s="152">
        <v>6</v>
      </c>
      <c r="W133" s="152">
        <v>0</v>
      </c>
      <c r="X133" s="153" t="s">
        <v>604</v>
      </c>
    </row>
    <row r="134" spans="1:24" x14ac:dyDescent="0.25">
      <c r="A134" s="336">
        <v>198259</v>
      </c>
      <c r="B134" s="337" t="s">
        <v>485</v>
      </c>
      <c r="C134" s="337" t="s">
        <v>5832</v>
      </c>
      <c r="D134" s="337" t="s">
        <v>5831</v>
      </c>
      <c r="E134" s="337" t="s">
        <v>6083</v>
      </c>
      <c r="F134" s="104" t="b">
        <f t="array" ref="F134">IF(_xlfn.NUMBERVALUE(RIGHT($E134,2))=MAX(IF(LEFT($E134:$E2091,11)=LEFT($E134,11),_xlfn.NUMBERVALUE(RIGHT($E134:$E2091,2)))),TRUE)</f>
        <v>1</v>
      </c>
      <c r="G134" s="337" t="s">
        <v>6084</v>
      </c>
      <c r="H134" s="337" t="s">
        <v>604</v>
      </c>
      <c r="I134" s="336"/>
      <c r="J134" s="337" t="s">
        <v>770</v>
      </c>
      <c r="K134" s="337" t="s">
        <v>706</v>
      </c>
      <c r="L134" s="337" t="s">
        <v>771</v>
      </c>
      <c r="M134" s="337" t="s">
        <v>772</v>
      </c>
      <c r="N134" s="337" t="s">
        <v>770</v>
      </c>
      <c r="O134" s="337" t="s">
        <v>770</v>
      </c>
      <c r="P134" s="337" t="s">
        <v>773</v>
      </c>
      <c r="Q134" s="337" t="s">
        <v>254</v>
      </c>
      <c r="R134" s="337" t="s">
        <v>4674</v>
      </c>
      <c r="S134" s="340">
        <v>43774</v>
      </c>
      <c r="T134" s="336"/>
      <c r="V134" s="152">
        <v>6</v>
      </c>
      <c r="W134" s="152">
        <v>0</v>
      </c>
      <c r="X134" s="153" t="s">
        <v>604</v>
      </c>
    </row>
    <row r="135" spans="1:24" x14ac:dyDescent="0.25">
      <c r="A135" s="336">
        <v>193495</v>
      </c>
      <c r="B135" s="337" t="s">
        <v>2547</v>
      </c>
      <c r="C135" s="337" t="s">
        <v>2546</v>
      </c>
      <c r="D135" s="337" t="s">
        <v>2545</v>
      </c>
      <c r="E135" s="337" t="s">
        <v>4761</v>
      </c>
      <c r="F135" s="104" t="b">
        <f t="array" ref="F135">IF(_xlfn.NUMBERVALUE(RIGHT($E135,2))=MAX(IF(LEFT($E135:$E2093,11)=LEFT($E135,11),_xlfn.NUMBERVALUE(RIGHT($E135:$E2093,2)))),TRUE)</f>
        <v>1</v>
      </c>
      <c r="G135" s="337" t="s">
        <v>603</v>
      </c>
      <c r="H135" s="337" t="s">
        <v>604</v>
      </c>
      <c r="I135" s="337" t="s">
        <v>605</v>
      </c>
      <c r="J135" s="337" t="s">
        <v>770</v>
      </c>
      <c r="K135" s="337" t="s">
        <v>706</v>
      </c>
      <c r="L135" s="337" t="s">
        <v>771</v>
      </c>
      <c r="M135" s="337" t="s">
        <v>772</v>
      </c>
      <c r="N135" s="337" t="s">
        <v>770</v>
      </c>
      <c r="O135" s="337" t="s">
        <v>770</v>
      </c>
      <c r="P135" s="337" t="s">
        <v>773</v>
      </c>
      <c r="Q135" s="337" t="s">
        <v>254</v>
      </c>
      <c r="R135" s="337" t="s">
        <v>4674</v>
      </c>
      <c r="S135" s="340">
        <v>43774</v>
      </c>
      <c r="T135" s="336"/>
      <c r="V135" s="152">
        <v>6</v>
      </c>
      <c r="W135" s="152">
        <v>0</v>
      </c>
      <c r="X135" s="153" t="s">
        <v>604</v>
      </c>
    </row>
    <row r="136" spans="1:24" x14ac:dyDescent="0.25">
      <c r="A136" s="336">
        <v>199399</v>
      </c>
      <c r="B136" s="337" t="s">
        <v>5842</v>
      </c>
      <c r="C136" s="337" t="s">
        <v>5841</v>
      </c>
      <c r="D136" s="337" t="s">
        <v>5840</v>
      </c>
      <c r="E136" s="337" t="s">
        <v>6085</v>
      </c>
      <c r="F136" s="104" t="b">
        <f t="array" ref="F136">IF(_xlfn.NUMBERVALUE(RIGHT($E136,2))=MAX(IF(LEFT($E136:$E2094,11)=LEFT($E136,11),_xlfn.NUMBERVALUE(RIGHT($E136:$E2094,2)))),TRUE)</f>
        <v>1</v>
      </c>
      <c r="G136" s="337" t="s">
        <v>6086</v>
      </c>
      <c r="H136" s="337" t="s">
        <v>604</v>
      </c>
      <c r="I136" s="336"/>
      <c r="J136" s="337" t="s">
        <v>770</v>
      </c>
      <c r="K136" s="337" t="s">
        <v>706</v>
      </c>
      <c r="L136" s="337" t="s">
        <v>771</v>
      </c>
      <c r="M136" s="337" t="s">
        <v>772</v>
      </c>
      <c r="N136" s="337" t="s">
        <v>770</v>
      </c>
      <c r="O136" s="337" t="s">
        <v>770</v>
      </c>
      <c r="P136" s="337" t="s">
        <v>773</v>
      </c>
      <c r="Q136" s="337" t="s">
        <v>254</v>
      </c>
      <c r="R136" s="337" t="s">
        <v>4674</v>
      </c>
      <c r="S136" s="340">
        <v>43776</v>
      </c>
      <c r="T136" s="336"/>
      <c r="V136" s="152">
        <v>6</v>
      </c>
      <c r="W136" s="152">
        <v>0</v>
      </c>
      <c r="X136" s="153" t="s">
        <v>604</v>
      </c>
    </row>
    <row r="137" spans="1:24" x14ac:dyDescent="0.25">
      <c r="A137" s="336">
        <v>196576</v>
      </c>
      <c r="B137" s="337" t="s">
        <v>2569</v>
      </c>
      <c r="C137" s="337" t="s">
        <v>2568</v>
      </c>
      <c r="D137" s="337" t="s">
        <v>2567</v>
      </c>
      <c r="E137" s="337" t="s">
        <v>6165</v>
      </c>
      <c r="F137" s="104" t="b">
        <f t="array" ref="F137">IF(_xlfn.NUMBERVALUE(RIGHT($E137,2))=MAX(IF(LEFT($E137:$E2095,11)=LEFT($E137,11),_xlfn.NUMBERVALUE(RIGHT($E137:$E2095,2)))),TRUE)</f>
        <v>1</v>
      </c>
      <c r="G137" s="337" t="s">
        <v>6166</v>
      </c>
      <c r="H137" s="337" t="s">
        <v>604</v>
      </c>
      <c r="I137" s="336"/>
      <c r="J137" s="337" t="s">
        <v>605</v>
      </c>
      <c r="K137" s="337" t="s">
        <v>706</v>
      </c>
      <c r="L137" s="337" t="s">
        <v>771</v>
      </c>
      <c r="M137" s="337" t="s">
        <v>772</v>
      </c>
      <c r="N137" s="337" t="s">
        <v>770</v>
      </c>
      <c r="O137" s="337" t="s">
        <v>770</v>
      </c>
      <c r="P137" s="337" t="s">
        <v>773</v>
      </c>
      <c r="Q137" s="337" t="s">
        <v>254</v>
      </c>
      <c r="R137" s="337" t="s">
        <v>4674</v>
      </c>
      <c r="S137" s="340">
        <v>43804</v>
      </c>
      <c r="T137" s="336"/>
      <c r="V137" s="152">
        <v>6</v>
      </c>
      <c r="W137" s="152">
        <v>0</v>
      </c>
      <c r="X137" s="153" t="s">
        <v>604</v>
      </c>
    </row>
    <row r="138" spans="1:24" x14ac:dyDescent="0.25">
      <c r="A138" s="336">
        <v>196422</v>
      </c>
      <c r="B138" s="337" t="s">
        <v>503</v>
      </c>
      <c r="C138" s="337" t="s">
        <v>2575</v>
      </c>
      <c r="D138" s="337" t="s">
        <v>2574</v>
      </c>
      <c r="E138" s="337" t="s">
        <v>4762</v>
      </c>
      <c r="F138" s="104" t="b">
        <f t="array" ref="F138">IF(_xlfn.NUMBERVALUE(RIGHT($E138,2))=MAX(IF(LEFT($E138:$E2096,11)=LEFT($E138,11),_xlfn.NUMBERVALUE(RIGHT($E138:$E2096,2)))),TRUE)</f>
        <v>1</v>
      </c>
      <c r="G138" s="337" t="s">
        <v>4763</v>
      </c>
      <c r="H138" s="337" t="s">
        <v>604</v>
      </c>
      <c r="I138" s="336"/>
      <c r="J138" s="337" t="s">
        <v>770</v>
      </c>
      <c r="K138" s="337" t="s">
        <v>706</v>
      </c>
      <c r="L138" s="337" t="s">
        <v>771</v>
      </c>
      <c r="M138" s="337" t="s">
        <v>772</v>
      </c>
      <c r="N138" s="337" t="s">
        <v>770</v>
      </c>
      <c r="O138" s="337" t="s">
        <v>770</v>
      </c>
      <c r="P138" s="337" t="s">
        <v>773</v>
      </c>
      <c r="Q138" s="337" t="s">
        <v>254</v>
      </c>
      <c r="R138" s="337" t="s">
        <v>4674</v>
      </c>
      <c r="S138" s="340">
        <v>43774</v>
      </c>
      <c r="T138" s="336"/>
      <c r="V138" s="152">
        <v>6</v>
      </c>
      <c r="W138" s="152">
        <v>0</v>
      </c>
      <c r="X138" s="153" t="s">
        <v>604</v>
      </c>
    </row>
    <row r="139" spans="1:24" x14ac:dyDescent="0.25">
      <c r="A139" s="336">
        <v>196211</v>
      </c>
      <c r="B139" s="337" t="s">
        <v>2610</v>
      </c>
      <c r="C139" s="337" t="s">
        <v>2609</v>
      </c>
      <c r="D139" s="337" t="s">
        <v>2608</v>
      </c>
      <c r="E139" s="337" t="s">
        <v>4764</v>
      </c>
      <c r="F139" s="104" t="b">
        <f t="array" ref="F139">IF(_xlfn.NUMBERVALUE(RIGHT($E139,2))=MAX(IF(LEFT($E139:$E2097,11)=LEFT($E139,11),_xlfn.NUMBERVALUE(RIGHT($E139:$E2097,2)))),TRUE)</f>
        <v>1</v>
      </c>
      <c r="G139" s="337" t="s">
        <v>4765</v>
      </c>
      <c r="H139" s="337" t="s">
        <v>604</v>
      </c>
      <c r="I139" s="336"/>
      <c r="J139" s="337" t="s">
        <v>770</v>
      </c>
      <c r="K139" s="337" t="s">
        <v>706</v>
      </c>
      <c r="L139" s="337" t="s">
        <v>771</v>
      </c>
      <c r="M139" s="337" t="s">
        <v>772</v>
      </c>
      <c r="N139" s="337" t="s">
        <v>770</v>
      </c>
      <c r="O139" s="337" t="s">
        <v>770</v>
      </c>
      <c r="P139" s="337" t="s">
        <v>773</v>
      </c>
      <c r="Q139" s="337" t="s">
        <v>254</v>
      </c>
      <c r="R139" s="337" t="s">
        <v>4674</v>
      </c>
      <c r="S139" s="340">
        <v>43774</v>
      </c>
      <c r="T139" s="336"/>
      <c r="V139" s="152">
        <v>6</v>
      </c>
      <c r="W139" s="152">
        <v>0.3</v>
      </c>
      <c r="X139" s="153" t="s">
        <v>605</v>
      </c>
    </row>
    <row r="140" spans="1:24" x14ac:dyDescent="0.25">
      <c r="A140" s="336">
        <v>197603</v>
      </c>
      <c r="B140" s="337" t="s">
        <v>2621</v>
      </c>
      <c r="C140" s="337" t="s">
        <v>2620</v>
      </c>
      <c r="D140" s="337" t="s">
        <v>2619</v>
      </c>
      <c r="E140" s="337" t="s">
        <v>4766</v>
      </c>
      <c r="F140" s="104" t="b">
        <f t="array" ref="F140">IF(_xlfn.NUMBERVALUE(RIGHT($E140,2))=MAX(IF(LEFT($E140:$E2098,11)=LEFT($E140,11),_xlfn.NUMBERVALUE(RIGHT($E140:$E2098,2)))),TRUE)</f>
        <v>1</v>
      </c>
      <c r="G140" s="337" t="s">
        <v>603</v>
      </c>
      <c r="H140" s="337" t="s">
        <v>605</v>
      </c>
      <c r="I140" s="337" t="s">
        <v>605</v>
      </c>
      <c r="J140" s="337" t="s">
        <v>770</v>
      </c>
      <c r="K140" s="337" t="s">
        <v>706</v>
      </c>
      <c r="L140" s="337" t="s">
        <v>771</v>
      </c>
      <c r="M140" s="337" t="s">
        <v>771</v>
      </c>
      <c r="N140" s="337" t="s">
        <v>770</v>
      </c>
      <c r="O140" s="337" t="s">
        <v>770</v>
      </c>
      <c r="P140" s="337" t="s">
        <v>773</v>
      </c>
      <c r="Q140" s="337" t="s">
        <v>254</v>
      </c>
      <c r="R140" s="337" t="s">
        <v>4674</v>
      </c>
      <c r="S140" s="340">
        <v>43774</v>
      </c>
      <c r="T140" s="336"/>
      <c r="V140" s="152">
        <v>6</v>
      </c>
      <c r="W140" s="152">
        <v>0</v>
      </c>
      <c r="X140" s="153" t="s">
        <v>604</v>
      </c>
    </row>
    <row r="141" spans="1:24" x14ac:dyDescent="0.25">
      <c r="A141" s="336">
        <v>195554</v>
      </c>
      <c r="B141" s="337" t="s">
        <v>2633</v>
      </c>
      <c r="C141" s="337" t="s">
        <v>2632</v>
      </c>
      <c r="D141" s="337" t="s">
        <v>2631</v>
      </c>
      <c r="E141" s="337" t="s">
        <v>6138</v>
      </c>
      <c r="F141" s="104" t="b">
        <f t="array" ref="F141">IF(_xlfn.NUMBERVALUE(RIGHT($E141,2))=MAX(IF(LEFT($E141:$E2099,11)=LEFT($E141,11),_xlfn.NUMBERVALUE(RIGHT($E141:$E2099,2)))),TRUE)</f>
        <v>1</v>
      </c>
      <c r="G141" s="337" t="s">
        <v>603</v>
      </c>
      <c r="H141" s="337" t="s">
        <v>604</v>
      </c>
      <c r="I141" s="337" t="s">
        <v>605</v>
      </c>
      <c r="J141" s="337" t="s">
        <v>770</v>
      </c>
      <c r="K141" s="337" t="s">
        <v>278</v>
      </c>
      <c r="L141" s="337" t="s">
        <v>771</v>
      </c>
      <c r="M141" s="337" t="s">
        <v>772</v>
      </c>
      <c r="N141" s="337" t="s">
        <v>770</v>
      </c>
      <c r="O141" s="337" t="s">
        <v>770</v>
      </c>
      <c r="P141" s="337" t="s">
        <v>773</v>
      </c>
      <c r="Q141" s="337" t="s">
        <v>254</v>
      </c>
      <c r="R141" s="337" t="s">
        <v>4674</v>
      </c>
      <c r="S141" s="340">
        <v>43801</v>
      </c>
      <c r="T141" s="336"/>
      <c r="V141" s="152">
        <v>6</v>
      </c>
      <c r="W141" s="152">
        <v>0</v>
      </c>
      <c r="X141" s="153" t="s">
        <v>604</v>
      </c>
    </row>
    <row r="142" spans="1:24" x14ac:dyDescent="0.25">
      <c r="A142" s="336">
        <v>198280</v>
      </c>
      <c r="B142" s="337" t="s">
        <v>2645</v>
      </c>
      <c r="C142" s="337" t="s">
        <v>2644</v>
      </c>
      <c r="D142" s="337" t="s">
        <v>2643</v>
      </c>
      <c r="E142" s="337" t="s">
        <v>4874</v>
      </c>
      <c r="F142" s="104" t="b">
        <f t="array" ref="F142">IF(_xlfn.NUMBERVALUE(RIGHT($E142,2))=MAX(IF(LEFT($E142:$E2100,11)=LEFT($E142,11),_xlfn.NUMBERVALUE(RIGHT($E142:$E2100,2)))),TRUE)</f>
        <v>1</v>
      </c>
      <c r="G142" s="337" t="s">
        <v>4875</v>
      </c>
      <c r="H142" s="337" t="s">
        <v>604</v>
      </c>
      <c r="I142" s="336"/>
      <c r="J142" s="337" t="s">
        <v>770</v>
      </c>
      <c r="K142" s="337" t="s">
        <v>706</v>
      </c>
      <c r="L142" s="337" t="s">
        <v>771</v>
      </c>
      <c r="M142" s="337" t="s">
        <v>772</v>
      </c>
      <c r="N142" s="337" t="s">
        <v>770</v>
      </c>
      <c r="O142" s="337" t="s">
        <v>770</v>
      </c>
      <c r="P142" s="337" t="s">
        <v>773</v>
      </c>
      <c r="Q142" s="337" t="s">
        <v>254</v>
      </c>
      <c r="R142" s="337" t="s">
        <v>4674</v>
      </c>
      <c r="S142" s="340">
        <v>43776</v>
      </c>
      <c r="T142" s="336"/>
      <c r="V142" s="152">
        <v>6</v>
      </c>
      <c r="W142" s="152">
        <v>0</v>
      </c>
      <c r="X142" s="153" t="s">
        <v>604</v>
      </c>
    </row>
    <row r="143" spans="1:24" x14ac:dyDescent="0.25">
      <c r="A143" s="336">
        <v>197552</v>
      </c>
      <c r="B143" s="337" t="s">
        <v>563</v>
      </c>
      <c r="C143" s="337" t="s">
        <v>2656</v>
      </c>
      <c r="D143" s="337" t="s">
        <v>2655</v>
      </c>
      <c r="E143" s="337" t="s">
        <v>4767</v>
      </c>
      <c r="F143" s="104" t="b">
        <f t="array" ref="F143">IF(_xlfn.NUMBERVALUE(RIGHT($E143,2))=MAX(IF(LEFT($E143:$E2101,11)=LEFT($E143,11),_xlfn.NUMBERVALUE(RIGHT($E143:$E2101,2)))),TRUE)</f>
        <v>1</v>
      </c>
      <c r="G143" s="337" t="s">
        <v>603</v>
      </c>
      <c r="H143" s="337" t="s">
        <v>604</v>
      </c>
      <c r="I143" s="337" t="s">
        <v>605</v>
      </c>
      <c r="J143" s="337" t="s">
        <v>770</v>
      </c>
      <c r="K143" s="337" t="s">
        <v>706</v>
      </c>
      <c r="L143" s="337" t="s">
        <v>771</v>
      </c>
      <c r="M143" s="337" t="s">
        <v>772</v>
      </c>
      <c r="N143" s="337" t="s">
        <v>770</v>
      </c>
      <c r="O143" s="337" t="s">
        <v>770</v>
      </c>
      <c r="P143" s="337" t="s">
        <v>773</v>
      </c>
      <c r="Q143" s="337" t="s">
        <v>254</v>
      </c>
      <c r="R143" s="337" t="s">
        <v>4674</v>
      </c>
      <c r="S143" s="340">
        <v>43774</v>
      </c>
      <c r="T143" s="336"/>
      <c r="V143" s="152">
        <v>6</v>
      </c>
      <c r="W143" s="152">
        <v>0</v>
      </c>
      <c r="X143" s="153" t="s">
        <v>604</v>
      </c>
    </row>
    <row r="144" spans="1:24" x14ac:dyDescent="0.25">
      <c r="A144" s="336">
        <v>194584</v>
      </c>
      <c r="B144" s="337" t="s">
        <v>380</v>
      </c>
      <c r="C144" s="337" t="s">
        <v>2677</v>
      </c>
      <c r="D144" s="337" t="s">
        <v>2676</v>
      </c>
      <c r="E144" s="337" t="s">
        <v>4768</v>
      </c>
      <c r="F144" s="104" t="b">
        <f t="array" ref="F144">IF(_xlfn.NUMBERVALUE(RIGHT($E144,2))=MAX(IF(LEFT($E144:$E2102,11)=LEFT($E144,11),_xlfn.NUMBERVALUE(RIGHT($E144:$E2102,2)))),TRUE)</f>
        <v>1</v>
      </c>
      <c r="G144" s="337" t="s">
        <v>4769</v>
      </c>
      <c r="H144" s="337" t="s">
        <v>604</v>
      </c>
      <c r="I144" s="337" t="s">
        <v>605</v>
      </c>
      <c r="J144" s="337" t="s">
        <v>770</v>
      </c>
      <c r="K144" s="337" t="s">
        <v>706</v>
      </c>
      <c r="L144" s="337" t="s">
        <v>771</v>
      </c>
      <c r="M144" s="337" t="s">
        <v>772</v>
      </c>
      <c r="N144" s="337" t="s">
        <v>770</v>
      </c>
      <c r="O144" s="337" t="s">
        <v>770</v>
      </c>
      <c r="P144" s="337" t="s">
        <v>773</v>
      </c>
      <c r="Q144" s="337" t="s">
        <v>254</v>
      </c>
      <c r="R144" s="337" t="s">
        <v>4674</v>
      </c>
      <c r="S144" s="340">
        <v>43774</v>
      </c>
      <c r="T144" s="336"/>
      <c r="V144" s="152">
        <v>6</v>
      </c>
      <c r="W144" s="152">
        <v>0</v>
      </c>
      <c r="X144" s="153" t="s">
        <v>604</v>
      </c>
    </row>
    <row r="145" spans="1:24" x14ac:dyDescent="0.25">
      <c r="A145" s="336">
        <v>197289</v>
      </c>
      <c r="B145" s="337" t="s">
        <v>467</v>
      </c>
      <c r="C145" s="337" t="s">
        <v>2699</v>
      </c>
      <c r="D145" s="337" t="s">
        <v>2698</v>
      </c>
      <c r="E145" s="337" t="s">
        <v>4770</v>
      </c>
      <c r="F145" s="104" t="b">
        <f t="array" ref="F145">IF(_xlfn.NUMBERVALUE(RIGHT($E145,2))=MAX(IF(LEFT($E145:$E2103,11)=LEFT($E145,11),_xlfn.NUMBERVALUE(RIGHT($E145:$E2103,2)))),TRUE)</f>
        <v>1</v>
      </c>
      <c r="G145" s="337" t="s">
        <v>4771</v>
      </c>
      <c r="H145" s="337" t="s">
        <v>604</v>
      </c>
      <c r="I145" s="336"/>
      <c r="J145" s="337" t="s">
        <v>770</v>
      </c>
      <c r="K145" s="337" t="s">
        <v>706</v>
      </c>
      <c r="L145" s="337" t="s">
        <v>771</v>
      </c>
      <c r="M145" s="337" t="s">
        <v>772</v>
      </c>
      <c r="N145" s="337" t="s">
        <v>770</v>
      </c>
      <c r="O145" s="337" t="s">
        <v>770</v>
      </c>
      <c r="P145" s="337" t="s">
        <v>773</v>
      </c>
      <c r="Q145" s="337" t="s">
        <v>254</v>
      </c>
      <c r="R145" s="337" t="s">
        <v>4674</v>
      </c>
      <c r="S145" s="340">
        <v>43774</v>
      </c>
      <c r="T145" s="336"/>
      <c r="V145" s="152">
        <v>6</v>
      </c>
      <c r="W145" s="152">
        <v>0</v>
      </c>
      <c r="X145" s="153" t="s">
        <v>604</v>
      </c>
    </row>
    <row r="146" spans="1:24" x14ac:dyDescent="0.25">
      <c r="A146" s="336">
        <v>196981</v>
      </c>
      <c r="B146" s="337" t="s">
        <v>305</v>
      </c>
      <c r="C146" s="337" t="s">
        <v>2710</v>
      </c>
      <c r="D146" s="337" t="s">
        <v>2709</v>
      </c>
      <c r="E146" s="337" t="s">
        <v>6139</v>
      </c>
      <c r="F146" s="104" t="b">
        <f t="array" ref="F146">IF(_xlfn.NUMBERVALUE(RIGHT($E146,2))=MAX(IF(LEFT($E146:$E2106,11)=LEFT($E146,11),_xlfn.NUMBERVALUE(RIGHT($E146:$E2106,2)))),TRUE)</f>
        <v>1</v>
      </c>
      <c r="G146" s="337" t="s">
        <v>4772</v>
      </c>
      <c r="H146" s="337" t="s">
        <v>605</v>
      </c>
      <c r="I146" s="337" t="s">
        <v>605</v>
      </c>
      <c r="J146" s="337" t="s">
        <v>770</v>
      </c>
      <c r="K146" s="337" t="s">
        <v>706</v>
      </c>
      <c r="L146" s="337" t="s">
        <v>771</v>
      </c>
      <c r="M146" s="337" t="s">
        <v>771</v>
      </c>
      <c r="N146" s="337" t="s">
        <v>770</v>
      </c>
      <c r="O146" s="337" t="s">
        <v>770</v>
      </c>
      <c r="P146" s="337" t="s">
        <v>773</v>
      </c>
      <c r="Q146" s="337" t="s">
        <v>254</v>
      </c>
      <c r="R146" s="337" t="s">
        <v>4674</v>
      </c>
      <c r="S146" s="340">
        <v>43801</v>
      </c>
      <c r="T146" s="336"/>
      <c r="V146" s="152">
        <v>6</v>
      </c>
      <c r="W146" s="152">
        <v>0</v>
      </c>
      <c r="X146" s="153" t="s">
        <v>604</v>
      </c>
    </row>
    <row r="147" spans="1:24" x14ac:dyDescent="0.25">
      <c r="A147" s="336">
        <v>197518</v>
      </c>
      <c r="B147" s="337" t="s">
        <v>4368</v>
      </c>
      <c r="C147" s="337" t="s">
        <v>4367</v>
      </c>
      <c r="D147" s="337" t="s">
        <v>916</v>
      </c>
      <c r="E147" s="337" t="s">
        <v>6087</v>
      </c>
      <c r="F147" s="104" t="b">
        <f t="array" ref="F147">IF(_xlfn.NUMBERVALUE(RIGHT($E147,2))=MAX(IF(LEFT($E147:$E2108,11)=LEFT($E147,11),_xlfn.NUMBERVALUE(RIGHT($E147:$E2108,2)))),TRUE)</f>
        <v>1</v>
      </c>
      <c r="G147" s="337" t="s">
        <v>4773</v>
      </c>
      <c r="H147" s="337" t="s">
        <v>604</v>
      </c>
      <c r="I147" s="337" t="s">
        <v>605</v>
      </c>
      <c r="J147" s="337" t="s">
        <v>770</v>
      </c>
      <c r="K147" s="337" t="s">
        <v>706</v>
      </c>
      <c r="L147" s="337" t="s">
        <v>771</v>
      </c>
      <c r="M147" s="337" t="s">
        <v>772</v>
      </c>
      <c r="N147" s="337" t="s">
        <v>770</v>
      </c>
      <c r="O147" s="337" t="s">
        <v>770</v>
      </c>
      <c r="P147" s="337" t="s">
        <v>773</v>
      </c>
      <c r="Q147" s="337" t="s">
        <v>254</v>
      </c>
      <c r="R147" s="337" t="s">
        <v>4674</v>
      </c>
      <c r="S147" s="340">
        <v>43790</v>
      </c>
      <c r="T147" s="336"/>
      <c r="V147" s="152">
        <v>6</v>
      </c>
      <c r="W147" s="152">
        <v>0</v>
      </c>
      <c r="X147" s="153" t="s">
        <v>604</v>
      </c>
    </row>
    <row r="148" spans="1:24" x14ac:dyDescent="0.25">
      <c r="A148" s="336">
        <v>197892</v>
      </c>
      <c r="B148" s="337" t="s">
        <v>528</v>
      </c>
      <c r="C148" s="337" t="s">
        <v>2719</v>
      </c>
      <c r="D148" s="337" t="s">
        <v>2718</v>
      </c>
      <c r="E148" s="337" t="s">
        <v>6088</v>
      </c>
      <c r="F148" s="104" t="b">
        <f t="array" ref="F148">IF(_xlfn.NUMBERVALUE(RIGHT($E148,2))=MAX(IF(LEFT($E148:$E2109,11)=LEFT($E148,11),_xlfn.NUMBERVALUE(RIGHT($E148:$E2109,2)))),TRUE)</f>
        <v>1</v>
      </c>
      <c r="G148" s="337" t="s">
        <v>6089</v>
      </c>
      <c r="H148" s="337" t="s">
        <v>605</v>
      </c>
      <c r="I148" s="337" t="s">
        <v>605</v>
      </c>
      <c r="J148" s="337" t="s">
        <v>770</v>
      </c>
      <c r="K148" s="337" t="s">
        <v>706</v>
      </c>
      <c r="L148" s="337" t="s">
        <v>771</v>
      </c>
      <c r="M148" s="337" t="s">
        <v>771</v>
      </c>
      <c r="N148" s="337" t="s">
        <v>770</v>
      </c>
      <c r="O148" s="337" t="s">
        <v>770</v>
      </c>
      <c r="P148" s="337" t="s">
        <v>773</v>
      </c>
      <c r="Q148" s="337" t="s">
        <v>254</v>
      </c>
      <c r="R148" s="337" t="s">
        <v>4674</v>
      </c>
      <c r="S148" s="340">
        <v>43790</v>
      </c>
      <c r="T148" s="336"/>
      <c r="V148" s="152">
        <v>6</v>
      </c>
      <c r="W148" s="152">
        <v>0</v>
      </c>
      <c r="X148" s="153" t="s">
        <v>604</v>
      </c>
    </row>
    <row r="149" spans="1:24" x14ac:dyDescent="0.25">
      <c r="A149" s="336">
        <v>195082</v>
      </c>
      <c r="B149" s="337" t="s">
        <v>758</v>
      </c>
      <c r="C149" s="337" t="s">
        <v>2766</v>
      </c>
      <c r="D149" s="337" t="s">
        <v>2765</v>
      </c>
      <c r="E149" s="337" t="s">
        <v>4774</v>
      </c>
      <c r="F149" s="104" t="b">
        <f t="array" ref="F149">IF(_xlfn.NUMBERVALUE(RIGHT($E149,2))=MAX(IF(LEFT($E149:$E2110,11)=LEFT($E149,11),_xlfn.NUMBERVALUE(RIGHT($E149:$E2110,2)))),TRUE)</f>
        <v>1</v>
      </c>
      <c r="G149" s="337" t="s">
        <v>4775</v>
      </c>
      <c r="H149" s="337" t="s">
        <v>604</v>
      </c>
      <c r="I149" s="336"/>
      <c r="J149" s="337" t="s">
        <v>605</v>
      </c>
      <c r="K149" s="337" t="s">
        <v>706</v>
      </c>
      <c r="L149" s="337" t="s">
        <v>771</v>
      </c>
      <c r="M149" s="337" t="s">
        <v>772</v>
      </c>
      <c r="N149" s="337" t="s">
        <v>770</v>
      </c>
      <c r="O149" s="337" t="s">
        <v>770</v>
      </c>
      <c r="P149" s="337" t="s">
        <v>773</v>
      </c>
      <c r="Q149" s="337" t="s">
        <v>254</v>
      </c>
      <c r="R149" s="337" t="s">
        <v>4674</v>
      </c>
      <c r="S149" s="340">
        <v>43774</v>
      </c>
      <c r="T149" s="336"/>
      <c r="V149" s="152">
        <v>6</v>
      </c>
      <c r="W149" s="152">
        <v>0</v>
      </c>
      <c r="X149" s="153" t="s">
        <v>604</v>
      </c>
    </row>
    <row r="150" spans="1:24" x14ac:dyDescent="0.25">
      <c r="A150" s="336">
        <v>192098</v>
      </c>
      <c r="B150" s="337" t="s">
        <v>505</v>
      </c>
      <c r="C150" s="337" t="s">
        <v>6348</v>
      </c>
      <c r="D150" s="337" t="s">
        <v>6347</v>
      </c>
      <c r="E150" s="337" t="s">
        <v>6573</v>
      </c>
      <c r="F150" s="104" t="b">
        <f t="array" ref="F150">IF(_xlfn.NUMBERVALUE(RIGHT($E150,2))=MAX(IF(LEFT($E150:$E2111,11)=LEFT($E150,11),_xlfn.NUMBERVALUE(RIGHT($E150:$E2111,2)))),TRUE)</f>
        <v>1</v>
      </c>
      <c r="G150" s="337" t="s">
        <v>6574</v>
      </c>
      <c r="H150" s="337" t="s">
        <v>604</v>
      </c>
      <c r="I150" s="336"/>
      <c r="J150" s="337" t="s">
        <v>770</v>
      </c>
      <c r="K150" s="337" t="s">
        <v>706</v>
      </c>
      <c r="L150" s="337" t="s">
        <v>771</v>
      </c>
      <c r="M150" s="337" t="s">
        <v>772</v>
      </c>
      <c r="N150" s="337" t="s">
        <v>770</v>
      </c>
      <c r="O150" s="337" t="s">
        <v>770</v>
      </c>
      <c r="P150" s="337" t="s">
        <v>773</v>
      </c>
      <c r="Q150" s="337" t="s">
        <v>254</v>
      </c>
      <c r="R150" s="337" t="s">
        <v>4674</v>
      </c>
      <c r="S150" s="340">
        <v>43776</v>
      </c>
      <c r="T150" s="336"/>
      <c r="V150" s="152">
        <v>6</v>
      </c>
      <c r="W150" s="152">
        <v>0</v>
      </c>
      <c r="X150" s="153" t="s">
        <v>604</v>
      </c>
    </row>
    <row r="151" spans="1:24" x14ac:dyDescent="0.25">
      <c r="A151" s="336">
        <v>193332</v>
      </c>
      <c r="B151" s="337" t="s">
        <v>2777</v>
      </c>
      <c r="C151" s="337" t="s">
        <v>2776</v>
      </c>
      <c r="D151" s="337" t="s">
        <v>2775</v>
      </c>
      <c r="E151" s="337" t="s">
        <v>4776</v>
      </c>
      <c r="F151" s="104" t="b">
        <f t="array" ref="F151">IF(_xlfn.NUMBERVALUE(RIGHT($E151,2))=MAX(IF(LEFT($E151:$E2113,11)=LEFT($E151,11),_xlfn.NUMBERVALUE(RIGHT($E151:$E2113,2)))),TRUE)</f>
        <v>1</v>
      </c>
      <c r="G151" s="337" t="s">
        <v>4777</v>
      </c>
      <c r="H151" s="337" t="s">
        <v>604</v>
      </c>
      <c r="I151" s="336"/>
      <c r="J151" s="337" t="s">
        <v>770</v>
      </c>
      <c r="K151" s="337" t="s">
        <v>706</v>
      </c>
      <c r="L151" s="337" t="s">
        <v>771</v>
      </c>
      <c r="M151" s="337" t="s">
        <v>772</v>
      </c>
      <c r="N151" s="337" t="s">
        <v>770</v>
      </c>
      <c r="O151" s="337" t="s">
        <v>770</v>
      </c>
      <c r="P151" s="337" t="s">
        <v>773</v>
      </c>
      <c r="Q151" s="337" t="s">
        <v>254</v>
      </c>
      <c r="R151" s="337" t="s">
        <v>4674</v>
      </c>
      <c r="S151" s="340">
        <v>43774</v>
      </c>
      <c r="T151" s="336"/>
      <c r="V151" s="152">
        <v>6</v>
      </c>
      <c r="W151" s="152">
        <v>0</v>
      </c>
      <c r="X151" s="153" t="s">
        <v>604</v>
      </c>
    </row>
    <row r="152" spans="1:24" x14ac:dyDescent="0.25">
      <c r="A152" s="336">
        <v>198390</v>
      </c>
      <c r="B152" s="337" t="s">
        <v>2799</v>
      </c>
      <c r="C152" s="337" t="s">
        <v>2798</v>
      </c>
      <c r="D152" s="337" t="s">
        <v>2797</v>
      </c>
      <c r="E152" s="337" t="s">
        <v>4778</v>
      </c>
      <c r="F152" s="104" t="b">
        <f t="array" ref="F152">IF(_xlfn.NUMBERVALUE(RIGHT($E152,2))=MAX(IF(LEFT($E152:$E2114,11)=LEFT($E152,11),_xlfn.NUMBERVALUE(RIGHT($E152:$E2114,2)))),TRUE)</f>
        <v>1</v>
      </c>
      <c r="G152" s="337" t="s">
        <v>4779</v>
      </c>
      <c r="H152" s="337" t="s">
        <v>604</v>
      </c>
      <c r="I152" s="337" t="s">
        <v>605</v>
      </c>
      <c r="J152" s="337" t="s">
        <v>770</v>
      </c>
      <c r="K152" s="337" t="s">
        <v>706</v>
      </c>
      <c r="L152" s="337" t="s">
        <v>771</v>
      </c>
      <c r="M152" s="337" t="s">
        <v>772</v>
      </c>
      <c r="N152" s="337" t="s">
        <v>770</v>
      </c>
      <c r="O152" s="337" t="s">
        <v>770</v>
      </c>
      <c r="P152" s="337" t="s">
        <v>773</v>
      </c>
      <c r="Q152" s="337" t="s">
        <v>254</v>
      </c>
      <c r="R152" s="337" t="s">
        <v>4674</v>
      </c>
      <c r="S152" s="340">
        <v>43774</v>
      </c>
      <c r="T152" s="336"/>
      <c r="V152" s="152">
        <v>6</v>
      </c>
      <c r="W152" s="152">
        <v>0</v>
      </c>
      <c r="X152" s="153" t="s">
        <v>604</v>
      </c>
    </row>
    <row r="153" spans="1:24" x14ac:dyDescent="0.25">
      <c r="A153" s="336">
        <v>195399</v>
      </c>
      <c r="B153" s="337" t="s">
        <v>5079</v>
      </c>
      <c r="C153" s="337" t="s">
        <v>5078</v>
      </c>
      <c r="D153" s="337" t="s">
        <v>5077</v>
      </c>
      <c r="E153" s="337" t="s">
        <v>5336</v>
      </c>
      <c r="F153" s="104" t="b">
        <f t="array" ref="F153">IF(_xlfn.NUMBERVALUE(RIGHT($E153,2))=MAX(IF(LEFT($E153:$E2115,11)=LEFT($E153,11),_xlfn.NUMBERVALUE(RIGHT($E153:$E2115,2)))),TRUE)</f>
        <v>1</v>
      </c>
      <c r="G153" s="337" t="s">
        <v>5337</v>
      </c>
      <c r="H153" s="337" t="s">
        <v>605</v>
      </c>
      <c r="I153" s="337" t="s">
        <v>605</v>
      </c>
      <c r="J153" s="337" t="s">
        <v>770</v>
      </c>
      <c r="K153" s="337" t="s">
        <v>706</v>
      </c>
      <c r="L153" s="337" t="s">
        <v>771</v>
      </c>
      <c r="M153" s="337" t="s">
        <v>771</v>
      </c>
      <c r="N153" s="337" t="s">
        <v>770</v>
      </c>
      <c r="O153" s="337" t="s">
        <v>770</v>
      </c>
      <c r="P153" s="337" t="s">
        <v>773</v>
      </c>
      <c r="Q153" s="337" t="s">
        <v>254</v>
      </c>
      <c r="R153" s="337" t="s">
        <v>4674</v>
      </c>
      <c r="S153" s="340">
        <v>43774</v>
      </c>
      <c r="T153" s="336"/>
      <c r="V153" s="152">
        <v>6</v>
      </c>
      <c r="W153" s="152">
        <v>0</v>
      </c>
      <c r="X153" s="153" t="s">
        <v>604</v>
      </c>
    </row>
    <row r="154" spans="1:24" x14ac:dyDescent="0.25">
      <c r="A154" s="336">
        <v>196525</v>
      </c>
      <c r="B154" s="337" t="s">
        <v>2849</v>
      </c>
      <c r="C154" s="337" t="s">
        <v>2848</v>
      </c>
      <c r="D154" s="337" t="s">
        <v>2847</v>
      </c>
      <c r="E154" s="337" t="s">
        <v>4780</v>
      </c>
      <c r="F154" s="104" t="b">
        <f t="array" ref="F154">IF(_xlfn.NUMBERVALUE(RIGHT($E154,2))=MAX(IF(LEFT($E154:$E2116,11)=LEFT($E154,11),_xlfn.NUMBERVALUE(RIGHT($E154:$E2116,2)))),TRUE)</f>
        <v>1</v>
      </c>
      <c r="G154" s="337" t="s">
        <v>4781</v>
      </c>
      <c r="H154" s="337" t="s">
        <v>604</v>
      </c>
      <c r="I154" s="337" t="s">
        <v>605</v>
      </c>
      <c r="J154" s="337" t="s">
        <v>770</v>
      </c>
      <c r="K154" s="337" t="s">
        <v>706</v>
      </c>
      <c r="L154" s="337" t="s">
        <v>771</v>
      </c>
      <c r="M154" s="337" t="s">
        <v>772</v>
      </c>
      <c r="N154" s="337" t="s">
        <v>770</v>
      </c>
      <c r="O154" s="337" t="s">
        <v>770</v>
      </c>
      <c r="P154" s="337" t="s">
        <v>773</v>
      </c>
      <c r="Q154" s="337" t="s">
        <v>254</v>
      </c>
      <c r="R154" s="337" t="s">
        <v>4674</v>
      </c>
      <c r="S154" s="340">
        <v>43774</v>
      </c>
      <c r="T154" s="336"/>
      <c r="V154" s="152">
        <v>6</v>
      </c>
      <c r="W154" s="152">
        <v>0</v>
      </c>
      <c r="X154" s="153" t="s">
        <v>604</v>
      </c>
    </row>
    <row r="155" spans="1:24" x14ac:dyDescent="0.25">
      <c r="A155" s="336">
        <v>196712</v>
      </c>
      <c r="B155" s="337" t="s">
        <v>387</v>
      </c>
      <c r="C155" s="337" t="s">
        <v>410</v>
      </c>
      <c r="D155" s="337" t="s">
        <v>2858</v>
      </c>
      <c r="E155" s="337" t="s">
        <v>4782</v>
      </c>
      <c r="F155" s="104" t="b">
        <f t="array" ref="F155">IF(_xlfn.NUMBERVALUE(RIGHT($E155,2))=MAX(IF(LEFT($E155:$E2117,11)=LEFT($E155,11),_xlfn.NUMBERVALUE(RIGHT($E155:$E2117,2)))),TRUE)</f>
        <v>1</v>
      </c>
      <c r="G155" s="337" t="s">
        <v>4783</v>
      </c>
      <c r="H155" s="337" t="s">
        <v>605</v>
      </c>
      <c r="I155" s="337" t="s">
        <v>605</v>
      </c>
      <c r="J155" s="337" t="s">
        <v>770</v>
      </c>
      <c r="K155" s="337" t="s">
        <v>706</v>
      </c>
      <c r="L155" s="337" t="s">
        <v>771</v>
      </c>
      <c r="M155" s="337" t="s">
        <v>771</v>
      </c>
      <c r="N155" s="337" t="s">
        <v>770</v>
      </c>
      <c r="O155" s="337" t="s">
        <v>770</v>
      </c>
      <c r="P155" s="337" t="s">
        <v>773</v>
      </c>
      <c r="Q155" s="337" t="s">
        <v>254</v>
      </c>
      <c r="R155" s="337" t="s">
        <v>4674</v>
      </c>
      <c r="S155" s="340">
        <v>43774</v>
      </c>
      <c r="T155" s="336"/>
      <c r="V155" s="152">
        <v>6</v>
      </c>
      <c r="W155" s="152">
        <v>0</v>
      </c>
      <c r="X155" s="153" t="s">
        <v>604</v>
      </c>
    </row>
    <row r="156" spans="1:24" x14ac:dyDescent="0.25">
      <c r="A156" s="336">
        <v>197824</v>
      </c>
      <c r="B156" s="337" t="s">
        <v>485</v>
      </c>
      <c r="C156" s="337" t="s">
        <v>2879</v>
      </c>
      <c r="D156" s="337" t="s">
        <v>2878</v>
      </c>
      <c r="E156" s="337" t="s">
        <v>4784</v>
      </c>
      <c r="F156" s="104" t="b">
        <f t="array" ref="F156">IF(_xlfn.NUMBERVALUE(RIGHT($E156,2))=MAX(IF(LEFT($E156:$E2118,11)=LEFT($E156,11),_xlfn.NUMBERVALUE(RIGHT($E156:$E2118,2)))),TRUE)</f>
        <v>1</v>
      </c>
      <c r="G156" s="337" t="s">
        <v>4785</v>
      </c>
      <c r="H156" s="337" t="s">
        <v>604</v>
      </c>
      <c r="I156" s="336"/>
      <c r="J156" s="337" t="s">
        <v>770</v>
      </c>
      <c r="K156" s="337" t="s">
        <v>706</v>
      </c>
      <c r="L156" s="337" t="s">
        <v>771</v>
      </c>
      <c r="M156" s="337" t="s">
        <v>772</v>
      </c>
      <c r="N156" s="337" t="s">
        <v>770</v>
      </c>
      <c r="O156" s="337" t="s">
        <v>770</v>
      </c>
      <c r="P156" s="337" t="s">
        <v>773</v>
      </c>
      <c r="Q156" s="337" t="s">
        <v>254</v>
      </c>
      <c r="R156" s="337" t="s">
        <v>4674</v>
      </c>
      <c r="S156" s="340">
        <v>43774</v>
      </c>
      <c r="T156" s="336"/>
      <c r="V156" s="152">
        <v>6</v>
      </c>
      <c r="W156" s="152">
        <v>1</v>
      </c>
      <c r="X156" s="153" t="s">
        <v>605</v>
      </c>
    </row>
    <row r="157" spans="1:24" x14ac:dyDescent="0.25">
      <c r="A157" s="336">
        <v>197233</v>
      </c>
      <c r="B157" s="337" t="s">
        <v>5102</v>
      </c>
      <c r="C157" s="337" t="s">
        <v>5101</v>
      </c>
      <c r="D157" s="337" t="s">
        <v>5100</v>
      </c>
      <c r="E157" s="337" t="s">
        <v>5338</v>
      </c>
      <c r="F157" s="104" t="b">
        <f t="array" ref="F157">IF(_xlfn.NUMBERVALUE(RIGHT($E157,2))=MAX(IF(LEFT($E157:$E2119,11)=LEFT($E157,11),_xlfn.NUMBERVALUE(RIGHT($E157:$E2119,2)))),TRUE)</f>
        <v>1</v>
      </c>
      <c r="G157" s="337" t="s">
        <v>5339</v>
      </c>
      <c r="H157" s="337" t="s">
        <v>604</v>
      </c>
      <c r="I157" s="336"/>
      <c r="J157" s="337" t="s">
        <v>770</v>
      </c>
      <c r="K157" s="337" t="s">
        <v>706</v>
      </c>
      <c r="L157" s="337" t="s">
        <v>771</v>
      </c>
      <c r="M157" s="337" t="s">
        <v>772</v>
      </c>
      <c r="N157" s="337" t="s">
        <v>770</v>
      </c>
      <c r="O157" s="337" t="s">
        <v>770</v>
      </c>
      <c r="P157" s="337" t="s">
        <v>773</v>
      </c>
      <c r="Q157" s="337" t="s">
        <v>254</v>
      </c>
      <c r="R157" s="337" t="s">
        <v>4674</v>
      </c>
      <c r="S157" s="340">
        <v>43776</v>
      </c>
      <c r="T157" s="336"/>
      <c r="V157" s="152">
        <v>6</v>
      </c>
      <c r="W157" s="152">
        <v>0</v>
      </c>
      <c r="X157" s="153" t="s">
        <v>604</v>
      </c>
    </row>
    <row r="158" spans="1:24" x14ac:dyDescent="0.25">
      <c r="A158" s="336">
        <v>198357</v>
      </c>
      <c r="B158" s="337" t="s">
        <v>2890</v>
      </c>
      <c r="C158" s="337" t="s">
        <v>2889</v>
      </c>
      <c r="D158" s="337" t="s">
        <v>2888</v>
      </c>
      <c r="E158" s="337" t="s">
        <v>4876</v>
      </c>
      <c r="F158" s="104" t="b">
        <f t="array" ref="F158">IF(_xlfn.NUMBERVALUE(RIGHT($E158,2))=MAX(IF(LEFT($E158:$E2120,11)=LEFT($E158,11),_xlfn.NUMBERVALUE(RIGHT($E158:$E2120,2)))),TRUE)</f>
        <v>1</v>
      </c>
      <c r="G158" s="337" t="s">
        <v>4877</v>
      </c>
      <c r="H158" s="337" t="s">
        <v>605</v>
      </c>
      <c r="I158" s="337" t="s">
        <v>605</v>
      </c>
      <c r="J158" s="337" t="s">
        <v>770</v>
      </c>
      <c r="K158" s="337" t="s">
        <v>706</v>
      </c>
      <c r="L158" s="337" t="s">
        <v>771</v>
      </c>
      <c r="M158" s="337" t="s">
        <v>771</v>
      </c>
      <c r="N158" s="337" t="s">
        <v>770</v>
      </c>
      <c r="O158" s="337" t="s">
        <v>770</v>
      </c>
      <c r="P158" s="337" t="s">
        <v>773</v>
      </c>
      <c r="Q158" s="337" t="s">
        <v>254</v>
      </c>
      <c r="R158" s="337" t="s">
        <v>4674</v>
      </c>
      <c r="S158" s="340">
        <v>43776</v>
      </c>
      <c r="T158" s="336"/>
      <c r="V158" s="152">
        <v>6</v>
      </c>
      <c r="W158" s="152">
        <v>0</v>
      </c>
      <c r="X158" s="153" t="s">
        <v>604</v>
      </c>
    </row>
    <row r="159" spans="1:24" x14ac:dyDescent="0.25">
      <c r="A159" s="336">
        <v>194287</v>
      </c>
      <c r="B159" s="337" t="s">
        <v>750</v>
      </c>
      <c r="C159" s="337" t="s">
        <v>522</v>
      </c>
      <c r="D159" s="337" t="s">
        <v>2899</v>
      </c>
      <c r="E159" s="337" t="s">
        <v>4786</v>
      </c>
      <c r="F159" s="104" t="b">
        <f t="array" ref="F159">IF(_xlfn.NUMBERVALUE(RIGHT($E159,2))=MAX(IF(LEFT($E159:$E2121,11)=LEFT($E159,11),_xlfn.NUMBERVALUE(RIGHT($E159:$E2121,2)))),TRUE)</f>
        <v>1</v>
      </c>
      <c r="G159" s="337" t="s">
        <v>4787</v>
      </c>
      <c r="H159" s="337" t="s">
        <v>604</v>
      </c>
      <c r="I159" s="336"/>
      <c r="J159" s="337" t="s">
        <v>770</v>
      </c>
      <c r="K159" s="337" t="s">
        <v>706</v>
      </c>
      <c r="L159" s="337" t="s">
        <v>771</v>
      </c>
      <c r="M159" s="337" t="s">
        <v>772</v>
      </c>
      <c r="N159" s="337" t="s">
        <v>770</v>
      </c>
      <c r="O159" s="337" t="s">
        <v>770</v>
      </c>
      <c r="P159" s="337" t="s">
        <v>773</v>
      </c>
      <c r="Q159" s="337" t="s">
        <v>254</v>
      </c>
      <c r="R159" s="337" t="s">
        <v>4674</v>
      </c>
      <c r="S159" s="340">
        <v>43774</v>
      </c>
      <c r="T159" s="336"/>
      <c r="V159" s="152">
        <v>6</v>
      </c>
      <c r="W159" s="152">
        <v>0</v>
      </c>
      <c r="X159" s="153" t="s">
        <v>604</v>
      </c>
    </row>
    <row r="160" spans="1:24" x14ac:dyDescent="0.25">
      <c r="A160" s="336">
        <v>198388</v>
      </c>
      <c r="B160" s="337" t="s">
        <v>2569</v>
      </c>
      <c r="C160" s="337" t="s">
        <v>4406</v>
      </c>
      <c r="D160" s="337" t="s">
        <v>4405</v>
      </c>
      <c r="E160" s="337" t="s">
        <v>6090</v>
      </c>
      <c r="F160" s="104" t="b">
        <f t="array" ref="F160">IF(_xlfn.NUMBERVALUE(RIGHT($E160,2))=MAX(IF(LEFT($E160:$E2127,11)=LEFT($E160,11),_xlfn.NUMBERVALUE(RIGHT($E160:$E2127,2)))),TRUE)</f>
        <v>1</v>
      </c>
      <c r="G160" s="336"/>
      <c r="H160" s="337" t="s">
        <v>605</v>
      </c>
      <c r="I160" s="336"/>
      <c r="J160" s="337" t="s">
        <v>770</v>
      </c>
      <c r="K160" s="337" t="s">
        <v>323</v>
      </c>
      <c r="L160" s="337" t="s">
        <v>771</v>
      </c>
      <c r="M160" s="337" t="s">
        <v>771</v>
      </c>
      <c r="N160" s="337" t="s">
        <v>770</v>
      </c>
      <c r="O160" s="337" t="s">
        <v>770</v>
      </c>
      <c r="P160" s="337" t="s">
        <v>773</v>
      </c>
      <c r="Q160" s="337" t="s">
        <v>254</v>
      </c>
      <c r="R160" s="337" t="s">
        <v>4674</v>
      </c>
      <c r="S160" s="340">
        <v>43790</v>
      </c>
      <c r="T160" s="336"/>
      <c r="V160" s="152">
        <v>6</v>
      </c>
      <c r="W160" s="152">
        <v>0</v>
      </c>
      <c r="X160" s="153" t="s">
        <v>604</v>
      </c>
    </row>
    <row r="161" spans="1:24" x14ac:dyDescent="0.25">
      <c r="A161" s="336">
        <v>195571</v>
      </c>
      <c r="B161" s="337" t="s">
        <v>758</v>
      </c>
      <c r="C161" s="337" t="s">
        <v>2909</v>
      </c>
      <c r="D161" s="337" t="s">
        <v>2908</v>
      </c>
      <c r="E161" s="337" t="s">
        <v>6091</v>
      </c>
      <c r="F161" s="104" t="b">
        <f t="array" ref="F161">IF(_xlfn.NUMBERVALUE(RIGHT($E161,2))=MAX(IF(LEFT($E161:$E2128,11)=LEFT($E161,11),_xlfn.NUMBERVALUE(RIGHT($E161:$E2128,2)))),TRUE)</f>
        <v>1</v>
      </c>
      <c r="G161" s="337" t="s">
        <v>6092</v>
      </c>
      <c r="H161" s="337" t="s">
        <v>605</v>
      </c>
      <c r="I161" s="337" t="s">
        <v>605</v>
      </c>
      <c r="J161" s="337" t="s">
        <v>770</v>
      </c>
      <c r="K161" s="337" t="s">
        <v>706</v>
      </c>
      <c r="L161" s="337" t="s">
        <v>771</v>
      </c>
      <c r="M161" s="337" t="s">
        <v>771</v>
      </c>
      <c r="N161" s="337" t="s">
        <v>770</v>
      </c>
      <c r="O161" s="337" t="s">
        <v>770</v>
      </c>
      <c r="P161" s="337" t="s">
        <v>773</v>
      </c>
      <c r="Q161" s="337" t="s">
        <v>254</v>
      </c>
      <c r="R161" s="337" t="s">
        <v>4674</v>
      </c>
      <c r="S161" s="340">
        <v>43790</v>
      </c>
      <c r="T161" s="336"/>
      <c r="V161" s="152">
        <v>6</v>
      </c>
      <c r="W161" s="152">
        <v>0</v>
      </c>
      <c r="X161" s="153" t="s">
        <v>604</v>
      </c>
    </row>
    <row r="162" spans="1:24" x14ac:dyDescent="0.25">
      <c r="A162" s="336">
        <v>195955</v>
      </c>
      <c r="B162" s="337" t="s">
        <v>2944</v>
      </c>
      <c r="C162" s="337" t="s">
        <v>2943</v>
      </c>
      <c r="D162" s="337" t="s">
        <v>2942</v>
      </c>
      <c r="E162" s="337" t="s">
        <v>4788</v>
      </c>
      <c r="F162" s="104" t="b">
        <f t="array" ref="F162">IF(_xlfn.NUMBERVALUE(RIGHT($E162,2))=MAX(IF(LEFT($E162:$E2129,11)=LEFT($E162,11),_xlfn.NUMBERVALUE(RIGHT($E162:$E2129,2)))),TRUE)</f>
        <v>1</v>
      </c>
      <c r="G162" s="337" t="s">
        <v>4789</v>
      </c>
      <c r="H162" s="337" t="s">
        <v>604</v>
      </c>
      <c r="I162" s="336"/>
      <c r="J162" s="337" t="s">
        <v>770</v>
      </c>
      <c r="K162" s="337" t="s">
        <v>706</v>
      </c>
      <c r="L162" s="337" t="s">
        <v>771</v>
      </c>
      <c r="M162" s="337" t="s">
        <v>772</v>
      </c>
      <c r="N162" s="337" t="s">
        <v>770</v>
      </c>
      <c r="O162" s="337" t="s">
        <v>770</v>
      </c>
      <c r="P162" s="337" t="s">
        <v>773</v>
      </c>
      <c r="Q162" s="337" t="s">
        <v>254</v>
      </c>
      <c r="R162" s="337" t="s">
        <v>4674</v>
      </c>
      <c r="S162" s="340">
        <v>43774</v>
      </c>
      <c r="T162" s="336"/>
      <c r="V162" s="152">
        <v>6</v>
      </c>
      <c r="W162" s="152">
        <v>0</v>
      </c>
      <c r="X162" s="153" t="s">
        <v>604</v>
      </c>
    </row>
    <row r="163" spans="1:24" x14ac:dyDescent="0.25">
      <c r="A163" s="336">
        <v>193767</v>
      </c>
      <c r="B163" s="337" t="s">
        <v>2969</v>
      </c>
      <c r="C163" s="337" t="s">
        <v>2968</v>
      </c>
      <c r="D163" s="337" t="s">
        <v>2967</v>
      </c>
      <c r="E163" s="337" t="s">
        <v>4790</v>
      </c>
      <c r="F163" s="104" t="b">
        <f t="array" ref="F163">IF(_xlfn.NUMBERVALUE(RIGHT($E163,2))=MAX(IF(LEFT($E163:$E2130,11)=LEFT($E163,11),_xlfn.NUMBERVALUE(RIGHT($E163:$E2130,2)))),TRUE)</f>
        <v>1</v>
      </c>
      <c r="G163" s="337" t="s">
        <v>4791</v>
      </c>
      <c r="H163" s="337" t="s">
        <v>604</v>
      </c>
      <c r="I163" s="336"/>
      <c r="J163" s="337" t="s">
        <v>770</v>
      </c>
      <c r="K163" s="337" t="s">
        <v>706</v>
      </c>
      <c r="L163" s="337" t="s">
        <v>771</v>
      </c>
      <c r="M163" s="337" t="s">
        <v>772</v>
      </c>
      <c r="N163" s="337" t="s">
        <v>770</v>
      </c>
      <c r="O163" s="337" t="s">
        <v>770</v>
      </c>
      <c r="P163" s="337" t="s">
        <v>773</v>
      </c>
      <c r="Q163" s="337" t="s">
        <v>254</v>
      </c>
      <c r="R163" s="337" t="s">
        <v>4674</v>
      </c>
      <c r="S163" s="340">
        <v>43774</v>
      </c>
      <c r="T163" s="336"/>
      <c r="V163" s="152">
        <v>6</v>
      </c>
      <c r="W163" s="152">
        <v>0</v>
      </c>
      <c r="X163" s="153" t="s">
        <v>604</v>
      </c>
    </row>
    <row r="164" spans="1:24" x14ac:dyDescent="0.25">
      <c r="A164" s="336">
        <v>197837</v>
      </c>
      <c r="B164" s="337" t="s">
        <v>380</v>
      </c>
      <c r="C164" s="337" t="s">
        <v>2980</v>
      </c>
      <c r="D164" s="337" t="s">
        <v>2979</v>
      </c>
      <c r="E164" s="337" t="s">
        <v>6167</v>
      </c>
      <c r="F164" s="104" t="b">
        <f t="array" ref="F164">IF(_xlfn.NUMBERVALUE(RIGHT($E164,2))=MAX(IF(LEFT($E164:$E2131,11)=LEFT($E164,11),_xlfn.NUMBERVALUE(RIGHT($E164:$E2131,2)))),TRUE)</f>
        <v>1</v>
      </c>
      <c r="G164" s="337" t="s">
        <v>6168</v>
      </c>
      <c r="H164" s="337" t="s">
        <v>604</v>
      </c>
      <c r="I164" s="336"/>
      <c r="J164" s="337" t="s">
        <v>770</v>
      </c>
      <c r="K164" s="337" t="s">
        <v>706</v>
      </c>
      <c r="L164" s="337" t="s">
        <v>771</v>
      </c>
      <c r="M164" s="337" t="s">
        <v>772</v>
      </c>
      <c r="N164" s="337" t="s">
        <v>770</v>
      </c>
      <c r="O164" s="337" t="s">
        <v>770</v>
      </c>
      <c r="P164" s="337" t="s">
        <v>773</v>
      </c>
      <c r="Q164" s="337" t="s">
        <v>254</v>
      </c>
      <c r="R164" s="337" t="s">
        <v>4674</v>
      </c>
      <c r="S164" s="340">
        <v>43804</v>
      </c>
      <c r="T164" s="336"/>
      <c r="V164" s="152">
        <v>6</v>
      </c>
      <c r="W164" s="152">
        <v>0</v>
      </c>
      <c r="X164" s="153" t="s">
        <v>604</v>
      </c>
    </row>
    <row r="165" spans="1:24" x14ac:dyDescent="0.25">
      <c r="A165" s="336">
        <v>195417</v>
      </c>
      <c r="B165" s="337" t="s">
        <v>470</v>
      </c>
      <c r="C165" s="337" t="s">
        <v>523</v>
      </c>
      <c r="D165" s="337" t="s">
        <v>2989</v>
      </c>
      <c r="E165" s="337" t="s">
        <v>4878</v>
      </c>
      <c r="F165" s="104" t="b">
        <f t="array" ref="F165">IF(_xlfn.NUMBERVALUE(RIGHT($E165,2))=MAX(IF(LEFT($E165:$E2133,11)=LEFT($E165,11),_xlfn.NUMBERVALUE(RIGHT($E165:$E2133,2)))),TRUE)</f>
        <v>1</v>
      </c>
      <c r="G165" s="337" t="s">
        <v>603</v>
      </c>
      <c r="H165" s="337" t="s">
        <v>604</v>
      </c>
      <c r="I165" s="337" t="s">
        <v>605</v>
      </c>
      <c r="J165" s="337" t="s">
        <v>770</v>
      </c>
      <c r="K165" s="337" t="s">
        <v>706</v>
      </c>
      <c r="L165" s="337" t="s">
        <v>771</v>
      </c>
      <c r="M165" s="337" t="s">
        <v>772</v>
      </c>
      <c r="N165" s="337" t="s">
        <v>770</v>
      </c>
      <c r="O165" s="337" t="s">
        <v>770</v>
      </c>
      <c r="P165" s="337" t="s">
        <v>773</v>
      </c>
      <c r="Q165" s="337" t="s">
        <v>254</v>
      </c>
      <c r="R165" s="337" t="s">
        <v>4674</v>
      </c>
      <c r="S165" s="340">
        <v>43776</v>
      </c>
      <c r="T165" s="336"/>
      <c r="V165" s="152">
        <v>6</v>
      </c>
      <c r="W165" s="152">
        <v>0</v>
      </c>
      <c r="X165" s="153" t="s">
        <v>604</v>
      </c>
    </row>
    <row r="166" spans="1:24" x14ac:dyDescent="0.25">
      <c r="A166" s="336">
        <v>193841</v>
      </c>
      <c r="B166" s="337" t="s">
        <v>3006</v>
      </c>
      <c r="C166" s="337" t="s">
        <v>775</v>
      </c>
      <c r="D166" s="337" t="s">
        <v>3005</v>
      </c>
      <c r="E166" s="337" t="s">
        <v>4792</v>
      </c>
      <c r="F166" s="104" t="b">
        <f t="array" ref="F166">IF(_xlfn.NUMBERVALUE(RIGHT($E166,2))=MAX(IF(LEFT($E166:$E2135,11)=LEFT($E166,11),_xlfn.NUMBERVALUE(RIGHT($E166:$E2135,2)))),TRUE)</f>
        <v>1</v>
      </c>
      <c r="G166" s="337" t="s">
        <v>4793</v>
      </c>
      <c r="H166" s="337" t="s">
        <v>604</v>
      </c>
      <c r="I166" s="336"/>
      <c r="J166" s="337" t="s">
        <v>770</v>
      </c>
      <c r="K166" s="337" t="s">
        <v>706</v>
      </c>
      <c r="L166" s="337" t="s">
        <v>771</v>
      </c>
      <c r="M166" s="337" t="s">
        <v>772</v>
      </c>
      <c r="N166" s="337" t="s">
        <v>605</v>
      </c>
      <c r="O166" s="337" t="s">
        <v>770</v>
      </c>
      <c r="P166" s="337" t="s">
        <v>773</v>
      </c>
      <c r="Q166" s="337" t="s">
        <v>254</v>
      </c>
      <c r="R166" s="337" t="s">
        <v>4674</v>
      </c>
      <c r="S166" s="340">
        <v>43774</v>
      </c>
      <c r="T166" s="336"/>
      <c r="V166" s="152">
        <v>6</v>
      </c>
      <c r="W166" s="152">
        <v>0</v>
      </c>
      <c r="X166" s="153" t="s">
        <v>604</v>
      </c>
    </row>
    <row r="167" spans="1:24" x14ac:dyDescent="0.25">
      <c r="A167" s="336">
        <v>197893</v>
      </c>
      <c r="B167" s="337" t="s">
        <v>3015</v>
      </c>
      <c r="C167" s="337" t="s">
        <v>569</v>
      </c>
      <c r="D167" s="337" t="s">
        <v>3014</v>
      </c>
      <c r="E167" s="337" t="s">
        <v>4794</v>
      </c>
      <c r="F167" s="104" t="b">
        <f t="array" ref="F167">IF(_xlfn.NUMBERVALUE(RIGHT($E167,2))=MAX(IF(LEFT($E167:$E2137,11)=LEFT($E167,11),_xlfn.NUMBERVALUE(RIGHT($E167:$E2137,2)))),TRUE)</f>
        <v>1</v>
      </c>
      <c r="G167" s="337" t="s">
        <v>4795</v>
      </c>
      <c r="H167" s="337" t="s">
        <v>604</v>
      </c>
      <c r="I167" s="336"/>
      <c r="J167" s="337" t="s">
        <v>770</v>
      </c>
      <c r="K167" s="337" t="s">
        <v>706</v>
      </c>
      <c r="L167" s="337" t="s">
        <v>771</v>
      </c>
      <c r="M167" s="337" t="s">
        <v>772</v>
      </c>
      <c r="N167" s="337" t="s">
        <v>770</v>
      </c>
      <c r="O167" s="337" t="s">
        <v>770</v>
      </c>
      <c r="P167" s="337" t="s">
        <v>773</v>
      </c>
      <c r="Q167" s="337" t="s">
        <v>254</v>
      </c>
      <c r="R167" s="337" t="s">
        <v>4674</v>
      </c>
      <c r="S167" s="340">
        <v>43774</v>
      </c>
      <c r="T167" s="336"/>
      <c r="V167" s="152">
        <v>6</v>
      </c>
      <c r="W167" s="152">
        <v>0</v>
      </c>
      <c r="X167" s="153" t="s">
        <v>604</v>
      </c>
    </row>
    <row r="168" spans="1:24" x14ac:dyDescent="0.25">
      <c r="A168" s="336">
        <v>196440</v>
      </c>
      <c r="B168" s="337" t="s">
        <v>516</v>
      </c>
      <c r="C168" s="337" t="s">
        <v>3026</v>
      </c>
      <c r="D168" s="337" t="s">
        <v>3025</v>
      </c>
      <c r="E168" s="337" t="s">
        <v>4879</v>
      </c>
      <c r="F168" s="104" t="b">
        <f t="array" ref="F168">IF(_xlfn.NUMBERVALUE(RIGHT($E168,2))=MAX(IF(LEFT($E168:$E2139,11)=LEFT($E168,11),_xlfn.NUMBERVALUE(RIGHT($E168:$E2139,2)))),TRUE)</f>
        <v>1</v>
      </c>
      <c r="G168" s="337" t="s">
        <v>4880</v>
      </c>
      <c r="H168" s="337" t="s">
        <v>604</v>
      </c>
      <c r="I168" s="336"/>
      <c r="J168" s="337" t="s">
        <v>770</v>
      </c>
      <c r="K168" s="337" t="s">
        <v>706</v>
      </c>
      <c r="L168" s="337" t="s">
        <v>771</v>
      </c>
      <c r="M168" s="337" t="s">
        <v>772</v>
      </c>
      <c r="N168" s="337" t="s">
        <v>605</v>
      </c>
      <c r="O168" s="337" t="s">
        <v>770</v>
      </c>
      <c r="P168" s="337" t="s">
        <v>773</v>
      </c>
      <c r="Q168" s="337" t="s">
        <v>254</v>
      </c>
      <c r="R168" s="337" t="s">
        <v>4674</v>
      </c>
      <c r="S168" s="340">
        <v>43776</v>
      </c>
      <c r="T168" s="336"/>
      <c r="V168" s="152">
        <v>6</v>
      </c>
      <c r="W168" s="152">
        <v>0</v>
      </c>
      <c r="X168" s="153" t="s">
        <v>604</v>
      </c>
    </row>
    <row r="169" spans="1:24" x14ac:dyDescent="0.25">
      <c r="A169" s="336">
        <v>199502</v>
      </c>
      <c r="B169" s="337" t="s">
        <v>5903</v>
      </c>
      <c r="C169" s="337" t="s">
        <v>702</v>
      </c>
      <c r="D169" s="337" t="s">
        <v>5902</v>
      </c>
      <c r="E169" s="337" t="s">
        <v>6093</v>
      </c>
      <c r="F169" s="104" t="b">
        <f t="array" ref="F169">IF(_xlfn.NUMBERVALUE(RIGHT($E169,2))=MAX(IF(LEFT($E169:$E2140,11)=LEFT($E169,11),_xlfn.NUMBERVALUE(RIGHT($E169:$E2140,2)))),TRUE)</f>
        <v>1</v>
      </c>
      <c r="G169" s="336"/>
      <c r="H169" s="337" t="s">
        <v>605</v>
      </c>
      <c r="I169" s="336"/>
      <c r="J169" s="337" t="s">
        <v>770</v>
      </c>
      <c r="K169" s="337" t="s">
        <v>323</v>
      </c>
      <c r="L169" s="337" t="s">
        <v>771</v>
      </c>
      <c r="M169" s="337" t="s">
        <v>771</v>
      </c>
      <c r="N169" s="337" t="s">
        <v>770</v>
      </c>
      <c r="O169" s="337" t="s">
        <v>770</v>
      </c>
      <c r="P169" s="337" t="s">
        <v>773</v>
      </c>
      <c r="Q169" s="337" t="s">
        <v>254</v>
      </c>
      <c r="R169" s="337" t="s">
        <v>4674</v>
      </c>
      <c r="S169" s="340">
        <v>43776</v>
      </c>
      <c r="T169" s="336"/>
      <c r="V169" s="152">
        <v>6</v>
      </c>
      <c r="W169" s="152">
        <v>0</v>
      </c>
      <c r="X169" s="153" t="s">
        <v>604</v>
      </c>
    </row>
    <row r="170" spans="1:24" x14ac:dyDescent="0.25">
      <c r="A170" s="336">
        <v>199330</v>
      </c>
      <c r="B170" s="337" t="s">
        <v>515</v>
      </c>
      <c r="C170" s="337" t="s">
        <v>5912</v>
      </c>
      <c r="D170" s="337" t="s">
        <v>5911</v>
      </c>
      <c r="E170" s="337" t="s">
        <v>6095</v>
      </c>
      <c r="F170" s="104" t="b">
        <f t="array" ref="F170">IF(_xlfn.NUMBERVALUE(RIGHT($E170,2))=MAX(IF(LEFT($E170:$E2142,11)=LEFT($E170,11),_xlfn.NUMBERVALUE(RIGHT($E170:$E2142,2)))),TRUE)</f>
        <v>1</v>
      </c>
      <c r="G170" s="337" t="s">
        <v>6094</v>
      </c>
      <c r="H170" s="337" t="s">
        <v>605</v>
      </c>
      <c r="I170" s="337" t="s">
        <v>605</v>
      </c>
      <c r="J170" s="337" t="s">
        <v>770</v>
      </c>
      <c r="K170" s="337" t="s">
        <v>706</v>
      </c>
      <c r="L170" s="337" t="s">
        <v>771</v>
      </c>
      <c r="M170" s="337" t="s">
        <v>771</v>
      </c>
      <c r="N170" s="337" t="s">
        <v>770</v>
      </c>
      <c r="O170" s="337" t="s">
        <v>770</v>
      </c>
      <c r="P170" s="337" t="s">
        <v>773</v>
      </c>
      <c r="Q170" s="337" t="s">
        <v>254</v>
      </c>
      <c r="R170" s="337" t="s">
        <v>4674</v>
      </c>
      <c r="S170" s="340">
        <v>43774</v>
      </c>
      <c r="T170" s="336"/>
      <c r="V170" s="152">
        <v>6</v>
      </c>
      <c r="W170" s="152">
        <v>0</v>
      </c>
      <c r="X170" s="153" t="s">
        <v>604</v>
      </c>
    </row>
    <row r="171" spans="1:24" x14ac:dyDescent="0.25">
      <c r="A171" s="336">
        <v>198217</v>
      </c>
      <c r="B171" s="337" t="s">
        <v>3037</v>
      </c>
      <c r="C171" s="337" t="s">
        <v>3036</v>
      </c>
      <c r="D171" s="337" t="s">
        <v>3035</v>
      </c>
      <c r="E171" s="337" t="s">
        <v>4796</v>
      </c>
      <c r="F171" s="104" t="b">
        <f t="array" ref="F171">IF(_xlfn.NUMBERVALUE(RIGHT($E171,2))=MAX(IF(LEFT($E171:$E2143,11)=LEFT($E171,11),_xlfn.NUMBERVALUE(RIGHT($E171:$E2143,2)))),TRUE)</f>
        <v>1</v>
      </c>
      <c r="G171" s="337" t="s">
        <v>4797</v>
      </c>
      <c r="H171" s="337" t="s">
        <v>604</v>
      </c>
      <c r="I171" s="336"/>
      <c r="J171" s="337" t="s">
        <v>770</v>
      </c>
      <c r="K171" s="337" t="s">
        <v>706</v>
      </c>
      <c r="L171" s="337" t="s">
        <v>771</v>
      </c>
      <c r="M171" s="337" t="s">
        <v>772</v>
      </c>
      <c r="N171" s="337" t="s">
        <v>770</v>
      </c>
      <c r="O171" s="337" t="s">
        <v>770</v>
      </c>
      <c r="P171" s="337" t="s">
        <v>773</v>
      </c>
      <c r="Q171" s="337" t="s">
        <v>254</v>
      </c>
      <c r="R171" s="337" t="s">
        <v>4674</v>
      </c>
      <c r="S171" s="340">
        <v>43774</v>
      </c>
      <c r="T171" s="336"/>
      <c r="V171" s="152">
        <v>6</v>
      </c>
      <c r="W171" s="152">
        <v>0</v>
      </c>
      <c r="X171" s="153" t="s">
        <v>604</v>
      </c>
    </row>
    <row r="172" spans="1:24" x14ac:dyDescent="0.25">
      <c r="A172" s="336">
        <v>197675</v>
      </c>
      <c r="B172" s="337" t="s">
        <v>3061</v>
      </c>
      <c r="C172" s="337" t="s">
        <v>3060</v>
      </c>
      <c r="D172" s="337" t="s">
        <v>3059</v>
      </c>
      <c r="E172" s="337" t="s">
        <v>5340</v>
      </c>
      <c r="F172" s="104" t="b">
        <f t="array" ref="F172">IF(_xlfn.NUMBERVALUE(RIGHT($E172,2))=MAX(IF(LEFT($E172:$E2144,11)=LEFT($E172,11),_xlfn.NUMBERVALUE(RIGHT($E172:$E2144,2)))),TRUE)</f>
        <v>1</v>
      </c>
      <c r="G172" s="337" t="s">
        <v>5341</v>
      </c>
      <c r="H172" s="337" t="s">
        <v>604</v>
      </c>
      <c r="I172" s="336"/>
      <c r="J172" s="337" t="s">
        <v>770</v>
      </c>
      <c r="K172" s="337" t="s">
        <v>706</v>
      </c>
      <c r="L172" s="337" t="s">
        <v>771</v>
      </c>
      <c r="M172" s="337" t="s">
        <v>772</v>
      </c>
      <c r="N172" s="337" t="s">
        <v>770</v>
      </c>
      <c r="O172" s="337" t="s">
        <v>770</v>
      </c>
      <c r="P172" s="337" t="s">
        <v>773</v>
      </c>
      <c r="Q172" s="337" t="s">
        <v>254</v>
      </c>
      <c r="R172" s="337" t="s">
        <v>4674</v>
      </c>
      <c r="S172" s="340">
        <v>43783</v>
      </c>
      <c r="T172" s="336"/>
      <c r="V172" s="152">
        <v>6</v>
      </c>
      <c r="W172" s="152">
        <v>0</v>
      </c>
      <c r="X172" s="153" t="s">
        <v>604</v>
      </c>
    </row>
    <row r="173" spans="1:24" x14ac:dyDescent="0.25">
      <c r="A173" s="336">
        <v>198556</v>
      </c>
      <c r="B173" s="337" t="s">
        <v>424</v>
      </c>
      <c r="C173" s="337" t="s">
        <v>423</v>
      </c>
      <c r="D173" s="337" t="s">
        <v>5129</v>
      </c>
      <c r="E173" s="337" t="s">
        <v>6096</v>
      </c>
      <c r="F173" s="104" t="b">
        <f t="array" ref="F173">IF(_xlfn.NUMBERVALUE(RIGHT($E173,2))=MAX(IF(LEFT($E173:$E2146,11)=LEFT($E173,11),_xlfn.NUMBERVALUE(RIGHT($E173:$E2146,2)))),TRUE)</f>
        <v>1</v>
      </c>
      <c r="G173" s="337" t="s">
        <v>603</v>
      </c>
      <c r="H173" s="337" t="s">
        <v>605</v>
      </c>
      <c r="I173" s="337" t="s">
        <v>605</v>
      </c>
      <c r="J173" s="337" t="s">
        <v>770</v>
      </c>
      <c r="K173" s="337" t="s">
        <v>706</v>
      </c>
      <c r="L173" s="337" t="s">
        <v>771</v>
      </c>
      <c r="M173" s="337" t="s">
        <v>771</v>
      </c>
      <c r="N173" s="337" t="s">
        <v>605</v>
      </c>
      <c r="O173" s="337" t="s">
        <v>770</v>
      </c>
      <c r="P173" s="337" t="s">
        <v>773</v>
      </c>
      <c r="Q173" s="337" t="s">
        <v>254</v>
      </c>
      <c r="R173" s="337" t="s">
        <v>4674</v>
      </c>
      <c r="S173" s="340">
        <v>43790</v>
      </c>
      <c r="T173" s="336"/>
      <c r="V173" s="152">
        <v>6</v>
      </c>
      <c r="W173" s="152">
        <v>0</v>
      </c>
      <c r="X173" s="153" t="s">
        <v>604</v>
      </c>
    </row>
    <row r="174" spans="1:24" x14ac:dyDescent="0.25">
      <c r="A174" s="336">
        <v>198179</v>
      </c>
      <c r="B174" s="337" t="s">
        <v>559</v>
      </c>
      <c r="C174" s="337" t="s">
        <v>471</v>
      </c>
      <c r="D174" s="337" t="s">
        <v>3116</v>
      </c>
      <c r="E174" s="337" t="s">
        <v>4881</v>
      </c>
      <c r="F174" s="104" t="b">
        <f t="array" ref="F174">IF(_xlfn.NUMBERVALUE(RIGHT($E174,2))=MAX(IF(LEFT($E174:$E2147,11)=LEFT($E174,11),_xlfn.NUMBERVALUE(RIGHT($E174:$E2147,2)))),TRUE)</f>
        <v>1</v>
      </c>
      <c r="G174" s="337" t="s">
        <v>4882</v>
      </c>
      <c r="H174" s="337" t="s">
        <v>605</v>
      </c>
      <c r="I174" s="337" t="s">
        <v>605</v>
      </c>
      <c r="J174" s="337" t="s">
        <v>770</v>
      </c>
      <c r="K174" s="337" t="s">
        <v>706</v>
      </c>
      <c r="L174" s="337" t="s">
        <v>771</v>
      </c>
      <c r="M174" s="337" t="s">
        <v>771</v>
      </c>
      <c r="N174" s="337" t="s">
        <v>770</v>
      </c>
      <c r="O174" s="337" t="s">
        <v>770</v>
      </c>
      <c r="P174" s="337" t="s">
        <v>773</v>
      </c>
      <c r="Q174" s="337" t="s">
        <v>254</v>
      </c>
      <c r="R174" s="337" t="s">
        <v>4674</v>
      </c>
      <c r="S174" s="340">
        <v>43776</v>
      </c>
      <c r="T174" s="336"/>
      <c r="V174" s="152">
        <v>6</v>
      </c>
      <c r="W174" s="152">
        <v>0</v>
      </c>
      <c r="X174" s="153" t="s">
        <v>604</v>
      </c>
    </row>
    <row r="175" spans="1:24" x14ac:dyDescent="0.25">
      <c r="A175" s="336">
        <v>197503</v>
      </c>
      <c r="B175" s="337" t="s">
        <v>518</v>
      </c>
      <c r="C175" s="337" t="s">
        <v>3127</v>
      </c>
      <c r="D175" s="337" t="s">
        <v>3126</v>
      </c>
      <c r="E175" s="337" t="s">
        <v>4798</v>
      </c>
      <c r="F175" s="104" t="b">
        <f t="array" ref="F175">IF(_xlfn.NUMBERVALUE(RIGHT($E175,2))=MAX(IF(LEFT($E175:$E2148,11)=LEFT($E175,11),_xlfn.NUMBERVALUE(RIGHT($E175:$E2148,2)))),TRUE)</f>
        <v>1</v>
      </c>
      <c r="G175" s="337" t="s">
        <v>4799</v>
      </c>
      <c r="H175" s="337" t="s">
        <v>604</v>
      </c>
      <c r="I175" s="336"/>
      <c r="J175" s="337" t="s">
        <v>770</v>
      </c>
      <c r="K175" s="337" t="s">
        <v>706</v>
      </c>
      <c r="L175" s="337" t="s">
        <v>771</v>
      </c>
      <c r="M175" s="337" t="s">
        <v>772</v>
      </c>
      <c r="N175" s="337" t="s">
        <v>770</v>
      </c>
      <c r="O175" s="337" t="s">
        <v>770</v>
      </c>
      <c r="P175" s="337" t="s">
        <v>773</v>
      </c>
      <c r="Q175" s="337" t="s">
        <v>254</v>
      </c>
      <c r="R175" s="337" t="s">
        <v>4674</v>
      </c>
      <c r="S175" s="340">
        <v>43774</v>
      </c>
      <c r="T175" s="336"/>
      <c r="V175" s="152">
        <v>6</v>
      </c>
      <c r="W175" s="152">
        <v>0</v>
      </c>
      <c r="X175" s="153" t="s">
        <v>604</v>
      </c>
    </row>
    <row r="176" spans="1:24" x14ac:dyDescent="0.25">
      <c r="A176" s="336">
        <v>198277</v>
      </c>
      <c r="B176" s="337" t="s">
        <v>1399</v>
      </c>
      <c r="C176" s="337" t="s">
        <v>3136</v>
      </c>
      <c r="D176" s="337" t="s">
        <v>3135</v>
      </c>
      <c r="E176" s="337" t="s">
        <v>5342</v>
      </c>
      <c r="F176" s="104" t="b">
        <f t="array" ref="F176">IF(_xlfn.NUMBERVALUE(RIGHT($E176,2))=MAX(IF(LEFT($E176:$E2149,11)=LEFT($E176,11),_xlfn.NUMBERVALUE(RIGHT($E176:$E2149,2)))),TRUE)</f>
        <v>1</v>
      </c>
      <c r="G176" s="337" t="s">
        <v>5343</v>
      </c>
      <c r="H176" s="337" t="s">
        <v>605</v>
      </c>
      <c r="I176" s="337" t="s">
        <v>605</v>
      </c>
      <c r="J176" s="337" t="s">
        <v>770</v>
      </c>
      <c r="K176" s="337" t="s">
        <v>706</v>
      </c>
      <c r="L176" s="337" t="s">
        <v>771</v>
      </c>
      <c r="M176" s="337" t="s">
        <v>771</v>
      </c>
      <c r="N176" s="337" t="s">
        <v>770</v>
      </c>
      <c r="O176" s="337" t="s">
        <v>770</v>
      </c>
      <c r="P176" s="337" t="s">
        <v>773</v>
      </c>
      <c r="Q176" s="337" t="s">
        <v>254</v>
      </c>
      <c r="R176" s="337" t="s">
        <v>4674</v>
      </c>
      <c r="S176" s="340">
        <v>43783</v>
      </c>
      <c r="T176" s="336"/>
      <c r="V176" s="152">
        <v>6</v>
      </c>
      <c r="W176" s="152">
        <v>0.9</v>
      </c>
      <c r="X176" s="153" t="s">
        <v>605</v>
      </c>
    </row>
    <row r="177" spans="1:24" x14ac:dyDescent="0.25">
      <c r="A177" s="336">
        <v>198664</v>
      </c>
      <c r="B177" s="337" t="s">
        <v>3326</v>
      </c>
      <c r="C177" s="337" t="s">
        <v>5138</v>
      </c>
      <c r="D177" s="337" t="s">
        <v>5137</v>
      </c>
      <c r="E177" s="337" t="s">
        <v>5344</v>
      </c>
      <c r="F177" s="104" t="b">
        <f t="array" ref="F177">IF(_xlfn.NUMBERVALUE(RIGHT($E177,2))=MAX(IF(LEFT($E177:$E2150,11)=LEFT($E177,11),_xlfn.NUMBERVALUE(RIGHT($E177:$E2150,2)))),TRUE)</f>
        <v>1</v>
      </c>
      <c r="G177" s="337" t="s">
        <v>5345</v>
      </c>
      <c r="H177" s="337" t="s">
        <v>604</v>
      </c>
      <c r="I177" s="336"/>
      <c r="J177" s="337" t="s">
        <v>770</v>
      </c>
      <c r="K177" s="337" t="s">
        <v>706</v>
      </c>
      <c r="L177" s="337" t="s">
        <v>771</v>
      </c>
      <c r="M177" s="337" t="s">
        <v>772</v>
      </c>
      <c r="N177" s="337" t="s">
        <v>770</v>
      </c>
      <c r="O177" s="337" t="s">
        <v>770</v>
      </c>
      <c r="P177" s="337" t="s">
        <v>773</v>
      </c>
      <c r="Q177" s="337" t="s">
        <v>254</v>
      </c>
      <c r="R177" s="337" t="s">
        <v>4674</v>
      </c>
      <c r="S177" s="340">
        <v>43776</v>
      </c>
      <c r="T177" s="336"/>
      <c r="V177" s="152">
        <v>6</v>
      </c>
      <c r="W177" s="152">
        <v>0</v>
      </c>
      <c r="X177" s="153" t="s">
        <v>604</v>
      </c>
    </row>
    <row r="178" spans="1:24" x14ac:dyDescent="0.25">
      <c r="A178" s="336">
        <v>198106</v>
      </c>
      <c r="B178" s="337" t="s">
        <v>317</v>
      </c>
      <c r="C178" s="337" t="s">
        <v>5932</v>
      </c>
      <c r="D178" s="337" t="s">
        <v>5931</v>
      </c>
      <c r="E178" s="337" t="s">
        <v>6169</v>
      </c>
      <c r="F178" s="104" t="b">
        <f t="array" ref="F178">IF(_xlfn.NUMBERVALUE(RIGHT($E178,2))=MAX(IF(LEFT($E178:$E2153,11)=LEFT($E178,11),_xlfn.NUMBERVALUE(RIGHT($E178:$E2153,2)))),TRUE)</f>
        <v>1</v>
      </c>
      <c r="G178" s="337" t="s">
        <v>603</v>
      </c>
      <c r="H178" s="337" t="s">
        <v>604</v>
      </c>
      <c r="I178" s="337" t="s">
        <v>605</v>
      </c>
      <c r="J178" s="337" t="s">
        <v>770</v>
      </c>
      <c r="K178" s="337" t="s">
        <v>706</v>
      </c>
      <c r="L178" s="337" t="s">
        <v>771</v>
      </c>
      <c r="M178" s="337" t="s">
        <v>772</v>
      </c>
      <c r="N178" s="337" t="s">
        <v>770</v>
      </c>
      <c r="O178" s="337" t="s">
        <v>770</v>
      </c>
      <c r="P178" s="337" t="s">
        <v>773</v>
      </c>
      <c r="Q178" s="337" t="s">
        <v>254</v>
      </c>
      <c r="R178" s="337" t="s">
        <v>4674</v>
      </c>
      <c r="S178" s="340">
        <v>43804</v>
      </c>
      <c r="T178" s="336"/>
      <c r="V178" s="152">
        <v>6</v>
      </c>
      <c r="W178" s="152">
        <v>0</v>
      </c>
      <c r="X178" s="153" t="s">
        <v>604</v>
      </c>
    </row>
    <row r="179" spans="1:24" x14ac:dyDescent="0.25">
      <c r="A179" s="336">
        <v>196408</v>
      </c>
      <c r="B179" s="337" t="s">
        <v>514</v>
      </c>
      <c r="C179" s="337" t="s">
        <v>4443</v>
      </c>
      <c r="D179" s="337" t="s">
        <v>4442</v>
      </c>
      <c r="E179" s="337" t="s">
        <v>6170</v>
      </c>
      <c r="F179" s="104" t="b">
        <f t="array" ref="F179">IF(_xlfn.NUMBERVALUE(RIGHT($E179,2))=MAX(IF(LEFT($E179:$E2154,11)=LEFT($E179,11),_xlfn.NUMBERVALUE(RIGHT($E179:$E2154,2)))),TRUE)</f>
        <v>1</v>
      </c>
      <c r="G179" s="337" t="s">
        <v>6171</v>
      </c>
      <c r="H179" s="337" t="s">
        <v>604</v>
      </c>
      <c r="I179" s="336"/>
      <c r="J179" s="337" t="s">
        <v>770</v>
      </c>
      <c r="K179" s="337" t="s">
        <v>706</v>
      </c>
      <c r="L179" s="337" t="s">
        <v>771</v>
      </c>
      <c r="M179" s="337" t="s">
        <v>772</v>
      </c>
      <c r="N179" s="337" t="s">
        <v>770</v>
      </c>
      <c r="O179" s="337" t="s">
        <v>770</v>
      </c>
      <c r="P179" s="337" t="s">
        <v>773</v>
      </c>
      <c r="Q179" s="337" t="s">
        <v>254</v>
      </c>
      <c r="R179" s="337" t="s">
        <v>4674</v>
      </c>
      <c r="S179" s="340">
        <v>43804</v>
      </c>
      <c r="T179" s="336"/>
      <c r="V179" s="152">
        <v>6</v>
      </c>
      <c r="W179" s="152">
        <v>0</v>
      </c>
      <c r="X179" s="153" t="s">
        <v>604</v>
      </c>
    </row>
    <row r="180" spans="1:24" x14ac:dyDescent="0.25">
      <c r="A180" s="336">
        <v>198086</v>
      </c>
      <c r="B180" s="337" t="s">
        <v>442</v>
      </c>
      <c r="C180" s="337" t="s">
        <v>6416</v>
      </c>
      <c r="D180" s="337" t="s">
        <v>6415</v>
      </c>
      <c r="E180" s="337" t="s">
        <v>6575</v>
      </c>
      <c r="F180" s="104" t="b">
        <f t="array" ref="F180">IF(_xlfn.NUMBERVALUE(RIGHT($E180,2))=MAX(IF(LEFT($E180:$E2155,11)=LEFT($E180,11),_xlfn.NUMBERVALUE(RIGHT($E180:$E2155,2)))),TRUE)</f>
        <v>1</v>
      </c>
      <c r="G180" s="337" t="s">
        <v>6576</v>
      </c>
      <c r="H180" s="337" t="s">
        <v>604</v>
      </c>
      <c r="I180" s="336"/>
      <c r="J180" s="337" t="s">
        <v>770</v>
      </c>
      <c r="K180" s="337" t="s">
        <v>706</v>
      </c>
      <c r="L180" s="337" t="s">
        <v>771</v>
      </c>
      <c r="M180" s="337" t="s">
        <v>772</v>
      </c>
      <c r="N180" s="337" t="s">
        <v>770</v>
      </c>
      <c r="O180" s="337" t="s">
        <v>770</v>
      </c>
      <c r="P180" s="337" t="s">
        <v>773</v>
      </c>
      <c r="Q180" s="337" t="s">
        <v>254</v>
      </c>
      <c r="R180" s="337" t="s">
        <v>4674</v>
      </c>
      <c r="S180" s="340">
        <v>43774</v>
      </c>
      <c r="T180" s="336"/>
      <c r="V180" s="152">
        <v>6</v>
      </c>
      <c r="W180" s="152">
        <v>0</v>
      </c>
      <c r="X180" s="153" t="s">
        <v>604</v>
      </c>
    </row>
    <row r="181" spans="1:24" x14ac:dyDescent="0.25">
      <c r="A181" s="336">
        <v>193867</v>
      </c>
      <c r="B181" s="337" t="s">
        <v>524</v>
      </c>
      <c r="C181" s="337" t="s">
        <v>898</v>
      </c>
      <c r="D181" s="337" t="s">
        <v>3170</v>
      </c>
      <c r="E181" s="337" t="s">
        <v>4800</v>
      </c>
      <c r="F181" s="104" t="b">
        <f t="array" ref="F181">IF(_xlfn.NUMBERVALUE(RIGHT($E181,2))=MAX(IF(LEFT($E181:$E2156,11)=LEFT($E181,11),_xlfn.NUMBERVALUE(RIGHT($E181:$E2156,2)))),TRUE)</f>
        <v>1</v>
      </c>
      <c r="G181" s="337" t="s">
        <v>4801</v>
      </c>
      <c r="H181" s="337" t="s">
        <v>605</v>
      </c>
      <c r="I181" s="337" t="s">
        <v>605</v>
      </c>
      <c r="J181" s="337" t="s">
        <v>770</v>
      </c>
      <c r="K181" s="337" t="s">
        <v>706</v>
      </c>
      <c r="L181" s="337" t="s">
        <v>771</v>
      </c>
      <c r="M181" s="337" t="s">
        <v>771</v>
      </c>
      <c r="N181" s="337" t="s">
        <v>770</v>
      </c>
      <c r="O181" s="337" t="s">
        <v>770</v>
      </c>
      <c r="P181" s="337" t="s">
        <v>773</v>
      </c>
      <c r="Q181" s="337" t="s">
        <v>254</v>
      </c>
      <c r="R181" s="337" t="s">
        <v>4674</v>
      </c>
      <c r="S181" s="340">
        <v>43774</v>
      </c>
      <c r="T181" s="336"/>
      <c r="V181" s="152">
        <v>6</v>
      </c>
      <c r="W181" s="152">
        <v>0</v>
      </c>
      <c r="X181" s="153" t="s">
        <v>604</v>
      </c>
    </row>
    <row r="182" spans="1:24" x14ac:dyDescent="0.25">
      <c r="A182" s="336">
        <v>196488</v>
      </c>
      <c r="B182" s="337" t="s">
        <v>183</v>
      </c>
      <c r="C182" s="337" t="s">
        <v>5158</v>
      </c>
      <c r="D182" s="337" t="s">
        <v>5157</v>
      </c>
      <c r="E182" s="337" t="s">
        <v>5346</v>
      </c>
      <c r="F182" s="104" t="b">
        <f t="array" ref="F182">IF(_xlfn.NUMBERVALUE(RIGHT($E182,2))=MAX(IF(LEFT($E182:$E2157,11)=LEFT($E182,11),_xlfn.NUMBERVALUE(RIGHT($E182:$E2157,2)))),TRUE)</f>
        <v>1</v>
      </c>
      <c r="G182" s="337" t="s">
        <v>603</v>
      </c>
      <c r="H182" s="337" t="s">
        <v>604</v>
      </c>
      <c r="I182" s="337" t="s">
        <v>605</v>
      </c>
      <c r="J182" s="337" t="s">
        <v>770</v>
      </c>
      <c r="K182" s="337" t="s">
        <v>706</v>
      </c>
      <c r="L182" s="337" t="s">
        <v>771</v>
      </c>
      <c r="M182" s="337" t="s">
        <v>772</v>
      </c>
      <c r="N182" s="337" t="s">
        <v>770</v>
      </c>
      <c r="O182" s="337" t="s">
        <v>770</v>
      </c>
      <c r="P182" s="337" t="s">
        <v>773</v>
      </c>
      <c r="Q182" s="337" t="s">
        <v>254</v>
      </c>
      <c r="R182" s="337" t="s">
        <v>4674</v>
      </c>
      <c r="S182" s="340">
        <v>43774</v>
      </c>
      <c r="T182" s="336"/>
      <c r="V182" s="152">
        <v>6</v>
      </c>
      <c r="W182" s="152">
        <v>0</v>
      </c>
      <c r="X182" s="153" t="s">
        <v>604</v>
      </c>
    </row>
    <row r="183" spans="1:24" x14ac:dyDescent="0.25">
      <c r="A183" s="336">
        <v>169771</v>
      </c>
      <c r="B183" s="337" t="s">
        <v>2689</v>
      </c>
      <c r="C183" s="337" t="s">
        <v>6032</v>
      </c>
      <c r="D183" s="337" t="s">
        <v>6031</v>
      </c>
      <c r="E183" s="337" t="s">
        <v>6172</v>
      </c>
      <c r="F183" s="104" t="b">
        <f t="array" ref="F183">IF(_xlfn.NUMBERVALUE(RIGHT($E183,2))=MAX(IF(LEFT($E183:$E2158,11)=LEFT($E183,11),_xlfn.NUMBERVALUE(RIGHT($E183:$E2158,2)))),TRUE)</f>
        <v>1</v>
      </c>
      <c r="G183" s="336"/>
      <c r="H183" s="337" t="s">
        <v>604</v>
      </c>
      <c r="I183" s="336"/>
      <c r="J183" s="337" t="s">
        <v>605</v>
      </c>
      <c r="K183" s="337" t="s">
        <v>323</v>
      </c>
      <c r="L183" s="337" t="s">
        <v>771</v>
      </c>
      <c r="M183" s="337" t="s">
        <v>772</v>
      </c>
      <c r="N183" s="337" t="s">
        <v>770</v>
      </c>
      <c r="O183" s="337" t="s">
        <v>770</v>
      </c>
      <c r="P183" s="337" t="s">
        <v>773</v>
      </c>
      <c r="Q183" s="337" t="s">
        <v>254</v>
      </c>
      <c r="R183" s="337" t="s">
        <v>4674</v>
      </c>
      <c r="S183" s="340">
        <v>43804</v>
      </c>
      <c r="T183" s="336"/>
      <c r="V183" s="152">
        <v>6</v>
      </c>
      <c r="W183" s="152">
        <v>0</v>
      </c>
      <c r="X183" s="153" t="s">
        <v>604</v>
      </c>
    </row>
    <row r="184" spans="1:24" x14ac:dyDescent="0.25">
      <c r="A184" s="336">
        <v>198061</v>
      </c>
      <c r="B184" s="337" t="s">
        <v>406</v>
      </c>
      <c r="C184" s="337" t="s">
        <v>436</v>
      </c>
      <c r="D184" s="337" t="s">
        <v>5478</v>
      </c>
      <c r="E184" s="337" t="s">
        <v>6098</v>
      </c>
      <c r="F184" s="104" t="b">
        <f t="array" ref="F184">IF(_xlfn.NUMBERVALUE(RIGHT($E184,2))=MAX(IF(LEFT($E184:$E2160,11)=LEFT($E184,11),_xlfn.NUMBERVALUE(RIGHT($E184:$E2160,2)))),TRUE)</f>
        <v>1</v>
      </c>
      <c r="G184" s="337" t="s">
        <v>6097</v>
      </c>
      <c r="H184" s="337" t="s">
        <v>604</v>
      </c>
      <c r="I184" s="337" t="s">
        <v>605</v>
      </c>
      <c r="J184" s="337" t="s">
        <v>770</v>
      </c>
      <c r="K184" s="337" t="s">
        <v>706</v>
      </c>
      <c r="L184" s="337" t="s">
        <v>771</v>
      </c>
      <c r="M184" s="337" t="s">
        <v>772</v>
      </c>
      <c r="N184" s="337" t="s">
        <v>770</v>
      </c>
      <c r="O184" s="337" t="s">
        <v>770</v>
      </c>
      <c r="P184" s="337" t="s">
        <v>773</v>
      </c>
      <c r="Q184" s="337" t="s">
        <v>254</v>
      </c>
      <c r="R184" s="337" t="s">
        <v>4674</v>
      </c>
      <c r="S184" s="340">
        <v>43776</v>
      </c>
      <c r="T184" s="336"/>
      <c r="V184" s="152">
        <v>6</v>
      </c>
      <c r="W184" s="152">
        <v>0</v>
      </c>
      <c r="X184" s="153" t="s">
        <v>604</v>
      </c>
    </row>
    <row r="185" spans="1:24" x14ac:dyDescent="0.25">
      <c r="A185" s="336">
        <v>195698</v>
      </c>
      <c r="B185" s="337" t="s">
        <v>6425</v>
      </c>
      <c r="C185" s="337" t="s">
        <v>436</v>
      </c>
      <c r="D185" s="337" t="s">
        <v>6424</v>
      </c>
      <c r="E185" s="337" t="s">
        <v>6577</v>
      </c>
      <c r="F185" s="104" t="b">
        <f t="array" ref="F185">IF(_xlfn.NUMBERVALUE(RIGHT($E185,2))=MAX(IF(LEFT($E185:$E2161,11)=LEFT($E185,11),_xlfn.NUMBERVALUE(RIGHT($E185:$E2161,2)))),TRUE)</f>
        <v>1</v>
      </c>
      <c r="G185" s="337" t="s">
        <v>6578</v>
      </c>
      <c r="H185" s="337" t="s">
        <v>604</v>
      </c>
      <c r="I185" s="336"/>
      <c r="J185" s="337" t="s">
        <v>770</v>
      </c>
      <c r="K185" s="337" t="s">
        <v>706</v>
      </c>
      <c r="L185" s="337" t="s">
        <v>771</v>
      </c>
      <c r="M185" s="337" t="s">
        <v>772</v>
      </c>
      <c r="N185" s="337" t="s">
        <v>770</v>
      </c>
      <c r="O185" s="337" t="s">
        <v>770</v>
      </c>
      <c r="P185" s="337" t="s">
        <v>773</v>
      </c>
      <c r="Q185" s="337" t="s">
        <v>254</v>
      </c>
      <c r="R185" s="337" t="s">
        <v>4674</v>
      </c>
      <c r="S185" s="340">
        <v>43776</v>
      </c>
      <c r="T185" s="336"/>
      <c r="V185" s="152">
        <v>6</v>
      </c>
      <c r="W185" s="152">
        <v>0</v>
      </c>
      <c r="X185" s="153" t="s">
        <v>604</v>
      </c>
    </row>
    <row r="186" spans="1:24" x14ac:dyDescent="0.25">
      <c r="A186" s="336">
        <v>197842</v>
      </c>
      <c r="B186" s="337" t="s">
        <v>3196</v>
      </c>
      <c r="C186" s="337" t="s">
        <v>436</v>
      </c>
      <c r="D186" s="337" t="s">
        <v>3195</v>
      </c>
      <c r="E186" s="337" t="s">
        <v>6173</v>
      </c>
      <c r="F186" s="104" t="b">
        <f t="array" ref="F186">IF(_xlfn.NUMBERVALUE(RIGHT($E186,2))=MAX(IF(LEFT($E186:$E2162,11)=LEFT($E186,11),_xlfn.NUMBERVALUE(RIGHT($E186:$E2162,2)))),TRUE)</f>
        <v>1</v>
      </c>
      <c r="G186" s="337" t="s">
        <v>603</v>
      </c>
      <c r="H186" s="337" t="s">
        <v>604</v>
      </c>
      <c r="I186" s="337" t="s">
        <v>605</v>
      </c>
      <c r="J186" s="337" t="s">
        <v>770</v>
      </c>
      <c r="K186" s="337" t="s">
        <v>706</v>
      </c>
      <c r="L186" s="337" t="s">
        <v>771</v>
      </c>
      <c r="M186" s="337" t="s">
        <v>772</v>
      </c>
      <c r="N186" s="337" t="s">
        <v>770</v>
      </c>
      <c r="O186" s="337" t="s">
        <v>770</v>
      </c>
      <c r="P186" s="337" t="s">
        <v>773</v>
      </c>
      <c r="Q186" s="337" t="s">
        <v>254</v>
      </c>
      <c r="R186" s="337" t="s">
        <v>4674</v>
      </c>
      <c r="S186" s="340">
        <v>43804</v>
      </c>
      <c r="T186" s="336"/>
      <c r="V186" s="152">
        <v>6</v>
      </c>
      <c r="W186" s="152">
        <v>0</v>
      </c>
      <c r="X186" s="153" t="s">
        <v>604</v>
      </c>
    </row>
    <row r="187" spans="1:24" x14ac:dyDescent="0.25">
      <c r="A187" s="336">
        <v>195988</v>
      </c>
      <c r="B187" s="337" t="s">
        <v>3218</v>
      </c>
      <c r="C187" s="337" t="s">
        <v>3217</v>
      </c>
      <c r="D187" s="337" t="s">
        <v>3216</v>
      </c>
      <c r="E187" s="337" t="s">
        <v>5347</v>
      </c>
      <c r="F187" s="104" t="b">
        <f t="array" ref="F187">IF(_xlfn.NUMBERVALUE(RIGHT($E187,2))=MAX(IF(LEFT($E187:$E2164,11)=LEFT($E187,11),_xlfn.NUMBERVALUE(RIGHT($E187:$E2164,2)))),TRUE)</f>
        <v>1</v>
      </c>
      <c r="G187" s="337" t="s">
        <v>603</v>
      </c>
      <c r="H187" s="337" t="s">
        <v>604</v>
      </c>
      <c r="I187" s="337" t="s">
        <v>605</v>
      </c>
      <c r="J187" s="337" t="s">
        <v>770</v>
      </c>
      <c r="K187" s="337" t="s">
        <v>706</v>
      </c>
      <c r="L187" s="337" t="s">
        <v>771</v>
      </c>
      <c r="M187" s="337" t="s">
        <v>772</v>
      </c>
      <c r="N187" s="337" t="s">
        <v>770</v>
      </c>
      <c r="O187" s="337" t="s">
        <v>770</v>
      </c>
      <c r="P187" s="337" t="s">
        <v>773</v>
      </c>
      <c r="Q187" s="337" t="s">
        <v>254</v>
      </c>
      <c r="R187" s="337" t="s">
        <v>4674</v>
      </c>
      <c r="S187" s="340">
        <v>43783</v>
      </c>
      <c r="T187" s="336"/>
      <c r="V187" s="152">
        <v>6</v>
      </c>
      <c r="W187" s="152">
        <v>0</v>
      </c>
      <c r="X187" s="153" t="s">
        <v>604</v>
      </c>
    </row>
    <row r="188" spans="1:24" x14ac:dyDescent="0.25">
      <c r="A188" s="336">
        <v>196652</v>
      </c>
      <c r="B188" s="337" t="s">
        <v>3262</v>
      </c>
      <c r="C188" s="337" t="s">
        <v>3261</v>
      </c>
      <c r="D188" s="337" t="s">
        <v>3260</v>
      </c>
      <c r="E188" s="337" t="s">
        <v>4802</v>
      </c>
      <c r="F188" s="104" t="b">
        <f t="array" ref="F188">IF(_xlfn.NUMBERVALUE(RIGHT($E188,2))=MAX(IF(LEFT($E188:$E2165,11)=LEFT($E188,11),_xlfn.NUMBERVALUE(RIGHT($E188:$E2165,2)))),TRUE)</f>
        <v>1</v>
      </c>
      <c r="G188" s="337" t="s">
        <v>4803</v>
      </c>
      <c r="H188" s="337" t="s">
        <v>604</v>
      </c>
      <c r="I188" s="336"/>
      <c r="J188" s="337" t="s">
        <v>770</v>
      </c>
      <c r="K188" s="337" t="s">
        <v>706</v>
      </c>
      <c r="L188" s="337" t="s">
        <v>771</v>
      </c>
      <c r="M188" s="337" t="s">
        <v>772</v>
      </c>
      <c r="N188" s="337" t="s">
        <v>770</v>
      </c>
      <c r="O188" s="337" t="s">
        <v>770</v>
      </c>
      <c r="P188" s="337" t="s">
        <v>773</v>
      </c>
      <c r="Q188" s="337" t="s">
        <v>254</v>
      </c>
      <c r="R188" s="337" t="s">
        <v>4674</v>
      </c>
      <c r="S188" s="340">
        <v>43774</v>
      </c>
      <c r="T188" s="336"/>
      <c r="V188" s="152">
        <v>6</v>
      </c>
      <c r="W188" s="152">
        <v>0</v>
      </c>
      <c r="X188" s="153" t="s">
        <v>604</v>
      </c>
    </row>
    <row r="189" spans="1:24" x14ac:dyDescent="0.25">
      <c r="A189" s="336">
        <v>198287</v>
      </c>
      <c r="B189" s="337" t="s">
        <v>6444</v>
      </c>
      <c r="C189" s="337" t="s">
        <v>6443</v>
      </c>
      <c r="D189" s="337" t="s">
        <v>6442</v>
      </c>
      <c r="E189" s="337" t="s">
        <v>6580</v>
      </c>
      <c r="F189" s="104" t="b">
        <f t="array" ref="F189">IF(_xlfn.NUMBERVALUE(RIGHT($E189,2))=MAX(IF(LEFT($E189:$E2168,11)=LEFT($E189,11),_xlfn.NUMBERVALUE(RIGHT($E189:$E2168,2)))),TRUE)</f>
        <v>1</v>
      </c>
      <c r="G189" s="337" t="s">
        <v>6579</v>
      </c>
      <c r="H189" s="337" t="s">
        <v>605</v>
      </c>
      <c r="I189" s="337" t="s">
        <v>605</v>
      </c>
      <c r="J189" s="337" t="s">
        <v>770</v>
      </c>
      <c r="K189" s="337" t="s">
        <v>706</v>
      </c>
      <c r="L189" s="337" t="s">
        <v>771</v>
      </c>
      <c r="M189" s="337" t="s">
        <v>771</v>
      </c>
      <c r="N189" s="337" t="s">
        <v>770</v>
      </c>
      <c r="O189" s="337" t="s">
        <v>770</v>
      </c>
      <c r="P189" s="337" t="s">
        <v>773</v>
      </c>
      <c r="Q189" s="337" t="s">
        <v>254</v>
      </c>
      <c r="R189" s="337" t="s">
        <v>4674</v>
      </c>
      <c r="S189" s="340">
        <v>43804</v>
      </c>
      <c r="T189" s="336"/>
      <c r="V189" s="152">
        <v>6</v>
      </c>
      <c r="W189" s="152">
        <v>0</v>
      </c>
      <c r="X189" s="153" t="s">
        <v>604</v>
      </c>
    </row>
    <row r="190" spans="1:24" x14ac:dyDescent="0.25">
      <c r="A190" s="336">
        <v>196842</v>
      </c>
      <c r="B190" s="337" t="s">
        <v>3274</v>
      </c>
      <c r="C190" s="337" t="s">
        <v>3273</v>
      </c>
      <c r="D190" s="337" t="s">
        <v>3272</v>
      </c>
      <c r="E190" s="337" t="s">
        <v>4804</v>
      </c>
      <c r="F190" s="104" t="b">
        <f t="array" ref="F190">IF(_xlfn.NUMBERVALUE(RIGHT($E190,2))=MAX(IF(LEFT($E190:$E2169,11)=LEFT($E190,11),_xlfn.NUMBERVALUE(RIGHT($E190:$E2169,2)))),TRUE)</f>
        <v>1</v>
      </c>
      <c r="G190" s="337" t="s">
        <v>4805</v>
      </c>
      <c r="H190" s="337" t="s">
        <v>604</v>
      </c>
      <c r="I190" s="337" t="s">
        <v>605</v>
      </c>
      <c r="J190" s="337" t="s">
        <v>770</v>
      </c>
      <c r="K190" s="337" t="s">
        <v>706</v>
      </c>
      <c r="L190" s="337" t="s">
        <v>771</v>
      </c>
      <c r="M190" s="337" t="s">
        <v>772</v>
      </c>
      <c r="N190" s="337" t="s">
        <v>770</v>
      </c>
      <c r="O190" s="337" t="s">
        <v>770</v>
      </c>
      <c r="P190" s="337" t="s">
        <v>773</v>
      </c>
      <c r="Q190" s="337" t="s">
        <v>254</v>
      </c>
      <c r="R190" s="337" t="s">
        <v>4674</v>
      </c>
      <c r="S190" s="340">
        <v>43774</v>
      </c>
      <c r="T190" s="336"/>
      <c r="V190" s="152">
        <v>6</v>
      </c>
      <c r="W190" s="152">
        <v>0</v>
      </c>
      <c r="X190" s="153" t="s">
        <v>604</v>
      </c>
    </row>
    <row r="191" spans="1:24" x14ac:dyDescent="0.25">
      <c r="A191" s="336">
        <v>196339</v>
      </c>
      <c r="B191" s="337" t="s">
        <v>3284</v>
      </c>
      <c r="C191" s="337" t="s">
        <v>3283</v>
      </c>
      <c r="D191" s="337" t="s">
        <v>3282</v>
      </c>
      <c r="E191" s="337" t="s">
        <v>4883</v>
      </c>
      <c r="F191" s="104" t="b">
        <f t="array" ref="F191">IF(_xlfn.NUMBERVALUE(RIGHT($E191,2))=MAX(IF(LEFT($E191:$E2170,11)=LEFT($E191,11),_xlfn.NUMBERVALUE(RIGHT($E191:$E2170,2)))),TRUE)</f>
        <v>1</v>
      </c>
      <c r="G191" s="336"/>
      <c r="H191" s="337" t="s">
        <v>604</v>
      </c>
      <c r="I191" s="336"/>
      <c r="J191" s="337" t="s">
        <v>770</v>
      </c>
      <c r="K191" s="337" t="s">
        <v>323</v>
      </c>
      <c r="L191" s="337" t="s">
        <v>771</v>
      </c>
      <c r="M191" s="337" t="s">
        <v>772</v>
      </c>
      <c r="N191" s="337" t="s">
        <v>770</v>
      </c>
      <c r="O191" s="337" t="s">
        <v>770</v>
      </c>
      <c r="P191" s="337" t="s">
        <v>773</v>
      </c>
      <c r="Q191" s="337" t="s">
        <v>254</v>
      </c>
      <c r="R191" s="337" t="s">
        <v>4674</v>
      </c>
      <c r="S191" s="340">
        <v>43776</v>
      </c>
      <c r="T191" s="336"/>
      <c r="V191" s="152">
        <v>6</v>
      </c>
      <c r="W191" s="152">
        <v>0</v>
      </c>
      <c r="X191" s="153" t="s">
        <v>604</v>
      </c>
    </row>
    <row r="192" spans="1:24" x14ac:dyDescent="0.25">
      <c r="A192" s="336">
        <v>195855</v>
      </c>
      <c r="B192" s="337" t="s">
        <v>3292</v>
      </c>
      <c r="C192" s="337" t="s">
        <v>537</v>
      </c>
      <c r="D192" s="337" t="s">
        <v>3291</v>
      </c>
      <c r="E192" s="337" t="s">
        <v>4806</v>
      </c>
      <c r="F192" s="104" t="b">
        <f t="array" ref="F192">IF(_xlfn.NUMBERVALUE(RIGHT($E192,2))=MAX(IF(LEFT($E192:$E2172,11)=LEFT($E192,11),_xlfn.NUMBERVALUE(RIGHT($E192:$E2172,2)))),TRUE)</f>
        <v>1</v>
      </c>
      <c r="G192" s="336"/>
      <c r="H192" s="337" t="s">
        <v>605</v>
      </c>
      <c r="I192" s="336"/>
      <c r="J192" s="337" t="s">
        <v>770</v>
      </c>
      <c r="K192" s="337" t="s">
        <v>323</v>
      </c>
      <c r="L192" s="337" t="s">
        <v>771</v>
      </c>
      <c r="M192" s="337" t="s">
        <v>771</v>
      </c>
      <c r="N192" s="337" t="s">
        <v>770</v>
      </c>
      <c r="O192" s="337" t="s">
        <v>770</v>
      </c>
      <c r="P192" s="337" t="s">
        <v>773</v>
      </c>
      <c r="Q192" s="337" t="s">
        <v>254</v>
      </c>
      <c r="R192" s="337" t="s">
        <v>4674</v>
      </c>
      <c r="S192" s="340">
        <v>43774</v>
      </c>
      <c r="T192" s="336"/>
      <c r="V192" s="152">
        <v>6</v>
      </c>
      <c r="W192" s="152">
        <v>0</v>
      </c>
      <c r="X192" s="153" t="s">
        <v>604</v>
      </c>
    </row>
    <row r="193" spans="1:24" x14ac:dyDescent="0.25">
      <c r="A193" s="336">
        <v>197667</v>
      </c>
      <c r="B193" s="337" t="s">
        <v>316</v>
      </c>
      <c r="C193" s="337" t="s">
        <v>537</v>
      </c>
      <c r="D193" s="337" t="s">
        <v>3302</v>
      </c>
      <c r="E193" s="337" t="s">
        <v>4807</v>
      </c>
      <c r="F193" s="104" t="b">
        <f t="array" ref="F193">IF(_xlfn.NUMBERVALUE(RIGHT($E193,2))=MAX(IF(LEFT($E193:$E2173,11)=LEFT($E193,11),_xlfn.NUMBERVALUE(RIGHT($E193:$E2173,2)))),TRUE)</f>
        <v>1</v>
      </c>
      <c r="G193" s="337" t="s">
        <v>603</v>
      </c>
      <c r="H193" s="337" t="s">
        <v>604</v>
      </c>
      <c r="I193" s="337" t="s">
        <v>605</v>
      </c>
      <c r="J193" s="337" t="s">
        <v>770</v>
      </c>
      <c r="K193" s="337" t="s">
        <v>706</v>
      </c>
      <c r="L193" s="337" t="s">
        <v>771</v>
      </c>
      <c r="M193" s="337" t="s">
        <v>772</v>
      </c>
      <c r="N193" s="337" t="s">
        <v>770</v>
      </c>
      <c r="O193" s="337" t="s">
        <v>770</v>
      </c>
      <c r="P193" s="337" t="s">
        <v>773</v>
      </c>
      <c r="Q193" s="337" t="s">
        <v>254</v>
      </c>
      <c r="R193" s="337" t="s">
        <v>4674</v>
      </c>
      <c r="S193" s="340">
        <v>43774</v>
      </c>
      <c r="T193" s="336"/>
      <c r="V193" s="152">
        <v>6</v>
      </c>
      <c r="W193" s="152">
        <v>0</v>
      </c>
      <c r="X193" s="153" t="s">
        <v>604</v>
      </c>
    </row>
    <row r="194" spans="1:24" x14ac:dyDescent="0.25">
      <c r="A194" s="336">
        <v>197351</v>
      </c>
      <c r="B194" s="337" t="s">
        <v>3309</v>
      </c>
      <c r="C194" s="337" t="s">
        <v>537</v>
      </c>
      <c r="D194" s="337" t="s">
        <v>3308</v>
      </c>
      <c r="E194" s="337" t="s">
        <v>4808</v>
      </c>
      <c r="F194" s="104" t="b">
        <f t="array" ref="F194">IF(_xlfn.NUMBERVALUE(RIGHT($E194,2))=MAX(IF(LEFT($E194:$E2174,11)=LEFT($E194,11),_xlfn.NUMBERVALUE(RIGHT($E194:$E2174,2)))),TRUE)</f>
        <v>1</v>
      </c>
      <c r="G194" s="337" t="s">
        <v>4809</v>
      </c>
      <c r="H194" s="337" t="s">
        <v>605</v>
      </c>
      <c r="I194" s="337" t="s">
        <v>605</v>
      </c>
      <c r="J194" s="337" t="s">
        <v>770</v>
      </c>
      <c r="K194" s="337" t="s">
        <v>706</v>
      </c>
      <c r="L194" s="337" t="s">
        <v>771</v>
      </c>
      <c r="M194" s="337" t="s">
        <v>771</v>
      </c>
      <c r="N194" s="337" t="s">
        <v>770</v>
      </c>
      <c r="O194" s="337" t="s">
        <v>770</v>
      </c>
      <c r="P194" s="337" t="s">
        <v>773</v>
      </c>
      <c r="Q194" s="337" t="s">
        <v>254</v>
      </c>
      <c r="R194" s="337" t="s">
        <v>4674</v>
      </c>
      <c r="S194" s="340">
        <v>43774</v>
      </c>
      <c r="T194" s="336"/>
      <c r="V194" s="152">
        <v>6</v>
      </c>
      <c r="W194" s="152">
        <v>0</v>
      </c>
      <c r="X194" s="153" t="s">
        <v>604</v>
      </c>
    </row>
    <row r="195" spans="1:24" x14ac:dyDescent="0.25">
      <c r="A195" s="336">
        <v>198046</v>
      </c>
      <c r="B195" s="337" t="s">
        <v>3327</v>
      </c>
      <c r="C195" s="337" t="s">
        <v>3326</v>
      </c>
      <c r="D195" s="337" t="s">
        <v>3325</v>
      </c>
      <c r="E195" s="337" t="s">
        <v>6140</v>
      </c>
      <c r="F195" s="104" t="b">
        <f t="array" ref="F195">IF(_xlfn.NUMBERVALUE(RIGHT($E195,2))=MAX(IF(LEFT($E195:$E2175,11)=LEFT($E195,11),_xlfn.NUMBERVALUE(RIGHT($E195:$E2175,2)))),TRUE)</f>
        <v>1</v>
      </c>
      <c r="G195" s="337" t="s">
        <v>6141</v>
      </c>
      <c r="H195" s="337" t="s">
        <v>604</v>
      </c>
      <c r="I195" s="336"/>
      <c r="J195" s="337" t="s">
        <v>770</v>
      </c>
      <c r="K195" s="337" t="s">
        <v>706</v>
      </c>
      <c r="L195" s="337" t="s">
        <v>771</v>
      </c>
      <c r="M195" s="337" t="s">
        <v>772</v>
      </c>
      <c r="N195" s="337" t="s">
        <v>770</v>
      </c>
      <c r="O195" s="337" t="s">
        <v>770</v>
      </c>
      <c r="P195" s="337" t="s">
        <v>773</v>
      </c>
      <c r="Q195" s="337" t="s">
        <v>254</v>
      </c>
      <c r="R195" s="337" t="s">
        <v>4674</v>
      </c>
      <c r="S195" s="340">
        <v>43801</v>
      </c>
      <c r="T195" s="336"/>
      <c r="V195" s="152">
        <v>6</v>
      </c>
      <c r="W195" s="152">
        <v>0</v>
      </c>
      <c r="X195" s="153" t="s">
        <v>604</v>
      </c>
    </row>
    <row r="196" spans="1:24" x14ac:dyDescent="0.25">
      <c r="A196" s="336">
        <v>198662</v>
      </c>
      <c r="B196" s="337" t="s">
        <v>3319</v>
      </c>
      <c r="C196" s="337" t="s">
        <v>540</v>
      </c>
      <c r="D196" s="337" t="s">
        <v>5951</v>
      </c>
      <c r="E196" s="337" t="s">
        <v>6099</v>
      </c>
      <c r="F196" s="104" t="b">
        <f t="array" ref="F196">IF(_xlfn.NUMBERVALUE(RIGHT($E196,2))=MAX(IF(LEFT($E196:$E2176,11)=LEFT($E196,11),_xlfn.NUMBERVALUE(RIGHT($E196:$E2176,2)))),TRUE)</f>
        <v>1</v>
      </c>
      <c r="G196" s="337" t="s">
        <v>6100</v>
      </c>
      <c r="H196" s="337" t="s">
        <v>604</v>
      </c>
      <c r="I196" s="336"/>
      <c r="J196" s="337" t="s">
        <v>770</v>
      </c>
      <c r="K196" s="337" t="s">
        <v>706</v>
      </c>
      <c r="L196" s="337" t="s">
        <v>771</v>
      </c>
      <c r="M196" s="337" t="s">
        <v>772</v>
      </c>
      <c r="N196" s="337" t="s">
        <v>770</v>
      </c>
      <c r="O196" s="337" t="s">
        <v>770</v>
      </c>
      <c r="P196" s="337" t="s">
        <v>773</v>
      </c>
      <c r="Q196" s="337" t="s">
        <v>254</v>
      </c>
      <c r="R196" s="337" t="s">
        <v>4674</v>
      </c>
      <c r="S196" s="340">
        <v>43774</v>
      </c>
      <c r="T196" s="336"/>
      <c r="V196" s="152">
        <v>6</v>
      </c>
      <c r="W196" s="152">
        <v>0</v>
      </c>
      <c r="X196" s="153" t="s">
        <v>604</v>
      </c>
    </row>
    <row r="197" spans="1:24" x14ac:dyDescent="0.25">
      <c r="A197" s="336">
        <v>195250</v>
      </c>
      <c r="B197" s="337" t="s">
        <v>568</v>
      </c>
      <c r="C197" s="337" t="s">
        <v>540</v>
      </c>
      <c r="D197" s="337" t="s">
        <v>3333</v>
      </c>
      <c r="E197" s="337" t="s">
        <v>6101</v>
      </c>
      <c r="F197" s="104" t="b">
        <f t="array" ref="F197">IF(_xlfn.NUMBERVALUE(RIGHT($E197,2))=MAX(IF(LEFT($E197:$E2177,11)=LEFT($E197,11),_xlfn.NUMBERVALUE(RIGHT($E197:$E2177,2)))),TRUE)</f>
        <v>1</v>
      </c>
      <c r="G197" s="337" t="s">
        <v>6102</v>
      </c>
      <c r="H197" s="337" t="s">
        <v>604</v>
      </c>
      <c r="I197" s="336"/>
      <c r="J197" s="337" t="s">
        <v>770</v>
      </c>
      <c r="K197" s="337" t="s">
        <v>706</v>
      </c>
      <c r="L197" s="337" t="s">
        <v>771</v>
      </c>
      <c r="M197" s="337" t="s">
        <v>772</v>
      </c>
      <c r="N197" s="337" t="s">
        <v>770</v>
      </c>
      <c r="O197" s="337" t="s">
        <v>770</v>
      </c>
      <c r="P197" s="337" t="s">
        <v>773</v>
      </c>
      <c r="Q197" s="337" t="s">
        <v>254</v>
      </c>
      <c r="R197" s="337" t="s">
        <v>4674</v>
      </c>
      <c r="S197" s="340">
        <v>43790</v>
      </c>
      <c r="T197" s="336"/>
      <c r="V197" s="152">
        <v>6</v>
      </c>
      <c r="W197" s="152">
        <v>0</v>
      </c>
      <c r="X197" s="153" t="s">
        <v>604</v>
      </c>
    </row>
    <row r="198" spans="1:24" x14ac:dyDescent="0.25">
      <c r="A198" s="336">
        <v>196116</v>
      </c>
      <c r="B198" s="337" t="s">
        <v>518</v>
      </c>
      <c r="C198" s="337" t="s">
        <v>3343</v>
      </c>
      <c r="D198" s="337" t="s">
        <v>3342</v>
      </c>
      <c r="E198" s="337" t="s">
        <v>4884</v>
      </c>
      <c r="F198" s="104" t="b">
        <f t="array" ref="F198">IF(_xlfn.NUMBERVALUE(RIGHT($E198,2))=MAX(IF(LEFT($E198:$E2179,11)=LEFT($E198,11),_xlfn.NUMBERVALUE(RIGHT($E198:$E2179,2)))),TRUE)</f>
        <v>1</v>
      </c>
      <c r="G198" s="337" t="s">
        <v>603</v>
      </c>
      <c r="H198" s="337" t="s">
        <v>604</v>
      </c>
      <c r="I198" s="337" t="s">
        <v>605</v>
      </c>
      <c r="J198" s="337" t="s">
        <v>770</v>
      </c>
      <c r="K198" s="337" t="s">
        <v>706</v>
      </c>
      <c r="L198" s="337" t="s">
        <v>771</v>
      </c>
      <c r="M198" s="337" t="s">
        <v>772</v>
      </c>
      <c r="N198" s="337" t="s">
        <v>770</v>
      </c>
      <c r="O198" s="337" t="s">
        <v>770</v>
      </c>
      <c r="P198" s="337" t="s">
        <v>773</v>
      </c>
      <c r="Q198" s="337" t="s">
        <v>254</v>
      </c>
      <c r="R198" s="337" t="s">
        <v>4674</v>
      </c>
      <c r="S198" s="340">
        <v>43776</v>
      </c>
      <c r="T198" s="336"/>
      <c r="V198" s="152">
        <v>6</v>
      </c>
      <c r="W198" s="152">
        <v>0</v>
      </c>
      <c r="X198" s="153" t="s">
        <v>604</v>
      </c>
    </row>
    <row r="199" spans="1:24" x14ac:dyDescent="0.25">
      <c r="A199" s="336">
        <v>197594</v>
      </c>
      <c r="B199" s="337" t="s">
        <v>6464</v>
      </c>
      <c r="C199" s="337" t="s">
        <v>6463</v>
      </c>
      <c r="D199" s="337" t="s">
        <v>6462</v>
      </c>
      <c r="E199" s="337" t="s">
        <v>6581</v>
      </c>
      <c r="F199" s="104" t="b">
        <f t="array" ref="F199">IF(_xlfn.NUMBERVALUE(RIGHT($E199,2))=MAX(IF(LEFT($E199:$E2180,11)=LEFT($E199,11),_xlfn.NUMBERVALUE(RIGHT($E199:$E2180,2)))),TRUE)</f>
        <v>1</v>
      </c>
      <c r="G199" s="337" t="s">
        <v>603</v>
      </c>
      <c r="H199" s="337" t="s">
        <v>605</v>
      </c>
      <c r="I199" s="337" t="s">
        <v>605</v>
      </c>
      <c r="J199" s="337" t="s">
        <v>770</v>
      </c>
      <c r="K199" s="337" t="s">
        <v>706</v>
      </c>
      <c r="L199" s="337" t="s">
        <v>771</v>
      </c>
      <c r="M199" s="337" t="s">
        <v>771</v>
      </c>
      <c r="N199" s="337" t="s">
        <v>770</v>
      </c>
      <c r="O199" s="337" t="s">
        <v>770</v>
      </c>
      <c r="P199" s="337" t="s">
        <v>773</v>
      </c>
      <c r="Q199" s="337" t="s">
        <v>254</v>
      </c>
      <c r="R199" s="337" t="s">
        <v>4674</v>
      </c>
      <c r="S199" s="340">
        <v>43783</v>
      </c>
      <c r="T199" s="336"/>
      <c r="V199" s="152">
        <v>6</v>
      </c>
      <c r="W199" s="152">
        <v>0</v>
      </c>
      <c r="X199" s="153" t="s">
        <v>604</v>
      </c>
    </row>
    <row r="200" spans="1:24" x14ac:dyDescent="0.25">
      <c r="A200" s="336">
        <v>198360</v>
      </c>
      <c r="B200" s="337" t="s">
        <v>262</v>
      </c>
      <c r="C200" s="337" t="s">
        <v>541</v>
      </c>
      <c r="D200" s="337" t="s">
        <v>3374</v>
      </c>
      <c r="E200" s="337" t="s">
        <v>4810</v>
      </c>
      <c r="F200" s="104" t="b">
        <f t="array" ref="F200">IF(_xlfn.NUMBERVALUE(RIGHT($E200,2))=MAX(IF(LEFT($E200:$E2181,11)=LEFT($E200,11),_xlfn.NUMBERVALUE(RIGHT($E200:$E2181,2)))),TRUE)</f>
        <v>1</v>
      </c>
      <c r="G200" s="337" t="s">
        <v>4811</v>
      </c>
      <c r="H200" s="337" t="s">
        <v>604</v>
      </c>
      <c r="I200" s="336"/>
      <c r="J200" s="337" t="s">
        <v>770</v>
      </c>
      <c r="K200" s="337" t="s">
        <v>706</v>
      </c>
      <c r="L200" s="337" t="s">
        <v>771</v>
      </c>
      <c r="M200" s="337" t="s">
        <v>772</v>
      </c>
      <c r="N200" s="337" t="s">
        <v>770</v>
      </c>
      <c r="O200" s="337" t="s">
        <v>770</v>
      </c>
      <c r="P200" s="337" t="s">
        <v>773</v>
      </c>
      <c r="Q200" s="337" t="s">
        <v>254</v>
      </c>
      <c r="R200" s="337" t="s">
        <v>4674</v>
      </c>
      <c r="S200" s="340">
        <v>43774</v>
      </c>
      <c r="T200" s="336"/>
      <c r="V200" s="152">
        <v>6</v>
      </c>
      <c r="W200" s="152">
        <v>0</v>
      </c>
      <c r="X200" s="153" t="s">
        <v>604</v>
      </c>
    </row>
    <row r="201" spans="1:24" x14ac:dyDescent="0.25">
      <c r="A201" s="336">
        <v>195816</v>
      </c>
      <c r="B201" s="337" t="s">
        <v>3392</v>
      </c>
      <c r="C201" s="337" t="s">
        <v>544</v>
      </c>
      <c r="D201" s="337" t="s">
        <v>3391</v>
      </c>
      <c r="E201" s="337" t="s">
        <v>4885</v>
      </c>
      <c r="F201" s="104" t="b">
        <f t="array" ref="F201">IF(_xlfn.NUMBERVALUE(RIGHT($E201,2))=MAX(IF(LEFT($E201:$E2182,11)=LEFT($E201,11),_xlfn.NUMBERVALUE(RIGHT($E201:$E2182,2)))),TRUE)</f>
        <v>1</v>
      </c>
      <c r="G201" s="337" t="s">
        <v>4886</v>
      </c>
      <c r="H201" s="337" t="s">
        <v>604</v>
      </c>
      <c r="I201" s="336"/>
      <c r="J201" s="337" t="s">
        <v>770</v>
      </c>
      <c r="K201" s="337" t="s">
        <v>706</v>
      </c>
      <c r="L201" s="337" t="s">
        <v>771</v>
      </c>
      <c r="M201" s="337" t="s">
        <v>772</v>
      </c>
      <c r="N201" s="337" t="s">
        <v>770</v>
      </c>
      <c r="O201" s="337" t="s">
        <v>770</v>
      </c>
      <c r="P201" s="337" t="s">
        <v>773</v>
      </c>
      <c r="Q201" s="337" t="s">
        <v>254</v>
      </c>
      <c r="R201" s="337" t="s">
        <v>4674</v>
      </c>
      <c r="S201" s="340">
        <v>43776</v>
      </c>
      <c r="T201" s="336"/>
    </row>
    <row r="202" spans="1:24" x14ac:dyDescent="0.25">
      <c r="A202" s="336">
        <v>198197</v>
      </c>
      <c r="B202" s="337" t="s">
        <v>3411</v>
      </c>
      <c r="C202" s="337" t="s">
        <v>869</v>
      </c>
      <c r="D202" s="337" t="s">
        <v>3410</v>
      </c>
      <c r="E202" s="337" t="s">
        <v>5348</v>
      </c>
      <c r="F202" s="104" t="b">
        <f t="array" ref="F202">IF(_xlfn.NUMBERVALUE(RIGHT($E202,2))=MAX(IF(LEFT($E202:$E2183,11)=LEFT($E202,11),_xlfn.NUMBERVALUE(RIGHT($E202:$E2183,2)))),TRUE)</f>
        <v>1</v>
      </c>
      <c r="G202" s="337" t="s">
        <v>5349</v>
      </c>
      <c r="H202" s="337" t="s">
        <v>605</v>
      </c>
      <c r="I202" s="337" t="s">
        <v>605</v>
      </c>
      <c r="J202" s="337" t="s">
        <v>770</v>
      </c>
      <c r="K202" s="337" t="s">
        <v>706</v>
      </c>
      <c r="L202" s="337" t="s">
        <v>771</v>
      </c>
      <c r="M202" s="337" t="s">
        <v>771</v>
      </c>
      <c r="N202" s="337" t="s">
        <v>770</v>
      </c>
      <c r="O202" s="337" t="s">
        <v>770</v>
      </c>
      <c r="P202" s="337" t="s">
        <v>773</v>
      </c>
      <c r="Q202" s="337" t="s">
        <v>254</v>
      </c>
      <c r="R202" s="337" t="s">
        <v>4674</v>
      </c>
      <c r="S202" s="340">
        <v>43783</v>
      </c>
      <c r="T202" s="336"/>
    </row>
    <row r="203" spans="1:24" x14ac:dyDescent="0.25">
      <c r="A203" s="336">
        <v>197704</v>
      </c>
      <c r="B203" s="337" t="s">
        <v>751</v>
      </c>
      <c r="C203" s="337" t="s">
        <v>4140</v>
      </c>
      <c r="D203" s="337" t="s">
        <v>4139</v>
      </c>
      <c r="E203" s="337" t="s">
        <v>4812</v>
      </c>
      <c r="F203" s="104" t="b">
        <f t="array" ref="F203">IF(_xlfn.NUMBERVALUE(RIGHT($E203,2))=MAX(IF(LEFT($E203:$E2186,11)=LEFT($E203,11),_xlfn.NUMBERVALUE(RIGHT($E203:$E2186,2)))),TRUE)</f>
        <v>1</v>
      </c>
      <c r="G203" s="337" t="s">
        <v>603</v>
      </c>
      <c r="H203" s="337" t="s">
        <v>604</v>
      </c>
      <c r="I203" s="337" t="s">
        <v>605</v>
      </c>
      <c r="J203" s="337" t="s">
        <v>770</v>
      </c>
      <c r="K203" s="337" t="s">
        <v>706</v>
      </c>
      <c r="L203" s="337" t="s">
        <v>771</v>
      </c>
      <c r="M203" s="337" t="s">
        <v>772</v>
      </c>
      <c r="N203" s="337" t="s">
        <v>605</v>
      </c>
      <c r="O203" s="337" t="s">
        <v>770</v>
      </c>
      <c r="P203" s="337" t="s">
        <v>773</v>
      </c>
      <c r="Q203" s="337" t="s">
        <v>254</v>
      </c>
      <c r="R203" s="337" t="s">
        <v>4674</v>
      </c>
      <c r="S203" s="340">
        <v>43774</v>
      </c>
      <c r="T203" s="336"/>
    </row>
    <row r="204" spans="1:24" x14ac:dyDescent="0.25">
      <c r="A204" s="336">
        <v>197889</v>
      </c>
      <c r="B204" s="337" t="s">
        <v>4488</v>
      </c>
      <c r="C204" s="337" t="s">
        <v>4487</v>
      </c>
      <c r="D204" s="337" t="s">
        <v>4486</v>
      </c>
      <c r="E204" s="337" t="s">
        <v>4813</v>
      </c>
      <c r="F204" s="104" t="b">
        <f t="array" ref="F204">IF(_xlfn.NUMBERVALUE(RIGHT($E204,2))=MAX(IF(LEFT($E204:$E2187,11)=LEFT($E204,11),_xlfn.NUMBERVALUE(RIGHT($E204:$E2187,2)))),TRUE)</f>
        <v>1</v>
      </c>
      <c r="G204" s="337" t="s">
        <v>603</v>
      </c>
      <c r="H204" s="337" t="s">
        <v>604</v>
      </c>
      <c r="I204" s="337" t="s">
        <v>605</v>
      </c>
      <c r="J204" s="337" t="s">
        <v>770</v>
      </c>
      <c r="K204" s="337" t="s">
        <v>706</v>
      </c>
      <c r="L204" s="337" t="s">
        <v>771</v>
      </c>
      <c r="M204" s="337" t="s">
        <v>772</v>
      </c>
      <c r="N204" s="337" t="s">
        <v>770</v>
      </c>
      <c r="O204" s="337" t="s">
        <v>770</v>
      </c>
      <c r="P204" s="337" t="s">
        <v>773</v>
      </c>
      <c r="Q204" s="337" t="s">
        <v>254</v>
      </c>
      <c r="R204" s="337" t="s">
        <v>4674</v>
      </c>
      <c r="S204" s="340">
        <v>43774</v>
      </c>
      <c r="T204" s="336"/>
    </row>
    <row r="205" spans="1:24" x14ac:dyDescent="0.25">
      <c r="A205" s="336">
        <v>194968</v>
      </c>
      <c r="B205" s="337" t="s">
        <v>448</v>
      </c>
      <c r="C205" s="337" t="s">
        <v>4508</v>
      </c>
      <c r="D205" s="337" t="s">
        <v>4507</v>
      </c>
      <c r="E205" s="337" t="s">
        <v>6174</v>
      </c>
      <c r="F205" s="104" t="b">
        <f t="array" ref="F205">IF(_xlfn.NUMBERVALUE(RIGHT($E205,2))=MAX(IF(LEFT($E205:$E2188,11)=LEFT($E205,11),_xlfn.NUMBERVALUE(RIGHT($E205:$E2188,2)))),TRUE)</f>
        <v>1</v>
      </c>
      <c r="G205" s="337" t="s">
        <v>603</v>
      </c>
      <c r="H205" s="337" t="s">
        <v>604</v>
      </c>
      <c r="I205" s="337" t="s">
        <v>605</v>
      </c>
      <c r="J205" s="337" t="s">
        <v>770</v>
      </c>
      <c r="K205" s="337" t="s">
        <v>706</v>
      </c>
      <c r="L205" s="337" t="s">
        <v>771</v>
      </c>
      <c r="M205" s="337" t="s">
        <v>772</v>
      </c>
      <c r="N205" s="337" t="s">
        <v>770</v>
      </c>
      <c r="O205" s="337" t="s">
        <v>770</v>
      </c>
      <c r="P205" s="337" t="s">
        <v>773</v>
      </c>
      <c r="Q205" s="337" t="s">
        <v>254</v>
      </c>
      <c r="R205" s="337" t="s">
        <v>4674</v>
      </c>
      <c r="S205" s="340">
        <v>43804</v>
      </c>
      <c r="T205" s="336"/>
    </row>
    <row r="206" spans="1:24" x14ac:dyDescent="0.25">
      <c r="A206" s="336">
        <v>196992</v>
      </c>
      <c r="B206" s="337" t="s">
        <v>3437</v>
      </c>
      <c r="C206" s="337" t="s">
        <v>3436</v>
      </c>
      <c r="D206" s="337" t="s">
        <v>3435</v>
      </c>
      <c r="E206" s="337" t="s">
        <v>4814</v>
      </c>
      <c r="F206" s="104" t="b">
        <f t="array" ref="F206">IF(_xlfn.NUMBERVALUE(RIGHT($E206,2))=MAX(IF(LEFT($E206:$E2189,11)=LEFT($E206,11),_xlfn.NUMBERVALUE(RIGHT($E206:$E2189,2)))),TRUE)</f>
        <v>1</v>
      </c>
      <c r="G206" s="337" t="s">
        <v>4815</v>
      </c>
      <c r="H206" s="337" t="s">
        <v>604</v>
      </c>
      <c r="I206" s="336"/>
      <c r="J206" s="337" t="s">
        <v>770</v>
      </c>
      <c r="K206" s="337" t="s">
        <v>706</v>
      </c>
      <c r="L206" s="337" t="s">
        <v>771</v>
      </c>
      <c r="M206" s="337" t="s">
        <v>772</v>
      </c>
      <c r="N206" s="337" t="s">
        <v>770</v>
      </c>
      <c r="O206" s="337" t="s">
        <v>770</v>
      </c>
      <c r="P206" s="337" t="s">
        <v>773</v>
      </c>
      <c r="Q206" s="337" t="s">
        <v>254</v>
      </c>
      <c r="R206" s="337" t="s">
        <v>4674</v>
      </c>
      <c r="S206" s="340">
        <v>43774</v>
      </c>
      <c r="T206" s="336"/>
    </row>
    <row r="207" spans="1:24" x14ac:dyDescent="0.25">
      <c r="A207" s="336">
        <v>196075</v>
      </c>
      <c r="B207" s="337" t="s">
        <v>3446</v>
      </c>
      <c r="C207" s="337" t="s">
        <v>3445</v>
      </c>
      <c r="D207" s="337" t="s">
        <v>3444</v>
      </c>
      <c r="E207" s="337" t="s">
        <v>6142</v>
      </c>
      <c r="F207" s="104" t="b">
        <f t="array" ref="F207">IF(_xlfn.NUMBERVALUE(RIGHT($E207,2))=MAX(IF(LEFT($E207:$E2190,11)=LEFT($E207,11),_xlfn.NUMBERVALUE(RIGHT($E207:$E2190,2)))),TRUE)</f>
        <v>1</v>
      </c>
      <c r="G207" s="337" t="s">
        <v>603</v>
      </c>
      <c r="H207" s="337" t="s">
        <v>604</v>
      </c>
      <c r="I207" s="337" t="s">
        <v>605</v>
      </c>
      <c r="J207" s="337" t="s">
        <v>770</v>
      </c>
      <c r="K207" s="337" t="s">
        <v>706</v>
      </c>
      <c r="L207" s="337" t="s">
        <v>771</v>
      </c>
      <c r="M207" s="337" t="s">
        <v>772</v>
      </c>
      <c r="N207" s="337" t="s">
        <v>770</v>
      </c>
      <c r="O207" s="337" t="s">
        <v>770</v>
      </c>
      <c r="P207" s="337" t="s">
        <v>773</v>
      </c>
      <c r="Q207" s="337" t="s">
        <v>254</v>
      </c>
      <c r="R207" s="337" t="s">
        <v>4674</v>
      </c>
      <c r="S207" s="340">
        <v>43801</v>
      </c>
      <c r="T207" s="336"/>
    </row>
    <row r="208" spans="1:24" x14ac:dyDescent="0.25">
      <c r="A208" s="336">
        <v>198395</v>
      </c>
      <c r="B208" s="337" t="s">
        <v>399</v>
      </c>
      <c r="C208" s="337" t="s">
        <v>3466</v>
      </c>
      <c r="D208" s="337" t="s">
        <v>3477</v>
      </c>
      <c r="E208" s="337" t="s">
        <v>4816</v>
      </c>
      <c r="F208" s="104" t="b">
        <f t="array" ref="F208">IF(_xlfn.NUMBERVALUE(RIGHT($E208,2))=MAX(IF(LEFT($E208:$E2191,11)=LEFT($E208,11),_xlfn.NUMBERVALUE(RIGHT($E208:$E2191,2)))),TRUE)</f>
        <v>1</v>
      </c>
      <c r="G208" s="337" t="s">
        <v>4817</v>
      </c>
      <c r="H208" s="337" t="s">
        <v>605</v>
      </c>
      <c r="I208" s="337" t="s">
        <v>605</v>
      </c>
      <c r="J208" s="337" t="s">
        <v>770</v>
      </c>
      <c r="K208" s="337" t="s">
        <v>706</v>
      </c>
      <c r="L208" s="337" t="s">
        <v>771</v>
      </c>
      <c r="M208" s="337" t="s">
        <v>771</v>
      </c>
      <c r="N208" s="337" t="s">
        <v>770</v>
      </c>
      <c r="O208" s="337" t="s">
        <v>770</v>
      </c>
      <c r="P208" s="337" t="s">
        <v>773</v>
      </c>
      <c r="Q208" s="337" t="s">
        <v>254</v>
      </c>
      <c r="R208" s="337" t="s">
        <v>4674</v>
      </c>
      <c r="S208" s="340">
        <v>43774</v>
      </c>
      <c r="T208" s="336"/>
    </row>
    <row r="209" spans="1:20" x14ac:dyDescent="0.25">
      <c r="A209" s="336">
        <v>198356</v>
      </c>
      <c r="B209" s="337" t="s">
        <v>5497</v>
      </c>
      <c r="C209" s="337" t="s">
        <v>5496</v>
      </c>
      <c r="D209" s="337" t="s">
        <v>5495</v>
      </c>
      <c r="E209" s="337" t="s">
        <v>6104</v>
      </c>
      <c r="F209" s="104" t="b">
        <f t="array" ref="F209">IF(_xlfn.NUMBERVALUE(RIGHT($E209,2))=MAX(IF(LEFT($E209:$E2193,11)=LEFT($E209,11),_xlfn.NUMBERVALUE(RIGHT($E209:$E2193,2)))),TRUE)</f>
        <v>1</v>
      </c>
      <c r="G209" s="337" t="s">
        <v>6103</v>
      </c>
      <c r="H209" s="337" t="s">
        <v>604</v>
      </c>
      <c r="I209" s="336"/>
      <c r="J209" s="337" t="s">
        <v>770</v>
      </c>
      <c r="K209" s="337" t="s">
        <v>706</v>
      </c>
      <c r="L209" s="337" t="s">
        <v>771</v>
      </c>
      <c r="M209" s="337" t="s">
        <v>772</v>
      </c>
      <c r="N209" s="337" t="s">
        <v>770</v>
      </c>
      <c r="O209" s="337" t="s">
        <v>770</v>
      </c>
      <c r="P209" s="337" t="s">
        <v>773</v>
      </c>
      <c r="Q209" s="337" t="s">
        <v>254</v>
      </c>
      <c r="R209" s="337" t="s">
        <v>4674</v>
      </c>
      <c r="S209" s="340">
        <v>43790</v>
      </c>
      <c r="T209" s="336"/>
    </row>
    <row r="210" spans="1:20" x14ac:dyDescent="0.25">
      <c r="A210" s="336">
        <v>197371</v>
      </c>
      <c r="B210" s="337" t="s">
        <v>5216</v>
      </c>
      <c r="C210" s="337" t="s">
        <v>5215</v>
      </c>
      <c r="D210" s="337" t="s">
        <v>5214</v>
      </c>
      <c r="E210" s="337" t="s">
        <v>5350</v>
      </c>
      <c r="F210" s="104" t="b">
        <f t="array" ref="F210">IF(_xlfn.NUMBERVALUE(RIGHT($E210,2))=MAX(IF(LEFT($E210:$E2194,11)=LEFT($E210,11),_xlfn.NUMBERVALUE(RIGHT($E210:$E2194,2)))),TRUE)</f>
        <v>1</v>
      </c>
      <c r="G210" s="337" t="s">
        <v>5351</v>
      </c>
      <c r="H210" s="337" t="s">
        <v>605</v>
      </c>
      <c r="I210" s="337" t="s">
        <v>605</v>
      </c>
      <c r="J210" s="337" t="s">
        <v>770</v>
      </c>
      <c r="K210" s="337" t="s">
        <v>706</v>
      </c>
      <c r="L210" s="337" t="s">
        <v>771</v>
      </c>
      <c r="M210" s="337" t="s">
        <v>771</v>
      </c>
      <c r="N210" s="337" t="s">
        <v>770</v>
      </c>
      <c r="O210" s="337" t="s">
        <v>770</v>
      </c>
      <c r="P210" s="337" t="s">
        <v>773</v>
      </c>
      <c r="Q210" s="337" t="s">
        <v>254</v>
      </c>
      <c r="R210" s="337" t="s">
        <v>4674</v>
      </c>
      <c r="S210" s="340">
        <v>43774</v>
      </c>
      <c r="T210" s="336"/>
    </row>
    <row r="211" spans="1:20" x14ac:dyDescent="0.25">
      <c r="A211" s="336">
        <v>196939</v>
      </c>
      <c r="B211" s="337" t="s">
        <v>3506</v>
      </c>
      <c r="C211" s="337" t="s">
        <v>3505</v>
      </c>
      <c r="D211" s="337" t="s">
        <v>3504</v>
      </c>
      <c r="E211" s="337" t="s">
        <v>6175</v>
      </c>
      <c r="F211" s="104" t="b">
        <f t="array" ref="F211">IF(_xlfn.NUMBERVALUE(RIGHT($E211,2))=MAX(IF(LEFT($E211:$E2196,11)=LEFT($E211,11),_xlfn.NUMBERVALUE(RIGHT($E211:$E2196,2)))),TRUE)</f>
        <v>1</v>
      </c>
      <c r="G211" s="337" t="s">
        <v>603</v>
      </c>
      <c r="H211" s="337" t="s">
        <v>605</v>
      </c>
      <c r="I211" s="337" t="s">
        <v>605</v>
      </c>
      <c r="J211" s="337" t="s">
        <v>770</v>
      </c>
      <c r="K211" s="337" t="s">
        <v>278</v>
      </c>
      <c r="L211" s="337" t="s">
        <v>771</v>
      </c>
      <c r="M211" s="337" t="s">
        <v>771</v>
      </c>
      <c r="N211" s="337" t="s">
        <v>770</v>
      </c>
      <c r="O211" s="337" t="s">
        <v>770</v>
      </c>
      <c r="P211" s="337" t="s">
        <v>773</v>
      </c>
      <c r="Q211" s="337" t="s">
        <v>254</v>
      </c>
      <c r="R211" s="337" t="s">
        <v>4674</v>
      </c>
      <c r="S211" s="340">
        <v>43804</v>
      </c>
      <c r="T211" s="336"/>
    </row>
    <row r="212" spans="1:20" x14ac:dyDescent="0.25">
      <c r="A212" s="336">
        <v>197961</v>
      </c>
      <c r="B212" s="337" t="s">
        <v>380</v>
      </c>
      <c r="C212" s="337" t="s">
        <v>3525</v>
      </c>
      <c r="D212" s="337" t="s">
        <v>3524</v>
      </c>
      <c r="E212" s="337" t="s">
        <v>4818</v>
      </c>
      <c r="F212" s="104" t="b">
        <f t="array" ref="F212">IF(_xlfn.NUMBERVALUE(RIGHT($E212,2))=MAX(IF(LEFT($E212:$E2197,11)=LEFT($E212,11),_xlfn.NUMBERVALUE(RIGHT($E212:$E2197,2)))),TRUE)</f>
        <v>1</v>
      </c>
      <c r="G212" s="337" t="s">
        <v>4819</v>
      </c>
      <c r="H212" s="337" t="s">
        <v>605</v>
      </c>
      <c r="I212" s="337" t="s">
        <v>605</v>
      </c>
      <c r="J212" s="337" t="s">
        <v>770</v>
      </c>
      <c r="K212" s="337" t="s">
        <v>706</v>
      </c>
      <c r="L212" s="337" t="s">
        <v>771</v>
      </c>
      <c r="M212" s="337" t="s">
        <v>771</v>
      </c>
      <c r="N212" s="337" t="s">
        <v>770</v>
      </c>
      <c r="O212" s="337" t="s">
        <v>770</v>
      </c>
      <c r="P212" s="337" t="s">
        <v>773</v>
      </c>
      <c r="Q212" s="337" t="s">
        <v>254</v>
      </c>
      <c r="R212" s="337" t="s">
        <v>4674</v>
      </c>
      <c r="S212" s="340">
        <v>43774</v>
      </c>
      <c r="T212" s="336"/>
    </row>
    <row r="213" spans="1:20" x14ac:dyDescent="0.25">
      <c r="A213" s="336">
        <v>195856</v>
      </c>
      <c r="B213" s="337" t="s">
        <v>802</v>
      </c>
      <c r="C213" s="337" t="s">
        <v>3533</v>
      </c>
      <c r="D213" s="337" t="s">
        <v>3532</v>
      </c>
      <c r="E213" s="337" t="s">
        <v>6176</v>
      </c>
      <c r="F213" s="104" t="b">
        <f t="array" ref="F213">IF(_xlfn.NUMBERVALUE(RIGHT($E213,2))=MAX(IF(LEFT($E213:$E2198,11)=LEFT($E213,11),_xlfn.NUMBERVALUE(RIGHT($E213:$E2198,2)))),TRUE)</f>
        <v>1</v>
      </c>
      <c r="G213" s="336"/>
      <c r="H213" s="337" t="s">
        <v>604</v>
      </c>
      <c r="I213" s="336"/>
      <c r="J213" s="337" t="s">
        <v>770</v>
      </c>
      <c r="K213" s="337" t="s">
        <v>323</v>
      </c>
      <c r="L213" s="337" t="s">
        <v>771</v>
      </c>
      <c r="M213" s="337" t="s">
        <v>772</v>
      </c>
      <c r="N213" s="337" t="s">
        <v>770</v>
      </c>
      <c r="O213" s="337" t="s">
        <v>770</v>
      </c>
      <c r="P213" s="337" t="s">
        <v>773</v>
      </c>
      <c r="Q213" s="337" t="s">
        <v>254</v>
      </c>
      <c r="R213" s="337" t="s">
        <v>4674</v>
      </c>
      <c r="S213" s="340">
        <v>43804</v>
      </c>
      <c r="T213" s="336"/>
    </row>
    <row r="214" spans="1:20" x14ac:dyDescent="0.25">
      <c r="A214" s="336">
        <v>196572</v>
      </c>
      <c r="B214" s="337" t="s">
        <v>3544</v>
      </c>
      <c r="C214" s="337" t="s">
        <v>555</v>
      </c>
      <c r="D214" s="337" t="s">
        <v>3543</v>
      </c>
      <c r="E214" s="337" t="s">
        <v>4887</v>
      </c>
      <c r="F214" s="104" t="b">
        <f t="array" ref="F214">IF(_xlfn.NUMBERVALUE(RIGHT($E214,2))=MAX(IF(LEFT($E214:$E2199,11)=LEFT($E214,11),_xlfn.NUMBERVALUE(RIGHT($E214:$E2199,2)))),TRUE)</f>
        <v>1</v>
      </c>
      <c r="G214" s="337" t="s">
        <v>603</v>
      </c>
      <c r="H214" s="337" t="s">
        <v>604</v>
      </c>
      <c r="I214" s="337" t="s">
        <v>605</v>
      </c>
      <c r="J214" s="337" t="s">
        <v>770</v>
      </c>
      <c r="K214" s="337" t="s">
        <v>706</v>
      </c>
      <c r="L214" s="337" t="s">
        <v>771</v>
      </c>
      <c r="M214" s="337" t="s">
        <v>772</v>
      </c>
      <c r="N214" s="337" t="s">
        <v>770</v>
      </c>
      <c r="O214" s="337" t="s">
        <v>770</v>
      </c>
      <c r="P214" s="337" t="s">
        <v>773</v>
      </c>
      <c r="Q214" s="337" t="s">
        <v>254</v>
      </c>
      <c r="R214" s="337" t="s">
        <v>4674</v>
      </c>
      <c r="S214" s="340">
        <v>43776</v>
      </c>
      <c r="T214" s="336"/>
    </row>
    <row r="215" spans="1:20" x14ac:dyDescent="0.25">
      <c r="A215" s="336">
        <v>198251</v>
      </c>
      <c r="B215" s="337" t="s">
        <v>380</v>
      </c>
      <c r="C215" s="337" t="s">
        <v>3554</v>
      </c>
      <c r="D215" s="337" t="s">
        <v>3553</v>
      </c>
      <c r="E215" s="337" t="s">
        <v>4820</v>
      </c>
      <c r="F215" s="104" t="b">
        <f t="array" ref="F215">IF(_xlfn.NUMBERVALUE(RIGHT($E215,2))=MAX(IF(LEFT($E215:$E2200,11)=LEFT($E215,11),_xlfn.NUMBERVALUE(RIGHT($E215:$E2200,2)))),TRUE)</f>
        <v>1</v>
      </c>
      <c r="G215" s="337" t="s">
        <v>4821</v>
      </c>
      <c r="H215" s="337" t="s">
        <v>605</v>
      </c>
      <c r="I215" s="337" t="s">
        <v>605</v>
      </c>
      <c r="J215" s="337" t="s">
        <v>770</v>
      </c>
      <c r="K215" s="337" t="s">
        <v>706</v>
      </c>
      <c r="L215" s="337" t="s">
        <v>771</v>
      </c>
      <c r="M215" s="337" t="s">
        <v>771</v>
      </c>
      <c r="N215" s="337" t="s">
        <v>770</v>
      </c>
      <c r="O215" s="337" t="s">
        <v>770</v>
      </c>
      <c r="P215" s="337" t="s">
        <v>773</v>
      </c>
      <c r="Q215" s="337" t="s">
        <v>254</v>
      </c>
      <c r="R215" s="337" t="s">
        <v>4674</v>
      </c>
      <c r="S215" s="340">
        <v>43774</v>
      </c>
      <c r="T215" s="336"/>
    </row>
    <row r="216" spans="1:20" x14ac:dyDescent="0.25">
      <c r="A216" s="336">
        <v>194399</v>
      </c>
      <c r="B216" s="337" t="s">
        <v>3564</v>
      </c>
      <c r="C216" s="337" t="s">
        <v>3563</v>
      </c>
      <c r="D216" s="337" t="s">
        <v>3562</v>
      </c>
      <c r="E216" s="337" t="s">
        <v>5352</v>
      </c>
      <c r="F216" s="104" t="b">
        <f t="array" ref="F216">IF(_xlfn.NUMBERVALUE(RIGHT($E216,2))=MAX(IF(LEFT($E216:$E2201,11)=LEFT($E216,11),_xlfn.NUMBERVALUE(RIGHT($E216:$E2201,2)))),TRUE)</f>
        <v>1</v>
      </c>
      <c r="G216" s="336"/>
      <c r="H216" s="337" t="s">
        <v>604</v>
      </c>
      <c r="I216" s="336"/>
      <c r="J216" s="337" t="s">
        <v>770</v>
      </c>
      <c r="K216" s="337" t="s">
        <v>323</v>
      </c>
      <c r="L216" s="337" t="s">
        <v>771</v>
      </c>
      <c r="M216" s="337" t="s">
        <v>772</v>
      </c>
      <c r="N216" s="337" t="s">
        <v>770</v>
      </c>
      <c r="O216" s="337" t="s">
        <v>770</v>
      </c>
      <c r="P216" s="337" t="s">
        <v>773</v>
      </c>
      <c r="Q216" s="337" t="s">
        <v>254</v>
      </c>
      <c r="R216" s="337" t="s">
        <v>4674</v>
      </c>
      <c r="S216" s="340">
        <v>43783</v>
      </c>
      <c r="T216" s="336"/>
    </row>
    <row r="217" spans="1:20" x14ac:dyDescent="0.25">
      <c r="A217" s="336">
        <v>198728</v>
      </c>
      <c r="B217" s="337" t="s">
        <v>531</v>
      </c>
      <c r="C217" s="337" t="s">
        <v>4527</v>
      </c>
      <c r="D217" s="337" t="s">
        <v>4526</v>
      </c>
      <c r="E217" s="337" t="s">
        <v>5353</v>
      </c>
      <c r="F217" s="104" t="b">
        <f t="array" ref="F217">IF(_xlfn.NUMBERVALUE(RIGHT($E217,2))=MAX(IF(LEFT($E217:$E2202,11)=LEFT($E217,11),_xlfn.NUMBERVALUE(RIGHT($E217:$E2202,2)))),TRUE)</f>
        <v>1</v>
      </c>
      <c r="G217" s="337" t="s">
        <v>5354</v>
      </c>
      <c r="H217" s="337" t="s">
        <v>605</v>
      </c>
      <c r="I217" s="337" t="s">
        <v>605</v>
      </c>
      <c r="J217" s="337" t="s">
        <v>770</v>
      </c>
      <c r="K217" s="337" t="s">
        <v>706</v>
      </c>
      <c r="L217" s="337" t="s">
        <v>771</v>
      </c>
      <c r="M217" s="337" t="s">
        <v>771</v>
      </c>
      <c r="N217" s="337" t="s">
        <v>770</v>
      </c>
      <c r="O217" s="337" t="s">
        <v>770</v>
      </c>
      <c r="P217" s="337" t="s">
        <v>773</v>
      </c>
      <c r="Q217" s="337" t="s">
        <v>254</v>
      </c>
      <c r="R217" s="337" t="s">
        <v>4674</v>
      </c>
      <c r="S217" s="340">
        <v>43783</v>
      </c>
      <c r="T217" s="336"/>
    </row>
    <row r="218" spans="1:20" x14ac:dyDescent="0.25">
      <c r="A218" s="336">
        <v>197252</v>
      </c>
      <c r="B218" s="337" t="s">
        <v>3585</v>
      </c>
      <c r="C218" s="337" t="s">
        <v>3584</v>
      </c>
      <c r="D218" s="337" t="s">
        <v>3583</v>
      </c>
      <c r="E218" s="337" t="s">
        <v>4822</v>
      </c>
      <c r="F218" s="104" t="b">
        <f t="array" ref="F218">IF(_xlfn.NUMBERVALUE(RIGHT($E218,2))=MAX(IF(LEFT($E218:$E2203,11)=LEFT($E218,11),_xlfn.NUMBERVALUE(RIGHT($E218:$E2203,2)))),TRUE)</f>
        <v>1</v>
      </c>
      <c r="G218" s="337" t="s">
        <v>4823</v>
      </c>
      <c r="H218" s="337" t="s">
        <v>604</v>
      </c>
      <c r="I218" s="336"/>
      <c r="J218" s="337" t="s">
        <v>770</v>
      </c>
      <c r="K218" s="337" t="s">
        <v>706</v>
      </c>
      <c r="L218" s="337" t="s">
        <v>771</v>
      </c>
      <c r="M218" s="337" t="s">
        <v>772</v>
      </c>
      <c r="N218" s="337" t="s">
        <v>770</v>
      </c>
      <c r="O218" s="337" t="s">
        <v>770</v>
      </c>
      <c r="P218" s="337" t="s">
        <v>773</v>
      </c>
      <c r="Q218" s="337" t="s">
        <v>254</v>
      </c>
      <c r="R218" s="337" t="s">
        <v>4674</v>
      </c>
      <c r="S218" s="340">
        <v>43774</v>
      </c>
      <c r="T218" s="336"/>
    </row>
    <row r="219" spans="1:20" x14ac:dyDescent="0.25">
      <c r="A219" s="336">
        <v>196267</v>
      </c>
      <c r="B219" s="337" t="s">
        <v>3607</v>
      </c>
      <c r="C219" s="337" t="s">
        <v>3595</v>
      </c>
      <c r="D219" s="337" t="s">
        <v>3606</v>
      </c>
      <c r="E219" s="337" t="s">
        <v>4824</v>
      </c>
      <c r="F219" s="104" t="b">
        <f t="array" ref="F219">IF(_xlfn.NUMBERVALUE(RIGHT($E219,2))=MAX(IF(LEFT($E219:$E2204,11)=LEFT($E219,11),_xlfn.NUMBERVALUE(RIGHT($E219:$E2204,2)))),TRUE)</f>
        <v>1</v>
      </c>
      <c r="G219" s="337" t="s">
        <v>4825</v>
      </c>
      <c r="H219" s="337" t="s">
        <v>604</v>
      </c>
      <c r="I219" s="336"/>
      <c r="J219" s="337" t="s">
        <v>770</v>
      </c>
      <c r="K219" s="337" t="s">
        <v>706</v>
      </c>
      <c r="L219" s="337" t="s">
        <v>771</v>
      </c>
      <c r="M219" s="337" t="s">
        <v>772</v>
      </c>
      <c r="N219" s="337" t="s">
        <v>770</v>
      </c>
      <c r="O219" s="337" t="s">
        <v>770</v>
      </c>
      <c r="P219" s="337" t="s">
        <v>773</v>
      </c>
      <c r="Q219" s="337" t="s">
        <v>254</v>
      </c>
      <c r="R219" s="337" t="s">
        <v>4674</v>
      </c>
      <c r="S219" s="340">
        <v>43774</v>
      </c>
      <c r="T219" s="336"/>
    </row>
    <row r="220" spans="1:20" x14ac:dyDescent="0.25">
      <c r="A220" s="336">
        <v>198402</v>
      </c>
      <c r="B220" s="337" t="s">
        <v>3617</v>
      </c>
      <c r="C220" s="337" t="s">
        <v>269</v>
      </c>
      <c r="D220" s="337" t="s">
        <v>3616</v>
      </c>
      <c r="E220" s="337" t="s">
        <v>4888</v>
      </c>
      <c r="F220" s="104" t="b">
        <f t="array" ref="F220">IF(_xlfn.NUMBERVALUE(RIGHT($E220,2))=MAX(IF(LEFT($E220:$E2205,11)=LEFT($E220,11),_xlfn.NUMBERVALUE(RIGHT($E220:$E2205,2)))),TRUE)</f>
        <v>1</v>
      </c>
      <c r="G220" s="337" t="s">
        <v>4889</v>
      </c>
      <c r="H220" s="337" t="s">
        <v>604</v>
      </c>
      <c r="I220" s="336"/>
      <c r="J220" s="337" t="s">
        <v>770</v>
      </c>
      <c r="K220" s="337" t="s">
        <v>706</v>
      </c>
      <c r="L220" s="337" t="s">
        <v>771</v>
      </c>
      <c r="M220" s="337" t="s">
        <v>772</v>
      </c>
      <c r="N220" s="337" t="s">
        <v>770</v>
      </c>
      <c r="O220" s="337" t="s">
        <v>770</v>
      </c>
      <c r="P220" s="337" t="s">
        <v>773</v>
      </c>
      <c r="Q220" s="337" t="s">
        <v>254</v>
      </c>
      <c r="R220" s="337" t="s">
        <v>4674</v>
      </c>
      <c r="S220" s="340">
        <v>43776</v>
      </c>
      <c r="T220" s="336"/>
    </row>
    <row r="221" spans="1:20" x14ac:dyDescent="0.25">
      <c r="A221" s="336">
        <v>197248</v>
      </c>
      <c r="B221" s="337" t="s">
        <v>296</v>
      </c>
      <c r="C221" s="337" t="s">
        <v>269</v>
      </c>
      <c r="D221" s="337" t="s">
        <v>3623</v>
      </c>
      <c r="E221" s="337" t="s">
        <v>4890</v>
      </c>
      <c r="F221" s="104" t="b">
        <f t="array" ref="F221">IF(_xlfn.NUMBERVALUE(RIGHT($E221,2))=MAX(IF(LEFT($E221:$E2206,11)=LEFT($E221,11),_xlfn.NUMBERVALUE(RIGHT($E221:$E2206,2)))),TRUE)</f>
        <v>1</v>
      </c>
      <c r="G221" s="337" t="s">
        <v>4891</v>
      </c>
      <c r="H221" s="337" t="s">
        <v>604</v>
      </c>
      <c r="I221" s="336"/>
      <c r="J221" s="337" t="s">
        <v>770</v>
      </c>
      <c r="K221" s="337" t="s">
        <v>706</v>
      </c>
      <c r="L221" s="337" t="s">
        <v>771</v>
      </c>
      <c r="M221" s="337" t="s">
        <v>772</v>
      </c>
      <c r="N221" s="337" t="s">
        <v>770</v>
      </c>
      <c r="O221" s="337" t="s">
        <v>770</v>
      </c>
      <c r="P221" s="337" t="s">
        <v>773</v>
      </c>
      <c r="Q221" s="337" t="s">
        <v>254</v>
      </c>
      <c r="R221" s="337" t="s">
        <v>4674</v>
      </c>
      <c r="S221" s="340">
        <v>43776</v>
      </c>
      <c r="T221" s="336"/>
    </row>
    <row r="222" spans="1:20" x14ac:dyDescent="0.25">
      <c r="A222" s="336">
        <v>195360</v>
      </c>
      <c r="B222" s="337" t="s">
        <v>3672</v>
      </c>
      <c r="C222" s="337" t="s">
        <v>3671</v>
      </c>
      <c r="D222" s="337" t="s">
        <v>3670</v>
      </c>
      <c r="E222" s="337" t="s">
        <v>6105</v>
      </c>
      <c r="F222" s="104" t="b">
        <f t="array" ref="F222">IF(_xlfn.NUMBERVALUE(RIGHT($E222,2))=MAX(IF(LEFT($E222:$E2207,11)=LEFT($E222,11),_xlfn.NUMBERVALUE(RIGHT($E222:$E2207,2)))),TRUE)</f>
        <v>1</v>
      </c>
      <c r="G222" s="337" t="s">
        <v>603</v>
      </c>
      <c r="H222" s="337" t="s">
        <v>604</v>
      </c>
      <c r="I222" s="337" t="s">
        <v>605</v>
      </c>
      <c r="J222" s="337" t="s">
        <v>770</v>
      </c>
      <c r="K222" s="337" t="s">
        <v>706</v>
      </c>
      <c r="L222" s="337" t="s">
        <v>771</v>
      </c>
      <c r="M222" s="337" t="s">
        <v>772</v>
      </c>
      <c r="N222" s="337" t="s">
        <v>770</v>
      </c>
      <c r="O222" s="337" t="s">
        <v>770</v>
      </c>
      <c r="P222" s="337" t="s">
        <v>773</v>
      </c>
      <c r="Q222" s="337" t="s">
        <v>254</v>
      </c>
      <c r="R222" s="337" t="s">
        <v>4674</v>
      </c>
      <c r="S222" s="340">
        <v>43790</v>
      </c>
      <c r="T222" s="336"/>
    </row>
    <row r="223" spans="1:20" x14ac:dyDescent="0.25">
      <c r="A223" s="336">
        <v>197627</v>
      </c>
      <c r="B223" s="337" t="s">
        <v>3683</v>
      </c>
      <c r="C223" s="337" t="s">
        <v>877</v>
      </c>
      <c r="D223" s="337" t="s">
        <v>3682</v>
      </c>
      <c r="E223" s="337" t="s">
        <v>4826</v>
      </c>
      <c r="F223" s="104" t="b">
        <f t="array" ref="F223">IF(_xlfn.NUMBERVALUE(RIGHT($E223,2))=MAX(IF(LEFT($E223:$E2208,11)=LEFT($E223,11),_xlfn.NUMBERVALUE(RIGHT($E223:$E2208,2)))),TRUE)</f>
        <v>1</v>
      </c>
      <c r="G223" s="337" t="s">
        <v>4827</v>
      </c>
      <c r="H223" s="337" t="s">
        <v>605</v>
      </c>
      <c r="I223" s="337" t="s">
        <v>605</v>
      </c>
      <c r="J223" s="337" t="s">
        <v>605</v>
      </c>
      <c r="K223" s="337" t="s">
        <v>706</v>
      </c>
      <c r="L223" s="337" t="s">
        <v>771</v>
      </c>
      <c r="M223" s="337" t="s">
        <v>771</v>
      </c>
      <c r="N223" s="337" t="s">
        <v>770</v>
      </c>
      <c r="O223" s="337" t="s">
        <v>770</v>
      </c>
      <c r="P223" s="337" t="s">
        <v>773</v>
      </c>
      <c r="Q223" s="337" t="s">
        <v>254</v>
      </c>
      <c r="R223" s="337" t="s">
        <v>4674</v>
      </c>
      <c r="S223" s="340">
        <v>43774</v>
      </c>
      <c r="T223" s="336"/>
    </row>
    <row r="224" spans="1:20" x14ac:dyDescent="0.25">
      <c r="A224" s="336">
        <v>193430</v>
      </c>
      <c r="B224" s="337" t="s">
        <v>3691</v>
      </c>
      <c r="C224" s="337" t="s">
        <v>753</v>
      </c>
      <c r="D224" s="337" t="s">
        <v>3690</v>
      </c>
      <c r="E224" s="337" t="s">
        <v>5355</v>
      </c>
      <c r="F224" s="104" t="b">
        <f t="array" ref="F224">IF(_xlfn.NUMBERVALUE(RIGHT($E224,2))=MAX(IF(LEFT($E224:$E2210,11)=LEFT($E224,11),_xlfn.NUMBERVALUE(RIGHT($E224:$E2210,2)))),TRUE)</f>
        <v>1</v>
      </c>
      <c r="G224" s="337" t="s">
        <v>4828</v>
      </c>
      <c r="H224" s="337" t="s">
        <v>605</v>
      </c>
      <c r="I224" s="337" t="s">
        <v>605</v>
      </c>
      <c r="J224" s="337" t="s">
        <v>770</v>
      </c>
      <c r="K224" s="337" t="s">
        <v>706</v>
      </c>
      <c r="L224" s="337" t="s">
        <v>771</v>
      </c>
      <c r="M224" s="337" t="s">
        <v>771</v>
      </c>
      <c r="N224" s="337" t="s">
        <v>770</v>
      </c>
      <c r="O224" s="337" t="s">
        <v>770</v>
      </c>
      <c r="P224" s="337" t="s">
        <v>773</v>
      </c>
      <c r="Q224" s="337" t="s">
        <v>254</v>
      </c>
      <c r="R224" s="337" t="s">
        <v>4674</v>
      </c>
      <c r="S224" s="340">
        <v>43783</v>
      </c>
      <c r="T224" s="336"/>
    </row>
    <row r="225" spans="1:20" x14ac:dyDescent="0.25">
      <c r="A225" s="336">
        <v>197215</v>
      </c>
      <c r="B225" s="337" t="s">
        <v>3683</v>
      </c>
      <c r="C225" s="337" t="s">
        <v>3700</v>
      </c>
      <c r="D225" s="337" t="s">
        <v>3699</v>
      </c>
      <c r="E225" s="337" t="s">
        <v>6143</v>
      </c>
      <c r="F225" s="104" t="b">
        <f t="array" ref="F225">IF(_xlfn.NUMBERVALUE(RIGHT($E225,2))=MAX(IF(LEFT($E225:$E2214,11)=LEFT($E225,11),_xlfn.NUMBERVALUE(RIGHT($E225:$E2214,2)))),TRUE)</f>
        <v>1</v>
      </c>
      <c r="G225" s="337" t="s">
        <v>4829</v>
      </c>
      <c r="H225" s="337" t="s">
        <v>604</v>
      </c>
      <c r="I225" s="336"/>
      <c r="J225" s="337" t="s">
        <v>770</v>
      </c>
      <c r="K225" s="337" t="s">
        <v>706</v>
      </c>
      <c r="L225" s="337" t="s">
        <v>771</v>
      </c>
      <c r="M225" s="337" t="s">
        <v>772</v>
      </c>
      <c r="N225" s="337" t="s">
        <v>770</v>
      </c>
      <c r="O225" s="337" t="s">
        <v>770</v>
      </c>
      <c r="P225" s="337" t="s">
        <v>773</v>
      </c>
      <c r="Q225" s="337" t="s">
        <v>254</v>
      </c>
      <c r="R225" s="337" t="s">
        <v>4674</v>
      </c>
      <c r="S225" s="340">
        <v>43801</v>
      </c>
      <c r="T225" s="336"/>
    </row>
    <row r="226" spans="1:20" x14ac:dyDescent="0.25">
      <c r="A226" s="336">
        <v>193530</v>
      </c>
      <c r="B226" s="337" t="s">
        <v>467</v>
      </c>
      <c r="C226" s="337" t="s">
        <v>3712</v>
      </c>
      <c r="D226" s="337" t="s">
        <v>3711</v>
      </c>
      <c r="E226" s="337" t="s">
        <v>4892</v>
      </c>
      <c r="F226" s="104" t="b">
        <f t="array" ref="F226">IF(_xlfn.NUMBERVALUE(RIGHT($E226,2))=MAX(IF(LEFT($E226:$E2215,11)=LEFT($E226,11),_xlfn.NUMBERVALUE(RIGHT($E226:$E2215,2)))),TRUE)</f>
        <v>1</v>
      </c>
      <c r="G226" s="336"/>
      <c r="H226" s="337" t="s">
        <v>604</v>
      </c>
      <c r="I226" s="336"/>
      <c r="J226" s="337" t="s">
        <v>770</v>
      </c>
      <c r="K226" s="337" t="s">
        <v>323</v>
      </c>
      <c r="L226" s="337" t="s">
        <v>771</v>
      </c>
      <c r="M226" s="337" t="s">
        <v>772</v>
      </c>
      <c r="N226" s="337" t="s">
        <v>770</v>
      </c>
      <c r="O226" s="337" t="s">
        <v>770</v>
      </c>
      <c r="P226" s="337" t="s">
        <v>773</v>
      </c>
      <c r="Q226" s="337" t="s">
        <v>254</v>
      </c>
      <c r="R226" s="337" t="s">
        <v>4674</v>
      </c>
      <c r="S226" s="340">
        <v>43774</v>
      </c>
      <c r="T226" s="336"/>
    </row>
    <row r="227" spans="1:20" x14ac:dyDescent="0.25">
      <c r="A227" s="336">
        <v>199808</v>
      </c>
      <c r="B227" s="337" t="s">
        <v>6281</v>
      </c>
      <c r="C227" s="337" t="s">
        <v>6487</v>
      </c>
      <c r="D227" s="337" t="s">
        <v>6486</v>
      </c>
      <c r="E227" s="337" t="s">
        <v>6582</v>
      </c>
      <c r="F227" s="104" t="b">
        <f t="array" ref="F227">IF(_xlfn.NUMBERVALUE(RIGHT($E227,2))=MAX(IF(LEFT($E227:$E2216,11)=LEFT($E227,11),_xlfn.NUMBERVALUE(RIGHT($E227:$E2216,2)))),TRUE)</f>
        <v>1</v>
      </c>
      <c r="G227" s="337" t="s">
        <v>603</v>
      </c>
      <c r="H227" s="337" t="s">
        <v>604</v>
      </c>
      <c r="I227" s="337" t="s">
        <v>605</v>
      </c>
      <c r="J227" s="337" t="s">
        <v>770</v>
      </c>
      <c r="K227" s="337" t="s">
        <v>706</v>
      </c>
      <c r="L227" s="337" t="s">
        <v>771</v>
      </c>
      <c r="M227" s="337" t="s">
        <v>772</v>
      </c>
      <c r="N227" s="337" t="s">
        <v>770</v>
      </c>
      <c r="O227" s="337" t="s">
        <v>770</v>
      </c>
      <c r="P227" s="337" t="s">
        <v>773</v>
      </c>
      <c r="Q227" s="337" t="s">
        <v>254</v>
      </c>
      <c r="R227" s="337" t="s">
        <v>4674</v>
      </c>
      <c r="S227" s="340">
        <v>43804</v>
      </c>
      <c r="T227" s="336"/>
    </row>
    <row r="228" spans="1:20" x14ac:dyDescent="0.25">
      <c r="A228" s="336">
        <v>198969</v>
      </c>
      <c r="B228" s="337" t="s">
        <v>5238</v>
      </c>
      <c r="C228" s="337" t="s">
        <v>456</v>
      </c>
      <c r="D228" s="337" t="s">
        <v>5237</v>
      </c>
      <c r="E228" s="337" t="s">
        <v>6177</v>
      </c>
      <c r="F228" s="104" t="b">
        <f t="array" ref="F228">IF(_xlfn.NUMBERVALUE(RIGHT($E228,2))=MAX(IF(LEFT($E228:$E2218,11)=LEFT($E228,11),_xlfn.NUMBERVALUE(RIGHT($E228:$E2218,2)))),TRUE)</f>
        <v>1</v>
      </c>
      <c r="G228" s="337" t="s">
        <v>603</v>
      </c>
      <c r="H228" s="337" t="s">
        <v>604</v>
      </c>
      <c r="I228" s="337" t="s">
        <v>605</v>
      </c>
      <c r="J228" s="337" t="s">
        <v>770</v>
      </c>
      <c r="K228" s="337" t="s">
        <v>706</v>
      </c>
      <c r="L228" s="337" t="s">
        <v>771</v>
      </c>
      <c r="M228" s="337" t="s">
        <v>772</v>
      </c>
      <c r="N228" s="337" t="s">
        <v>770</v>
      </c>
      <c r="O228" s="337" t="s">
        <v>770</v>
      </c>
      <c r="P228" s="337" t="s">
        <v>773</v>
      </c>
      <c r="Q228" s="337" t="s">
        <v>254</v>
      </c>
      <c r="R228" s="337" t="s">
        <v>4674</v>
      </c>
      <c r="S228" s="340">
        <v>43804</v>
      </c>
      <c r="T228" s="336"/>
    </row>
    <row r="229" spans="1:20" x14ac:dyDescent="0.25">
      <c r="A229" s="336">
        <v>196434</v>
      </c>
      <c r="B229" s="337" t="s">
        <v>1929</v>
      </c>
      <c r="C229" s="337" t="s">
        <v>3742</v>
      </c>
      <c r="D229" s="337" t="s">
        <v>3741</v>
      </c>
      <c r="E229" s="337" t="s">
        <v>6106</v>
      </c>
      <c r="F229" s="104" t="b">
        <f t="array" ref="F229">IF(_xlfn.NUMBERVALUE(RIGHT($E229,2))=MAX(IF(LEFT($E229:$E2220,11)=LEFT($E229,11),_xlfn.NUMBERVALUE(RIGHT($E229:$E2220,2)))),TRUE)</f>
        <v>1</v>
      </c>
      <c r="G229" s="337" t="s">
        <v>603</v>
      </c>
      <c r="H229" s="337" t="s">
        <v>605</v>
      </c>
      <c r="I229" s="337" t="s">
        <v>605</v>
      </c>
      <c r="J229" s="337" t="s">
        <v>605</v>
      </c>
      <c r="K229" s="337" t="s">
        <v>706</v>
      </c>
      <c r="L229" s="337" t="s">
        <v>771</v>
      </c>
      <c r="M229" s="337" t="s">
        <v>771</v>
      </c>
      <c r="N229" s="337" t="s">
        <v>605</v>
      </c>
      <c r="O229" s="337" t="s">
        <v>605</v>
      </c>
      <c r="P229" s="337" t="s">
        <v>773</v>
      </c>
      <c r="Q229" s="337" t="s">
        <v>254</v>
      </c>
      <c r="R229" s="337" t="s">
        <v>4674</v>
      </c>
      <c r="S229" s="340">
        <v>43790</v>
      </c>
      <c r="T229" s="336"/>
    </row>
    <row r="230" spans="1:20" x14ac:dyDescent="0.25">
      <c r="A230" s="336">
        <v>197102</v>
      </c>
      <c r="B230" s="337" t="s">
        <v>2143</v>
      </c>
      <c r="C230" s="337" t="s">
        <v>577</v>
      </c>
      <c r="D230" s="337" t="s">
        <v>3752</v>
      </c>
      <c r="E230" s="337" t="s">
        <v>5356</v>
      </c>
      <c r="F230" s="104" t="b">
        <f t="array" ref="F230">IF(_xlfn.NUMBERVALUE(RIGHT($E230,2))=MAX(IF(LEFT($E230:$E2221,11)=LEFT($E230,11),_xlfn.NUMBERVALUE(RIGHT($E230:$E2221,2)))),TRUE)</f>
        <v>1</v>
      </c>
      <c r="G230" s="337" t="s">
        <v>5357</v>
      </c>
      <c r="H230" s="337" t="s">
        <v>604</v>
      </c>
      <c r="I230" s="336"/>
      <c r="J230" s="337" t="s">
        <v>770</v>
      </c>
      <c r="K230" s="337" t="s">
        <v>706</v>
      </c>
      <c r="L230" s="337" t="s">
        <v>771</v>
      </c>
      <c r="M230" s="337" t="s">
        <v>772</v>
      </c>
      <c r="N230" s="337" t="s">
        <v>770</v>
      </c>
      <c r="O230" s="337" t="s">
        <v>770</v>
      </c>
      <c r="P230" s="337" t="s">
        <v>773</v>
      </c>
      <c r="Q230" s="337" t="s">
        <v>254</v>
      </c>
      <c r="R230" s="337" t="s">
        <v>4674</v>
      </c>
      <c r="S230" s="340">
        <v>43783</v>
      </c>
      <c r="T230" s="336"/>
    </row>
    <row r="231" spans="1:20" x14ac:dyDescent="0.25">
      <c r="A231" s="336">
        <v>197549</v>
      </c>
      <c r="B231" s="337" t="s">
        <v>3806</v>
      </c>
      <c r="C231" s="337" t="s">
        <v>3805</v>
      </c>
      <c r="D231" s="337" t="s">
        <v>3804</v>
      </c>
      <c r="E231" s="337" t="s">
        <v>4830</v>
      </c>
      <c r="F231" s="104" t="b">
        <f t="array" ref="F231">IF(_xlfn.NUMBERVALUE(RIGHT($E231,2))=MAX(IF(LEFT($E231:$E2222,11)=LEFT($E231,11),_xlfn.NUMBERVALUE(RIGHT($E231:$E2222,2)))),TRUE)</f>
        <v>1</v>
      </c>
      <c r="G231" s="336"/>
      <c r="H231" s="337" t="s">
        <v>604</v>
      </c>
      <c r="I231" s="336"/>
      <c r="J231" s="337" t="s">
        <v>770</v>
      </c>
      <c r="K231" s="337" t="s">
        <v>323</v>
      </c>
      <c r="L231" s="337" t="s">
        <v>771</v>
      </c>
      <c r="M231" s="337" t="s">
        <v>772</v>
      </c>
      <c r="N231" s="337" t="s">
        <v>770</v>
      </c>
      <c r="O231" s="337" t="s">
        <v>770</v>
      </c>
      <c r="P231" s="337" t="s">
        <v>773</v>
      </c>
      <c r="Q231" s="337" t="s">
        <v>254</v>
      </c>
      <c r="R231" s="337" t="s">
        <v>4674</v>
      </c>
      <c r="S231" s="340">
        <v>43774</v>
      </c>
      <c r="T231" s="336"/>
    </row>
    <row r="232" spans="1:20" x14ac:dyDescent="0.25">
      <c r="A232" s="336">
        <v>197751</v>
      </c>
      <c r="B232" s="337" t="s">
        <v>3829</v>
      </c>
      <c r="C232" s="337" t="s">
        <v>3828</v>
      </c>
      <c r="D232" s="337" t="s">
        <v>3827</v>
      </c>
      <c r="E232" s="337" t="s">
        <v>4831</v>
      </c>
      <c r="F232" s="104" t="b">
        <f t="array" ref="F232">IF(_xlfn.NUMBERVALUE(RIGHT($E232,2))=MAX(IF(LEFT($E232:$E2223,11)=LEFT($E232,11),_xlfn.NUMBERVALUE(RIGHT($E232:$E2223,2)))),TRUE)</f>
        <v>1</v>
      </c>
      <c r="G232" s="337" t="s">
        <v>603</v>
      </c>
      <c r="H232" s="337" t="s">
        <v>604</v>
      </c>
      <c r="I232" s="337" t="s">
        <v>605</v>
      </c>
      <c r="J232" s="337" t="s">
        <v>770</v>
      </c>
      <c r="K232" s="337" t="s">
        <v>706</v>
      </c>
      <c r="L232" s="337" t="s">
        <v>771</v>
      </c>
      <c r="M232" s="337" t="s">
        <v>772</v>
      </c>
      <c r="N232" s="337" t="s">
        <v>770</v>
      </c>
      <c r="O232" s="337" t="s">
        <v>770</v>
      </c>
      <c r="P232" s="337" t="s">
        <v>773</v>
      </c>
      <c r="Q232" s="337" t="s">
        <v>254</v>
      </c>
      <c r="R232" s="337" t="s">
        <v>4674</v>
      </c>
      <c r="S232" s="340">
        <v>43774</v>
      </c>
      <c r="T232" s="336"/>
    </row>
    <row r="233" spans="1:20" x14ac:dyDescent="0.25">
      <c r="A233" s="336">
        <v>193741</v>
      </c>
      <c r="B233" s="337" t="s">
        <v>3846</v>
      </c>
      <c r="C233" s="337" t="s">
        <v>3845</v>
      </c>
      <c r="D233" s="337" t="s">
        <v>3844</v>
      </c>
      <c r="E233" s="337" t="s">
        <v>6107</v>
      </c>
      <c r="F233" s="104" t="b">
        <f t="array" ref="F233">IF(_xlfn.NUMBERVALUE(RIGHT($E233,2))=MAX(IF(LEFT($E233:$E2224,11)=LEFT($E233,11),_xlfn.NUMBERVALUE(RIGHT($E233:$E2224,2)))),TRUE)</f>
        <v>1</v>
      </c>
      <c r="G233" s="337" t="s">
        <v>603</v>
      </c>
      <c r="H233" s="337" t="s">
        <v>604</v>
      </c>
      <c r="I233" s="337" t="s">
        <v>605</v>
      </c>
      <c r="J233" s="337" t="s">
        <v>770</v>
      </c>
      <c r="K233" s="337" t="s">
        <v>706</v>
      </c>
      <c r="L233" s="337" t="s">
        <v>771</v>
      </c>
      <c r="M233" s="337" t="s">
        <v>772</v>
      </c>
      <c r="N233" s="337" t="s">
        <v>770</v>
      </c>
      <c r="O233" s="337" t="s">
        <v>770</v>
      </c>
      <c r="P233" s="337" t="s">
        <v>773</v>
      </c>
      <c r="Q233" s="337" t="s">
        <v>254</v>
      </c>
      <c r="R233" s="337" t="s">
        <v>4674</v>
      </c>
      <c r="S233" s="340">
        <v>43790</v>
      </c>
      <c r="T233" s="336"/>
    </row>
    <row r="234" spans="1:20" x14ac:dyDescent="0.25">
      <c r="A234" s="336">
        <v>199197</v>
      </c>
      <c r="B234" s="337" t="s">
        <v>5524</v>
      </c>
      <c r="C234" s="337" t="s">
        <v>5523</v>
      </c>
      <c r="D234" s="337" t="s">
        <v>5522</v>
      </c>
      <c r="E234" s="337" t="s">
        <v>6108</v>
      </c>
      <c r="F234" s="104" t="b">
        <f t="array" ref="F234">IF(_xlfn.NUMBERVALUE(RIGHT($E234,2))=MAX(IF(LEFT($E234:$E2225,11)=LEFT($E234,11),_xlfn.NUMBERVALUE(RIGHT($E234:$E2225,2)))),TRUE)</f>
        <v>1</v>
      </c>
      <c r="G234" s="337" t="s">
        <v>6109</v>
      </c>
      <c r="H234" s="337" t="s">
        <v>605</v>
      </c>
      <c r="I234" s="337" t="s">
        <v>605</v>
      </c>
      <c r="J234" s="337" t="s">
        <v>770</v>
      </c>
      <c r="K234" s="337" t="s">
        <v>706</v>
      </c>
      <c r="L234" s="337" t="s">
        <v>771</v>
      </c>
      <c r="M234" s="337" t="s">
        <v>771</v>
      </c>
      <c r="N234" s="337" t="s">
        <v>770</v>
      </c>
      <c r="O234" s="337" t="s">
        <v>770</v>
      </c>
      <c r="P234" s="337" t="s">
        <v>773</v>
      </c>
      <c r="Q234" s="337" t="s">
        <v>254</v>
      </c>
      <c r="R234" s="337" t="s">
        <v>4674</v>
      </c>
      <c r="S234" s="340">
        <v>43774</v>
      </c>
      <c r="T234" s="336"/>
    </row>
    <row r="235" spans="1:20" x14ac:dyDescent="0.25">
      <c r="A235" s="336">
        <v>195299</v>
      </c>
      <c r="B235" s="337" t="s">
        <v>3858</v>
      </c>
      <c r="C235" s="337" t="s">
        <v>3857</v>
      </c>
      <c r="D235" s="337" t="s">
        <v>3856</v>
      </c>
      <c r="E235" s="337" t="s">
        <v>6110</v>
      </c>
      <c r="F235" s="104" t="b">
        <f t="array" ref="F235">IF(_xlfn.NUMBERVALUE(RIGHT($E235,2))=MAX(IF(LEFT($E235:$E2226,11)=LEFT($E235,11),_xlfn.NUMBERVALUE(RIGHT($E235:$E2226,2)))),TRUE)</f>
        <v>1</v>
      </c>
      <c r="G235" s="337" t="s">
        <v>603</v>
      </c>
      <c r="H235" s="337" t="s">
        <v>604</v>
      </c>
      <c r="I235" s="337" t="s">
        <v>605</v>
      </c>
      <c r="J235" s="337" t="s">
        <v>605</v>
      </c>
      <c r="K235" s="337" t="s">
        <v>706</v>
      </c>
      <c r="L235" s="337" t="s">
        <v>771</v>
      </c>
      <c r="M235" s="337" t="s">
        <v>772</v>
      </c>
      <c r="N235" s="337" t="s">
        <v>770</v>
      </c>
      <c r="O235" s="337" t="s">
        <v>770</v>
      </c>
      <c r="P235" s="337" t="s">
        <v>773</v>
      </c>
      <c r="Q235" s="337" t="s">
        <v>254</v>
      </c>
      <c r="R235" s="337" t="s">
        <v>4674</v>
      </c>
      <c r="S235" s="340">
        <v>43790</v>
      </c>
      <c r="T235" s="336"/>
    </row>
    <row r="236" spans="1:20" x14ac:dyDescent="0.25">
      <c r="A236" s="336">
        <v>198855</v>
      </c>
      <c r="B236" s="337" t="s">
        <v>806</v>
      </c>
      <c r="C236" s="337" t="s">
        <v>4596</v>
      </c>
      <c r="D236" s="337" t="s">
        <v>4595</v>
      </c>
      <c r="E236" s="337" t="s">
        <v>6144</v>
      </c>
      <c r="F236" s="104" t="b">
        <f t="array" ref="F236">IF(_xlfn.NUMBERVALUE(RIGHT($E236,2))=MAX(IF(LEFT($E236:$E2228,11)=LEFT($E236,11),_xlfn.NUMBERVALUE(RIGHT($E236:$E2228,2)))),TRUE)</f>
        <v>1</v>
      </c>
      <c r="G236" s="337" t="s">
        <v>5358</v>
      </c>
      <c r="H236" s="337" t="s">
        <v>605</v>
      </c>
      <c r="I236" s="337" t="s">
        <v>605</v>
      </c>
      <c r="J236" s="337" t="s">
        <v>770</v>
      </c>
      <c r="K236" s="337" t="s">
        <v>706</v>
      </c>
      <c r="L236" s="337" t="s">
        <v>771</v>
      </c>
      <c r="M236" s="337" t="s">
        <v>771</v>
      </c>
      <c r="N236" s="337" t="s">
        <v>770</v>
      </c>
      <c r="O236" s="337" t="s">
        <v>770</v>
      </c>
      <c r="P236" s="337" t="s">
        <v>773</v>
      </c>
      <c r="Q236" s="337" t="s">
        <v>254</v>
      </c>
      <c r="R236" s="337" t="s">
        <v>4674</v>
      </c>
      <c r="S236" s="340">
        <v>43801</v>
      </c>
      <c r="T236" s="336"/>
    </row>
    <row r="237" spans="1:20" x14ac:dyDescent="0.25">
      <c r="A237" s="336">
        <v>198263</v>
      </c>
      <c r="B237" s="337" t="s">
        <v>478</v>
      </c>
      <c r="C237" s="337" t="s">
        <v>3865</v>
      </c>
      <c r="D237" s="337" t="s">
        <v>3864</v>
      </c>
      <c r="E237" s="337" t="s">
        <v>6145</v>
      </c>
      <c r="F237" s="104" t="b">
        <f t="array" ref="F237">IF(_xlfn.NUMBERVALUE(RIGHT($E237,2))=MAX(IF(LEFT($E237:$E2229,11)=LEFT($E237,11),_xlfn.NUMBERVALUE(RIGHT($E237:$E2229,2)))),TRUE)</f>
        <v>1</v>
      </c>
      <c r="G237" s="337" t="s">
        <v>6146</v>
      </c>
      <c r="H237" s="337" t="s">
        <v>605</v>
      </c>
      <c r="I237" s="337" t="s">
        <v>605</v>
      </c>
      <c r="J237" s="337" t="s">
        <v>770</v>
      </c>
      <c r="K237" s="337" t="s">
        <v>706</v>
      </c>
      <c r="L237" s="337" t="s">
        <v>771</v>
      </c>
      <c r="M237" s="337" t="s">
        <v>771</v>
      </c>
      <c r="N237" s="337" t="s">
        <v>770</v>
      </c>
      <c r="O237" s="337" t="s">
        <v>770</v>
      </c>
      <c r="P237" s="337" t="s">
        <v>773</v>
      </c>
      <c r="Q237" s="337" t="s">
        <v>254</v>
      </c>
      <c r="R237" s="337" t="s">
        <v>4674</v>
      </c>
      <c r="S237" s="340">
        <v>43801</v>
      </c>
      <c r="T237" s="336"/>
    </row>
    <row r="238" spans="1:20" x14ac:dyDescent="0.25">
      <c r="A238" s="336">
        <v>196108</v>
      </c>
      <c r="B238" s="337" t="s">
        <v>516</v>
      </c>
      <c r="C238" s="337" t="s">
        <v>3871</v>
      </c>
      <c r="D238" s="337" t="s">
        <v>3870</v>
      </c>
      <c r="E238" s="337" t="s">
        <v>6147</v>
      </c>
      <c r="F238" s="104" t="b">
        <f t="array" ref="F238">IF(_xlfn.NUMBERVALUE(RIGHT($E238,2))=MAX(IF(LEFT($E238:$E2231,11)=LEFT($E238,11),_xlfn.NUMBERVALUE(RIGHT($E238:$E2231,2)))),TRUE)</f>
        <v>1</v>
      </c>
      <c r="G238" s="337" t="s">
        <v>603</v>
      </c>
      <c r="H238" s="337" t="s">
        <v>604</v>
      </c>
      <c r="I238" s="337" t="s">
        <v>605</v>
      </c>
      <c r="J238" s="337" t="s">
        <v>770</v>
      </c>
      <c r="K238" s="337" t="s">
        <v>706</v>
      </c>
      <c r="L238" s="337" t="s">
        <v>771</v>
      </c>
      <c r="M238" s="337" t="s">
        <v>772</v>
      </c>
      <c r="N238" s="337" t="s">
        <v>605</v>
      </c>
      <c r="O238" s="337" t="s">
        <v>770</v>
      </c>
      <c r="P238" s="337" t="s">
        <v>773</v>
      </c>
      <c r="Q238" s="337" t="s">
        <v>254</v>
      </c>
      <c r="R238" s="337" t="s">
        <v>4674</v>
      </c>
      <c r="S238" s="340">
        <v>43801</v>
      </c>
      <c r="T238" s="336"/>
    </row>
    <row r="239" spans="1:20" x14ac:dyDescent="0.25">
      <c r="A239" s="336">
        <v>195156</v>
      </c>
      <c r="B239" s="337" t="s">
        <v>750</v>
      </c>
      <c r="C239" s="337" t="s">
        <v>3890</v>
      </c>
      <c r="D239" s="337" t="s">
        <v>3889</v>
      </c>
      <c r="E239" s="337" t="s">
        <v>4893</v>
      </c>
      <c r="F239" s="104" t="b">
        <f t="array" ref="F239">IF(_xlfn.NUMBERVALUE(RIGHT($E239,2))=MAX(IF(LEFT($E239:$E2232,11)=LEFT($E239,11),_xlfn.NUMBERVALUE(RIGHT($E239:$E2232,2)))),TRUE)</f>
        <v>1</v>
      </c>
      <c r="G239" s="337" t="s">
        <v>4894</v>
      </c>
      <c r="H239" s="337" t="s">
        <v>604</v>
      </c>
      <c r="I239" s="337" t="s">
        <v>605</v>
      </c>
      <c r="J239" s="337" t="s">
        <v>770</v>
      </c>
      <c r="K239" s="337" t="s">
        <v>278</v>
      </c>
      <c r="L239" s="337" t="s">
        <v>771</v>
      </c>
      <c r="M239" s="337" t="s">
        <v>772</v>
      </c>
      <c r="N239" s="337" t="s">
        <v>770</v>
      </c>
      <c r="O239" s="337" t="s">
        <v>770</v>
      </c>
      <c r="P239" s="337" t="s">
        <v>773</v>
      </c>
      <c r="Q239" s="337" t="s">
        <v>254</v>
      </c>
      <c r="R239" s="337" t="s">
        <v>4674</v>
      </c>
      <c r="S239" s="340">
        <v>43774</v>
      </c>
      <c r="T239" s="336"/>
    </row>
    <row r="240" spans="1:20" x14ac:dyDescent="0.25">
      <c r="A240" s="336">
        <v>196303</v>
      </c>
      <c r="B240" s="337" t="s">
        <v>5533</v>
      </c>
      <c r="C240" s="337" t="s">
        <v>697</v>
      </c>
      <c r="D240" s="337" t="s">
        <v>5532</v>
      </c>
      <c r="E240" s="337" t="s">
        <v>6111</v>
      </c>
      <c r="F240" s="104" t="b">
        <f t="array" ref="F240">IF(_xlfn.NUMBERVALUE(RIGHT($E240,2))=MAX(IF(LEFT($E240:$E2233,11)=LEFT($E240,11),_xlfn.NUMBERVALUE(RIGHT($E240:$E2233,2)))),TRUE)</f>
        <v>1</v>
      </c>
      <c r="G240" s="337" t="s">
        <v>603</v>
      </c>
      <c r="H240" s="337" t="s">
        <v>604</v>
      </c>
      <c r="I240" s="337" t="s">
        <v>605</v>
      </c>
      <c r="J240" s="337" t="s">
        <v>770</v>
      </c>
      <c r="K240" s="337" t="s">
        <v>706</v>
      </c>
      <c r="L240" s="337" t="s">
        <v>771</v>
      </c>
      <c r="M240" s="337" t="s">
        <v>772</v>
      </c>
      <c r="N240" s="337" t="s">
        <v>770</v>
      </c>
      <c r="O240" s="337" t="s">
        <v>770</v>
      </c>
      <c r="P240" s="337" t="s">
        <v>773</v>
      </c>
      <c r="Q240" s="337" t="s">
        <v>254</v>
      </c>
      <c r="R240" s="337" t="s">
        <v>4674</v>
      </c>
      <c r="S240" s="340">
        <v>43776</v>
      </c>
      <c r="T240" s="336"/>
    </row>
    <row r="241" spans="1:20" x14ac:dyDescent="0.25">
      <c r="A241" s="336">
        <v>196222</v>
      </c>
      <c r="B241" s="337" t="s">
        <v>3901</v>
      </c>
      <c r="C241" s="337" t="s">
        <v>697</v>
      </c>
      <c r="D241" s="337" t="s">
        <v>3900</v>
      </c>
      <c r="E241" s="337" t="s">
        <v>4832</v>
      </c>
      <c r="F241" s="104" t="b">
        <f t="array" ref="F241">IF(_xlfn.NUMBERVALUE(RIGHT($E241,2))=MAX(IF(LEFT($E241:$E2234,11)=LEFT($E241,11),_xlfn.NUMBERVALUE(RIGHT($E241:$E2234,2)))),TRUE)</f>
        <v>1</v>
      </c>
      <c r="G241" s="337" t="s">
        <v>603</v>
      </c>
      <c r="H241" s="337" t="s">
        <v>605</v>
      </c>
      <c r="I241" s="337" t="s">
        <v>605</v>
      </c>
      <c r="J241" s="337" t="s">
        <v>770</v>
      </c>
      <c r="K241" s="337" t="s">
        <v>706</v>
      </c>
      <c r="L241" s="337" t="s">
        <v>771</v>
      </c>
      <c r="M241" s="337" t="s">
        <v>771</v>
      </c>
      <c r="N241" s="337" t="s">
        <v>770</v>
      </c>
      <c r="O241" s="337" t="s">
        <v>770</v>
      </c>
      <c r="P241" s="337" t="s">
        <v>773</v>
      </c>
      <c r="Q241" s="337" t="s">
        <v>254</v>
      </c>
      <c r="R241" s="337" t="s">
        <v>4674</v>
      </c>
      <c r="S241" s="340">
        <v>43774</v>
      </c>
      <c r="T241" s="336"/>
    </row>
    <row r="242" spans="1:20" x14ac:dyDescent="0.25">
      <c r="A242" s="336">
        <v>198355</v>
      </c>
      <c r="B242" s="337" t="s">
        <v>317</v>
      </c>
      <c r="C242" s="337" t="s">
        <v>884</v>
      </c>
      <c r="D242" s="337" t="s">
        <v>3908</v>
      </c>
      <c r="E242" s="337" t="s">
        <v>4833</v>
      </c>
      <c r="F242" s="104" t="b">
        <f t="array" ref="F242">IF(_xlfn.NUMBERVALUE(RIGHT($E242,2))=MAX(IF(LEFT($E242:$E2236,11)=LEFT($E242,11),_xlfn.NUMBERVALUE(RIGHT($E242:$E2236,2)))),TRUE)</f>
        <v>1</v>
      </c>
      <c r="G242" s="337" t="s">
        <v>4834</v>
      </c>
      <c r="H242" s="337" t="s">
        <v>605</v>
      </c>
      <c r="I242" s="337" t="s">
        <v>605</v>
      </c>
      <c r="J242" s="337" t="s">
        <v>770</v>
      </c>
      <c r="K242" s="337" t="s">
        <v>706</v>
      </c>
      <c r="L242" s="337" t="s">
        <v>771</v>
      </c>
      <c r="M242" s="337" t="s">
        <v>771</v>
      </c>
      <c r="N242" s="337" t="s">
        <v>605</v>
      </c>
      <c r="O242" s="337" t="s">
        <v>770</v>
      </c>
      <c r="P242" s="337" t="s">
        <v>773</v>
      </c>
      <c r="Q242" s="337" t="s">
        <v>254</v>
      </c>
      <c r="R242" s="337" t="s">
        <v>4674</v>
      </c>
      <c r="S242" s="340">
        <v>43774</v>
      </c>
      <c r="T242" s="336"/>
    </row>
    <row r="243" spans="1:20" x14ac:dyDescent="0.25">
      <c r="A243" s="336">
        <v>195084</v>
      </c>
      <c r="B243" s="337" t="s">
        <v>806</v>
      </c>
      <c r="C243" s="337" t="s">
        <v>3928</v>
      </c>
      <c r="D243" s="337" t="s">
        <v>3927</v>
      </c>
      <c r="E243" s="337" t="s">
        <v>4835</v>
      </c>
      <c r="F243" s="104" t="b">
        <f t="array" ref="F243">IF(_xlfn.NUMBERVALUE(RIGHT($E243,2))=MAX(IF(LEFT($E243:$E2237,11)=LEFT($E243,11),_xlfn.NUMBERVALUE(RIGHT($E243:$E2237,2)))),TRUE)</f>
        <v>1</v>
      </c>
      <c r="G243" s="337" t="s">
        <v>4836</v>
      </c>
      <c r="H243" s="337" t="s">
        <v>604</v>
      </c>
      <c r="I243" s="336"/>
      <c r="J243" s="337" t="s">
        <v>770</v>
      </c>
      <c r="K243" s="337" t="s">
        <v>706</v>
      </c>
      <c r="L243" s="337" t="s">
        <v>771</v>
      </c>
      <c r="M243" s="337" t="s">
        <v>772</v>
      </c>
      <c r="N243" s="337" t="s">
        <v>770</v>
      </c>
      <c r="O243" s="337" t="s">
        <v>770</v>
      </c>
      <c r="P243" s="337" t="s">
        <v>773</v>
      </c>
      <c r="Q243" s="337" t="s">
        <v>254</v>
      </c>
      <c r="R243" s="337" t="s">
        <v>4674</v>
      </c>
      <c r="S243" s="340">
        <v>43774</v>
      </c>
      <c r="T243" s="336"/>
    </row>
    <row r="244" spans="1:20" x14ac:dyDescent="0.25">
      <c r="A244" s="336">
        <v>196010</v>
      </c>
      <c r="B244" s="337" t="s">
        <v>3939</v>
      </c>
      <c r="C244" s="337" t="s">
        <v>827</v>
      </c>
      <c r="D244" s="337" t="s">
        <v>3938</v>
      </c>
      <c r="E244" s="337" t="s">
        <v>6112</v>
      </c>
      <c r="F244" s="104" t="b">
        <f t="array" ref="F244">IF(_xlfn.NUMBERVALUE(RIGHT($E244,2))=MAX(IF(LEFT($E244:$E2238,11)=LEFT($E244,11),_xlfn.NUMBERVALUE(RIGHT($E244:$E2238,2)))),TRUE)</f>
        <v>1</v>
      </c>
      <c r="G244" s="337" t="s">
        <v>6113</v>
      </c>
      <c r="H244" s="337" t="s">
        <v>604</v>
      </c>
      <c r="I244" s="336"/>
      <c r="J244" s="337" t="s">
        <v>770</v>
      </c>
      <c r="K244" s="337" t="s">
        <v>706</v>
      </c>
      <c r="L244" s="337" t="s">
        <v>771</v>
      </c>
      <c r="M244" s="337" t="s">
        <v>772</v>
      </c>
      <c r="N244" s="337" t="s">
        <v>770</v>
      </c>
      <c r="O244" s="337" t="s">
        <v>770</v>
      </c>
      <c r="P244" s="337" t="s">
        <v>773</v>
      </c>
      <c r="Q244" s="337" t="s">
        <v>254</v>
      </c>
      <c r="R244" s="337" t="s">
        <v>4674</v>
      </c>
      <c r="S244" s="340">
        <v>43790</v>
      </c>
      <c r="T244" s="336"/>
    </row>
    <row r="245" spans="1:20" x14ac:dyDescent="0.25">
      <c r="A245" s="336">
        <v>197336</v>
      </c>
      <c r="B245" s="337" t="s">
        <v>985</v>
      </c>
      <c r="C245" s="337" t="s">
        <v>3950</v>
      </c>
      <c r="D245" s="337" t="s">
        <v>3949</v>
      </c>
      <c r="E245" s="337" t="s">
        <v>4895</v>
      </c>
      <c r="F245" s="104" t="b">
        <f t="array" ref="F245">IF(_xlfn.NUMBERVALUE(RIGHT($E245,2))=MAX(IF(LEFT($E245:$E2240,11)=LEFT($E245,11),_xlfn.NUMBERVALUE(RIGHT($E245:$E2240,2)))),TRUE)</f>
        <v>1</v>
      </c>
      <c r="G245" s="337" t="s">
        <v>4896</v>
      </c>
      <c r="H245" s="337" t="s">
        <v>605</v>
      </c>
      <c r="I245" s="337" t="s">
        <v>605</v>
      </c>
      <c r="J245" s="337" t="s">
        <v>770</v>
      </c>
      <c r="K245" s="337" t="s">
        <v>706</v>
      </c>
      <c r="L245" s="337" t="s">
        <v>771</v>
      </c>
      <c r="M245" s="337" t="s">
        <v>771</v>
      </c>
      <c r="N245" s="337" t="s">
        <v>605</v>
      </c>
      <c r="O245" s="337" t="s">
        <v>770</v>
      </c>
      <c r="P245" s="337" t="s">
        <v>773</v>
      </c>
      <c r="Q245" s="337" t="s">
        <v>254</v>
      </c>
      <c r="R245" s="337" t="s">
        <v>4674</v>
      </c>
      <c r="S245" s="340">
        <v>43776</v>
      </c>
      <c r="T245" s="336"/>
    </row>
    <row r="246" spans="1:20" x14ac:dyDescent="0.25">
      <c r="A246" s="336">
        <v>198691</v>
      </c>
      <c r="B246" s="337" t="s">
        <v>475</v>
      </c>
      <c r="C246" s="337" t="s">
        <v>5290</v>
      </c>
      <c r="D246" s="337" t="s">
        <v>5289</v>
      </c>
      <c r="E246" s="337" t="s">
        <v>5359</v>
      </c>
      <c r="F246" s="104" t="b">
        <f t="array" ref="F246">IF(_xlfn.NUMBERVALUE(RIGHT($E246,2))=MAX(IF(LEFT($E246:$E2241,11)=LEFT($E246,11),_xlfn.NUMBERVALUE(RIGHT($E246:$E2241,2)))),TRUE)</f>
        <v>1</v>
      </c>
      <c r="G246" s="337" t="s">
        <v>603</v>
      </c>
      <c r="H246" s="337" t="s">
        <v>605</v>
      </c>
      <c r="I246" s="337" t="s">
        <v>605</v>
      </c>
      <c r="J246" s="337" t="s">
        <v>770</v>
      </c>
      <c r="K246" s="337" t="s">
        <v>706</v>
      </c>
      <c r="L246" s="337" t="s">
        <v>771</v>
      </c>
      <c r="M246" s="337" t="s">
        <v>771</v>
      </c>
      <c r="N246" s="337" t="s">
        <v>770</v>
      </c>
      <c r="O246" s="337" t="s">
        <v>770</v>
      </c>
      <c r="P246" s="337" t="s">
        <v>773</v>
      </c>
      <c r="Q246" s="337" t="s">
        <v>254</v>
      </c>
      <c r="R246" s="337" t="s">
        <v>4674</v>
      </c>
      <c r="S246" s="340">
        <v>43783</v>
      </c>
      <c r="T246" s="336"/>
    </row>
    <row r="247" spans="1:20" x14ac:dyDescent="0.25">
      <c r="A247" s="336">
        <v>198105</v>
      </c>
      <c r="B247" s="337" t="s">
        <v>750</v>
      </c>
      <c r="C247" s="337" t="s">
        <v>3971</v>
      </c>
      <c r="D247" s="337" t="s">
        <v>3970</v>
      </c>
      <c r="E247" s="337" t="s">
        <v>4837</v>
      </c>
      <c r="F247" s="104" t="b">
        <f t="array" ref="F247">IF(_xlfn.NUMBERVALUE(RIGHT($E247,2))=MAX(IF(LEFT($E247:$E2242,11)=LEFT($E247,11),_xlfn.NUMBERVALUE(RIGHT($E247:$E2242,2)))),TRUE)</f>
        <v>1</v>
      </c>
      <c r="G247" s="337" t="s">
        <v>603</v>
      </c>
      <c r="H247" s="337" t="s">
        <v>604</v>
      </c>
      <c r="I247" s="337" t="s">
        <v>605</v>
      </c>
      <c r="J247" s="337" t="s">
        <v>770</v>
      </c>
      <c r="K247" s="337" t="s">
        <v>706</v>
      </c>
      <c r="L247" s="337" t="s">
        <v>771</v>
      </c>
      <c r="M247" s="337" t="s">
        <v>772</v>
      </c>
      <c r="N247" s="337" t="s">
        <v>770</v>
      </c>
      <c r="O247" s="337" t="s">
        <v>770</v>
      </c>
      <c r="P247" s="337" t="s">
        <v>773</v>
      </c>
      <c r="Q247" s="337" t="s">
        <v>254</v>
      </c>
      <c r="R247" s="337" t="s">
        <v>4674</v>
      </c>
      <c r="S247" s="340">
        <v>43774</v>
      </c>
      <c r="T247" s="336"/>
    </row>
    <row r="248" spans="1:20" x14ac:dyDescent="0.25">
      <c r="A248" s="336">
        <v>196423</v>
      </c>
      <c r="B248" s="337" t="s">
        <v>506</v>
      </c>
      <c r="C248" s="337" t="s">
        <v>3971</v>
      </c>
      <c r="D248" s="337" t="s">
        <v>3977</v>
      </c>
      <c r="E248" s="337" t="s">
        <v>4897</v>
      </c>
      <c r="F248" s="104" t="b">
        <f t="array" ref="F248">IF(_xlfn.NUMBERVALUE(RIGHT($E248,2))=MAX(IF(LEFT($E248:$E2243,11)=LEFT($E248,11),_xlfn.NUMBERVALUE(RIGHT($E248:$E2243,2)))),TRUE)</f>
        <v>1</v>
      </c>
      <c r="G248" s="337" t="s">
        <v>603</v>
      </c>
      <c r="H248" s="337" t="s">
        <v>604</v>
      </c>
      <c r="I248" s="337" t="s">
        <v>605</v>
      </c>
      <c r="J248" s="337" t="s">
        <v>770</v>
      </c>
      <c r="K248" s="337" t="s">
        <v>706</v>
      </c>
      <c r="L248" s="337" t="s">
        <v>771</v>
      </c>
      <c r="M248" s="337" t="s">
        <v>772</v>
      </c>
      <c r="N248" s="337" t="s">
        <v>770</v>
      </c>
      <c r="O248" s="337" t="s">
        <v>770</v>
      </c>
      <c r="P248" s="337" t="s">
        <v>773</v>
      </c>
      <c r="Q248" s="337" t="s">
        <v>254</v>
      </c>
      <c r="R248" s="337" t="s">
        <v>4674</v>
      </c>
      <c r="S248" s="340">
        <v>43776</v>
      </c>
      <c r="T248" s="336"/>
    </row>
    <row r="249" spans="1:20" x14ac:dyDescent="0.25">
      <c r="A249" s="336">
        <v>199273</v>
      </c>
      <c r="B249" s="337" t="s">
        <v>5555</v>
      </c>
      <c r="C249" s="337" t="s">
        <v>3971</v>
      </c>
      <c r="D249" s="337" t="s">
        <v>5554</v>
      </c>
      <c r="E249" s="337" t="s">
        <v>6114</v>
      </c>
      <c r="F249" s="104" t="b">
        <f t="array" ref="F249">IF(_xlfn.NUMBERVALUE(RIGHT($E249,2))=MAX(IF(LEFT($E249:$E2244,11)=LEFT($E249,11),_xlfn.NUMBERVALUE(RIGHT($E249:$E2244,2)))),TRUE)</f>
        <v>1</v>
      </c>
      <c r="G249" s="337" t="s">
        <v>603</v>
      </c>
      <c r="H249" s="337" t="s">
        <v>604</v>
      </c>
      <c r="I249" s="337" t="s">
        <v>605</v>
      </c>
      <c r="J249" s="337" t="s">
        <v>770</v>
      </c>
      <c r="K249" s="337" t="s">
        <v>706</v>
      </c>
      <c r="L249" s="337" t="s">
        <v>771</v>
      </c>
      <c r="M249" s="337" t="s">
        <v>772</v>
      </c>
      <c r="N249" s="337" t="s">
        <v>770</v>
      </c>
      <c r="O249" s="337" t="s">
        <v>770</v>
      </c>
      <c r="P249" s="337" t="s">
        <v>773</v>
      </c>
      <c r="Q249" s="337" t="s">
        <v>254</v>
      </c>
      <c r="R249" s="337" t="s">
        <v>4674</v>
      </c>
      <c r="S249" s="340">
        <v>43790</v>
      </c>
      <c r="T249" s="336"/>
    </row>
    <row r="250" spans="1:20" x14ac:dyDescent="0.25">
      <c r="A250" s="336">
        <v>198333</v>
      </c>
      <c r="B250" s="337" t="s">
        <v>3985</v>
      </c>
      <c r="C250" s="337" t="s">
        <v>3984</v>
      </c>
      <c r="D250" s="337" t="s">
        <v>3983</v>
      </c>
      <c r="E250" s="337" t="s">
        <v>4838</v>
      </c>
      <c r="F250" s="104" t="b">
        <f t="array" ref="F250">IF(_xlfn.NUMBERVALUE(RIGHT($E250,2))=MAX(IF(LEFT($E250:$E2245,11)=LEFT($E250,11),_xlfn.NUMBERVALUE(RIGHT($E250:$E2245,2)))),TRUE)</f>
        <v>1</v>
      </c>
      <c r="G250" s="337" t="s">
        <v>4686</v>
      </c>
      <c r="H250" s="337" t="s">
        <v>604</v>
      </c>
      <c r="I250" s="336"/>
      <c r="J250" s="337" t="s">
        <v>770</v>
      </c>
      <c r="K250" s="337" t="s">
        <v>706</v>
      </c>
      <c r="L250" s="337" t="s">
        <v>771</v>
      </c>
      <c r="M250" s="337" t="s">
        <v>772</v>
      </c>
      <c r="N250" s="337" t="s">
        <v>770</v>
      </c>
      <c r="O250" s="337" t="s">
        <v>770</v>
      </c>
      <c r="P250" s="337" t="s">
        <v>773</v>
      </c>
      <c r="Q250" s="337" t="s">
        <v>254</v>
      </c>
      <c r="R250" s="337" t="s">
        <v>4674</v>
      </c>
      <c r="S250" s="340">
        <v>43774</v>
      </c>
      <c r="T250" s="336"/>
    </row>
    <row r="251" spans="1:20" x14ac:dyDescent="0.25">
      <c r="A251" s="336">
        <v>192176</v>
      </c>
      <c r="B251" s="337" t="s">
        <v>3996</v>
      </c>
      <c r="C251" s="337" t="s">
        <v>3995</v>
      </c>
      <c r="D251" s="337" t="s">
        <v>3994</v>
      </c>
      <c r="E251" s="337" t="s">
        <v>4839</v>
      </c>
      <c r="F251" s="104" t="b">
        <f t="array" ref="F251">IF(_xlfn.NUMBERVALUE(RIGHT($E251,2))=MAX(IF(LEFT($E251:$E2246,11)=LEFT($E251,11),_xlfn.NUMBERVALUE(RIGHT($E251:$E2246,2)))),TRUE)</f>
        <v>1</v>
      </c>
      <c r="G251" s="337" t="s">
        <v>4840</v>
      </c>
      <c r="H251" s="337" t="s">
        <v>604</v>
      </c>
      <c r="I251" s="336"/>
      <c r="J251" s="337" t="s">
        <v>770</v>
      </c>
      <c r="K251" s="337" t="s">
        <v>706</v>
      </c>
      <c r="L251" s="337" t="s">
        <v>771</v>
      </c>
      <c r="M251" s="337" t="s">
        <v>772</v>
      </c>
      <c r="N251" s="337" t="s">
        <v>770</v>
      </c>
      <c r="O251" s="337" t="s">
        <v>770</v>
      </c>
      <c r="P251" s="337" t="s">
        <v>773</v>
      </c>
      <c r="Q251" s="337" t="s">
        <v>254</v>
      </c>
      <c r="R251" s="337" t="s">
        <v>4674</v>
      </c>
      <c r="S251" s="340">
        <v>43774</v>
      </c>
      <c r="T251" s="336"/>
    </row>
    <row r="252" spans="1:20" x14ac:dyDescent="0.25">
      <c r="A252" s="336">
        <v>198826</v>
      </c>
      <c r="B252" s="337" t="s">
        <v>4625</v>
      </c>
      <c r="C252" s="337" t="s">
        <v>373</v>
      </c>
      <c r="D252" s="337" t="s">
        <v>4624</v>
      </c>
      <c r="E252" s="337" t="s">
        <v>4841</v>
      </c>
      <c r="F252" s="104" t="b">
        <f t="array" ref="F252">IF(_xlfn.NUMBERVALUE(RIGHT($E252,2))=MAX(IF(LEFT($E252:$E2247,11)=LEFT($E252,11),_xlfn.NUMBERVALUE(RIGHT($E252:$E2247,2)))),TRUE)</f>
        <v>1</v>
      </c>
      <c r="G252" s="337" t="s">
        <v>603</v>
      </c>
      <c r="H252" s="337" t="s">
        <v>604</v>
      </c>
      <c r="I252" s="337" t="s">
        <v>605</v>
      </c>
      <c r="J252" s="337" t="s">
        <v>770</v>
      </c>
      <c r="K252" s="337" t="s">
        <v>706</v>
      </c>
      <c r="L252" s="337" t="s">
        <v>771</v>
      </c>
      <c r="M252" s="337" t="s">
        <v>772</v>
      </c>
      <c r="N252" s="337" t="s">
        <v>770</v>
      </c>
      <c r="O252" s="337" t="s">
        <v>770</v>
      </c>
      <c r="P252" s="337" t="s">
        <v>773</v>
      </c>
      <c r="Q252" s="337" t="s">
        <v>254</v>
      </c>
      <c r="R252" s="337" t="s">
        <v>4674</v>
      </c>
      <c r="S252" s="340">
        <v>43774</v>
      </c>
      <c r="T252" s="336"/>
    </row>
    <row r="253" spans="1:20" x14ac:dyDescent="0.25">
      <c r="A253" s="336">
        <v>191923</v>
      </c>
      <c r="B253" s="337" t="s">
        <v>4026</v>
      </c>
      <c r="C253" s="337" t="s">
        <v>373</v>
      </c>
      <c r="D253" s="337" t="s">
        <v>4025</v>
      </c>
      <c r="E253" s="337" t="s">
        <v>4842</v>
      </c>
      <c r="F253" s="104" t="b">
        <f t="array" ref="F253">IF(_xlfn.NUMBERVALUE(RIGHT($E253,2))=MAX(IF(LEFT($E253:$E2248,11)=LEFT($E253,11),_xlfn.NUMBERVALUE(RIGHT($E253:$E2248,2)))),TRUE)</f>
        <v>1</v>
      </c>
      <c r="G253" s="337" t="s">
        <v>603</v>
      </c>
      <c r="H253" s="337" t="s">
        <v>605</v>
      </c>
      <c r="I253" s="337" t="s">
        <v>605</v>
      </c>
      <c r="J253" s="337" t="s">
        <v>770</v>
      </c>
      <c r="K253" s="337" t="s">
        <v>278</v>
      </c>
      <c r="L253" s="337" t="s">
        <v>771</v>
      </c>
      <c r="M253" s="337" t="s">
        <v>771</v>
      </c>
      <c r="N253" s="337" t="s">
        <v>770</v>
      </c>
      <c r="O253" s="337" t="s">
        <v>770</v>
      </c>
      <c r="P253" s="337" t="s">
        <v>773</v>
      </c>
      <c r="Q253" s="337" t="s">
        <v>254</v>
      </c>
      <c r="R253" s="337" t="s">
        <v>4674</v>
      </c>
      <c r="S253" s="340">
        <v>43774</v>
      </c>
      <c r="T253" s="336"/>
    </row>
    <row r="254" spans="1:20" x14ac:dyDescent="0.25">
      <c r="A254" s="336">
        <v>199067</v>
      </c>
      <c r="B254" s="337" t="s">
        <v>262</v>
      </c>
      <c r="C254" s="337" t="s">
        <v>373</v>
      </c>
      <c r="D254" s="337" t="s">
        <v>5575</v>
      </c>
      <c r="E254" s="337" t="s">
        <v>6178</v>
      </c>
      <c r="F254" s="104" t="b">
        <f t="array" ref="F254">IF(_xlfn.NUMBERVALUE(RIGHT($E254,2))=MAX(IF(LEFT($E254:$E2249,11)=LEFT($E254,11),_xlfn.NUMBERVALUE(RIGHT($E254:$E2249,2)))),TRUE)</f>
        <v>1</v>
      </c>
      <c r="G254" s="336"/>
      <c r="H254" s="337" t="s">
        <v>605</v>
      </c>
      <c r="I254" s="336"/>
      <c r="J254" s="337" t="s">
        <v>770</v>
      </c>
      <c r="K254" s="337" t="s">
        <v>323</v>
      </c>
      <c r="L254" s="337" t="s">
        <v>771</v>
      </c>
      <c r="M254" s="337" t="s">
        <v>771</v>
      </c>
      <c r="N254" s="337" t="s">
        <v>770</v>
      </c>
      <c r="O254" s="337" t="s">
        <v>770</v>
      </c>
      <c r="P254" s="337" t="s">
        <v>773</v>
      </c>
      <c r="Q254" s="337" t="s">
        <v>254</v>
      </c>
      <c r="R254" s="337" t="s">
        <v>4674</v>
      </c>
      <c r="S254" s="340">
        <v>43804</v>
      </c>
      <c r="T254" s="336"/>
    </row>
    <row r="255" spans="1:20" x14ac:dyDescent="0.25">
      <c r="A255" s="336">
        <v>195666</v>
      </c>
      <c r="B255" s="337" t="s">
        <v>507</v>
      </c>
      <c r="C255" s="337" t="s">
        <v>472</v>
      </c>
      <c r="D255" s="337" t="s">
        <v>4053</v>
      </c>
      <c r="E255" s="337" t="s">
        <v>4843</v>
      </c>
      <c r="F255" s="104" t="b">
        <f t="array" ref="F255">IF(_xlfn.NUMBERVALUE(RIGHT($E255,2))=MAX(IF(LEFT($E255:$E2250,11)=LEFT($E255,11),_xlfn.NUMBERVALUE(RIGHT($E255:$E2250,2)))),TRUE)</f>
        <v>1</v>
      </c>
      <c r="G255" s="337" t="s">
        <v>4844</v>
      </c>
      <c r="H255" s="337" t="s">
        <v>604</v>
      </c>
      <c r="I255" s="336"/>
      <c r="J255" s="337" t="s">
        <v>770</v>
      </c>
      <c r="K255" s="337" t="s">
        <v>706</v>
      </c>
      <c r="L255" s="337" t="s">
        <v>771</v>
      </c>
      <c r="M255" s="337" t="s">
        <v>772</v>
      </c>
      <c r="N255" s="337" t="s">
        <v>770</v>
      </c>
      <c r="O255" s="337" t="s">
        <v>770</v>
      </c>
      <c r="P255" s="337" t="s">
        <v>773</v>
      </c>
      <c r="Q255" s="337" t="s">
        <v>254</v>
      </c>
      <c r="R255" s="337" t="s">
        <v>4674</v>
      </c>
      <c r="S255" s="340">
        <v>43774</v>
      </c>
      <c r="T255" s="336"/>
    </row>
    <row r="256" spans="1:20" x14ac:dyDescent="0.25">
      <c r="A256" s="336">
        <v>194321</v>
      </c>
      <c r="B256" s="337" t="s">
        <v>4064</v>
      </c>
      <c r="C256" s="337" t="s">
        <v>4063</v>
      </c>
      <c r="D256" s="337" t="s">
        <v>4062</v>
      </c>
      <c r="E256" s="337" t="s">
        <v>6179</v>
      </c>
      <c r="F256" s="104" t="b">
        <f t="array" ref="F256">IF(_xlfn.NUMBERVALUE(RIGHT($E256,2))=MAX(IF(LEFT($E256:$E2251,11)=LEFT($E256,11),_xlfn.NUMBERVALUE(RIGHT($E256:$E2251,2)))),TRUE)</f>
        <v>1</v>
      </c>
      <c r="G256" s="336"/>
      <c r="H256" s="337" t="s">
        <v>604</v>
      </c>
      <c r="I256" s="336"/>
      <c r="J256" s="337" t="s">
        <v>605</v>
      </c>
      <c r="K256" s="337" t="s">
        <v>323</v>
      </c>
      <c r="L256" s="337" t="s">
        <v>771</v>
      </c>
      <c r="M256" s="337" t="s">
        <v>772</v>
      </c>
      <c r="N256" s="337" t="s">
        <v>770</v>
      </c>
      <c r="O256" s="337" t="s">
        <v>770</v>
      </c>
      <c r="P256" s="337" t="s">
        <v>773</v>
      </c>
      <c r="Q256" s="337" t="s">
        <v>254</v>
      </c>
      <c r="R256" s="337" t="s">
        <v>4674</v>
      </c>
      <c r="S256" s="340">
        <v>43776</v>
      </c>
      <c r="T256" s="336"/>
    </row>
    <row r="257" spans="1:20" x14ac:dyDescent="0.25">
      <c r="A257" s="336">
        <v>194321</v>
      </c>
      <c r="B257" s="337" t="s">
        <v>4064</v>
      </c>
      <c r="C257" s="337" t="s">
        <v>4063</v>
      </c>
      <c r="D257" s="337" t="s">
        <v>4062</v>
      </c>
      <c r="E257" s="337" t="s">
        <v>6115</v>
      </c>
      <c r="F257" s="104" t="b">
        <f t="array" ref="F257">IF(_xlfn.NUMBERVALUE(RIGHT($E257,2))=MAX(IF(LEFT($E257:$E2252,11)=LEFT($E257,11),_xlfn.NUMBERVALUE(RIGHT($E257:$E2252,2)))),TRUE)</f>
        <v>1</v>
      </c>
      <c r="G257" s="337" t="s">
        <v>603</v>
      </c>
      <c r="H257" s="337" t="s">
        <v>605</v>
      </c>
      <c r="I257" s="337" t="s">
        <v>605</v>
      </c>
      <c r="J257" s="337" t="s">
        <v>770</v>
      </c>
      <c r="K257" s="337" t="s">
        <v>706</v>
      </c>
      <c r="L257" s="337" t="s">
        <v>771</v>
      </c>
      <c r="M257" s="337" t="s">
        <v>771</v>
      </c>
      <c r="N257" s="337" t="s">
        <v>770</v>
      </c>
      <c r="O257" s="337" t="s">
        <v>770</v>
      </c>
      <c r="P257" s="337" t="s">
        <v>773</v>
      </c>
      <c r="Q257" s="337" t="s">
        <v>254</v>
      </c>
      <c r="R257" s="337" t="s">
        <v>4674</v>
      </c>
      <c r="S257" s="340">
        <v>43790</v>
      </c>
      <c r="T257" s="336"/>
    </row>
    <row r="258" spans="1:20" x14ac:dyDescent="0.25">
      <c r="A258" s="336">
        <v>198391</v>
      </c>
      <c r="B258" s="337" t="s">
        <v>442</v>
      </c>
      <c r="C258" s="337" t="s">
        <v>4073</v>
      </c>
      <c r="D258" s="337" t="s">
        <v>4072</v>
      </c>
      <c r="E258" s="337" t="s">
        <v>5360</v>
      </c>
      <c r="F258" s="104" t="b">
        <f t="array" ref="F258">IF(_xlfn.NUMBERVALUE(RIGHT($E258,2))=MAX(IF(LEFT($E258:$E2253,11)=LEFT($E258,11),_xlfn.NUMBERVALUE(RIGHT($E258:$E2253,2)))),TRUE)</f>
        <v>1</v>
      </c>
      <c r="G258" s="337" t="s">
        <v>603</v>
      </c>
      <c r="H258" s="337" t="s">
        <v>604</v>
      </c>
      <c r="I258" s="337" t="s">
        <v>605</v>
      </c>
      <c r="J258" s="337" t="s">
        <v>605</v>
      </c>
      <c r="K258" s="337" t="s">
        <v>706</v>
      </c>
      <c r="L258" s="337" t="s">
        <v>771</v>
      </c>
      <c r="M258" s="337" t="s">
        <v>772</v>
      </c>
      <c r="N258" s="337" t="s">
        <v>770</v>
      </c>
      <c r="O258" s="337" t="s">
        <v>770</v>
      </c>
      <c r="P258" s="337" t="s">
        <v>773</v>
      </c>
      <c r="Q258" s="337" t="s">
        <v>254</v>
      </c>
      <c r="R258" s="337" t="s">
        <v>4674</v>
      </c>
      <c r="S258" s="340">
        <v>43783</v>
      </c>
      <c r="T258" s="336"/>
    </row>
    <row r="259" spans="1:20" x14ac:dyDescent="0.25">
      <c r="A259" s="336">
        <v>196148</v>
      </c>
      <c r="B259" s="337" t="s">
        <v>3564</v>
      </c>
      <c r="C259" s="337" t="s">
        <v>4634</v>
      </c>
      <c r="D259" s="337" t="s">
        <v>4633</v>
      </c>
      <c r="E259" s="337" t="s">
        <v>4898</v>
      </c>
      <c r="F259" s="104" t="b">
        <f t="array" ref="F259">IF(_xlfn.NUMBERVALUE(RIGHT($E259,2))=MAX(IF(LEFT($E259:$E2254,11)=LEFT($E259,11),_xlfn.NUMBERVALUE(RIGHT($E259:$E2254,2)))),TRUE)</f>
        <v>1</v>
      </c>
      <c r="G259" s="337" t="s">
        <v>4899</v>
      </c>
      <c r="H259" s="337" t="s">
        <v>605</v>
      </c>
      <c r="I259" s="337" t="s">
        <v>605</v>
      </c>
      <c r="J259" s="337" t="s">
        <v>770</v>
      </c>
      <c r="K259" s="337" t="s">
        <v>706</v>
      </c>
      <c r="L259" s="337" t="s">
        <v>771</v>
      </c>
      <c r="M259" s="337" t="s">
        <v>771</v>
      </c>
      <c r="N259" s="337" t="s">
        <v>770</v>
      </c>
      <c r="O259" s="337" t="s">
        <v>770</v>
      </c>
      <c r="P259" s="337" t="s">
        <v>773</v>
      </c>
      <c r="Q259" s="337" t="s">
        <v>254</v>
      </c>
      <c r="R259" s="337" t="s">
        <v>4674</v>
      </c>
      <c r="S259" s="340">
        <v>43774</v>
      </c>
      <c r="T259" s="336"/>
    </row>
    <row r="260" spans="1:20" x14ac:dyDescent="0.25">
      <c r="A260" s="336">
        <v>197755</v>
      </c>
      <c r="B260" s="337" t="s">
        <v>507</v>
      </c>
      <c r="C260" s="337" t="s">
        <v>4081</v>
      </c>
      <c r="D260" s="337" t="s">
        <v>4080</v>
      </c>
      <c r="E260" s="337" t="s">
        <v>4845</v>
      </c>
      <c r="F260" s="104" t="b">
        <f t="array" ref="F260">IF(_xlfn.NUMBERVALUE(RIGHT($E260,2))=MAX(IF(LEFT($E260:$E2255,11)=LEFT($E260,11),_xlfn.NUMBERVALUE(RIGHT($E260:$E2255,2)))),TRUE)</f>
        <v>1</v>
      </c>
      <c r="G260" s="337" t="s">
        <v>4846</v>
      </c>
      <c r="H260" s="337" t="s">
        <v>604</v>
      </c>
      <c r="I260" s="336"/>
      <c r="J260" s="337" t="s">
        <v>770</v>
      </c>
      <c r="K260" s="337" t="s">
        <v>706</v>
      </c>
      <c r="L260" s="337" t="s">
        <v>771</v>
      </c>
      <c r="M260" s="337" t="s">
        <v>772</v>
      </c>
      <c r="N260" s="337" t="s">
        <v>770</v>
      </c>
      <c r="O260" s="337" t="s">
        <v>770</v>
      </c>
      <c r="P260" s="337" t="s">
        <v>773</v>
      </c>
      <c r="Q260" s="337" t="s">
        <v>254</v>
      </c>
      <c r="R260" s="337" t="s">
        <v>4674</v>
      </c>
      <c r="S260" s="340">
        <v>43774</v>
      </c>
      <c r="T260" s="336"/>
    </row>
    <row r="261" spans="1:20" x14ac:dyDescent="0.25">
      <c r="A261" s="336">
        <v>197532</v>
      </c>
      <c r="B261" s="337" t="s">
        <v>907</v>
      </c>
      <c r="C261" s="337" t="s">
        <v>4091</v>
      </c>
      <c r="D261" s="337" t="s">
        <v>4090</v>
      </c>
      <c r="E261" s="337" t="s">
        <v>4900</v>
      </c>
      <c r="F261" s="104" t="b">
        <f t="array" ref="F261">IF(_xlfn.NUMBERVALUE(RIGHT($E261,2))=MAX(IF(LEFT($E261:$E2256,11)=LEFT($E261,11),_xlfn.NUMBERVALUE(RIGHT($E261:$E2256,2)))),TRUE)</f>
        <v>1</v>
      </c>
      <c r="G261" s="337" t="s">
        <v>603</v>
      </c>
      <c r="H261" s="337" t="s">
        <v>605</v>
      </c>
      <c r="I261" s="337" t="s">
        <v>605</v>
      </c>
      <c r="J261" s="337" t="s">
        <v>770</v>
      </c>
      <c r="K261" s="337" t="s">
        <v>706</v>
      </c>
      <c r="L261" s="337" t="s">
        <v>771</v>
      </c>
      <c r="M261" s="337" t="s">
        <v>771</v>
      </c>
      <c r="N261" s="337" t="s">
        <v>770</v>
      </c>
      <c r="O261" s="337" t="s">
        <v>770</v>
      </c>
      <c r="P261" s="337" t="s">
        <v>773</v>
      </c>
      <c r="Q261" s="337" t="s">
        <v>254</v>
      </c>
      <c r="R261" s="337" t="s">
        <v>4674</v>
      </c>
      <c r="S261" s="340">
        <v>43776</v>
      </c>
      <c r="T261" s="336"/>
    </row>
    <row r="262" spans="1:20" x14ac:dyDescent="0.25">
      <c r="A262" s="336">
        <v>197450</v>
      </c>
      <c r="B262" s="337" t="s">
        <v>788</v>
      </c>
      <c r="C262" s="337" t="s">
        <v>4106</v>
      </c>
      <c r="D262" s="337" t="s">
        <v>4105</v>
      </c>
      <c r="E262" s="337" t="s">
        <v>6116</v>
      </c>
      <c r="F262" s="104" t="b">
        <f t="array" ref="F262">IF(_xlfn.NUMBERVALUE(RIGHT($E262,2))=MAX(IF(LEFT($E262:$E2259,11)=LEFT($E262,11),_xlfn.NUMBERVALUE(RIGHT($E262:$E2259,2)))),TRUE)</f>
        <v>1</v>
      </c>
      <c r="G262" s="337" t="s">
        <v>4847</v>
      </c>
      <c r="H262" s="337" t="s">
        <v>605</v>
      </c>
      <c r="I262" s="337" t="s">
        <v>605</v>
      </c>
      <c r="J262" s="337" t="s">
        <v>770</v>
      </c>
      <c r="K262" s="337" t="s">
        <v>706</v>
      </c>
      <c r="L262" s="337" t="s">
        <v>771</v>
      </c>
      <c r="M262" s="337" t="s">
        <v>771</v>
      </c>
      <c r="N262" s="337" t="s">
        <v>770</v>
      </c>
      <c r="O262" s="337" t="s">
        <v>770</v>
      </c>
      <c r="P262" s="337" t="s">
        <v>773</v>
      </c>
      <c r="Q262" s="337" t="s">
        <v>254</v>
      </c>
      <c r="R262" s="337" t="s">
        <v>4674</v>
      </c>
      <c r="S262" s="340">
        <v>43790</v>
      </c>
      <c r="T262" s="336"/>
    </row>
    <row r="263" spans="1:20" x14ac:dyDescent="0.25">
      <c r="A263" s="336">
        <v>196332</v>
      </c>
      <c r="B263" s="337" t="s">
        <v>373</v>
      </c>
      <c r="C263" s="337" t="s">
        <v>4116</v>
      </c>
      <c r="D263" s="337" t="s">
        <v>4115</v>
      </c>
      <c r="E263" s="337" t="s">
        <v>4901</v>
      </c>
      <c r="F263" s="104" t="b">
        <f t="array" ref="F263">IF(_xlfn.NUMBERVALUE(RIGHT($E263,2))=MAX(IF(LEFT($E263:$E2261,11)=LEFT($E263,11),_xlfn.NUMBERVALUE(RIGHT($E263:$E2261,2)))),TRUE)</f>
        <v>1</v>
      </c>
      <c r="G263" s="337" t="s">
        <v>4902</v>
      </c>
      <c r="H263" s="337" t="s">
        <v>604</v>
      </c>
      <c r="I263" s="336"/>
      <c r="J263" s="337" t="s">
        <v>770</v>
      </c>
      <c r="K263" s="337" t="s">
        <v>706</v>
      </c>
      <c r="L263" s="337" t="s">
        <v>771</v>
      </c>
      <c r="M263" s="337" t="s">
        <v>772</v>
      </c>
      <c r="N263" s="337" t="s">
        <v>605</v>
      </c>
      <c r="O263" s="337" t="s">
        <v>770</v>
      </c>
      <c r="P263" s="337" t="s">
        <v>773</v>
      </c>
      <c r="Q263" s="337" t="s">
        <v>254</v>
      </c>
      <c r="R263" s="337" t="s">
        <v>4674</v>
      </c>
      <c r="S263" s="340">
        <v>43776</v>
      </c>
      <c r="T263" s="336"/>
    </row>
    <row r="264" spans="1:20" x14ac:dyDescent="0.25">
      <c r="A264" s="336">
        <v>199367</v>
      </c>
      <c r="B264" s="337" t="s">
        <v>6023</v>
      </c>
      <c r="C264" s="337" t="s">
        <v>6022</v>
      </c>
      <c r="D264" s="337" t="s">
        <v>6021</v>
      </c>
      <c r="E264" s="337" t="s">
        <v>6117</v>
      </c>
      <c r="F264" s="104" t="b">
        <f t="array" ref="F264">IF(_xlfn.NUMBERVALUE(RIGHT($E264,2))=MAX(IF(LEFT($E264:$E2262,11)=LEFT($E264,11),_xlfn.NUMBERVALUE(RIGHT($E264:$E2262,2)))),TRUE)</f>
        <v>1</v>
      </c>
      <c r="G264" s="337" t="s">
        <v>6118</v>
      </c>
      <c r="H264" s="337" t="s">
        <v>605</v>
      </c>
      <c r="I264" s="337" t="s">
        <v>605</v>
      </c>
      <c r="J264" s="337" t="s">
        <v>770</v>
      </c>
      <c r="K264" s="337" t="s">
        <v>706</v>
      </c>
      <c r="L264" s="337" t="s">
        <v>771</v>
      </c>
      <c r="M264" s="337" t="s">
        <v>771</v>
      </c>
      <c r="N264" s="337" t="s">
        <v>770</v>
      </c>
      <c r="O264" s="337" t="s">
        <v>770</v>
      </c>
      <c r="P264" s="337" t="s">
        <v>773</v>
      </c>
      <c r="Q264" s="337" t="s">
        <v>254</v>
      </c>
      <c r="R264" s="337" t="s">
        <v>4674</v>
      </c>
      <c r="S264" s="340">
        <v>43790</v>
      </c>
      <c r="T264" s="336"/>
    </row>
    <row r="265" spans="1:20" x14ac:dyDescent="0.25">
      <c r="A265" s="336"/>
      <c r="B265" s="336"/>
      <c r="C265" s="336"/>
      <c r="D265" s="336"/>
      <c r="E265" s="336"/>
      <c r="F265" s="104" t="b">
        <f t="array" ref="F265">IF(_xlfn.NUMBERVALUE(RIGHT($E265,2))=MAX(IF(LEFT($E265:$E2263,11)=LEFT($E265,11),_xlfn.NUMBERVALUE(RIGHT($E265:$E2263,2)))),TRUE)</f>
        <v>1</v>
      </c>
      <c r="G265" s="336"/>
      <c r="H265" s="336"/>
      <c r="I265" s="336"/>
      <c r="J265" s="336"/>
      <c r="K265" s="336"/>
      <c r="L265" s="336"/>
      <c r="M265" s="336"/>
      <c r="N265" s="336"/>
      <c r="O265" s="336"/>
      <c r="P265" s="336"/>
      <c r="Q265" s="336"/>
      <c r="R265" s="336"/>
      <c r="S265" s="336"/>
      <c r="T265" s="336"/>
    </row>
    <row r="266" spans="1:20" x14ac:dyDescent="0.25">
      <c r="A266" s="336"/>
      <c r="B266" s="336"/>
      <c r="C266" s="336"/>
      <c r="D266" s="336"/>
      <c r="E266" s="336"/>
      <c r="F266" s="104" t="b">
        <f t="array" ref="F266">IF(_xlfn.NUMBERVALUE(RIGHT($E266,2))=MAX(IF(LEFT($E266:$E2264,11)=LEFT($E266,11),_xlfn.NUMBERVALUE(RIGHT($E266:$E2264,2)))),TRUE)</f>
        <v>1</v>
      </c>
      <c r="G266" s="336"/>
      <c r="H266" s="336"/>
      <c r="I266" s="336"/>
      <c r="J266" s="336"/>
      <c r="K266" s="336"/>
      <c r="L266" s="336"/>
      <c r="M266" s="336"/>
      <c r="N266" s="336"/>
      <c r="O266" s="336"/>
      <c r="P266" s="336"/>
      <c r="Q266" s="336"/>
      <c r="R266" s="336"/>
      <c r="S266" s="336"/>
      <c r="T266" s="336"/>
    </row>
    <row r="267" spans="1:20" x14ac:dyDescent="0.25">
      <c r="A267" s="336"/>
      <c r="B267" s="336"/>
      <c r="C267" s="336"/>
      <c r="D267" s="336"/>
      <c r="E267" s="336"/>
      <c r="F267" s="104" t="b">
        <f t="array" ref="F267">IF(_xlfn.NUMBERVALUE(RIGHT($E267,2))=MAX(IF(LEFT($E267:$E2265,11)=LEFT($E267,11),_xlfn.NUMBERVALUE(RIGHT($E267:$E2265,2)))),TRUE)</f>
        <v>1</v>
      </c>
      <c r="G267" s="336"/>
      <c r="H267" s="336"/>
      <c r="I267" s="336"/>
      <c r="J267" s="336"/>
      <c r="K267" s="336"/>
      <c r="L267" s="336"/>
      <c r="M267" s="336"/>
      <c r="N267" s="336"/>
      <c r="O267" s="336"/>
      <c r="P267" s="336"/>
      <c r="Q267" s="336"/>
      <c r="R267" s="336"/>
      <c r="S267" s="336"/>
      <c r="T267" s="336"/>
    </row>
    <row r="268" spans="1:20" x14ac:dyDescent="0.25">
      <c r="A268" s="336"/>
      <c r="B268" s="336"/>
      <c r="C268" s="336"/>
      <c r="D268" s="336"/>
      <c r="E268" s="336"/>
      <c r="F268" s="104" t="b">
        <f t="array" ref="F268">IF(_xlfn.NUMBERVALUE(RIGHT($E268,2))=MAX(IF(LEFT($E268:$E2266,11)=LEFT($E268,11),_xlfn.NUMBERVALUE(RIGHT($E268:$E2266,2)))),TRUE)</f>
        <v>1</v>
      </c>
      <c r="G268" s="336"/>
      <c r="H268" s="336"/>
      <c r="I268" s="336"/>
      <c r="J268" s="336"/>
      <c r="K268" s="336"/>
      <c r="L268" s="336"/>
      <c r="M268" s="336"/>
      <c r="N268" s="336"/>
      <c r="O268" s="336"/>
      <c r="P268" s="336"/>
      <c r="Q268" s="336"/>
      <c r="R268" s="336"/>
      <c r="S268" s="336"/>
      <c r="T268" s="336"/>
    </row>
    <row r="269" spans="1:20" x14ac:dyDescent="0.25">
      <c r="A269" s="336"/>
      <c r="B269" s="336"/>
      <c r="C269" s="336"/>
      <c r="D269" s="336"/>
      <c r="E269" s="336"/>
      <c r="F269" s="104" t="b">
        <f t="array" ref="F269">IF(_xlfn.NUMBERVALUE(RIGHT($E269,2))=MAX(IF(LEFT($E269:$E2267,11)=LEFT($E269,11),_xlfn.NUMBERVALUE(RIGHT($E269:$E2267,2)))),TRUE)</f>
        <v>1</v>
      </c>
      <c r="G269" s="336"/>
      <c r="H269" s="336"/>
      <c r="I269" s="336"/>
      <c r="J269" s="336"/>
      <c r="K269" s="336"/>
      <c r="L269" s="336"/>
      <c r="M269" s="336"/>
      <c r="N269" s="336"/>
      <c r="O269" s="336"/>
      <c r="P269" s="336"/>
      <c r="Q269" s="336"/>
      <c r="R269" s="336"/>
      <c r="S269" s="336"/>
      <c r="T269" s="336"/>
    </row>
    <row r="270" spans="1:20" x14ac:dyDescent="0.25">
      <c r="A270" s="336"/>
      <c r="B270" s="336"/>
      <c r="C270" s="336"/>
      <c r="D270" s="336"/>
      <c r="E270" s="336"/>
      <c r="F270" s="104" t="b">
        <f t="array" ref="F270">IF(_xlfn.NUMBERVALUE(RIGHT($E270,2))=MAX(IF(LEFT($E270:$E2268,11)=LEFT($E270,11),_xlfn.NUMBERVALUE(RIGHT($E270:$E2268,2)))),TRUE)</f>
        <v>1</v>
      </c>
      <c r="G270" s="336"/>
      <c r="H270" s="336"/>
      <c r="I270" s="336"/>
      <c r="J270" s="336"/>
      <c r="K270" s="336"/>
      <c r="L270" s="336"/>
      <c r="M270" s="336"/>
      <c r="N270" s="336"/>
      <c r="O270" s="336"/>
      <c r="P270" s="336"/>
      <c r="Q270" s="336"/>
      <c r="R270" s="336"/>
      <c r="S270" s="336"/>
      <c r="T270" s="336"/>
    </row>
    <row r="271" spans="1:20" x14ac:dyDescent="0.25">
      <c r="A271" s="336"/>
      <c r="B271" s="336"/>
      <c r="C271" s="336"/>
      <c r="D271" s="336"/>
      <c r="E271" s="336"/>
      <c r="F271" s="104" t="b">
        <f t="array" ref="F271">IF(_xlfn.NUMBERVALUE(RIGHT($E271,2))=MAX(IF(LEFT($E271:$E2269,11)=LEFT($E271,11),_xlfn.NUMBERVALUE(RIGHT($E271:$E2269,2)))),TRUE)</f>
        <v>1</v>
      </c>
      <c r="G271" s="336"/>
      <c r="H271" s="336"/>
      <c r="I271" s="336"/>
      <c r="J271" s="336"/>
      <c r="K271" s="336"/>
      <c r="L271" s="336"/>
      <c r="M271" s="336"/>
      <c r="N271" s="336"/>
      <c r="O271" s="336"/>
      <c r="P271" s="336"/>
      <c r="Q271" s="336"/>
      <c r="R271" s="336"/>
      <c r="S271" s="336"/>
      <c r="T271" s="336"/>
    </row>
    <row r="272" spans="1:20" x14ac:dyDescent="0.25">
      <c r="A272" s="336"/>
      <c r="B272" s="336"/>
      <c r="C272" s="336"/>
      <c r="D272" s="336"/>
      <c r="E272" s="336"/>
      <c r="F272" s="104" t="b">
        <f t="array" ref="F272">IF(_xlfn.NUMBERVALUE(RIGHT($E272,2))=MAX(IF(LEFT($E272:$E2270,11)=LEFT($E272,11),_xlfn.NUMBERVALUE(RIGHT($E272:$E2270,2)))),TRUE)</f>
        <v>1</v>
      </c>
      <c r="G272" s="336"/>
      <c r="H272" s="336"/>
      <c r="I272" s="336"/>
      <c r="J272" s="336"/>
      <c r="K272" s="336"/>
      <c r="L272" s="336"/>
      <c r="M272" s="336"/>
      <c r="N272" s="336"/>
      <c r="O272" s="336"/>
      <c r="P272" s="336"/>
      <c r="Q272" s="336"/>
      <c r="R272" s="336"/>
      <c r="S272" s="336"/>
      <c r="T272" s="336"/>
    </row>
    <row r="273" spans="1:20" x14ac:dyDescent="0.25">
      <c r="A273" s="336"/>
      <c r="B273" s="336"/>
      <c r="C273" s="336"/>
      <c r="D273" s="336"/>
      <c r="E273" s="336"/>
      <c r="F273" s="104" t="b">
        <f t="array" ref="F273">IF(_xlfn.NUMBERVALUE(RIGHT($E273,2))=MAX(IF(LEFT($E273:$E2271,11)=LEFT($E273,11),_xlfn.NUMBERVALUE(RIGHT($E273:$E2271,2)))),TRUE)</f>
        <v>1</v>
      </c>
      <c r="G273" s="336"/>
      <c r="H273" s="336"/>
      <c r="I273" s="336"/>
      <c r="J273" s="336"/>
      <c r="K273" s="336"/>
      <c r="L273" s="336"/>
      <c r="M273" s="336"/>
      <c r="N273" s="336"/>
      <c r="O273" s="336"/>
      <c r="P273" s="336"/>
      <c r="Q273" s="336"/>
      <c r="R273" s="336"/>
      <c r="S273" s="336"/>
      <c r="T273" s="336"/>
    </row>
    <row r="274" spans="1:20" x14ac:dyDescent="0.25">
      <c r="A274" s="336"/>
      <c r="B274" s="336"/>
      <c r="C274" s="336"/>
      <c r="D274" s="336"/>
      <c r="E274" s="336"/>
      <c r="F274" s="104" t="b">
        <f t="array" ref="F274">IF(_xlfn.NUMBERVALUE(RIGHT($E274,2))=MAX(IF(LEFT($E274:$E2272,11)=LEFT($E274,11),_xlfn.NUMBERVALUE(RIGHT($E274:$E2272,2)))),TRUE)</f>
        <v>1</v>
      </c>
      <c r="G274" s="336"/>
      <c r="H274" s="336"/>
      <c r="I274" s="336"/>
      <c r="J274" s="336"/>
      <c r="K274" s="336"/>
      <c r="L274" s="336"/>
      <c r="M274" s="336"/>
      <c r="N274" s="336"/>
      <c r="O274" s="336"/>
      <c r="P274" s="336"/>
      <c r="Q274" s="336"/>
      <c r="R274" s="336"/>
      <c r="S274" s="336"/>
      <c r="T274" s="336"/>
    </row>
    <row r="275" spans="1:20" x14ac:dyDescent="0.25">
      <c r="A275" s="336"/>
      <c r="B275" s="336"/>
      <c r="C275" s="336"/>
      <c r="D275" s="336"/>
      <c r="E275" s="336"/>
      <c r="F275" s="104" t="b">
        <f t="array" ref="F275">IF(_xlfn.NUMBERVALUE(RIGHT($E275,2))=MAX(IF(LEFT($E275:$E2273,11)=LEFT($E275,11),_xlfn.NUMBERVALUE(RIGHT($E275:$E2273,2)))),TRUE)</f>
        <v>1</v>
      </c>
      <c r="G275" s="336"/>
      <c r="H275" s="336"/>
      <c r="I275" s="336"/>
      <c r="J275" s="336"/>
      <c r="K275" s="336"/>
      <c r="L275" s="336"/>
      <c r="M275" s="336"/>
      <c r="N275" s="336"/>
      <c r="O275" s="336"/>
      <c r="P275" s="336"/>
      <c r="Q275" s="336"/>
      <c r="R275" s="336"/>
      <c r="S275" s="336"/>
      <c r="T275" s="336"/>
    </row>
    <row r="276" spans="1:20" x14ac:dyDescent="0.25">
      <c r="A276" s="336"/>
      <c r="B276" s="336"/>
      <c r="C276" s="336"/>
      <c r="D276" s="336"/>
      <c r="E276" s="336"/>
      <c r="F276" s="104" t="b">
        <f t="array" ref="F276">IF(_xlfn.NUMBERVALUE(RIGHT($E276,2))=MAX(IF(LEFT($E276:$E2274,11)=LEFT($E276,11),_xlfn.NUMBERVALUE(RIGHT($E276:$E2274,2)))),TRUE)</f>
        <v>1</v>
      </c>
      <c r="G276" s="336"/>
      <c r="H276" s="336"/>
      <c r="I276" s="336"/>
      <c r="J276" s="336"/>
      <c r="K276" s="336"/>
      <c r="L276" s="336"/>
      <c r="M276" s="336"/>
      <c r="N276" s="336"/>
      <c r="O276" s="336"/>
      <c r="P276" s="336"/>
      <c r="Q276" s="336"/>
      <c r="R276" s="336"/>
      <c r="S276" s="336"/>
      <c r="T276" s="336"/>
    </row>
    <row r="277" spans="1:20" x14ac:dyDescent="0.25">
      <c r="A277" s="336"/>
      <c r="B277" s="336"/>
      <c r="C277" s="336"/>
      <c r="D277" s="336"/>
      <c r="E277" s="336"/>
      <c r="F277" s="104" t="b">
        <f t="array" ref="F277">IF(_xlfn.NUMBERVALUE(RIGHT($E277,2))=MAX(IF(LEFT($E277:$E2275,11)=LEFT($E277,11),_xlfn.NUMBERVALUE(RIGHT($E277:$E2275,2)))),TRUE)</f>
        <v>1</v>
      </c>
      <c r="G277" s="336"/>
      <c r="H277" s="336"/>
      <c r="I277" s="336"/>
      <c r="J277" s="336"/>
      <c r="K277" s="336"/>
      <c r="L277" s="336"/>
      <c r="M277" s="336"/>
      <c r="N277" s="336"/>
      <c r="O277" s="336"/>
      <c r="P277" s="336"/>
      <c r="Q277" s="336"/>
      <c r="R277" s="336"/>
      <c r="S277" s="336"/>
      <c r="T277" s="336"/>
    </row>
    <row r="278" spans="1:20" x14ac:dyDescent="0.25">
      <c r="A278" s="336"/>
      <c r="B278" s="336"/>
      <c r="C278" s="336"/>
      <c r="D278" s="336"/>
      <c r="E278" s="336"/>
      <c r="F278" s="104" t="b">
        <f t="array" ref="F278">IF(_xlfn.NUMBERVALUE(RIGHT($E278,2))=MAX(IF(LEFT($E278:$E2276,11)=LEFT($E278,11),_xlfn.NUMBERVALUE(RIGHT($E278:$E2276,2)))),TRUE)</f>
        <v>1</v>
      </c>
      <c r="G278" s="336"/>
      <c r="H278" s="336"/>
      <c r="I278" s="336"/>
      <c r="J278" s="336"/>
      <c r="K278" s="336"/>
      <c r="L278" s="336"/>
      <c r="M278" s="336"/>
      <c r="N278" s="336"/>
      <c r="O278" s="336"/>
      <c r="P278" s="336"/>
      <c r="Q278" s="336"/>
      <c r="R278" s="336"/>
      <c r="S278" s="336"/>
      <c r="T278" s="336"/>
    </row>
    <row r="279" spans="1:20" x14ac:dyDescent="0.25">
      <c r="A279" s="336"/>
      <c r="B279" s="336"/>
      <c r="C279" s="336"/>
      <c r="D279" s="336"/>
      <c r="E279" s="336"/>
      <c r="F279" s="104" t="b">
        <f t="array" ref="F279">IF(_xlfn.NUMBERVALUE(RIGHT($E279,2))=MAX(IF(LEFT($E279:$E2277,11)=LEFT($E279,11),_xlfn.NUMBERVALUE(RIGHT($E279:$E2277,2)))),TRUE)</f>
        <v>1</v>
      </c>
      <c r="G279" s="336"/>
      <c r="H279" s="336"/>
      <c r="I279" s="336"/>
      <c r="J279" s="336"/>
      <c r="K279" s="336"/>
      <c r="L279" s="336"/>
      <c r="M279" s="336"/>
      <c r="N279" s="336"/>
      <c r="O279" s="336"/>
      <c r="P279" s="336"/>
      <c r="Q279" s="336"/>
      <c r="R279" s="336"/>
      <c r="S279" s="336"/>
      <c r="T279" s="336"/>
    </row>
    <row r="280" spans="1:20" x14ac:dyDescent="0.25">
      <c r="A280" s="336"/>
      <c r="B280" s="336"/>
      <c r="C280" s="336"/>
      <c r="D280" s="336"/>
      <c r="E280" s="336"/>
      <c r="F280" s="104" t="b">
        <f t="array" ref="F280">IF(_xlfn.NUMBERVALUE(RIGHT($E280,2))=MAX(IF(LEFT($E280:$E2278,11)=LEFT($E280,11),_xlfn.NUMBERVALUE(RIGHT($E280:$E2278,2)))),TRUE)</f>
        <v>1</v>
      </c>
      <c r="G280" s="336"/>
      <c r="H280" s="336"/>
      <c r="I280" s="336"/>
      <c r="J280" s="336"/>
      <c r="K280" s="336"/>
      <c r="L280" s="336"/>
      <c r="M280" s="336"/>
      <c r="N280" s="336"/>
      <c r="O280" s="336"/>
      <c r="P280" s="336"/>
      <c r="Q280" s="336"/>
      <c r="R280" s="336"/>
      <c r="S280" s="336"/>
      <c r="T280" s="336"/>
    </row>
    <row r="281" spans="1:20" x14ac:dyDescent="0.25">
      <c r="A281" s="336"/>
      <c r="B281" s="336"/>
      <c r="C281" s="336"/>
      <c r="D281" s="336"/>
      <c r="E281" s="336"/>
      <c r="F281" s="104" t="b">
        <f t="array" ref="F281">IF(_xlfn.NUMBERVALUE(RIGHT($E281,2))=MAX(IF(LEFT($E281:$E2279,11)=LEFT($E281,11),_xlfn.NUMBERVALUE(RIGHT($E281:$E2279,2)))),TRUE)</f>
        <v>1</v>
      </c>
      <c r="G281" s="336"/>
      <c r="H281" s="336"/>
      <c r="I281" s="336"/>
      <c r="J281" s="336"/>
      <c r="K281" s="336"/>
      <c r="L281" s="336"/>
      <c r="M281" s="336"/>
      <c r="N281" s="336"/>
      <c r="O281" s="336"/>
      <c r="P281" s="336"/>
      <c r="Q281" s="336"/>
      <c r="R281" s="336"/>
      <c r="S281" s="336"/>
      <c r="T281" s="336"/>
    </row>
    <row r="282" spans="1:20" x14ac:dyDescent="0.25">
      <c r="A282" s="336"/>
      <c r="B282" s="336"/>
      <c r="C282" s="336"/>
      <c r="D282" s="336"/>
      <c r="E282" s="336"/>
      <c r="F282" s="104" t="b">
        <f t="array" ref="F282">IF(_xlfn.NUMBERVALUE(RIGHT($E282,2))=MAX(IF(LEFT($E282:$E2280,11)=LEFT($E282,11),_xlfn.NUMBERVALUE(RIGHT($E282:$E2280,2)))),TRUE)</f>
        <v>1</v>
      </c>
      <c r="G282" s="336"/>
      <c r="H282" s="336"/>
      <c r="I282" s="336"/>
      <c r="J282" s="336"/>
      <c r="K282" s="336"/>
      <c r="L282" s="336"/>
      <c r="M282" s="336"/>
      <c r="N282" s="336"/>
      <c r="O282" s="336"/>
      <c r="P282" s="336"/>
      <c r="Q282" s="336"/>
      <c r="R282" s="336"/>
      <c r="S282" s="336"/>
      <c r="T282" s="336"/>
    </row>
    <row r="283" spans="1:20" x14ac:dyDescent="0.25">
      <c r="A283" s="336"/>
      <c r="B283" s="336"/>
      <c r="C283" s="336"/>
      <c r="D283" s="336"/>
      <c r="E283" s="336"/>
      <c r="F283" s="104" t="b">
        <f t="array" ref="F283">IF(_xlfn.NUMBERVALUE(RIGHT($E283,2))=MAX(IF(LEFT($E283:$E2281,11)=LEFT($E283,11),_xlfn.NUMBERVALUE(RIGHT($E283:$E2281,2)))),TRUE)</f>
        <v>1</v>
      </c>
      <c r="G283" s="336"/>
      <c r="H283" s="336"/>
      <c r="I283" s="336"/>
      <c r="J283" s="336"/>
      <c r="K283" s="336"/>
      <c r="L283" s="336"/>
      <c r="M283" s="336"/>
      <c r="N283" s="336"/>
      <c r="O283" s="336"/>
      <c r="P283" s="336"/>
      <c r="Q283" s="336"/>
      <c r="R283" s="336"/>
      <c r="S283" s="336"/>
      <c r="T283" s="336"/>
    </row>
    <row r="284" spans="1:20" x14ac:dyDescent="0.25">
      <c r="A284" s="336"/>
      <c r="B284" s="336"/>
      <c r="C284" s="336"/>
      <c r="D284" s="336"/>
      <c r="E284" s="336"/>
      <c r="F284" s="104" t="b">
        <f t="array" ref="F284">IF(_xlfn.NUMBERVALUE(RIGHT($E284,2))=MAX(IF(LEFT($E284:$E2282,11)=LEFT($E284,11),_xlfn.NUMBERVALUE(RIGHT($E284:$E2282,2)))),TRUE)</f>
        <v>1</v>
      </c>
      <c r="G284" s="336"/>
      <c r="H284" s="336"/>
      <c r="I284" s="336"/>
      <c r="J284" s="336"/>
      <c r="K284" s="336"/>
      <c r="L284" s="336"/>
      <c r="M284" s="336"/>
      <c r="N284" s="336"/>
      <c r="O284" s="336"/>
      <c r="P284" s="336"/>
      <c r="Q284" s="336"/>
      <c r="R284" s="336"/>
      <c r="S284" s="336"/>
      <c r="T284" s="336"/>
    </row>
    <row r="285" spans="1:20" x14ac:dyDescent="0.25">
      <c r="A285" s="336"/>
      <c r="B285" s="336"/>
      <c r="C285" s="336"/>
      <c r="D285" s="336"/>
      <c r="E285" s="336"/>
      <c r="F285" s="104" t="b">
        <f t="array" ref="F285">IF(_xlfn.NUMBERVALUE(RIGHT($E285,2))=MAX(IF(LEFT($E285:$E2283,11)=LEFT($E285,11),_xlfn.NUMBERVALUE(RIGHT($E285:$E2283,2)))),TRUE)</f>
        <v>1</v>
      </c>
      <c r="G285" s="336"/>
      <c r="H285" s="336"/>
      <c r="I285" s="336"/>
      <c r="J285" s="336"/>
      <c r="K285" s="336"/>
      <c r="L285" s="336"/>
      <c r="M285" s="336"/>
      <c r="N285" s="336"/>
      <c r="O285" s="336"/>
      <c r="P285" s="336"/>
      <c r="Q285" s="336"/>
      <c r="R285" s="336"/>
      <c r="S285" s="336"/>
      <c r="T285" s="336"/>
    </row>
    <row r="286" spans="1:20" x14ac:dyDescent="0.25">
      <c r="A286" s="336"/>
      <c r="B286" s="336"/>
      <c r="C286" s="336"/>
      <c r="D286" s="336"/>
      <c r="E286" s="336"/>
      <c r="F286" s="104" t="b">
        <f t="array" ref="F286">IF(_xlfn.NUMBERVALUE(RIGHT($E286,2))=MAX(IF(LEFT($E286:$E2284,11)=LEFT($E286,11),_xlfn.NUMBERVALUE(RIGHT($E286:$E2284,2)))),TRUE)</f>
        <v>1</v>
      </c>
      <c r="G286" s="336"/>
      <c r="H286" s="336"/>
      <c r="I286" s="336"/>
      <c r="J286" s="336"/>
      <c r="K286" s="336"/>
      <c r="L286" s="336"/>
      <c r="M286" s="336"/>
      <c r="N286" s="336"/>
      <c r="O286" s="336"/>
      <c r="P286" s="336"/>
      <c r="Q286" s="336"/>
      <c r="R286" s="336"/>
      <c r="S286" s="336"/>
      <c r="T286" s="336"/>
    </row>
    <row r="287" spans="1:20" x14ac:dyDescent="0.25">
      <c r="A287" s="336"/>
      <c r="B287" s="336"/>
      <c r="C287" s="336"/>
      <c r="D287" s="336"/>
      <c r="E287" s="336"/>
      <c r="F287" s="104" t="b">
        <f t="array" ref="F287">IF(_xlfn.NUMBERVALUE(RIGHT($E287,2))=MAX(IF(LEFT($E287:$E2285,11)=LEFT($E287,11),_xlfn.NUMBERVALUE(RIGHT($E287:$E2285,2)))),TRUE)</f>
        <v>1</v>
      </c>
      <c r="G287" s="336"/>
      <c r="H287" s="336"/>
      <c r="I287" s="336"/>
      <c r="J287" s="336"/>
      <c r="K287" s="336"/>
      <c r="L287" s="336"/>
      <c r="M287" s="336"/>
      <c r="N287" s="336"/>
      <c r="O287" s="336"/>
      <c r="P287" s="336"/>
      <c r="Q287" s="336"/>
      <c r="R287" s="336"/>
      <c r="S287" s="336"/>
      <c r="T287" s="336"/>
    </row>
    <row r="288" spans="1:20" x14ac:dyDescent="0.25">
      <c r="A288" s="336"/>
      <c r="B288" s="336"/>
      <c r="C288" s="336"/>
      <c r="D288" s="336"/>
      <c r="E288" s="336"/>
      <c r="F288" s="104" t="b">
        <f t="array" ref="F288">IF(_xlfn.NUMBERVALUE(RIGHT($E288,2))=MAX(IF(LEFT($E288:$E2286,11)=LEFT($E288,11),_xlfn.NUMBERVALUE(RIGHT($E288:$E2286,2)))),TRUE)</f>
        <v>1</v>
      </c>
      <c r="G288" s="336"/>
      <c r="H288" s="336"/>
      <c r="I288" s="336"/>
      <c r="J288" s="336"/>
      <c r="K288" s="336"/>
      <c r="L288" s="336"/>
      <c r="M288" s="336"/>
      <c r="N288" s="336"/>
      <c r="O288" s="336"/>
      <c r="P288" s="336"/>
      <c r="Q288" s="336"/>
      <c r="R288" s="336"/>
      <c r="S288" s="336"/>
      <c r="T288" s="336"/>
    </row>
    <row r="289" spans="1:20" x14ac:dyDescent="0.25">
      <c r="A289" s="336"/>
      <c r="B289" s="336"/>
      <c r="C289" s="336"/>
      <c r="D289" s="336"/>
      <c r="E289" s="336"/>
      <c r="F289" s="104" t="b">
        <f t="array" ref="F289">IF(_xlfn.NUMBERVALUE(RIGHT($E289,2))=MAX(IF(LEFT($E289:$E2287,11)=LEFT($E289,11),_xlfn.NUMBERVALUE(RIGHT($E289:$E2287,2)))),TRUE)</f>
        <v>1</v>
      </c>
      <c r="G289" s="336"/>
      <c r="H289" s="336"/>
      <c r="I289" s="336"/>
      <c r="J289" s="336"/>
      <c r="K289" s="336"/>
      <c r="L289" s="336"/>
      <c r="M289" s="336"/>
      <c r="N289" s="336"/>
      <c r="O289" s="336"/>
      <c r="P289" s="336"/>
      <c r="Q289" s="336"/>
      <c r="R289" s="336"/>
      <c r="S289" s="336"/>
      <c r="T289" s="336"/>
    </row>
    <row r="290" spans="1:20" x14ac:dyDescent="0.25">
      <c r="A290" s="336"/>
      <c r="B290" s="336"/>
      <c r="C290" s="336"/>
      <c r="D290" s="336"/>
      <c r="E290" s="336"/>
      <c r="F290" s="104" t="b">
        <f t="array" ref="F290">IF(_xlfn.NUMBERVALUE(RIGHT($E290,2))=MAX(IF(LEFT($E290:$E2288,11)=LEFT($E290,11),_xlfn.NUMBERVALUE(RIGHT($E290:$E2288,2)))),TRUE)</f>
        <v>1</v>
      </c>
      <c r="G290" s="336"/>
      <c r="H290" s="336"/>
      <c r="I290" s="336"/>
      <c r="J290" s="336"/>
      <c r="K290" s="336"/>
      <c r="L290" s="336"/>
      <c r="M290" s="336"/>
      <c r="N290" s="336"/>
      <c r="O290" s="336"/>
      <c r="P290" s="336"/>
      <c r="Q290" s="336"/>
      <c r="R290" s="336"/>
      <c r="S290" s="336"/>
      <c r="T290" s="336"/>
    </row>
    <row r="291" spans="1:20" x14ac:dyDescent="0.25">
      <c r="A291" s="336"/>
      <c r="B291" s="336"/>
      <c r="C291" s="336"/>
      <c r="D291" s="336"/>
      <c r="E291" s="336"/>
      <c r="F291" s="104" t="b">
        <f t="array" ref="F291">IF(_xlfn.NUMBERVALUE(RIGHT($E291,2))=MAX(IF(LEFT($E291:$E2289,11)=LEFT($E291,11),_xlfn.NUMBERVALUE(RIGHT($E291:$E2289,2)))),TRUE)</f>
        <v>1</v>
      </c>
      <c r="G291" s="336"/>
      <c r="H291" s="336"/>
      <c r="I291" s="336"/>
      <c r="J291" s="336"/>
      <c r="K291" s="336"/>
      <c r="L291" s="336"/>
      <c r="M291" s="336"/>
      <c r="N291" s="336"/>
      <c r="O291" s="336"/>
      <c r="P291" s="336"/>
      <c r="Q291" s="336"/>
      <c r="R291" s="336"/>
      <c r="S291" s="336"/>
      <c r="T291" s="336"/>
    </row>
    <row r="292" spans="1:20" x14ac:dyDescent="0.25">
      <c r="A292" s="336"/>
      <c r="B292" s="336"/>
      <c r="C292" s="336"/>
      <c r="D292" s="336"/>
      <c r="E292" s="336"/>
      <c r="F292" s="104" t="b">
        <f t="array" ref="F292">IF(_xlfn.NUMBERVALUE(RIGHT($E292,2))=MAX(IF(LEFT($E292:$E2290,11)=LEFT($E292,11),_xlfn.NUMBERVALUE(RIGHT($E292:$E2290,2)))),TRUE)</f>
        <v>1</v>
      </c>
      <c r="G292" s="336"/>
      <c r="H292" s="336"/>
      <c r="I292" s="336"/>
      <c r="J292" s="336"/>
      <c r="K292" s="336"/>
      <c r="L292" s="336"/>
      <c r="M292" s="336"/>
      <c r="N292" s="336"/>
      <c r="O292" s="336"/>
      <c r="P292" s="336"/>
      <c r="Q292" s="336"/>
      <c r="R292" s="336"/>
      <c r="S292" s="336"/>
      <c r="T292" s="336"/>
    </row>
    <row r="293" spans="1:20" x14ac:dyDescent="0.25">
      <c r="A293" s="336"/>
      <c r="B293" s="336"/>
      <c r="C293" s="336"/>
      <c r="D293" s="336"/>
      <c r="E293" s="336"/>
      <c r="F293" s="104" t="b">
        <f t="array" ref="F293">IF(_xlfn.NUMBERVALUE(RIGHT($E293,2))=MAX(IF(LEFT($E293:$E2291,11)=LEFT($E293,11),_xlfn.NUMBERVALUE(RIGHT($E293:$E2291,2)))),TRUE)</f>
        <v>1</v>
      </c>
      <c r="G293" s="336"/>
      <c r="H293" s="336"/>
      <c r="I293" s="336"/>
      <c r="J293" s="336"/>
      <c r="K293" s="336"/>
      <c r="L293" s="336"/>
      <c r="M293" s="336"/>
      <c r="N293" s="336"/>
      <c r="O293" s="336"/>
      <c r="P293" s="336"/>
      <c r="Q293" s="336"/>
      <c r="R293" s="336"/>
      <c r="S293" s="336"/>
      <c r="T293" s="336"/>
    </row>
    <row r="294" spans="1:20" x14ac:dyDescent="0.25">
      <c r="A294" s="336"/>
      <c r="B294" s="336"/>
      <c r="C294" s="336"/>
      <c r="D294" s="336"/>
      <c r="E294" s="336"/>
      <c r="F294" s="104" t="b">
        <f t="array" ref="F294">IF(_xlfn.NUMBERVALUE(RIGHT($E294,2))=MAX(IF(LEFT($E294:$E2292,11)=LEFT($E294,11),_xlfn.NUMBERVALUE(RIGHT($E294:$E2292,2)))),TRUE)</f>
        <v>1</v>
      </c>
      <c r="G294" s="336"/>
      <c r="H294" s="336"/>
      <c r="I294" s="336"/>
      <c r="J294" s="336"/>
      <c r="K294" s="336"/>
      <c r="L294" s="336"/>
      <c r="M294" s="336"/>
      <c r="N294" s="336"/>
      <c r="O294" s="336"/>
      <c r="P294" s="336"/>
      <c r="Q294" s="336"/>
      <c r="R294" s="336"/>
      <c r="S294" s="336"/>
      <c r="T294" s="336"/>
    </row>
    <row r="295" spans="1:20" x14ac:dyDescent="0.25">
      <c r="A295" s="336"/>
      <c r="B295" s="336"/>
      <c r="C295" s="336"/>
      <c r="D295" s="336"/>
      <c r="E295" s="336"/>
      <c r="F295" s="104" t="b">
        <f t="array" ref="F295">IF(_xlfn.NUMBERVALUE(RIGHT($E295,2))=MAX(IF(LEFT($E295:$E2293,11)=LEFT($E295,11),_xlfn.NUMBERVALUE(RIGHT($E295:$E2293,2)))),TRUE)</f>
        <v>1</v>
      </c>
      <c r="G295" s="336"/>
      <c r="H295" s="336"/>
      <c r="I295" s="336"/>
      <c r="J295" s="336"/>
      <c r="K295" s="336"/>
      <c r="L295" s="336"/>
      <c r="M295" s="336"/>
      <c r="N295" s="336"/>
      <c r="O295" s="336"/>
      <c r="P295" s="336"/>
      <c r="Q295" s="336"/>
      <c r="R295" s="336"/>
      <c r="S295" s="336"/>
      <c r="T295" s="336"/>
    </row>
    <row r="296" spans="1:20" x14ac:dyDescent="0.25">
      <c r="A296" s="336"/>
      <c r="B296" s="336"/>
      <c r="C296" s="336"/>
      <c r="D296" s="336"/>
      <c r="E296" s="336"/>
      <c r="F296" s="104" t="b">
        <f t="array" ref="F296">IF(_xlfn.NUMBERVALUE(RIGHT($E296,2))=MAX(IF(LEFT($E296:$E2294,11)=LEFT($E296,11),_xlfn.NUMBERVALUE(RIGHT($E296:$E2294,2)))),TRUE)</f>
        <v>1</v>
      </c>
      <c r="G296" s="336"/>
      <c r="H296" s="336"/>
      <c r="I296" s="336"/>
      <c r="J296" s="336"/>
      <c r="K296" s="336"/>
      <c r="L296" s="336"/>
      <c r="M296" s="336"/>
      <c r="N296" s="336"/>
      <c r="O296" s="336"/>
      <c r="P296" s="336"/>
      <c r="Q296" s="336"/>
      <c r="R296" s="336"/>
      <c r="S296" s="336"/>
      <c r="T296" s="336"/>
    </row>
    <row r="297" spans="1:20" x14ac:dyDescent="0.25">
      <c r="A297" s="336"/>
      <c r="B297" s="336"/>
      <c r="C297" s="336"/>
      <c r="D297" s="336"/>
      <c r="E297" s="336"/>
      <c r="F297" s="104" t="b">
        <f t="array" ref="F297">IF(_xlfn.NUMBERVALUE(RIGHT($E297,2))=MAX(IF(LEFT($E297:$E2295,11)=LEFT($E297,11),_xlfn.NUMBERVALUE(RIGHT($E297:$E2295,2)))),TRUE)</f>
        <v>1</v>
      </c>
      <c r="G297" s="336"/>
      <c r="H297" s="336"/>
      <c r="I297" s="336"/>
      <c r="J297" s="336"/>
      <c r="K297" s="336"/>
      <c r="L297" s="336"/>
      <c r="M297" s="336"/>
      <c r="N297" s="336"/>
      <c r="O297" s="336"/>
      <c r="P297" s="336"/>
      <c r="Q297" s="336"/>
      <c r="R297" s="336"/>
      <c r="S297" s="336"/>
      <c r="T297" s="336"/>
    </row>
    <row r="298" spans="1:20" x14ac:dyDescent="0.25">
      <c r="A298" s="336"/>
      <c r="B298" s="336"/>
      <c r="C298" s="336"/>
      <c r="D298" s="336"/>
      <c r="E298" s="336"/>
      <c r="F298" s="104" t="b">
        <f t="array" ref="F298">IF(_xlfn.NUMBERVALUE(RIGHT($E298,2))=MAX(IF(LEFT($E298:$E2296,11)=LEFT($E298,11),_xlfn.NUMBERVALUE(RIGHT($E298:$E2296,2)))),TRUE)</f>
        <v>1</v>
      </c>
      <c r="G298" s="336"/>
      <c r="H298" s="336"/>
      <c r="I298" s="336"/>
      <c r="J298" s="336"/>
      <c r="K298" s="336"/>
      <c r="L298" s="336"/>
      <c r="M298" s="336"/>
      <c r="N298" s="336"/>
      <c r="O298" s="336"/>
      <c r="P298" s="336"/>
      <c r="Q298" s="336"/>
      <c r="R298" s="336"/>
      <c r="S298" s="336"/>
      <c r="T298" s="336"/>
    </row>
    <row r="299" spans="1:20" x14ac:dyDescent="0.25">
      <c r="A299" s="336"/>
      <c r="B299" s="336"/>
      <c r="C299" s="336"/>
      <c r="D299" s="336"/>
      <c r="E299" s="336"/>
      <c r="F299" s="104" t="b">
        <f t="array" ref="F299">IF(_xlfn.NUMBERVALUE(RIGHT($E299,2))=MAX(IF(LEFT($E299:$E2297,11)=LEFT($E299,11),_xlfn.NUMBERVALUE(RIGHT($E299:$E2297,2)))),TRUE)</f>
        <v>1</v>
      </c>
      <c r="G299" s="336"/>
      <c r="H299" s="336"/>
      <c r="I299" s="336"/>
      <c r="J299" s="336"/>
      <c r="K299" s="336"/>
      <c r="L299" s="336"/>
      <c r="M299" s="336"/>
      <c r="N299" s="336"/>
      <c r="O299" s="336"/>
      <c r="P299" s="336"/>
      <c r="Q299" s="336"/>
      <c r="R299" s="336"/>
      <c r="S299" s="336"/>
      <c r="T299" s="336"/>
    </row>
    <row r="300" spans="1:20" x14ac:dyDescent="0.25">
      <c r="A300" s="336"/>
      <c r="B300" s="336"/>
      <c r="C300" s="336"/>
      <c r="D300" s="336"/>
      <c r="E300" s="336"/>
      <c r="F300" s="104" t="b">
        <f t="array" ref="F300">IF(_xlfn.NUMBERVALUE(RIGHT($E300,2))=MAX(IF(LEFT($E300:$E2298,11)=LEFT($E300,11),_xlfn.NUMBERVALUE(RIGHT($E300:$E2298,2)))),TRUE)</f>
        <v>1</v>
      </c>
      <c r="G300" s="336"/>
      <c r="H300" s="336"/>
      <c r="I300" s="336"/>
      <c r="J300" s="336"/>
      <c r="K300" s="336"/>
      <c r="L300" s="336"/>
      <c r="M300" s="336"/>
      <c r="N300" s="336"/>
      <c r="O300" s="336"/>
      <c r="P300" s="336"/>
      <c r="Q300" s="336"/>
      <c r="R300" s="336"/>
      <c r="S300" s="336"/>
      <c r="T300" s="336"/>
    </row>
    <row r="301" spans="1:20" x14ac:dyDescent="0.25">
      <c r="A301" s="336"/>
      <c r="B301" s="336"/>
      <c r="C301" s="336"/>
      <c r="D301" s="336"/>
      <c r="E301" s="336"/>
      <c r="F301" s="104" t="b">
        <f t="array" ref="F301">IF(_xlfn.NUMBERVALUE(RIGHT($E301,2))=MAX(IF(LEFT($E301:$E2299,11)=LEFT($E301,11),_xlfn.NUMBERVALUE(RIGHT($E301:$E2299,2)))),TRUE)</f>
        <v>1</v>
      </c>
      <c r="G301" s="336"/>
      <c r="H301" s="336"/>
      <c r="I301" s="336"/>
      <c r="J301" s="336"/>
      <c r="K301" s="336"/>
      <c r="L301" s="336"/>
      <c r="M301" s="336"/>
      <c r="N301" s="336"/>
      <c r="O301" s="336"/>
      <c r="P301" s="336"/>
      <c r="Q301" s="336"/>
      <c r="R301" s="336"/>
      <c r="S301" s="336"/>
      <c r="T301" s="336"/>
    </row>
    <row r="302" spans="1:20" x14ac:dyDescent="0.25">
      <c r="A302" s="336"/>
      <c r="B302" s="336"/>
      <c r="C302" s="336"/>
      <c r="D302" s="336"/>
      <c r="E302" s="336"/>
      <c r="F302" s="104" t="b">
        <f t="array" ref="F302">IF(_xlfn.NUMBERVALUE(RIGHT($E302,2))=MAX(IF(LEFT($E302:$E2300,11)=LEFT($E302,11),_xlfn.NUMBERVALUE(RIGHT($E302:$E2300,2)))),TRUE)</f>
        <v>1</v>
      </c>
      <c r="G302" s="336"/>
      <c r="H302" s="336"/>
      <c r="I302" s="336"/>
      <c r="J302" s="336"/>
      <c r="K302" s="336"/>
      <c r="L302" s="336"/>
      <c r="M302" s="336"/>
      <c r="N302" s="336"/>
      <c r="O302" s="336"/>
      <c r="P302" s="336"/>
      <c r="Q302" s="336"/>
      <c r="R302" s="336"/>
      <c r="S302" s="336"/>
      <c r="T302" s="336"/>
    </row>
    <row r="303" spans="1:20" x14ac:dyDescent="0.25">
      <c r="A303" s="336"/>
      <c r="B303" s="336"/>
      <c r="C303" s="336"/>
      <c r="D303" s="336"/>
      <c r="E303" s="336"/>
      <c r="F303" s="104" t="b">
        <f t="array" ref="F303">IF(_xlfn.NUMBERVALUE(RIGHT($E303,2))=MAX(IF(LEFT($E303:$E2301,11)=LEFT($E303,11),_xlfn.NUMBERVALUE(RIGHT($E303:$E2301,2)))),TRUE)</f>
        <v>1</v>
      </c>
      <c r="G303" s="336"/>
      <c r="H303" s="336"/>
      <c r="I303" s="336"/>
      <c r="J303" s="336"/>
      <c r="K303" s="336"/>
      <c r="L303" s="336"/>
      <c r="M303" s="336"/>
      <c r="N303" s="336"/>
      <c r="O303" s="336"/>
      <c r="P303" s="336"/>
      <c r="Q303" s="336"/>
      <c r="R303" s="336"/>
      <c r="S303" s="336"/>
      <c r="T303" s="336"/>
    </row>
    <row r="304" spans="1:20" x14ac:dyDescent="0.25">
      <c r="A304" s="336"/>
      <c r="B304" s="336"/>
      <c r="C304" s="336"/>
      <c r="D304" s="336"/>
      <c r="E304" s="336"/>
      <c r="F304" s="104" t="b">
        <f t="array" ref="F304">IF(_xlfn.NUMBERVALUE(RIGHT($E304,2))=MAX(IF(LEFT($E304:$E2302,11)=LEFT($E304,11),_xlfn.NUMBERVALUE(RIGHT($E304:$E2302,2)))),TRUE)</f>
        <v>1</v>
      </c>
      <c r="G304" s="336"/>
      <c r="H304" s="336"/>
      <c r="I304" s="336"/>
      <c r="J304" s="336"/>
      <c r="K304" s="336"/>
      <c r="L304" s="336"/>
      <c r="M304" s="336"/>
      <c r="N304" s="336"/>
      <c r="O304" s="336"/>
      <c r="P304" s="336"/>
      <c r="Q304" s="336"/>
      <c r="R304" s="336"/>
      <c r="S304" s="336"/>
      <c r="T304" s="336"/>
    </row>
    <row r="305" spans="1:20" x14ac:dyDescent="0.25">
      <c r="A305" s="336"/>
      <c r="B305" s="336"/>
      <c r="C305" s="336"/>
      <c r="D305" s="336"/>
      <c r="E305" s="336"/>
      <c r="F305" s="104" t="b">
        <f t="array" ref="F305">IF(_xlfn.NUMBERVALUE(RIGHT($E305,2))=MAX(IF(LEFT($E305:$E2303,11)=LEFT($E305,11),_xlfn.NUMBERVALUE(RIGHT($E305:$E2303,2)))),TRUE)</f>
        <v>1</v>
      </c>
      <c r="G305" s="336"/>
      <c r="H305" s="336"/>
      <c r="I305" s="336"/>
      <c r="J305" s="336"/>
      <c r="K305" s="336"/>
      <c r="L305" s="336"/>
      <c r="M305" s="336"/>
      <c r="N305" s="336"/>
      <c r="O305" s="336"/>
      <c r="P305" s="336"/>
      <c r="Q305" s="336"/>
      <c r="R305" s="336"/>
      <c r="S305" s="336"/>
      <c r="T305" s="336"/>
    </row>
    <row r="306" spans="1:20" x14ac:dyDescent="0.25">
      <c r="A306" s="336"/>
      <c r="B306" s="336"/>
      <c r="C306" s="336"/>
      <c r="D306" s="336"/>
      <c r="E306" s="336"/>
      <c r="F306" s="104" t="b">
        <f t="array" ref="F306">IF(_xlfn.NUMBERVALUE(RIGHT($E306,2))=MAX(IF(LEFT($E306:$E2304,11)=LEFT($E306,11),_xlfn.NUMBERVALUE(RIGHT($E306:$E2304,2)))),TRUE)</f>
        <v>1</v>
      </c>
      <c r="G306" s="336"/>
      <c r="H306" s="336"/>
      <c r="I306" s="336"/>
      <c r="J306" s="336"/>
      <c r="K306" s="336"/>
      <c r="L306" s="336"/>
      <c r="M306" s="336"/>
      <c r="N306" s="336"/>
      <c r="O306" s="336"/>
      <c r="P306" s="336"/>
      <c r="Q306" s="336"/>
      <c r="R306" s="336"/>
      <c r="S306" s="336"/>
      <c r="T306" s="336"/>
    </row>
    <row r="307" spans="1:20" x14ac:dyDescent="0.25">
      <c r="A307" s="336"/>
      <c r="B307" s="336"/>
      <c r="C307" s="336"/>
      <c r="D307" s="336"/>
      <c r="E307" s="336"/>
      <c r="F307" s="104" t="b">
        <f t="array" ref="F307">IF(_xlfn.NUMBERVALUE(RIGHT($E307,2))=MAX(IF(LEFT($E307:$E2305,11)=LEFT($E307,11),_xlfn.NUMBERVALUE(RIGHT($E307:$E2305,2)))),TRUE)</f>
        <v>1</v>
      </c>
      <c r="G307" s="336"/>
      <c r="H307" s="336"/>
      <c r="I307" s="336"/>
      <c r="J307" s="336"/>
      <c r="K307" s="336"/>
      <c r="L307" s="336"/>
      <c r="M307" s="336"/>
      <c r="N307" s="336"/>
      <c r="O307" s="336"/>
      <c r="P307" s="336"/>
      <c r="Q307" s="336"/>
      <c r="R307" s="336"/>
      <c r="S307" s="336"/>
      <c r="T307" s="336"/>
    </row>
    <row r="308" spans="1:20" x14ac:dyDescent="0.25">
      <c r="A308" s="336"/>
      <c r="B308" s="336"/>
      <c r="C308" s="336"/>
      <c r="D308" s="336"/>
      <c r="E308" s="336"/>
      <c r="F308" s="104" t="b">
        <f t="array" ref="F308">IF(_xlfn.NUMBERVALUE(RIGHT($E308,2))=MAX(IF(LEFT($E308:$E2306,11)=LEFT($E308,11),_xlfn.NUMBERVALUE(RIGHT($E308:$E2306,2)))),TRUE)</f>
        <v>1</v>
      </c>
      <c r="G308" s="336"/>
      <c r="H308" s="336"/>
      <c r="I308" s="336"/>
      <c r="J308" s="336"/>
      <c r="K308" s="336"/>
      <c r="L308" s="336"/>
      <c r="M308" s="336"/>
      <c r="N308" s="336"/>
      <c r="O308" s="336"/>
      <c r="P308" s="336"/>
      <c r="Q308" s="336"/>
      <c r="R308" s="336"/>
      <c r="S308" s="336"/>
      <c r="T308" s="336"/>
    </row>
    <row r="309" spans="1:20" x14ac:dyDescent="0.25">
      <c r="A309" s="336"/>
      <c r="B309" s="336"/>
      <c r="C309" s="336"/>
      <c r="D309" s="336"/>
      <c r="E309" s="336"/>
      <c r="F309" s="104" t="b">
        <f t="array" ref="F309">IF(_xlfn.NUMBERVALUE(RIGHT($E309,2))=MAX(IF(LEFT($E309:$E2307,11)=LEFT($E309,11),_xlfn.NUMBERVALUE(RIGHT($E309:$E2307,2)))),TRUE)</f>
        <v>1</v>
      </c>
      <c r="G309" s="336"/>
      <c r="H309" s="336"/>
      <c r="I309" s="336"/>
      <c r="J309" s="336"/>
      <c r="K309" s="336"/>
      <c r="L309" s="336"/>
      <c r="M309" s="336"/>
      <c r="N309" s="336"/>
      <c r="O309" s="336"/>
      <c r="P309" s="336"/>
      <c r="Q309" s="336"/>
      <c r="R309" s="336"/>
      <c r="S309" s="336"/>
      <c r="T309" s="336"/>
    </row>
    <row r="310" spans="1:20" x14ac:dyDescent="0.25">
      <c r="A310" s="336"/>
      <c r="B310" s="336"/>
      <c r="C310" s="336"/>
      <c r="D310" s="336"/>
      <c r="E310" s="336"/>
      <c r="F310" s="104" t="b">
        <f t="array" ref="F310">IF(_xlfn.NUMBERVALUE(RIGHT($E310,2))=MAX(IF(LEFT($E310:$E2308,11)=LEFT($E310,11),_xlfn.NUMBERVALUE(RIGHT($E310:$E2308,2)))),TRUE)</f>
        <v>1</v>
      </c>
      <c r="G310" s="336"/>
      <c r="H310" s="336"/>
      <c r="I310" s="336"/>
      <c r="J310" s="336"/>
      <c r="K310" s="336"/>
      <c r="L310" s="336"/>
      <c r="M310" s="336"/>
      <c r="N310" s="336"/>
      <c r="O310" s="336"/>
      <c r="P310" s="336"/>
      <c r="Q310" s="336"/>
      <c r="R310" s="336"/>
      <c r="S310" s="336"/>
      <c r="T310" s="336"/>
    </row>
    <row r="311" spans="1:20" x14ac:dyDescent="0.25">
      <c r="A311" s="336"/>
      <c r="B311" s="336"/>
      <c r="C311" s="336"/>
      <c r="D311" s="336"/>
      <c r="E311" s="336"/>
      <c r="F311" s="104" t="b">
        <f t="array" ref="F311">IF(_xlfn.NUMBERVALUE(RIGHT($E311,2))=MAX(IF(LEFT($E311:$E2309,11)=LEFT($E311,11),_xlfn.NUMBERVALUE(RIGHT($E311:$E2309,2)))),TRUE)</f>
        <v>1</v>
      </c>
      <c r="G311" s="336"/>
      <c r="H311" s="336"/>
      <c r="I311" s="336"/>
      <c r="J311" s="336"/>
      <c r="K311" s="336"/>
      <c r="L311" s="336"/>
      <c r="M311" s="336"/>
      <c r="N311" s="336"/>
      <c r="O311" s="336"/>
      <c r="P311" s="336"/>
      <c r="Q311" s="336"/>
      <c r="R311" s="336"/>
      <c r="S311" s="336"/>
      <c r="T311" s="336"/>
    </row>
    <row r="312" spans="1:20" x14ac:dyDescent="0.25">
      <c r="A312" s="336"/>
      <c r="B312" s="336"/>
      <c r="C312" s="336"/>
      <c r="D312" s="336"/>
      <c r="E312" s="336"/>
      <c r="F312" s="104" t="b">
        <f t="array" ref="F312">IF(_xlfn.NUMBERVALUE(RIGHT($E312,2))=MAX(IF(LEFT($E312:$E2310,11)=LEFT($E312,11),_xlfn.NUMBERVALUE(RIGHT($E312:$E2310,2)))),TRUE)</f>
        <v>1</v>
      </c>
      <c r="G312" s="336"/>
      <c r="H312" s="336"/>
      <c r="I312" s="336"/>
      <c r="J312" s="336"/>
      <c r="K312" s="336"/>
      <c r="L312" s="336"/>
      <c r="M312" s="336"/>
      <c r="N312" s="336"/>
      <c r="O312" s="336"/>
      <c r="P312" s="336"/>
      <c r="Q312" s="336"/>
      <c r="R312" s="336"/>
      <c r="S312" s="336"/>
      <c r="T312" s="336"/>
    </row>
    <row r="313" spans="1:20" x14ac:dyDescent="0.25">
      <c r="A313" s="336"/>
      <c r="B313" s="336"/>
      <c r="C313" s="336"/>
      <c r="D313" s="336"/>
      <c r="E313" s="336"/>
      <c r="F313" s="104" t="b">
        <f t="array" ref="F313">IF(_xlfn.NUMBERVALUE(RIGHT($E313,2))=MAX(IF(LEFT($E313:$E2311,11)=LEFT($E313,11),_xlfn.NUMBERVALUE(RIGHT($E313:$E2311,2)))),TRUE)</f>
        <v>1</v>
      </c>
      <c r="G313" s="336"/>
      <c r="H313" s="336"/>
      <c r="I313" s="336"/>
      <c r="J313" s="336"/>
      <c r="K313" s="336"/>
      <c r="L313" s="336"/>
      <c r="M313" s="336"/>
      <c r="N313" s="336"/>
      <c r="O313" s="336"/>
      <c r="P313" s="336"/>
      <c r="Q313" s="336"/>
      <c r="R313" s="336"/>
      <c r="S313" s="336"/>
      <c r="T313" s="336"/>
    </row>
    <row r="314" spans="1:20" x14ac:dyDescent="0.25">
      <c r="A314" s="336"/>
      <c r="B314" s="336"/>
      <c r="C314" s="336"/>
      <c r="D314" s="336"/>
      <c r="E314" s="336"/>
      <c r="F314" s="104" t="b">
        <f t="array" ref="F314">IF(_xlfn.NUMBERVALUE(RIGHT($E314,2))=MAX(IF(LEFT($E314:$E2312,11)=LEFT($E314,11),_xlfn.NUMBERVALUE(RIGHT($E314:$E2312,2)))),TRUE)</f>
        <v>1</v>
      </c>
      <c r="G314" s="336"/>
      <c r="H314" s="336"/>
      <c r="I314" s="336"/>
      <c r="J314" s="336"/>
      <c r="K314" s="336"/>
      <c r="L314" s="336"/>
      <c r="M314" s="336"/>
      <c r="N314" s="336"/>
      <c r="O314" s="336"/>
      <c r="P314" s="336"/>
      <c r="Q314" s="336"/>
      <c r="R314" s="336"/>
      <c r="S314" s="336"/>
      <c r="T314" s="336"/>
    </row>
    <row r="315" spans="1:20" x14ac:dyDescent="0.25">
      <c r="A315" s="336"/>
      <c r="B315" s="336"/>
      <c r="C315" s="336"/>
      <c r="D315" s="336"/>
      <c r="E315" s="336"/>
      <c r="F315" s="104" t="b">
        <f t="array" ref="F315">IF(_xlfn.NUMBERVALUE(RIGHT($E315,2))=MAX(IF(LEFT($E315:$E2313,11)=LEFT($E315,11),_xlfn.NUMBERVALUE(RIGHT($E315:$E2313,2)))),TRUE)</f>
        <v>1</v>
      </c>
      <c r="G315" s="336"/>
      <c r="H315" s="336"/>
      <c r="I315" s="336"/>
      <c r="J315" s="336"/>
      <c r="K315" s="336"/>
      <c r="L315" s="336"/>
      <c r="M315" s="336"/>
      <c r="N315" s="336"/>
      <c r="O315" s="336"/>
      <c r="P315" s="336"/>
      <c r="Q315" s="336"/>
      <c r="R315" s="336"/>
      <c r="S315" s="336"/>
      <c r="T315" s="336"/>
    </row>
    <row r="316" spans="1:20" x14ac:dyDescent="0.25">
      <c r="A316" s="336"/>
      <c r="B316" s="336"/>
      <c r="C316" s="336"/>
      <c r="D316" s="336"/>
      <c r="E316" s="336"/>
      <c r="F316" s="104" t="b">
        <f t="array" ref="F316">IF(_xlfn.NUMBERVALUE(RIGHT($E316,2))=MAX(IF(LEFT($E316:$E2314,11)=LEFT($E316,11),_xlfn.NUMBERVALUE(RIGHT($E316:$E2314,2)))),TRUE)</f>
        <v>1</v>
      </c>
      <c r="G316" s="336"/>
      <c r="H316" s="336"/>
      <c r="I316" s="336"/>
      <c r="J316" s="336"/>
      <c r="K316" s="336"/>
      <c r="L316" s="336"/>
      <c r="M316" s="336"/>
      <c r="N316" s="336"/>
      <c r="O316" s="336"/>
      <c r="P316" s="336"/>
      <c r="Q316" s="336"/>
      <c r="R316" s="336"/>
      <c r="S316" s="336"/>
      <c r="T316" s="336"/>
    </row>
    <row r="317" spans="1:20" x14ac:dyDescent="0.25">
      <c r="A317" s="336"/>
      <c r="B317" s="336"/>
      <c r="C317" s="336"/>
      <c r="D317" s="336"/>
      <c r="E317" s="336"/>
      <c r="F317" s="104" t="b">
        <f t="array" ref="F317">IF(_xlfn.NUMBERVALUE(RIGHT($E317,2))=MAX(IF(LEFT($E317:$E2315,11)=LEFT($E317,11),_xlfn.NUMBERVALUE(RIGHT($E317:$E2315,2)))),TRUE)</f>
        <v>1</v>
      </c>
      <c r="G317" s="336"/>
      <c r="H317" s="336"/>
      <c r="I317" s="336"/>
      <c r="J317" s="336"/>
      <c r="K317" s="336"/>
      <c r="L317" s="336"/>
      <c r="M317" s="336"/>
      <c r="N317" s="336"/>
      <c r="O317" s="336"/>
      <c r="P317" s="336"/>
      <c r="Q317" s="336"/>
      <c r="R317" s="336"/>
      <c r="S317" s="336"/>
      <c r="T317" s="336"/>
    </row>
    <row r="318" spans="1:20" x14ac:dyDescent="0.25">
      <c r="A318" s="336"/>
      <c r="B318" s="336"/>
      <c r="C318" s="336"/>
      <c r="D318" s="336"/>
      <c r="E318" s="336"/>
      <c r="F318" s="104" t="b">
        <f t="array" ref="F318">IF(_xlfn.NUMBERVALUE(RIGHT($E318,2))=MAX(IF(LEFT($E318:$E2316,11)=LEFT($E318,11),_xlfn.NUMBERVALUE(RIGHT($E318:$E2316,2)))),TRUE)</f>
        <v>1</v>
      </c>
      <c r="G318" s="336"/>
      <c r="H318" s="336"/>
      <c r="I318" s="336"/>
      <c r="J318" s="336"/>
      <c r="K318" s="336"/>
      <c r="L318" s="336"/>
      <c r="M318" s="336"/>
      <c r="N318" s="336"/>
      <c r="O318" s="336"/>
      <c r="P318" s="336"/>
      <c r="Q318" s="336"/>
      <c r="R318" s="336"/>
      <c r="S318" s="336"/>
      <c r="T318" s="336"/>
    </row>
    <row r="319" spans="1:20" x14ac:dyDescent="0.25">
      <c r="A319" s="336"/>
      <c r="B319" s="336"/>
      <c r="C319" s="336"/>
      <c r="D319" s="336"/>
      <c r="E319" s="336"/>
      <c r="F319" s="104" t="b">
        <f t="array" ref="F319">IF(_xlfn.NUMBERVALUE(RIGHT($E319,2))=MAX(IF(LEFT($E319:$E2317,11)=LEFT($E319,11),_xlfn.NUMBERVALUE(RIGHT($E319:$E2317,2)))),TRUE)</f>
        <v>1</v>
      </c>
      <c r="G319" s="336"/>
      <c r="H319" s="336"/>
      <c r="I319" s="336"/>
      <c r="J319" s="336"/>
      <c r="K319" s="336"/>
      <c r="L319" s="336"/>
      <c r="M319" s="336"/>
      <c r="N319" s="336"/>
      <c r="O319" s="336"/>
      <c r="P319" s="336"/>
      <c r="Q319" s="336"/>
      <c r="R319" s="336"/>
      <c r="S319" s="336"/>
      <c r="T319" s="336"/>
    </row>
    <row r="320" spans="1:20" x14ac:dyDescent="0.25">
      <c r="A320" s="336"/>
      <c r="B320" s="336"/>
      <c r="C320" s="336"/>
      <c r="D320" s="336"/>
      <c r="E320" s="336"/>
      <c r="F320" s="104" t="b">
        <f t="array" ref="F320">IF(_xlfn.NUMBERVALUE(RIGHT($E320,2))=MAX(IF(LEFT($E320:$E2318,11)=LEFT($E320,11),_xlfn.NUMBERVALUE(RIGHT($E320:$E2318,2)))),TRUE)</f>
        <v>1</v>
      </c>
      <c r="G320" s="336"/>
      <c r="H320" s="336"/>
      <c r="I320" s="336"/>
      <c r="J320" s="336"/>
      <c r="K320" s="336"/>
      <c r="L320" s="336"/>
      <c r="M320" s="336"/>
      <c r="N320" s="336"/>
      <c r="O320" s="336"/>
      <c r="P320" s="336"/>
      <c r="Q320" s="336"/>
      <c r="R320" s="336"/>
      <c r="S320" s="336"/>
      <c r="T320" s="336"/>
    </row>
    <row r="321" spans="1:20" x14ac:dyDescent="0.25">
      <c r="A321" s="336"/>
      <c r="B321" s="336"/>
      <c r="C321" s="336"/>
      <c r="D321" s="336"/>
      <c r="E321" s="336"/>
      <c r="F321" s="104" t="b">
        <f t="array" ref="F321">IF(_xlfn.NUMBERVALUE(RIGHT($E321,2))=MAX(IF(LEFT($E321:$E2319,11)=LEFT($E321,11),_xlfn.NUMBERVALUE(RIGHT($E321:$E2319,2)))),TRUE)</f>
        <v>1</v>
      </c>
      <c r="G321" s="336"/>
      <c r="H321" s="336"/>
      <c r="I321" s="336"/>
      <c r="J321" s="336"/>
      <c r="K321" s="336"/>
      <c r="L321" s="336"/>
      <c r="M321" s="336"/>
      <c r="N321" s="336"/>
      <c r="O321" s="336"/>
      <c r="P321" s="336"/>
      <c r="Q321" s="336"/>
      <c r="R321" s="336"/>
      <c r="S321" s="336"/>
      <c r="T321" s="336"/>
    </row>
    <row r="322" spans="1:20" x14ac:dyDescent="0.25">
      <c r="A322" s="336"/>
      <c r="B322" s="336"/>
      <c r="C322" s="336"/>
      <c r="D322" s="336"/>
      <c r="E322" s="336"/>
      <c r="F322" s="104" t="b">
        <f t="array" ref="F322">IF(_xlfn.NUMBERVALUE(RIGHT($E322,2))=MAX(IF(LEFT($E322:$E2320,11)=LEFT($E322,11),_xlfn.NUMBERVALUE(RIGHT($E322:$E2320,2)))),TRUE)</f>
        <v>1</v>
      </c>
      <c r="G322" s="336"/>
      <c r="H322" s="336"/>
      <c r="I322" s="336"/>
      <c r="J322" s="336"/>
      <c r="K322" s="336"/>
      <c r="L322" s="336"/>
      <c r="M322" s="336"/>
      <c r="N322" s="336"/>
      <c r="O322" s="336"/>
      <c r="P322" s="336"/>
      <c r="Q322" s="336"/>
      <c r="R322" s="336"/>
      <c r="S322" s="336"/>
      <c r="T322" s="336"/>
    </row>
    <row r="323" spans="1:20" x14ac:dyDescent="0.25">
      <c r="A323" s="336"/>
      <c r="B323" s="336"/>
      <c r="C323" s="336"/>
      <c r="D323" s="336"/>
      <c r="E323" s="336"/>
      <c r="F323" s="104" t="b">
        <f t="array" ref="F323">IF(_xlfn.NUMBERVALUE(RIGHT($E323,2))=MAX(IF(LEFT($E323:$E2321,11)=LEFT($E323,11),_xlfn.NUMBERVALUE(RIGHT($E323:$E2321,2)))),TRUE)</f>
        <v>1</v>
      </c>
      <c r="G323" s="336"/>
      <c r="H323" s="336"/>
      <c r="I323" s="336"/>
      <c r="J323" s="336"/>
      <c r="K323" s="336"/>
      <c r="L323" s="336"/>
      <c r="M323" s="336"/>
      <c r="N323" s="336"/>
      <c r="O323" s="336"/>
      <c r="P323" s="336"/>
      <c r="Q323" s="336"/>
      <c r="R323" s="336"/>
      <c r="S323" s="336"/>
      <c r="T323" s="336"/>
    </row>
    <row r="324" spans="1:20" x14ac:dyDescent="0.25">
      <c r="A324" s="336"/>
      <c r="B324" s="336"/>
      <c r="C324" s="336"/>
      <c r="D324" s="336"/>
      <c r="E324" s="336"/>
      <c r="F324" s="104" t="b">
        <f t="array" ref="F324">IF(_xlfn.NUMBERVALUE(RIGHT($E324,2))=MAX(IF(LEFT($E324:$E2322,11)=LEFT($E324,11),_xlfn.NUMBERVALUE(RIGHT($E324:$E2322,2)))),TRUE)</f>
        <v>1</v>
      </c>
      <c r="G324" s="336"/>
      <c r="H324" s="336"/>
      <c r="I324" s="336"/>
      <c r="J324" s="336"/>
      <c r="K324" s="336"/>
      <c r="L324" s="336"/>
      <c r="M324" s="336"/>
      <c r="N324" s="336"/>
      <c r="O324" s="336"/>
      <c r="P324" s="336"/>
      <c r="Q324" s="336"/>
      <c r="R324" s="336"/>
      <c r="S324" s="336"/>
      <c r="T324" s="336"/>
    </row>
    <row r="325" spans="1:20" x14ac:dyDescent="0.25">
      <c r="A325" s="336"/>
      <c r="B325" s="336"/>
      <c r="C325" s="336"/>
      <c r="D325" s="336"/>
      <c r="E325" s="336"/>
      <c r="F325" s="104" t="b">
        <f t="array" ref="F325">IF(_xlfn.NUMBERVALUE(RIGHT($E325,2))=MAX(IF(LEFT($E325:$E2323,11)=LEFT($E325,11),_xlfn.NUMBERVALUE(RIGHT($E325:$E2323,2)))),TRUE)</f>
        <v>1</v>
      </c>
      <c r="G325" s="336"/>
      <c r="H325" s="336"/>
      <c r="I325" s="336"/>
      <c r="J325" s="336"/>
      <c r="K325" s="336"/>
      <c r="L325" s="336"/>
      <c r="M325" s="336"/>
      <c r="N325" s="336"/>
      <c r="O325" s="336"/>
      <c r="P325" s="336"/>
      <c r="Q325" s="336"/>
      <c r="R325" s="336"/>
      <c r="S325" s="336"/>
      <c r="T325" s="336"/>
    </row>
    <row r="326" spans="1:20" x14ac:dyDescent="0.25">
      <c r="A326" s="336"/>
      <c r="B326" s="336"/>
      <c r="C326" s="336"/>
      <c r="D326" s="336"/>
      <c r="E326" s="336"/>
      <c r="F326" s="104" t="b">
        <f t="array" ref="F326">IF(_xlfn.NUMBERVALUE(RIGHT($E326,2))=MAX(IF(LEFT($E326:$E2324,11)=LEFT($E326,11),_xlfn.NUMBERVALUE(RIGHT($E326:$E2324,2)))),TRUE)</f>
        <v>1</v>
      </c>
      <c r="G326" s="336"/>
      <c r="H326" s="336"/>
      <c r="I326" s="336"/>
      <c r="J326" s="336"/>
      <c r="K326" s="336"/>
      <c r="L326" s="336"/>
      <c r="M326" s="336"/>
      <c r="N326" s="336"/>
      <c r="O326" s="336"/>
      <c r="P326" s="336"/>
      <c r="Q326" s="336"/>
      <c r="R326" s="336"/>
      <c r="S326" s="336"/>
      <c r="T326" s="336"/>
    </row>
    <row r="327" spans="1:20" x14ac:dyDescent="0.25">
      <c r="A327" s="336"/>
      <c r="B327" s="336"/>
      <c r="C327" s="336"/>
      <c r="D327" s="336"/>
      <c r="E327" s="336"/>
      <c r="F327" s="104" t="b">
        <f t="array" ref="F327">IF(_xlfn.NUMBERVALUE(RIGHT($E327,2))=MAX(IF(LEFT($E327:$E2325,11)=LEFT($E327,11),_xlfn.NUMBERVALUE(RIGHT($E327:$E2325,2)))),TRUE)</f>
        <v>1</v>
      </c>
      <c r="G327" s="336"/>
      <c r="H327" s="336"/>
      <c r="I327" s="336"/>
      <c r="J327" s="336"/>
      <c r="K327" s="336"/>
      <c r="L327" s="336"/>
      <c r="M327" s="336"/>
      <c r="N327" s="336"/>
      <c r="O327" s="336"/>
      <c r="P327" s="336"/>
      <c r="Q327" s="336"/>
      <c r="R327" s="336"/>
      <c r="S327" s="336"/>
      <c r="T327" s="336"/>
    </row>
    <row r="328" spans="1:20" x14ac:dyDescent="0.25">
      <c r="A328" s="336"/>
      <c r="B328" s="336"/>
      <c r="C328" s="336"/>
      <c r="D328" s="336"/>
      <c r="E328" s="336"/>
      <c r="F328" s="104" t="b">
        <f t="array" ref="F328">IF(_xlfn.NUMBERVALUE(RIGHT($E328,2))=MAX(IF(LEFT($E328:$E2326,11)=LEFT($E328,11),_xlfn.NUMBERVALUE(RIGHT($E328:$E2326,2)))),TRUE)</f>
        <v>1</v>
      </c>
      <c r="G328" s="336"/>
      <c r="H328" s="336"/>
      <c r="I328" s="336"/>
      <c r="J328" s="336"/>
      <c r="K328" s="336"/>
      <c r="L328" s="336"/>
      <c r="M328" s="336"/>
      <c r="N328" s="336"/>
      <c r="O328" s="336"/>
      <c r="P328" s="336"/>
      <c r="Q328" s="336"/>
      <c r="R328" s="336"/>
      <c r="S328" s="336"/>
      <c r="T328" s="336"/>
    </row>
    <row r="329" spans="1:20" x14ac:dyDescent="0.25">
      <c r="A329" s="336"/>
      <c r="B329" s="336"/>
      <c r="C329" s="336"/>
      <c r="D329" s="336"/>
      <c r="E329" s="336"/>
      <c r="F329" s="104" t="b">
        <f t="array" ref="F329">IF(_xlfn.NUMBERVALUE(RIGHT($E329,2))=MAX(IF(LEFT($E329:$E2327,11)=LEFT($E329,11),_xlfn.NUMBERVALUE(RIGHT($E329:$E2327,2)))),TRUE)</f>
        <v>1</v>
      </c>
      <c r="G329" s="336"/>
      <c r="H329" s="336"/>
      <c r="I329" s="336"/>
      <c r="J329" s="336"/>
      <c r="K329" s="336"/>
      <c r="L329" s="336"/>
      <c r="M329" s="336"/>
      <c r="N329" s="336"/>
      <c r="O329" s="336"/>
      <c r="P329" s="336"/>
      <c r="Q329" s="336"/>
      <c r="R329" s="336"/>
      <c r="S329" s="336"/>
      <c r="T329" s="336"/>
    </row>
    <row r="330" spans="1:20" x14ac:dyDescent="0.25">
      <c r="A330" s="336"/>
      <c r="B330" s="336"/>
      <c r="C330" s="336"/>
      <c r="D330" s="336"/>
      <c r="E330" s="336"/>
      <c r="F330" s="104" t="b">
        <f t="array" ref="F330">IF(_xlfn.NUMBERVALUE(RIGHT($E330,2))=MAX(IF(LEFT($E330:$E2328,11)=LEFT($E330,11),_xlfn.NUMBERVALUE(RIGHT($E330:$E2328,2)))),TRUE)</f>
        <v>1</v>
      </c>
      <c r="G330" s="336"/>
      <c r="H330" s="336"/>
      <c r="I330" s="336"/>
      <c r="J330" s="336"/>
      <c r="K330" s="336"/>
      <c r="L330" s="336"/>
      <c r="M330" s="336"/>
      <c r="N330" s="336"/>
      <c r="O330" s="336"/>
      <c r="P330" s="336"/>
      <c r="Q330" s="336"/>
      <c r="R330" s="336"/>
      <c r="S330" s="336"/>
      <c r="T330" s="336"/>
    </row>
    <row r="331" spans="1:20" x14ac:dyDescent="0.25">
      <c r="A331" s="336"/>
      <c r="B331" s="336"/>
      <c r="C331" s="336"/>
      <c r="D331" s="336"/>
      <c r="E331" s="336"/>
      <c r="F331" s="104" t="b">
        <f t="array" ref="F331">IF(_xlfn.NUMBERVALUE(RIGHT($E331,2))=MAX(IF(LEFT($E331:$E2329,11)=LEFT($E331,11),_xlfn.NUMBERVALUE(RIGHT($E331:$E2329,2)))),TRUE)</f>
        <v>1</v>
      </c>
      <c r="G331" s="336"/>
      <c r="H331" s="336"/>
      <c r="I331" s="336"/>
      <c r="J331" s="336"/>
      <c r="K331" s="336"/>
      <c r="L331" s="336"/>
      <c r="M331" s="336"/>
      <c r="N331" s="336"/>
      <c r="O331" s="336"/>
      <c r="P331" s="336"/>
      <c r="Q331" s="336"/>
      <c r="R331" s="336"/>
      <c r="S331" s="336"/>
      <c r="T331" s="336"/>
    </row>
    <row r="332" spans="1:20" x14ac:dyDescent="0.25">
      <c r="A332" s="336"/>
      <c r="B332" s="336"/>
      <c r="C332" s="336"/>
      <c r="D332" s="336"/>
      <c r="E332" s="336"/>
      <c r="F332" s="104" t="b">
        <f t="array" ref="F332">IF(_xlfn.NUMBERVALUE(RIGHT($E332,2))=MAX(IF(LEFT($E332:$E2330,11)=LEFT($E332,11),_xlfn.NUMBERVALUE(RIGHT($E332:$E2330,2)))),TRUE)</f>
        <v>1</v>
      </c>
      <c r="G332" s="336"/>
      <c r="H332" s="336"/>
      <c r="I332" s="336"/>
      <c r="J332" s="336"/>
      <c r="K332" s="336"/>
      <c r="L332" s="336"/>
      <c r="M332" s="336"/>
      <c r="N332" s="336"/>
      <c r="O332" s="336"/>
      <c r="P332" s="336"/>
      <c r="Q332" s="336"/>
      <c r="R332" s="336"/>
      <c r="S332" s="336"/>
      <c r="T332" s="336"/>
    </row>
    <row r="333" spans="1:20" x14ac:dyDescent="0.25">
      <c r="A333" s="336"/>
      <c r="B333" s="336"/>
      <c r="C333" s="336"/>
      <c r="D333" s="336"/>
      <c r="E333" s="336"/>
      <c r="F333" s="104" t="b">
        <f t="array" ref="F333">IF(_xlfn.NUMBERVALUE(RIGHT($E333,2))=MAX(IF(LEFT($E333:$E2331,11)=LEFT($E333,11),_xlfn.NUMBERVALUE(RIGHT($E333:$E2331,2)))),TRUE)</f>
        <v>1</v>
      </c>
      <c r="G333" s="336"/>
      <c r="H333" s="336"/>
      <c r="I333" s="336"/>
      <c r="J333" s="336"/>
      <c r="K333" s="336"/>
      <c r="L333" s="336"/>
      <c r="M333" s="336"/>
      <c r="N333" s="336"/>
      <c r="O333" s="336"/>
      <c r="P333" s="336"/>
      <c r="Q333" s="336"/>
      <c r="R333" s="336"/>
      <c r="S333" s="336"/>
      <c r="T333" s="336"/>
    </row>
    <row r="334" spans="1:20" x14ac:dyDescent="0.25">
      <c r="A334" s="336"/>
      <c r="B334" s="336"/>
      <c r="C334" s="336"/>
      <c r="D334" s="336"/>
      <c r="E334" s="336"/>
      <c r="F334" s="104" t="b">
        <f t="array" ref="F334">IF(_xlfn.NUMBERVALUE(RIGHT($E334,2))=MAX(IF(LEFT($E334:$E2332,11)=LEFT($E334,11),_xlfn.NUMBERVALUE(RIGHT($E334:$E2332,2)))),TRUE)</f>
        <v>1</v>
      </c>
      <c r="G334" s="336"/>
      <c r="H334" s="336"/>
      <c r="I334" s="336"/>
      <c r="J334" s="336"/>
      <c r="K334" s="336"/>
      <c r="L334" s="336"/>
      <c r="M334" s="336"/>
      <c r="N334" s="336"/>
      <c r="O334" s="336"/>
      <c r="P334" s="336"/>
      <c r="Q334" s="336"/>
      <c r="R334" s="336"/>
      <c r="S334" s="336"/>
      <c r="T334" s="336"/>
    </row>
    <row r="335" spans="1:20" x14ac:dyDescent="0.25">
      <c r="A335" s="336"/>
      <c r="B335" s="336"/>
      <c r="C335" s="336"/>
      <c r="D335" s="336"/>
      <c r="E335" s="336"/>
      <c r="F335" s="104" t="b">
        <f t="array" ref="F335">IF(_xlfn.NUMBERVALUE(RIGHT($E335,2))=MAX(IF(LEFT($E335:$E2333,11)=LEFT($E335,11),_xlfn.NUMBERVALUE(RIGHT($E335:$E2333,2)))),TRUE)</f>
        <v>1</v>
      </c>
      <c r="G335" s="336"/>
      <c r="H335" s="336"/>
      <c r="I335" s="336"/>
      <c r="J335" s="336"/>
      <c r="K335" s="336"/>
      <c r="L335" s="336"/>
      <c r="M335" s="336"/>
      <c r="N335" s="336"/>
      <c r="O335" s="336"/>
      <c r="P335" s="336"/>
      <c r="Q335" s="336"/>
      <c r="R335" s="336"/>
      <c r="S335" s="336"/>
      <c r="T335" s="336"/>
    </row>
    <row r="336" spans="1:20" x14ac:dyDescent="0.25">
      <c r="A336" s="336"/>
      <c r="B336" s="336"/>
      <c r="C336" s="336"/>
      <c r="D336" s="336"/>
      <c r="E336" s="336"/>
      <c r="F336" s="104" t="b">
        <f t="array" ref="F336">IF(_xlfn.NUMBERVALUE(RIGHT($E336,2))=MAX(IF(LEFT($E336:$E2334,11)=LEFT($E336,11),_xlfn.NUMBERVALUE(RIGHT($E336:$E2334,2)))),TRUE)</f>
        <v>1</v>
      </c>
      <c r="G336" s="336"/>
      <c r="H336" s="336"/>
      <c r="I336" s="336"/>
      <c r="J336" s="336"/>
      <c r="K336" s="336"/>
      <c r="L336" s="336"/>
      <c r="M336" s="336"/>
      <c r="N336" s="336"/>
      <c r="O336" s="336"/>
      <c r="P336" s="336"/>
      <c r="Q336" s="336"/>
      <c r="R336" s="336"/>
      <c r="S336" s="336"/>
      <c r="T336" s="336"/>
    </row>
    <row r="337" spans="1:20" x14ac:dyDescent="0.25">
      <c r="A337" s="336"/>
      <c r="B337" s="336"/>
      <c r="C337" s="336"/>
      <c r="D337" s="336"/>
      <c r="E337" s="336"/>
      <c r="F337" s="104" t="b">
        <f t="array" ref="F337">IF(_xlfn.NUMBERVALUE(RIGHT($E337,2))=MAX(IF(LEFT($E337:$E2335,11)=LEFT($E337,11),_xlfn.NUMBERVALUE(RIGHT($E337:$E2335,2)))),TRUE)</f>
        <v>1</v>
      </c>
      <c r="G337" s="336"/>
      <c r="H337" s="336"/>
      <c r="I337" s="336"/>
      <c r="J337" s="336"/>
      <c r="K337" s="336"/>
      <c r="L337" s="336"/>
      <c r="M337" s="336"/>
      <c r="N337" s="336"/>
      <c r="O337" s="336"/>
      <c r="P337" s="336"/>
      <c r="Q337" s="336"/>
      <c r="R337" s="336"/>
      <c r="S337" s="336"/>
      <c r="T337" s="336"/>
    </row>
    <row r="338" spans="1:20" x14ac:dyDescent="0.25">
      <c r="A338" s="336"/>
      <c r="B338" s="336"/>
      <c r="C338" s="336"/>
      <c r="D338" s="336"/>
      <c r="E338" s="336"/>
      <c r="F338" s="104" t="b">
        <f t="array" ref="F338">IF(_xlfn.NUMBERVALUE(RIGHT($E338,2))=MAX(IF(LEFT($E338:$E2336,11)=LEFT($E338,11),_xlfn.NUMBERVALUE(RIGHT($E338:$E2336,2)))),TRUE)</f>
        <v>1</v>
      </c>
      <c r="G338" s="336"/>
      <c r="H338" s="336"/>
      <c r="I338" s="336"/>
      <c r="J338" s="336"/>
      <c r="K338" s="336"/>
      <c r="L338" s="336"/>
      <c r="M338" s="336"/>
      <c r="N338" s="336"/>
      <c r="O338" s="336"/>
      <c r="P338" s="336"/>
      <c r="Q338" s="336"/>
      <c r="R338" s="336"/>
      <c r="S338" s="336"/>
      <c r="T338" s="336"/>
    </row>
    <row r="339" spans="1:20" x14ac:dyDescent="0.25">
      <c r="A339" s="336"/>
      <c r="B339" s="336"/>
      <c r="C339" s="336"/>
      <c r="D339" s="336"/>
      <c r="E339" s="336"/>
      <c r="F339" s="104" t="b">
        <f t="array" ref="F339">IF(_xlfn.NUMBERVALUE(RIGHT($E339,2))=MAX(IF(LEFT($E339:$E2337,11)=LEFT($E339,11),_xlfn.NUMBERVALUE(RIGHT($E339:$E2337,2)))),TRUE)</f>
        <v>1</v>
      </c>
      <c r="G339" s="336"/>
      <c r="H339" s="336"/>
      <c r="I339" s="336"/>
      <c r="J339" s="336"/>
      <c r="K339" s="336"/>
      <c r="L339" s="336"/>
      <c r="M339" s="336"/>
      <c r="N339" s="336"/>
      <c r="O339" s="336"/>
      <c r="P339" s="336"/>
      <c r="Q339" s="336"/>
      <c r="R339" s="336"/>
      <c r="S339" s="336"/>
      <c r="T339" s="336"/>
    </row>
    <row r="340" spans="1:20" x14ac:dyDescent="0.25">
      <c r="A340" s="336"/>
      <c r="B340" s="336"/>
      <c r="C340" s="336"/>
      <c r="D340" s="336"/>
      <c r="E340" s="336"/>
      <c r="F340" s="104" t="b">
        <f t="array" ref="F340">IF(_xlfn.NUMBERVALUE(RIGHT($E340,2))=MAX(IF(LEFT($E340:$E2338,11)=LEFT($E340,11),_xlfn.NUMBERVALUE(RIGHT($E340:$E2338,2)))),TRUE)</f>
        <v>1</v>
      </c>
      <c r="G340" s="336"/>
      <c r="H340" s="336"/>
      <c r="I340" s="336"/>
      <c r="J340" s="336"/>
      <c r="K340" s="336"/>
      <c r="L340" s="336"/>
      <c r="M340" s="336"/>
      <c r="N340" s="336"/>
      <c r="O340" s="336"/>
      <c r="P340" s="336"/>
      <c r="Q340" s="336"/>
      <c r="R340" s="336"/>
      <c r="S340" s="336"/>
      <c r="T340" s="336"/>
    </row>
    <row r="341" spans="1:20" x14ac:dyDescent="0.25">
      <c r="A341" s="336"/>
      <c r="B341" s="336"/>
      <c r="C341" s="336"/>
      <c r="D341" s="336"/>
      <c r="E341" s="336"/>
      <c r="F341" s="104" t="b">
        <f t="array" ref="F341">IF(_xlfn.NUMBERVALUE(RIGHT($E341,2))=MAX(IF(LEFT($E341:$E2339,11)=LEFT($E341,11),_xlfn.NUMBERVALUE(RIGHT($E341:$E2339,2)))),TRUE)</f>
        <v>1</v>
      </c>
      <c r="G341" s="336"/>
      <c r="H341" s="336"/>
      <c r="I341" s="336"/>
      <c r="J341" s="336"/>
      <c r="K341" s="336"/>
      <c r="L341" s="336"/>
      <c r="M341" s="336"/>
      <c r="N341" s="336"/>
      <c r="O341" s="336"/>
      <c r="P341" s="336"/>
      <c r="Q341" s="336"/>
      <c r="R341" s="336"/>
      <c r="S341" s="336"/>
      <c r="T341" s="336"/>
    </row>
    <row r="342" spans="1:20" x14ac:dyDescent="0.25">
      <c r="A342" s="336"/>
      <c r="B342" s="336"/>
      <c r="C342" s="336"/>
      <c r="D342" s="336"/>
      <c r="E342" s="336"/>
      <c r="F342" s="104" t="b">
        <f t="array" ref="F342">IF(_xlfn.NUMBERVALUE(RIGHT($E342,2))=MAX(IF(LEFT($E342:$E2340,11)=LEFT($E342,11),_xlfn.NUMBERVALUE(RIGHT($E342:$E2340,2)))),TRUE)</f>
        <v>1</v>
      </c>
      <c r="G342" s="336"/>
      <c r="H342" s="336"/>
      <c r="I342" s="336"/>
      <c r="J342" s="336"/>
      <c r="K342" s="336"/>
      <c r="L342" s="336"/>
      <c r="M342" s="336"/>
      <c r="N342" s="336"/>
      <c r="O342" s="336"/>
      <c r="P342" s="336"/>
      <c r="Q342" s="336"/>
      <c r="R342" s="336"/>
      <c r="S342" s="336"/>
      <c r="T342" s="336"/>
    </row>
    <row r="343" spans="1:20" x14ac:dyDescent="0.25">
      <c r="A343" s="336"/>
      <c r="B343" s="336"/>
      <c r="C343" s="336"/>
      <c r="D343" s="336"/>
      <c r="E343" s="336"/>
      <c r="F343" s="104" t="b">
        <f t="array" ref="F343">IF(_xlfn.NUMBERVALUE(RIGHT($E343,2))=MAX(IF(LEFT($E343:$E2341,11)=LEFT($E343,11),_xlfn.NUMBERVALUE(RIGHT($E343:$E2341,2)))),TRUE)</f>
        <v>1</v>
      </c>
      <c r="G343" s="336"/>
      <c r="H343" s="336"/>
      <c r="I343" s="336"/>
      <c r="J343" s="336"/>
      <c r="K343" s="336"/>
      <c r="L343" s="336"/>
      <c r="M343" s="336"/>
      <c r="N343" s="336"/>
      <c r="O343" s="336"/>
      <c r="P343" s="336"/>
      <c r="Q343" s="336"/>
      <c r="R343" s="336"/>
      <c r="S343" s="336"/>
      <c r="T343" s="336"/>
    </row>
    <row r="344" spans="1:20" x14ac:dyDescent="0.25">
      <c r="A344" s="336"/>
      <c r="B344" s="336"/>
      <c r="C344" s="336"/>
      <c r="D344" s="336"/>
      <c r="E344" s="336"/>
      <c r="F344" s="104" t="b">
        <f t="array" ref="F344">IF(_xlfn.NUMBERVALUE(RIGHT($E344,2))=MAX(IF(LEFT($E344:$E2342,11)=LEFT($E344,11),_xlfn.NUMBERVALUE(RIGHT($E344:$E2342,2)))),TRUE)</f>
        <v>1</v>
      </c>
      <c r="G344" s="336"/>
      <c r="H344" s="336"/>
      <c r="I344" s="336"/>
      <c r="J344" s="336"/>
      <c r="K344" s="336"/>
      <c r="L344" s="336"/>
      <c r="M344" s="336"/>
      <c r="N344" s="336"/>
      <c r="O344" s="336"/>
      <c r="P344" s="336"/>
      <c r="Q344" s="336"/>
      <c r="R344" s="336"/>
      <c r="S344" s="336"/>
      <c r="T344" s="336"/>
    </row>
    <row r="345" spans="1:20" x14ac:dyDescent="0.25">
      <c r="A345" s="336"/>
      <c r="B345" s="336"/>
      <c r="C345" s="336"/>
      <c r="D345" s="336"/>
      <c r="E345" s="336"/>
      <c r="F345" s="104" t="b">
        <f t="array" ref="F345">IF(_xlfn.NUMBERVALUE(RIGHT($E345,2))=MAX(IF(LEFT($E345:$E2343,11)=LEFT($E345,11),_xlfn.NUMBERVALUE(RIGHT($E345:$E2343,2)))),TRUE)</f>
        <v>1</v>
      </c>
      <c r="G345" s="336"/>
      <c r="H345" s="336"/>
      <c r="I345" s="336"/>
      <c r="J345" s="336"/>
      <c r="K345" s="336"/>
      <c r="L345" s="336"/>
      <c r="M345" s="336"/>
      <c r="N345" s="336"/>
      <c r="O345" s="336"/>
      <c r="P345" s="336"/>
      <c r="Q345" s="336"/>
      <c r="R345" s="336"/>
      <c r="S345" s="336"/>
      <c r="T345" s="336"/>
    </row>
    <row r="346" spans="1:20" x14ac:dyDescent="0.25">
      <c r="A346" s="336"/>
      <c r="B346" s="336"/>
      <c r="C346" s="336"/>
      <c r="D346" s="336"/>
      <c r="E346" s="336"/>
      <c r="F346" s="104" t="b">
        <f t="array" ref="F346">IF(_xlfn.NUMBERVALUE(RIGHT($E346,2))=MAX(IF(LEFT($E346:$E2344,11)=LEFT($E346,11),_xlfn.NUMBERVALUE(RIGHT($E346:$E2344,2)))),TRUE)</f>
        <v>1</v>
      </c>
      <c r="G346" s="336"/>
      <c r="H346" s="336"/>
      <c r="I346" s="336"/>
      <c r="J346" s="336"/>
      <c r="K346" s="336"/>
      <c r="L346" s="336"/>
      <c r="M346" s="336"/>
      <c r="N346" s="336"/>
      <c r="O346" s="336"/>
      <c r="P346" s="336"/>
      <c r="Q346" s="336"/>
      <c r="R346" s="336"/>
      <c r="S346" s="336"/>
      <c r="T346" s="336"/>
    </row>
    <row r="347" spans="1:20" x14ac:dyDescent="0.25">
      <c r="A347" s="336"/>
      <c r="B347" s="336"/>
      <c r="C347" s="336"/>
      <c r="D347" s="336"/>
      <c r="E347" s="336"/>
      <c r="F347" s="104" t="b">
        <f t="array" ref="F347">IF(_xlfn.NUMBERVALUE(RIGHT($E347,2))=MAX(IF(LEFT($E347:$E2345,11)=LEFT($E347,11),_xlfn.NUMBERVALUE(RIGHT($E347:$E2345,2)))),TRUE)</f>
        <v>1</v>
      </c>
      <c r="G347" s="336"/>
      <c r="H347" s="336"/>
      <c r="I347" s="336"/>
      <c r="J347" s="336"/>
      <c r="K347" s="336"/>
      <c r="L347" s="336"/>
      <c r="M347" s="336"/>
      <c r="N347" s="336"/>
      <c r="O347" s="336"/>
      <c r="P347" s="336"/>
      <c r="Q347" s="336"/>
      <c r="R347" s="336"/>
      <c r="S347" s="336"/>
      <c r="T347" s="336"/>
    </row>
    <row r="348" spans="1:20" x14ac:dyDescent="0.25">
      <c r="A348" s="336"/>
      <c r="B348" s="336"/>
      <c r="C348" s="336"/>
      <c r="D348" s="336"/>
      <c r="E348" s="336"/>
      <c r="F348" s="104" t="b">
        <f t="array" ref="F348">IF(_xlfn.NUMBERVALUE(RIGHT($E348,2))=MAX(IF(LEFT($E348:$E2346,11)=LEFT($E348,11),_xlfn.NUMBERVALUE(RIGHT($E348:$E2346,2)))),TRUE)</f>
        <v>1</v>
      </c>
      <c r="G348" s="336"/>
      <c r="H348" s="336"/>
      <c r="I348" s="336"/>
      <c r="J348" s="336"/>
      <c r="K348" s="336"/>
      <c r="L348" s="336"/>
      <c r="M348" s="336"/>
      <c r="N348" s="336"/>
      <c r="O348" s="336"/>
      <c r="P348" s="336"/>
      <c r="Q348" s="336"/>
      <c r="R348" s="336"/>
      <c r="S348" s="336"/>
      <c r="T348" s="336"/>
    </row>
    <row r="349" spans="1:20" x14ac:dyDescent="0.25">
      <c r="A349" s="336"/>
      <c r="B349" s="336"/>
      <c r="C349" s="336"/>
      <c r="D349" s="336"/>
      <c r="E349" s="336"/>
      <c r="F349" s="104" t="b">
        <f t="array" ref="F349">IF(_xlfn.NUMBERVALUE(RIGHT($E349,2))=MAX(IF(LEFT($E349:$E2347,11)=LEFT($E349,11),_xlfn.NUMBERVALUE(RIGHT($E349:$E2347,2)))),TRUE)</f>
        <v>1</v>
      </c>
      <c r="G349" s="336"/>
      <c r="H349" s="336"/>
      <c r="I349" s="336"/>
      <c r="J349" s="336"/>
      <c r="K349" s="336"/>
      <c r="L349" s="336"/>
      <c r="M349" s="336"/>
      <c r="N349" s="336"/>
      <c r="O349" s="336"/>
      <c r="P349" s="336"/>
      <c r="Q349" s="336"/>
      <c r="R349" s="336"/>
      <c r="S349" s="336"/>
      <c r="T349" s="336"/>
    </row>
    <row r="350" spans="1:20" x14ac:dyDescent="0.25">
      <c r="A350" s="336"/>
      <c r="B350" s="336"/>
      <c r="C350" s="336"/>
      <c r="D350" s="336"/>
      <c r="E350" s="336"/>
      <c r="F350" s="104" t="b">
        <f t="array" ref="F350">IF(_xlfn.NUMBERVALUE(RIGHT($E350,2))=MAX(IF(LEFT($E350:$E2348,11)=LEFT($E350,11),_xlfn.NUMBERVALUE(RIGHT($E350:$E2348,2)))),TRUE)</f>
        <v>1</v>
      </c>
      <c r="G350" s="336"/>
      <c r="H350" s="336"/>
      <c r="I350" s="336"/>
      <c r="J350" s="336"/>
      <c r="K350" s="336"/>
      <c r="L350" s="336"/>
      <c r="M350" s="336"/>
      <c r="N350" s="336"/>
      <c r="O350" s="336"/>
      <c r="P350" s="336"/>
      <c r="Q350" s="336"/>
      <c r="R350" s="336"/>
      <c r="S350" s="336"/>
      <c r="T350" s="336"/>
    </row>
    <row r="351" spans="1:20" x14ac:dyDescent="0.25">
      <c r="A351" s="336"/>
      <c r="B351" s="336"/>
      <c r="C351" s="336"/>
      <c r="D351" s="336"/>
      <c r="E351" s="336"/>
      <c r="F351" s="104" t="b">
        <f t="array" ref="F351">IF(_xlfn.NUMBERVALUE(RIGHT($E351,2))=MAX(IF(LEFT($E351:$E2349,11)=LEFT($E351,11),_xlfn.NUMBERVALUE(RIGHT($E351:$E2349,2)))),TRUE)</f>
        <v>1</v>
      </c>
      <c r="G351" s="336"/>
      <c r="H351" s="336"/>
      <c r="I351" s="336"/>
      <c r="J351" s="336"/>
      <c r="K351" s="336"/>
      <c r="L351" s="336"/>
      <c r="M351" s="336"/>
      <c r="N351" s="336"/>
      <c r="O351" s="336"/>
      <c r="P351" s="336"/>
      <c r="Q351" s="336"/>
      <c r="R351" s="336"/>
      <c r="S351" s="336"/>
      <c r="T351" s="336"/>
    </row>
    <row r="352" spans="1:20" x14ac:dyDescent="0.25">
      <c r="A352" s="336"/>
      <c r="B352" s="336"/>
      <c r="C352" s="336"/>
      <c r="D352" s="336"/>
      <c r="E352" s="336"/>
      <c r="F352" s="104" t="b">
        <f t="array" ref="F352">IF(_xlfn.NUMBERVALUE(RIGHT($E352,2))=MAX(IF(LEFT($E352:$E2350,11)=LEFT($E352,11),_xlfn.NUMBERVALUE(RIGHT($E352:$E2350,2)))),TRUE)</f>
        <v>1</v>
      </c>
      <c r="G352" s="336"/>
      <c r="H352" s="336"/>
      <c r="I352" s="336"/>
      <c r="J352" s="336"/>
      <c r="K352" s="336"/>
      <c r="L352" s="336"/>
      <c r="M352" s="336"/>
      <c r="N352" s="336"/>
      <c r="O352" s="336"/>
      <c r="P352" s="336"/>
      <c r="Q352" s="336"/>
      <c r="R352" s="336"/>
      <c r="S352" s="336"/>
      <c r="T352" s="336"/>
    </row>
    <row r="353" spans="1:20" x14ac:dyDescent="0.25">
      <c r="A353" s="336"/>
      <c r="B353" s="336"/>
      <c r="C353" s="336"/>
      <c r="D353" s="336"/>
      <c r="E353" s="336"/>
      <c r="F353" s="104" t="b">
        <f t="array" ref="F353">IF(_xlfn.NUMBERVALUE(RIGHT($E353,2))=MAX(IF(LEFT($E353:$E2351,11)=LEFT($E353,11),_xlfn.NUMBERVALUE(RIGHT($E353:$E2351,2)))),TRUE)</f>
        <v>1</v>
      </c>
      <c r="G353" s="336"/>
      <c r="H353" s="336"/>
      <c r="I353" s="336"/>
      <c r="J353" s="336"/>
      <c r="K353" s="336"/>
      <c r="L353" s="336"/>
      <c r="M353" s="336"/>
      <c r="N353" s="336"/>
      <c r="O353" s="336"/>
      <c r="P353" s="336"/>
      <c r="Q353" s="336"/>
      <c r="R353" s="336"/>
      <c r="S353" s="336"/>
      <c r="T353" s="336"/>
    </row>
    <row r="354" spans="1:20" x14ac:dyDescent="0.25">
      <c r="A354" s="336"/>
      <c r="B354" s="336"/>
      <c r="C354" s="336"/>
      <c r="D354" s="336"/>
      <c r="E354" s="336"/>
      <c r="F354" s="104" t="b">
        <f t="array" ref="F354">IF(_xlfn.NUMBERVALUE(RIGHT($E354,2))=MAX(IF(LEFT($E354:$E2352,11)=LEFT($E354,11),_xlfn.NUMBERVALUE(RIGHT($E354:$E2352,2)))),TRUE)</f>
        <v>1</v>
      </c>
      <c r="G354" s="336"/>
      <c r="H354" s="336"/>
      <c r="I354" s="336"/>
      <c r="J354" s="336"/>
      <c r="K354" s="336"/>
      <c r="L354" s="336"/>
      <c r="M354" s="336"/>
      <c r="N354" s="336"/>
      <c r="O354" s="336"/>
      <c r="P354" s="336"/>
      <c r="Q354" s="336"/>
      <c r="R354" s="336"/>
      <c r="S354" s="336"/>
      <c r="T354" s="336"/>
    </row>
    <row r="355" spans="1:20" x14ac:dyDescent="0.25">
      <c r="A355" s="336"/>
      <c r="B355" s="336"/>
      <c r="C355" s="336"/>
      <c r="D355" s="336"/>
      <c r="E355" s="336"/>
      <c r="F355" s="104" t="b">
        <f t="array" ref="F355">IF(_xlfn.NUMBERVALUE(RIGHT($E355,2))=MAX(IF(LEFT($E355:$E2353,11)=LEFT($E355,11),_xlfn.NUMBERVALUE(RIGHT($E355:$E2353,2)))),TRUE)</f>
        <v>1</v>
      </c>
      <c r="G355" s="336"/>
      <c r="H355" s="336"/>
      <c r="I355" s="336"/>
      <c r="J355" s="336"/>
      <c r="K355" s="336"/>
      <c r="L355" s="336"/>
      <c r="M355" s="336"/>
      <c r="N355" s="336"/>
      <c r="O355" s="336"/>
      <c r="P355" s="336"/>
      <c r="Q355" s="336"/>
      <c r="R355" s="336"/>
      <c r="S355" s="336"/>
      <c r="T355" s="336"/>
    </row>
    <row r="356" spans="1:20" x14ac:dyDescent="0.25">
      <c r="A356" s="336"/>
      <c r="B356" s="336"/>
      <c r="C356" s="336"/>
      <c r="D356" s="336"/>
      <c r="E356" s="336"/>
      <c r="F356" s="104" t="b">
        <f t="array" ref="F356">IF(_xlfn.NUMBERVALUE(RIGHT($E356,2))=MAX(IF(LEFT($E356:$E2354,11)=LEFT($E356,11),_xlfn.NUMBERVALUE(RIGHT($E356:$E2354,2)))),TRUE)</f>
        <v>1</v>
      </c>
      <c r="G356" s="336"/>
      <c r="H356" s="336"/>
      <c r="I356" s="336"/>
      <c r="J356" s="336"/>
      <c r="K356" s="336"/>
      <c r="L356" s="336"/>
      <c r="M356" s="336"/>
      <c r="N356" s="336"/>
      <c r="O356" s="336"/>
      <c r="P356" s="336"/>
      <c r="Q356" s="336"/>
      <c r="R356" s="336"/>
      <c r="S356" s="336"/>
      <c r="T356" s="336"/>
    </row>
    <row r="357" spans="1:20" x14ac:dyDescent="0.25">
      <c r="A357" s="336"/>
      <c r="B357" s="336"/>
      <c r="C357" s="336"/>
      <c r="D357" s="336"/>
      <c r="E357" s="336"/>
      <c r="F357" s="104" t="b">
        <f t="array" ref="F357">IF(_xlfn.NUMBERVALUE(RIGHT($E357,2))=MAX(IF(LEFT($E357:$E2355,11)=LEFT($E357,11),_xlfn.NUMBERVALUE(RIGHT($E357:$E2355,2)))),TRUE)</f>
        <v>1</v>
      </c>
      <c r="G357" s="336"/>
      <c r="H357" s="336"/>
      <c r="I357" s="336"/>
      <c r="J357" s="336"/>
      <c r="K357" s="336"/>
      <c r="L357" s="336"/>
      <c r="M357" s="336"/>
      <c r="N357" s="336"/>
      <c r="O357" s="336"/>
      <c r="P357" s="336"/>
      <c r="Q357" s="336"/>
      <c r="R357" s="336"/>
      <c r="S357" s="336"/>
      <c r="T357" s="336"/>
    </row>
    <row r="358" spans="1:20" x14ac:dyDescent="0.25">
      <c r="A358" s="336"/>
      <c r="B358" s="336"/>
      <c r="C358" s="336"/>
      <c r="D358" s="336"/>
      <c r="E358" s="336"/>
      <c r="F358" s="104" t="b">
        <f t="array" ref="F358">IF(_xlfn.NUMBERVALUE(RIGHT($E358,2))=MAX(IF(LEFT($E358:$E2356,11)=LEFT($E358,11),_xlfn.NUMBERVALUE(RIGHT($E358:$E2356,2)))),TRUE)</f>
        <v>1</v>
      </c>
      <c r="G358" s="336"/>
      <c r="H358" s="336"/>
      <c r="I358" s="336"/>
      <c r="J358" s="336"/>
      <c r="K358" s="336"/>
      <c r="L358" s="336"/>
      <c r="M358" s="336"/>
      <c r="N358" s="336"/>
      <c r="O358" s="336"/>
      <c r="P358" s="336"/>
      <c r="Q358" s="336"/>
      <c r="R358" s="336"/>
      <c r="S358" s="336"/>
      <c r="T358" s="336"/>
    </row>
    <row r="359" spans="1:20" x14ac:dyDescent="0.25">
      <c r="A359" s="336"/>
      <c r="B359" s="336"/>
      <c r="C359" s="336"/>
      <c r="D359" s="336"/>
      <c r="E359" s="336"/>
      <c r="F359" s="104" t="b">
        <f t="array" ref="F359">IF(_xlfn.NUMBERVALUE(RIGHT($E359,2))=MAX(IF(LEFT($E359:$E2357,11)=LEFT($E359,11),_xlfn.NUMBERVALUE(RIGHT($E359:$E2357,2)))),TRUE)</f>
        <v>1</v>
      </c>
      <c r="G359" s="336"/>
      <c r="H359" s="336"/>
      <c r="I359" s="336"/>
      <c r="J359" s="336"/>
      <c r="K359" s="336"/>
      <c r="L359" s="336"/>
      <c r="M359" s="336"/>
      <c r="N359" s="336"/>
      <c r="O359" s="336"/>
      <c r="P359" s="336"/>
      <c r="Q359" s="336"/>
      <c r="R359" s="336"/>
      <c r="S359" s="336"/>
      <c r="T359" s="336"/>
    </row>
    <row r="360" spans="1:20" x14ac:dyDescent="0.25">
      <c r="A360" s="336"/>
      <c r="B360" s="336"/>
      <c r="C360" s="336"/>
      <c r="D360" s="336"/>
      <c r="E360" s="336"/>
      <c r="F360" s="104" t="b">
        <f t="array" ref="F360">IF(_xlfn.NUMBERVALUE(RIGHT($E360,2))=MAX(IF(LEFT($E360:$E2358,11)=LEFT($E360,11),_xlfn.NUMBERVALUE(RIGHT($E360:$E2358,2)))),TRUE)</f>
        <v>1</v>
      </c>
      <c r="G360" s="336"/>
      <c r="H360" s="336"/>
      <c r="I360" s="336"/>
      <c r="J360" s="336"/>
      <c r="K360" s="336"/>
      <c r="L360" s="336"/>
      <c r="M360" s="336"/>
      <c r="N360" s="336"/>
      <c r="O360" s="336"/>
      <c r="P360" s="336"/>
      <c r="Q360" s="336"/>
      <c r="R360" s="336"/>
      <c r="S360" s="336"/>
      <c r="T360" s="336"/>
    </row>
    <row r="361" spans="1:20" x14ac:dyDescent="0.25">
      <c r="A361" s="336"/>
      <c r="B361" s="336"/>
      <c r="C361" s="336"/>
      <c r="D361" s="336"/>
      <c r="E361" s="336"/>
      <c r="F361" s="104" t="b">
        <f t="array" ref="F361">IF(_xlfn.NUMBERVALUE(RIGHT($E361,2))=MAX(IF(LEFT($E361:$E2359,11)=LEFT($E361,11),_xlfn.NUMBERVALUE(RIGHT($E361:$E2359,2)))),TRUE)</f>
        <v>1</v>
      </c>
      <c r="G361" s="336"/>
      <c r="H361" s="336"/>
      <c r="I361" s="336"/>
      <c r="J361" s="336"/>
      <c r="K361" s="336"/>
      <c r="L361" s="336"/>
      <c r="M361" s="336"/>
      <c r="N361" s="336"/>
      <c r="O361" s="336"/>
      <c r="P361" s="336"/>
      <c r="Q361" s="336"/>
      <c r="R361" s="336"/>
      <c r="S361" s="336"/>
      <c r="T361" s="336"/>
    </row>
    <row r="362" spans="1:20" x14ac:dyDescent="0.25">
      <c r="A362" s="336"/>
      <c r="B362" s="336"/>
      <c r="C362" s="336"/>
      <c r="D362" s="336"/>
      <c r="E362" s="336"/>
      <c r="F362" s="104" t="b">
        <f t="array" ref="F362">IF(_xlfn.NUMBERVALUE(RIGHT($E362,2))=MAX(IF(LEFT($E362:$E2360,11)=LEFT($E362,11),_xlfn.NUMBERVALUE(RIGHT($E362:$E2360,2)))),TRUE)</f>
        <v>1</v>
      </c>
      <c r="G362" s="336"/>
      <c r="H362" s="336"/>
      <c r="I362" s="336"/>
      <c r="J362" s="336"/>
      <c r="K362" s="336"/>
      <c r="L362" s="336"/>
      <c r="M362" s="336"/>
      <c r="N362" s="336"/>
      <c r="O362" s="336"/>
      <c r="P362" s="336"/>
      <c r="Q362" s="336"/>
      <c r="R362" s="336"/>
      <c r="S362" s="336"/>
      <c r="T362" s="336"/>
    </row>
    <row r="363" spans="1:20" x14ac:dyDescent="0.25">
      <c r="A363" s="336"/>
      <c r="B363" s="336"/>
      <c r="C363" s="336"/>
      <c r="D363" s="336"/>
      <c r="E363" s="336"/>
      <c r="F363" s="104" t="b">
        <f t="array" ref="F363">IF(_xlfn.NUMBERVALUE(RIGHT($E363,2))=MAX(IF(LEFT($E363:$E2361,11)=LEFT($E363,11),_xlfn.NUMBERVALUE(RIGHT($E363:$E2361,2)))),TRUE)</f>
        <v>1</v>
      </c>
      <c r="G363" s="336"/>
      <c r="H363" s="336"/>
      <c r="I363" s="336"/>
      <c r="J363" s="336"/>
      <c r="K363" s="336"/>
      <c r="L363" s="336"/>
      <c r="M363" s="336"/>
      <c r="N363" s="336"/>
      <c r="O363" s="336"/>
      <c r="P363" s="336"/>
      <c r="Q363" s="336"/>
      <c r="R363" s="336"/>
      <c r="S363" s="336"/>
      <c r="T363" s="336"/>
    </row>
    <row r="364" spans="1:20" x14ac:dyDescent="0.25">
      <c r="A364" s="336"/>
      <c r="B364" s="336"/>
      <c r="C364" s="336"/>
      <c r="D364" s="336"/>
      <c r="E364" s="336"/>
      <c r="F364" s="104" t="b">
        <f t="array" ref="F364">IF(_xlfn.NUMBERVALUE(RIGHT($E364,2))=MAX(IF(LEFT($E364:$E2362,11)=LEFT($E364,11),_xlfn.NUMBERVALUE(RIGHT($E364:$E2362,2)))),TRUE)</f>
        <v>1</v>
      </c>
      <c r="G364" s="336"/>
      <c r="H364" s="336"/>
      <c r="I364" s="336"/>
      <c r="J364" s="336"/>
      <c r="K364" s="336"/>
      <c r="L364" s="336"/>
      <c r="M364" s="336"/>
      <c r="N364" s="336"/>
      <c r="O364" s="336"/>
      <c r="P364" s="336"/>
      <c r="Q364" s="336"/>
      <c r="R364" s="336"/>
      <c r="S364" s="336"/>
      <c r="T364" s="336"/>
    </row>
    <row r="365" spans="1:20" x14ac:dyDescent="0.25">
      <c r="A365" s="336"/>
      <c r="B365" s="336"/>
      <c r="C365" s="336"/>
      <c r="D365" s="336"/>
      <c r="E365" s="336"/>
      <c r="F365" s="104" t="b">
        <f t="array" ref="F365">IF(_xlfn.NUMBERVALUE(RIGHT($E365,2))=MAX(IF(LEFT($E365:$E2363,11)=LEFT($E365,11),_xlfn.NUMBERVALUE(RIGHT($E365:$E2363,2)))),TRUE)</f>
        <v>1</v>
      </c>
      <c r="G365" s="336"/>
      <c r="H365" s="336"/>
      <c r="I365" s="336"/>
      <c r="J365" s="336"/>
      <c r="K365" s="336"/>
      <c r="L365" s="336"/>
      <c r="M365" s="336"/>
      <c r="N365" s="336"/>
      <c r="O365" s="336"/>
      <c r="P365" s="336"/>
      <c r="Q365" s="336"/>
      <c r="R365" s="336"/>
      <c r="S365" s="336"/>
      <c r="T365" s="336"/>
    </row>
    <row r="366" spans="1:20" x14ac:dyDescent="0.25">
      <c r="A366" s="336"/>
      <c r="B366" s="336"/>
      <c r="C366" s="336"/>
      <c r="D366" s="336"/>
      <c r="E366" s="336"/>
      <c r="F366" s="104" t="b">
        <f t="array" ref="F366">IF(_xlfn.NUMBERVALUE(RIGHT($E366,2))=MAX(IF(LEFT($E366:$E2364,11)=LEFT($E366,11),_xlfn.NUMBERVALUE(RIGHT($E366:$E2364,2)))),TRUE)</f>
        <v>1</v>
      </c>
      <c r="G366" s="336"/>
      <c r="H366" s="336"/>
      <c r="I366" s="336"/>
      <c r="J366" s="336"/>
      <c r="K366" s="336"/>
      <c r="L366" s="336"/>
      <c r="M366" s="336"/>
      <c r="N366" s="336"/>
      <c r="O366" s="336"/>
      <c r="P366" s="336"/>
      <c r="Q366" s="336"/>
      <c r="R366" s="336"/>
      <c r="S366" s="336"/>
      <c r="T366" s="336"/>
    </row>
    <row r="367" spans="1:20" x14ac:dyDescent="0.25">
      <c r="A367" s="336"/>
      <c r="B367" s="336"/>
      <c r="C367" s="336"/>
      <c r="D367" s="336"/>
      <c r="E367" s="336"/>
      <c r="F367" s="104" t="b">
        <f t="array" ref="F367">IF(_xlfn.NUMBERVALUE(RIGHT($E367,2))=MAX(IF(LEFT($E367:$E2365,11)=LEFT($E367,11),_xlfn.NUMBERVALUE(RIGHT($E367:$E2365,2)))),TRUE)</f>
        <v>1</v>
      </c>
      <c r="G367" s="336"/>
      <c r="H367" s="336"/>
      <c r="I367" s="336"/>
      <c r="J367" s="336"/>
      <c r="K367" s="336"/>
      <c r="L367" s="336"/>
      <c r="M367" s="336"/>
      <c r="N367" s="336"/>
      <c r="O367" s="336"/>
      <c r="P367" s="336"/>
      <c r="Q367" s="336"/>
      <c r="R367" s="336"/>
      <c r="S367" s="336"/>
      <c r="T367" s="336"/>
    </row>
    <row r="368" spans="1:20" x14ac:dyDescent="0.25">
      <c r="A368" s="336"/>
      <c r="B368" s="336"/>
      <c r="C368" s="336"/>
      <c r="D368" s="336"/>
      <c r="E368" s="336"/>
      <c r="F368" s="104" t="b">
        <f t="array" ref="F368">IF(_xlfn.NUMBERVALUE(RIGHT($E368,2))=MAX(IF(LEFT($E368:$E2366,11)=LEFT($E368,11),_xlfn.NUMBERVALUE(RIGHT($E368:$E2366,2)))),TRUE)</f>
        <v>1</v>
      </c>
      <c r="G368" s="336"/>
      <c r="H368" s="336"/>
      <c r="I368" s="336"/>
      <c r="J368" s="336"/>
      <c r="K368" s="336"/>
      <c r="L368" s="336"/>
      <c r="M368" s="336"/>
      <c r="N368" s="336"/>
      <c r="O368" s="336"/>
      <c r="P368" s="336"/>
      <c r="Q368" s="336"/>
      <c r="R368" s="336"/>
      <c r="S368" s="336"/>
      <c r="T368" s="336"/>
    </row>
    <row r="369" spans="1:20" x14ac:dyDescent="0.25">
      <c r="A369" s="336"/>
      <c r="B369" s="336"/>
      <c r="C369" s="336"/>
      <c r="D369" s="336"/>
      <c r="E369" s="336"/>
      <c r="F369" s="104" t="b">
        <f t="array" ref="F369">IF(_xlfn.NUMBERVALUE(RIGHT($E369,2))=MAX(IF(LEFT($E369:$E2367,11)=LEFT($E369,11),_xlfn.NUMBERVALUE(RIGHT($E369:$E2367,2)))),TRUE)</f>
        <v>1</v>
      </c>
      <c r="G369" s="336"/>
      <c r="H369" s="336"/>
      <c r="I369" s="336"/>
      <c r="J369" s="336"/>
      <c r="K369" s="336"/>
      <c r="L369" s="336"/>
      <c r="M369" s="336"/>
      <c r="N369" s="336"/>
      <c r="O369" s="336"/>
      <c r="P369" s="336"/>
      <c r="Q369" s="336"/>
      <c r="R369" s="336"/>
      <c r="S369" s="336"/>
      <c r="T369" s="336"/>
    </row>
    <row r="370" spans="1:20" x14ac:dyDescent="0.25">
      <c r="A370" s="336"/>
      <c r="B370" s="336"/>
      <c r="C370" s="336"/>
      <c r="D370" s="336"/>
      <c r="E370" s="336"/>
      <c r="F370" s="104" t="b">
        <f t="array" ref="F370">IF(_xlfn.NUMBERVALUE(RIGHT($E370,2))=MAX(IF(LEFT($E370:$E2368,11)=LEFT($E370,11),_xlfn.NUMBERVALUE(RIGHT($E370:$E2368,2)))),TRUE)</f>
        <v>1</v>
      </c>
      <c r="G370" s="336"/>
      <c r="H370" s="336"/>
      <c r="I370" s="336"/>
      <c r="J370" s="336"/>
      <c r="K370" s="336"/>
      <c r="L370" s="336"/>
      <c r="M370" s="336"/>
      <c r="N370" s="336"/>
      <c r="O370" s="336"/>
      <c r="P370" s="336"/>
      <c r="Q370" s="336"/>
      <c r="R370" s="336"/>
      <c r="S370" s="336"/>
      <c r="T370" s="336"/>
    </row>
    <row r="371" spans="1:20" x14ac:dyDescent="0.25">
      <c r="A371" s="336"/>
      <c r="B371" s="336"/>
      <c r="C371" s="336"/>
      <c r="D371" s="336"/>
      <c r="E371" s="336"/>
      <c r="F371" s="104" t="b">
        <f t="array" ref="F371">IF(_xlfn.NUMBERVALUE(RIGHT($E371,2))=MAX(IF(LEFT($E371:$E2369,11)=LEFT($E371,11),_xlfn.NUMBERVALUE(RIGHT($E371:$E2369,2)))),TRUE)</f>
        <v>1</v>
      </c>
      <c r="G371" s="336"/>
      <c r="H371" s="336"/>
      <c r="I371" s="336"/>
      <c r="J371" s="336"/>
      <c r="K371" s="336"/>
      <c r="L371" s="336"/>
      <c r="M371" s="336"/>
      <c r="N371" s="336"/>
      <c r="O371" s="336"/>
      <c r="P371" s="336"/>
      <c r="Q371" s="336"/>
      <c r="R371" s="336"/>
      <c r="S371" s="336"/>
      <c r="T371" s="336"/>
    </row>
    <row r="372" spans="1:20" x14ac:dyDescent="0.25">
      <c r="A372" s="336"/>
      <c r="B372" s="336"/>
      <c r="C372" s="336"/>
      <c r="D372" s="336"/>
      <c r="E372" s="336"/>
      <c r="F372" s="104" t="b">
        <f t="array" ref="F372">IF(_xlfn.NUMBERVALUE(RIGHT($E372,2))=MAX(IF(LEFT($E372:$E2370,11)=LEFT($E372,11),_xlfn.NUMBERVALUE(RIGHT($E372:$E2370,2)))),TRUE)</f>
        <v>1</v>
      </c>
      <c r="G372" s="336"/>
      <c r="H372" s="336"/>
      <c r="I372" s="336"/>
      <c r="J372" s="336"/>
      <c r="K372" s="336"/>
      <c r="L372" s="336"/>
      <c r="M372" s="336"/>
      <c r="N372" s="336"/>
      <c r="O372" s="336"/>
      <c r="P372" s="336"/>
      <c r="Q372" s="336"/>
      <c r="R372" s="336"/>
      <c r="S372" s="336"/>
      <c r="T372" s="336"/>
    </row>
    <row r="373" spans="1:20" x14ac:dyDescent="0.25">
      <c r="A373" s="336"/>
      <c r="B373" s="336"/>
      <c r="C373" s="336"/>
      <c r="D373" s="336"/>
      <c r="E373" s="336"/>
      <c r="F373" s="104" t="b">
        <f t="array" ref="F373">IF(_xlfn.NUMBERVALUE(RIGHT($E373,2))=MAX(IF(LEFT($E373:$E2371,11)=LEFT($E373,11),_xlfn.NUMBERVALUE(RIGHT($E373:$E2371,2)))),TRUE)</f>
        <v>1</v>
      </c>
      <c r="G373" s="336"/>
      <c r="H373" s="336"/>
      <c r="I373" s="336"/>
      <c r="J373" s="336"/>
      <c r="K373" s="336"/>
      <c r="L373" s="336"/>
      <c r="M373" s="336"/>
      <c r="N373" s="336"/>
      <c r="O373" s="336"/>
      <c r="P373" s="336"/>
      <c r="Q373" s="336"/>
      <c r="R373" s="336"/>
      <c r="S373" s="336"/>
      <c r="T373" s="336"/>
    </row>
    <row r="374" spans="1:20" x14ac:dyDescent="0.25">
      <c r="A374" s="336"/>
      <c r="B374" s="336"/>
      <c r="C374" s="336"/>
      <c r="D374" s="336"/>
      <c r="E374" s="336"/>
      <c r="F374" s="104" t="b">
        <f t="array" ref="F374">IF(_xlfn.NUMBERVALUE(RIGHT($E374,2))=MAX(IF(LEFT($E374:$E2372,11)=LEFT($E374,11),_xlfn.NUMBERVALUE(RIGHT($E374:$E2372,2)))),TRUE)</f>
        <v>1</v>
      </c>
      <c r="G374" s="336"/>
      <c r="H374" s="336"/>
      <c r="I374" s="336"/>
      <c r="J374" s="336"/>
      <c r="K374" s="336"/>
      <c r="L374" s="336"/>
      <c r="M374" s="336"/>
      <c r="N374" s="336"/>
      <c r="O374" s="336"/>
      <c r="P374" s="336"/>
      <c r="Q374" s="336"/>
      <c r="R374" s="336"/>
      <c r="S374" s="336"/>
      <c r="T374" s="336"/>
    </row>
    <row r="375" spans="1:20" x14ac:dyDescent="0.25">
      <c r="A375" s="336"/>
      <c r="B375" s="336"/>
      <c r="C375" s="336"/>
      <c r="D375" s="336"/>
      <c r="E375" s="336"/>
      <c r="F375" s="104" t="b">
        <f t="array" ref="F375">IF(_xlfn.NUMBERVALUE(RIGHT($E375,2))=MAX(IF(LEFT($E375:$E2373,11)=LEFT($E375,11),_xlfn.NUMBERVALUE(RIGHT($E375:$E2373,2)))),TRUE)</f>
        <v>1</v>
      </c>
      <c r="G375" s="336"/>
      <c r="H375" s="336"/>
      <c r="I375" s="336"/>
      <c r="J375" s="336"/>
      <c r="K375" s="336"/>
      <c r="L375" s="336"/>
      <c r="M375" s="336"/>
      <c r="N375" s="336"/>
      <c r="O375" s="336"/>
      <c r="P375" s="336"/>
      <c r="Q375" s="336"/>
      <c r="R375" s="336"/>
      <c r="S375" s="336"/>
      <c r="T375" s="336"/>
    </row>
    <row r="376" spans="1:20" x14ac:dyDescent="0.25">
      <c r="A376" s="336"/>
      <c r="B376" s="336"/>
      <c r="C376" s="336"/>
      <c r="D376" s="336"/>
      <c r="E376" s="336"/>
      <c r="F376" s="104" t="b">
        <f t="array" ref="F376">IF(_xlfn.NUMBERVALUE(RIGHT($E376,2))=MAX(IF(LEFT($E376:$E2374,11)=LEFT($E376,11),_xlfn.NUMBERVALUE(RIGHT($E376:$E2374,2)))),TRUE)</f>
        <v>1</v>
      </c>
      <c r="G376" s="336"/>
      <c r="H376" s="336"/>
      <c r="I376" s="336"/>
      <c r="J376" s="336"/>
      <c r="K376" s="336"/>
      <c r="L376" s="336"/>
      <c r="M376" s="336"/>
      <c r="N376" s="336"/>
      <c r="O376" s="336"/>
      <c r="P376" s="336"/>
      <c r="Q376" s="336"/>
      <c r="R376" s="336"/>
      <c r="S376" s="336"/>
      <c r="T376" s="336"/>
    </row>
    <row r="377" spans="1:20" x14ac:dyDescent="0.25">
      <c r="A377" s="336"/>
      <c r="B377" s="336"/>
      <c r="C377" s="336"/>
      <c r="D377" s="336"/>
      <c r="E377" s="336"/>
      <c r="F377" s="104" t="b">
        <f t="array" ref="F377">IF(_xlfn.NUMBERVALUE(RIGHT($E377,2))=MAX(IF(LEFT($E377:$E2375,11)=LEFT($E377,11),_xlfn.NUMBERVALUE(RIGHT($E377:$E2375,2)))),TRUE)</f>
        <v>1</v>
      </c>
      <c r="G377" s="336"/>
      <c r="H377" s="336"/>
      <c r="I377" s="336"/>
      <c r="J377" s="336"/>
      <c r="K377" s="336"/>
      <c r="L377" s="336"/>
      <c r="M377" s="336"/>
      <c r="N377" s="336"/>
      <c r="O377" s="336"/>
      <c r="P377" s="336"/>
      <c r="Q377" s="336"/>
      <c r="R377" s="336"/>
      <c r="S377" s="336"/>
      <c r="T377" s="336"/>
    </row>
    <row r="378" spans="1:20" x14ac:dyDescent="0.25">
      <c r="A378" s="336"/>
      <c r="B378" s="336"/>
      <c r="C378" s="336"/>
      <c r="D378" s="336"/>
      <c r="E378" s="336"/>
      <c r="F378" s="104" t="b">
        <f t="array" ref="F378">IF(_xlfn.NUMBERVALUE(RIGHT($E378,2))=MAX(IF(LEFT($E378:$E2376,11)=LEFT($E378,11),_xlfn.NUMBERVALUE(RIGHT($E378:$E2376,2)))),TRUE)</f>
        <v>1</v>
      </c>
      <c r="G378" s="336"/>
      <c r="H378" s="336"/>
      <c r="I378" s="336"/>
      <c r="J378" s="336"/>
      <c r="K378" s="336"/>
      <c r="L378" s="336"/>
      <c r="M378" s="336"/>
      <c r="N378" s="336"/>
      <c r="O378" s="336"/>
      <c r="P378" s="336"/>
      <c r="Q378" s="336"/>
      <c r="R378" s="336"/>
      <c r="S378" s="336"/>
      <c r="T378" s="336"/>
    </row>
    <row r="379" spans="1:20" x14ac:dyDescent="0.25">
      <c r="A379" s="336"/>
      <c r="B379" s="336"/>
      <c r="C379" s="336"/>
      <c r="D379" s="336"/>
      <c r="E379" s="336"/>
      <c r="F379" s="104" t="b">
        <f t="array" ref="F379">IF(_xlfn.NUMBERVALUE(RIGHT($E379,2))=MAX(IF(LEFT($E379:$E2377,11)=LEFT($E379,11),_xlfn.NUMBERVALUE(RIGHT($E379:$E2377,2)))),TRUE)</f>
        <v>1</v>
      </c>
      <c r="G379" s="336"/>
      <c r="H379" s="336"/>
      <c r="I379" s="336"/>
      <c r="J379" s="336"/>
      <c r="K379" s="336"/>
      <c r="L379" s="336"/>
      <c r="M379" s="336"/>
      <c r="N379" s="336"/>
      <c r="O379" s="336"/>
      <c r="P379" s="336"/>
      <c r="Q379" s="336"/>
      <c r="R379" s="336"/>
      <c r="S379" s="336"/>
      <c r="T379" s="336"/>
    </row>
    <row r="380" spans="1:20" x14ac:dyDescent="0.25">
      <c r="A380" s="336"/>
      <c r="B380" s="336"/>
      <c r="C380" s="336"/>
      <c r="D380" s="336"/>
      <c r="E380" s="336"/>
      <c r="F380" s="104" t="b">
        <f t="array" ref="F380">IF(_xlfn.NUMBERVALUE(RIGHT($E380,2))=MAX(IF(LEFT($E380:$E2378,11)=LEFT($E380,11),_xlfn.NUMBERVALUE(RIGHT($E380:$E2378,2)))),TRUE)</f>
        <v>1</v>
      </c>
      <c r="G380" s="336"/>
      <c r="H380" s="336"/>
      <c r="I380" s="336"/>
      <c r="J380" s="336"/>
      <c r="K380" s="336"/>
      <c r="L380" s="336"/>
      <c r="M380" s="336"/>
      <c r="N380" s="336"/>
      <c r="O380" s="336"/>
      <c r="P380" s="336"/>
      <c r="Q380" s="336"/>
      <c r="R380" s="336"/>
      <c r="S380" s="336"/>
      <c r="T380" s="336"/>
    </row>
    <row r="381" spans="1:20" x14ac:dyDescent="0.25">
      <c r="A381" s="336"/>
      <c r="B381" s="336"/>
      <c r="C381" s="336"/>
      <c r="D381" s="336"/>
      <c r="E381" s="336"/>
      <c r="F381" s="104" t="b">
        <f t="array" ref="F381">IF(_xlfn.NUMBERVALUE(RIGHT($E381,2))=MAX(IF(LEFT($E381:$E2379,11)=LEFT($E381,11),_xlfn.NUMBERVALUE(RIGHT($E381:$E2379,2)))),TRUE)</f>
        <v>1</v>
      </c>
      <c r="G381" s="336"/>
      <c r="H381" s="336"/>
      <c r="I381" s="336"/>
      <c r="J381" s="336"/>
      <c r="K381" s="336"/>
      <c r="L381" s="336"/>
      <c r="M381" s="336"/>
      <c r="N381" s="336"/>
      <c r="O381" s="336"/>
      <c r="P381" s="336"/>
      <c r="Q381" s="336"/>
      <c r="R381" s="336"/>
      <c r="S381" s="336"/>
      <c r="T381" s="336"/>
    </row>
    <row r="382" spans="1:20" x14ac:dyDescent="0.25">
      <c r="A382" s="336"/>
      <c r="B382" s="336"/>
      <c r="C382" s="336"/>
      <c r="D382" s="336"/>
      <c r="E382" s="336"/>
      <c r="F382" s="104" t="b">
        <f t="array" ref="F382">IF(_xlfn.NUMBERVALUE(RIGHT($E382,2))=MAX(IF(LEFT($E382:$E2380,11)=LEFT($E382,11),_xlfn.NUMBERVALUE(RIGHT($E382:$E2380,2)))),TRUE)</f>
        <v>1</v>
      </c>
      <c r="G382" s="336"/>
      <c r="H382" s="336"/>
      <c r="I382" s="336"/>
      <c r="J382" s="336"/>
      <c r="K382" s="336"/>
      <c r="L382" s="336"/>
      <c r="M382" s="336"/>
      <c r="N382" s="336"/>
      <c r="O382" s="336"/>
      <c r="P382" s="336"/>
      <c r="Q382" s="336"/>
      <c r="R382" s="336"/>
      <c r="S382" s="336"/>
      <c r="T382" s="336"/>
    </row>
    <row r="383" spans="1:20" x14ac:dyDescent="0.25">
      <c r="A383" s="336"/>
      <c r="B383" s="336"/>
      <c r="C383" s="336"/>
      <c r="D383" s="336"/>
      <c r="E383" s="336"/>
      <c r="F383" s="104" t="b">
        <f t="array" ref="F383">IF(_xlfn.NUMBERVALUE(RIGHT($E383,2))=MAX(IF(LEFT($E383:$E2381,11)=LEFT($E383,11),_xlfn.NUMBERVALUE(RIGHT($E383:$E2381,2)))),TRUE)</f>
        <v>1</v>
      </c>
      <c r="G383" s="336"/>
      <c r="H383" s="336"/>
      <c r="I383" s="336"/>
      <c r="J383" s="336"/>
      <c r="K383" s="336"/>
      <c r="L383" s="336"/>
      <c r="M383" s="336"/>
      <c r="N383" s="336"/>
      <c r="O383" s="336"/>
      <c r="P383" s="336"/>
      <c r="Q383" s="336"/>
      <c r="R383" s="336"/>
      <c r="S383" s="336"/>
      <c r="T383" s="336"/>
    </row>
    <row r="384" spans="1:20" x14ac:dyDescent="0.25">
      <c r="A384" s="336"/>
      <c r="B384" s="336"/>
      <c r="C384" s="336"/>
      <c r="D384" s="336"/>
      <c r="E384" s="336"/>
      <c r="F384" s="104" t="b">
        <f t="array" ref="F384">IF(_xlfn.NUMBERVALUE(RIGHT($E384,2))=MAX(IF(LEFT($E384:$E2382,11)=LEFT($E384,11),_xlfn.NUMBERVALUE(RIGHT($E384:$E2382,2)))),TRUE)</f>
        <v>1</v>
      </c>
      <c r="G384" s="336"/>
      <c r="H384" s="336"/>
      <c r="I384" s="336"/>
      <c r="J384" s="336"/>
      <c r="K384" s="336"/>
      <c r="L384" s="336"/>
      <c r="M384" s="336"/>
      <c r="N384" s="336"/>
      <c r="O384" s="336"/>
      <c r="P384" s="336"/>
      <c r="Q384" s="336"/>
      <c r="R384" s="336"/>
      <c r="S384" s="336"/>
      <c r="T384" s="336"/>
    </row>
    <row r="385" spans="1:20" x14ac:dyDescent="0.25">
      <c r="A385" s="336"/>
      <c r="B385" s="336"/>
      <c r="C385" s="336"/>
      <c r="D385" s="336"/>
      <c r="E385" s="336"/>
      <c r="F385" s="104" t="b">
        <f t="array" ref="F385">IF(_xlfn.NUMBERVALUE(RIGHT($E385,2))=MAX(IF(LEFT($E385:$E2383,11)=LEFT($E385,11),_xlfn.NUMBERVALUE(RIGHT($E385:$E2383,2)))),TRUE)</f>
        <v>1</v>
      </c>
      <c r="G385" s="336"/>
      <c r="H385" s="336"/>
      <c r="I385" s="336"/>
      <c r="J385" s="336"/>
      <c r="K385" s="336"/>
      <c r="L385" s="336"/>
      <c r="M385" s="336"/>
      <c r="N385" s="336"/>
      <c r="O385" s="336"/>
      <c r="P385" s="336"/>
      <c r="Q385" s="336"/>
      <c r="R385" s="336"/>
      <c r="S385" s="336"/>
      <c r="T385" s="336"/>
    </row>
    <row r="386" spans="1:20" x14ac:dyDescent="0.25">
      <c r="A386" s="336"/>
      <c r="B386" s="336"/>
      <c r="C386" s="336"/>
      <c r="D386" s="336"/>
      <c r="E386" s="336"/>
      <c r="F386" s="104" t="b">
        <f t="array" ref="F386">IF(_xlfn.NUMBERVALUE(RIGHT($E386,2))=MAX(IF(LEFT($E386:$E2384,11)=LEFT($E386,11),_xlfn.NUMBERVALUE(RIGHT($E386:$E2384,2)))),TRUE)</f>
        <v>1</v>
      </c>
      <c r="G386" s="336"/>
      <c r="H386" s="336"/>
      <c r="I386" s="336"/>
      <c r="J386" s="336"/>
      <c r="K386" s="336"/>
      <c r="L386" s="336"/>
      <c r="M386" s="336"/>
      <c r="N386" s="336"/>
      <c r="O386" s="336"/>
      <c r="P386" s="336"/>
      <c r="Q386" s="336"/>
      <c r="R386" s="336"/>
      <c r="S386" s="336"/>
      <c r="T386" s="336"/>
    </row>
    <row r="387" spans="1:20" x14ac:dyDescent="0.25">
      <c r="A387" s="336"/>
      <c r="B387" s="336"/>
      <c r="C387" s="336"/>
      <c r="D387" s="336"/>
      <c r="E387" s="336"/>
      <c r="F387" s="104" t="b">
        <f t="array" ref="F387">IF(_xlfn.NUMBERVALUE(RIGHT($E387,2))=MAX(IF(LEFT($E387:$E2385,11)=LEFT($E387,11),_xlfn.NUMBERVALUE(RIGHT($E387:$E2385,2)))),TRUE)</f>
        <v>1</v>
      </c>
      <c r="G387" s="336"/>
      <c r="H387" s="336"/>
      <c r="I387" s="336"/>
      <c r="J387" s="336"/>
      <c r="K387" s="336"/>
      <c r="L387" s="336"/>
      <c r="M387" s="336"/>
      <c r="N387" s="336"/>
      <c r="O387" s="336"/>
      <c r="P387" s="336"/>
      <c r="Q387" s="336"/>
      <c r="R387" s="336"/>
      <c r="S387" s="336"/>
      <c r="T387" s="336"/>
    </row>
    <row r="388" spans="1:20" x14ac:dyDescent="0.25">
      <c r="A388" s="336"/>
      <c r="B388" s="336"/>
      <c r="C388" s="336"/>
      <c r="D388" s="336"/>
      <c r="E388" s="336"/>
      <c r="F388" s="104" t="b">
        <f t="array" ref="F388">IF(_xlfn.NUMBERVALUE(RIGHT($E388,2))=MAX(IF(LEFT($E388:$E2386,11)=LEFT($E388,11),_xlfn.NUMBERVALUE(RIGHT($E388:$E2386,2)))),TRUE)</f>
        <v>1</v>
      </c>
      <c r="G388" s="336"/>
      <c r="H388" s="336"/>
      <c r="I388" s="336"/>
      <c r="J388" s="336"/>
      <c r="K388" s="336"/>
      <c r="L388" s="336"/>
      <c r="M388" s="336"/>
      <c r="N388" s="336"/>
      <c r="O388" s="336"/>
      <c r="P388" s="336"/>
      <c r="Q388" s="336"/>
      <c r="R388" s="336"/>
      <c r="S388" s="336"/>
      <c r="T388" s="336"/>
    </row>
    <row r="389" spans="1:20" x14ac:dyDescent="0.25">
      <c r="A389" s="336"/>
      <c r="B389" s="336"/>
      <c r="C389" s="336"/>
      <c r="D389" s="336"/>
      <c r="E389" s="336"/>
      <c r="F389" s="104" t="b">
        <f t="array" ref="F389">IF(_xlfn.NUMBERVALUE(RIGHT($E389,2))=MAX(IF(LEFT($E389:$E2387,11)=LEFT($E389,11),_xlfn.NUMBERVALUE(RIGHT($E389:$E2387,2)))),TRUE)</f>
        <v>1</v>
      </c>
      <c r="G389" s="336"/>
      <c r="H389" s="336"/>
      <c r="I389" s="336"/>
      <c r="J389" s="336"/>
      <c r="K389" s="336"/>
      <c r="L389" s="336"/>
      <c r="M389" s="336"/>
      <c r="N389" s="336"/>
      <c r="O389" s="336"/>
      <c r="P389" s="336"/>
      <c r="Q389" s="336"/>
      <c r="R389" s="336"/>
      <c r="S389" s="336"/>
      <c r="T389" s="336"/>
    </row>
    <row r="390" spans="1:20" x14ac:dyDescent="0.25">
      <c r="A390" s="336"/>
      <c r="B390" s="336"/>
      <c r="C390" s="336"/>
      <c r="D390" s="336"/>
      <c r="E390" s="336"/>
      <c r="F390" s="104" t="b">
        <f t="array" ref="F390">IF(_xlfn.NUMBERVALUE(RIGHT($E390,2))=MAX(IF(LEFT($E390:$E2388,11)=LEFT($E390,11),_xlfn.NUMBERVALUE(RIGHT($E390:$E2388,2)))),TRUE)</f>
        <v>1</v>
      </c>
      <c r="G390" s="336"/>
      <c r="H390" s="336"/>
      <c r="I390" s="336"/>
      <c r="J390" s="336"/>
      <c r="K390" s="336"/>
      <c r="L390" s="336"/>
      <c r="M390" s="336"/>
      <c r="N390" s="336"/>
      <c r="O390" s="336"/>
      <c r="P390" s="336"/>
      <c r="Q390" s="336"/>
      <c r="R390" s="336"/>
      <c r="S390" s="336"/>
      <c r="T390" s="336"/>
    </row>
    <row r="391" spans="1:20" x14ac:dyDescent="0.25">
      <c r="A391" s="336"/>
      <c r="B391" s="336"/>
      <c r="C391" s="336"/>
      <c r="D391" s="336"/>
      <c r="E391" s="336"/>
      <c r="F391" s="104" t="b">
        <f t="array" ref="F391">IF(_xlfn.NUMBERVALUE(RIGHT($E391,2))=MAX(IF(LEFT($E391:$E2389,11)=LEFT($E391,11),_xlfn.NUMBERVALUE(RIGHT($E391:$E2389,2)))),TRUE)</f>
        <v>1</v>
      </c>
      <c r="G391" s="336"/>
      <c r="H391" s="336"/>
      <c r="I391" s="336"/>
      <c r="J391" s="336"/>
      <c r="K391" s="336"/>
      <c r="L391" s="336"/>
      <c r="M391" s="336"/>
      <c r="N391" s="336"/>
      <c r="O391" s="336"/>
      <c r="P391" s="336"/>
      <c r="Q391" s="336"/>
      <c r="R391" s="336"/>
      <c r="S391" s="336"/>
      <c r="T391" s="336"/>
    </row>
    <row r="392" spans="1:20" x14ac:dyDescent="0.25">
      <c r="A392" s="336"/>
      <c r="B392" s="336"/>
      <c r="C392" s="336"/>
      <c r="D392" s="336"/>
      <c r="E392" s="336"/>
      <c r="F392" s="104" t="b">
        <f t="array" ref="F392">IF(_xlfn.NUMBERVALUE(RIGHT($E392,2))=MAX(IF(LEFT($E392:$E2390,11)=LEFT($E392,11),_xlfn.NUMBERVALUE(RIGHT($E392:$E2390,2)))),TRUE)</f>
        <v>1</v>
      </c>
      <c r="G392" s="336"/>
      <c r="H392" s="336"/>
      <c r="I392" s="336"/>
      <c r="J392" s="336"/>
      <c r="K392" s="336"/>
      <c r="L392" s="336"/>
      <c r="M392" s="336"/>
      <c r="N392" s="336"/>
      <c r="O392" s="336"/>
      <c r="P392" s="336"/>
      <c r="Q392" s="336"/>
      <c r="R392" s="336"/>
      <c r="S392" s="336"/>
      <c r="T392" s="336"/>
    </row>
    <row r="393" spans="1:20" x14ac:dyDescent="0.25">
      <c r="A393" s="336"/>
      <c r="B393" s="336"/>
      <c r="C393" s="336"/>
      <c r="D393" s="336"/>
      <c r="E393" s="336"/>
      <c r="F393" s="104" t="b">
        <f t="array" ref="F393">IF(_xlfn.NUMBERVALUE(RIGHT($E393,2))=MAX(IF(LEFT($E393:$E2391,11)=LEFT($E393,11),_xlfn.NUMBERVALUE(RIGHT($E393:$E2391,2)))),TRUE)</f>
        <v>1</v>
      </c>
      <c r="G393" s="336"/>
      <c r="H393" s="336"/>
      <c r="I393" s="336"/>
      <c r="J393" s="336"/>
      <c r="K393" s="336"/>
      <c r="L393" s="336"/>
      <c r="M393" s="336"/>
      <c r="N393" s="336"/>
      <c r="O393" s="336"/>
      <c r="P393" s="336"/>
      <c r="Q393" s="336"/>
      <c r="R393" s="336"/>
      <c r="S393" s="336"/>
      <c r="T393" s="336"/>
    </row>
    <row r="394" spans="1:20" x14ac:dyDescent="0.25">
      <c r="A394" s="336"/>
      <c r="B394" s="336"/>
      <c r="C394" s="336"/>
      <c r="D394" s="336"/>
      <c r="E394" s="336"/>
      <c r="F394" s="104" t="b">
        <f t="array" ref="F394">IF(_xlfn.NUMBERVALUE(RIGHT($E394,2))=MAX(IF(LEFT($E394:$E2392,11)=LEFT($E394,11),_xlfn.NUMBERVALUE(RIGHT($E394:$E2392,2)))),TRUE)</f>
        <v>1</v>
      </c>
      <c r="G394" s="336"/>
      <c r="H394" s="336"/>
      <c r="I394" s="336"/>
      <c r="J394" s="336"/>
      <c r="K394" s="336"/>
      <c r="L394" s="336"/>
      <c r="M394" s="336"/>
      <c r="N394" s="336"/>
      <c r="O394" s="336"/>
      <c r="P394" s="336"/>
      <c r="Q394" s="336"/>
      <c r="R394" s="336"/>
      <c r="S394" s="336"/>
      <c r="T394" s="336"/>
    </row>
    <row r="395" spans="1:20" x14ac:dyDescent="0.25">
      <c r="A395" s="336"/>
      <c r="B395" s="336"/>
      <c r="C395" s="336"/>
      <c r="D395" s="336"/>
      <c r="E395" s="336"/>
      <c r="F395" s="104" t="b">
        <f t="array" ref="F395">IF(_xlfn.NUMBERVALUE(RIGHT($E395,2))=MAX(IF(LEFT($E395:$E2393,11)=LEFT($E395,11),_xlfn.NUMBERVALUE(RIGHT($E395:$E2393,2)))),TRUE)</f>
        <v>1</v>
      </c>
      <c r="G395" s="336"/>
      <c r="H395" s="336"/>
      <c r="I395" s="336"/>
      <c r="J395" s="336"/>
      <c r="K395" s="336"/>
      <c r="L395" s="336"/>
      <c r="M395" s="336"/>
      <c r="N395" s="336"/>
      <c r="O395" s="336"/>
      <c r="P395" s="336"/>
      <c r="Q395" s="336"/>
      <c r="R395" s="336"/>
      <c r="S395" s="336"/>
      <c r="T395" s="336"/>
    </row>
    <row r="396" spans="1:20" x14ac:dyDescent="0.25">
      <c r="A396" s="336"/>
      <c r="B396" s="336"/>
      <c r="C396" s="336"/>
      <c r="D396" s="336"/>
      <c r="E396" s="336"/>
      <c r="F396" s="104" t="b">
        <f t="array" ref="F396">IF(_xlfn.NUMBERVALUE(RIGHT($E396,2))=MAX(IF(LEFT($E396:$E2394,11)=LEFT($E396,11),_xlfn.NUMBERVALUE(RIGHT($E396:$E2394,2)))),TRUE)</f>
        <v>1</v>
      </c>
      <c r="G396" s="336"/>
      <c r="H396" s="336"/>
      <c r="I396" s="336"/>
      <c r="J396" s="336"/>
      <c r="K396" s="336"/>
      <c r="L396" s="336"/>
      <c r="M396" s="336"/>
      <c r="N396" s="336"/>
      <c r="O396" s="336"/>
      <c r="P396" s="336"/>
      <c r="Q396" s="336"/>
      <c r="R396" s="336"/>
      <c r="S396" s="336"/>
      <c r="T396" s="336"/>
    </row>
    <row r="397" spans="1:20" x14ac:dyDescent="0.25">
      <c r="A397" s="336"/>
      <c r="B397" s="336"/>
      <c r="C397" s="336"/>
      <c r="D397" s="336"/>
      <c r="E397" s="336"/>
      <c r="F397" s="104" t="b">
        <f t="array" ref="F397">IF(_xlfn.NUMBERVALUE(RIGHT($E397,2))=MAX(IF(LEFT($E397:$E2395,11)=LEFT($E397,11),_xlfn.NUMBERVALUE(RIGHT($E397:$E2395,2)))),TRUE)</f>
        <v>1</v>
      </c>
      <c r="G397" s="336"/>
      <c r="H397" s="336"/>
      <c r="I397" s="336"/>
      <c r="J397" s="336"/>
      <c r="K397" s="336"/>
      <c r="L397" s="336"/>
      <c r="M397" s="336"/>
      <c r="N397" s="336"/>
      <c r="O397" s="336"/>
      <c r="P397" s="336"/>
      <c r="Q397" s="336"/>
      <c r="R397" s="336"/>
      <c r="S397" s="336"/>
      <c r="T397" s="336"/>
    </row>
    <row r="398" spans="1:20" x14ac:dyDescent="0.25">
      <c r="A398" s="336"/>
      <c r="B398" s="336"/>
      <c r="C398" s="336"/>
      <c r="D398" s="336"/>
      <c r="E398" s="336"/>
      <c r="F398" s="104" t="b">
        <f t="array" ref="F398">IF(_xlfn.NUMBERVALUE(RIGHT($E398,2))=MAX(IF(LEFT($E398:$E2396,11)=LEFT($E398,11),_xlfn.NUMBERVALUE(RIGHT($E398:$E2396,2)))),TRUE)</f>
        <v>1</v>
      </c>
      <c r="G398" s="336"/>
      <c r="H398" s="336"/>
      <c r="I398" s="336"/>
      <c r="J398" s="336"/>
      <c r="K398" s="336"/>
      <c r="L398" s="336"/>
      <c r="M398" s="336"/>
      <c r="N398" s="336"/>
      <c r="O398" s="336"/>
      <c r="P398" s="336"/>
      <c r="Q398" s="336"/>
      <c r="R398" s="336"/>
      <c r="S398" s="336"/>
      <c r="T398" s="336"/>
    </row>
    <row r="399" spans="1:20" x14ac:dyDescent="0.25">
      <c r="A399" s="336"/>
      <c r="B399" s="336"/>
      <c r="C399" s="336"/>
      <c r="D399" s="336"/>
      <c r="E399" s="336"/>
      <c r="F399" s="104" t="b">
        <f t="array" ref="F399">IF(_xlfn.NUMBERVALUE(RIGHT($E399,2))=MAX(IF(LEFT($E399:$E2397,11)=LEFT($E399,11),_xlfn.NUMBERVALUE(RIGHT($E399:$E2397,2)))),TRUE)</f>
        <v>1</v>
      </c>
      <c r="G399" s="336"/>
      <c r="H399" s="336"/>
      <c r="I399" s="336"/>
      <c r="J399" s="336"/>
      <c r="K399" s="336"/>
      <c r="L399" s="336"/>
      <c r="M399" s="336"/>
      <c r="N399" s="336"/>
      <c r="O399" s="336"/>
      <c r="P399" s="336"/>
      <c r="Q399" s="336"/>
      <c r="R399" s="336"/>
      <c r="S399" s="336"/>
      <c r="T399" s="336"/>
    </row>
    <row r="400" spans="1:20" x14ac:dyDescent="0.25">
      <c r="A400" s="336"/>
      <c r="B400" s="336"/>
      <c r="C400" s="336"/>
      <c r="D400" s="336"/>
      <c r="E400" s="336"/>
      <c r="F400" s="104" t="b">
        <f t="array" ref="F400">IF(_xlfn.NUMBERVALUE(RIGHT($E400,2))=MAX(IF(LEFT($E400:$E2398,11)=LEFT($E400,11),_xlfn.NUMBERVALUE(RIGHT($E400:$E2398,2)))),TRUE)</f>
        <v>1</v>
      </c>
      <c r="G400" s="336"/>
      <c r="H400" s="336"/>
      <c r="I400" s="336"/>
      <c r="J400" s="336"/>
      <c r="K400" s="336"/>
      <c r="L400" s="336"/>
      <c r="M400" s="336"/>
      <c r="N400" s="336"/>
      <c r="O400" s="336"/>
      <c r="P400" s="336"/>
      <c r="Q400" s="336"/>
      <c r="R400" s="336"/>
      <c r="S400" s="336"/>
      <c r="T400" s="336"/>
    </row>
    <row r="401" spans="1:20" x14ac:dyDescent="0.25">
      <c r="A401" s="336"/>
      <c r="B401" s="336"/>
      <c r="C401" s="336"/>
      <c r="D401" s="336"/>
      <c r="E401" s="336"/>
      <c r="F401" s="104" t="b">
        <f t="array" ref="F401">IF(_xlfn.NUMBERVALUE(RIGHT($E401,2))=MAX(IF(LEFT($E401:$E2399,11)=LEFT($E401,11),_xlfn.NUMBERVALUE(RIGHT($E401:$E2399,2)))),TRUE)</f>
        <v>1</v>
      </c>
      <c r="G401" s="336"/>
      <c r="H401" s="336"/>
      <c r="I401" s="336"/>
      <c r="J401" s="336"/>
      <c r="K401" s="336"/>
      <c r="L401" s="336"/>
      <c r="M401" s="336"/>
      <c r="N401" s="336"/>
      <c r="O401" s="336"/>
      <c r="P401" s="336"/>
      <c r="Q401" s="336"/>
      <c r="R401" s="336"/>
      <c r="S401" s="336"/>
      <c r="T401" s="336"/>
    </row>
    <row r="402" spans="1:20" x14ac:dyDescent="0.25">
      <c r="A402" s="336"/>
      <c r="B402" s="336"/>
      <c r="C402" s="336"/>
      <c r="D402" s="336"/>
      <c r="E402" s="336"/>
      <c r="F402" s="104" t="b">
        <f t="array" ref="F402">IF(_xlfn.NUMBERVALUE(RIGHT($E402,2))=MAX(IF(LEFT($E402:$E2400,11)=LEFT($E402,11),_xlfn.NUMBERVALUE(RIGHT($E402:$E2400,2)))),TRUE)</f>
        <v>1</v>
      </c>
      <c r="G402" s="336"/>
      <c r="H402" s="336"/>
      <c r="I402" s="336"/>
      <c r="J402" s="336"/>
      <c r="K402" s="336"/>
      <c r="L402" s="336"/>
      <c r="M402" s="336"/>
      <c r="N402" s="336"/>
      <c r="O402" s="336"/>
      <c r="P402" s="336"/>
      <c r="Q402" s="336"/>
      <c r="R402" s="336"/>
      <c r="S402" s="336"/>
      <c r="T402" s="336"/>
    </row>
    <row r="403" spans="1:20" x14ac:dyDescent="0.25">
      <c r="A403" s="336"/>
      <c r="B403" s="336"/>
      <c r="C403" s="336"/>
      <c r="D403" s="336"/>
      <c r="E403" s="336"/>
      <c r="F403" s="104" t="b">
        <f t="array" ref="F403">IF(_xlfn.NUMBERVALUE(RIGHT($E403,2))=MAX(IF(LEFT($E403:$E2401,11)=LEFT($E403,11),_xlfn.NUMBERVALUE(RIGHT($E403:$E2401,2)))),TRUE)</f>
        <v>1</v>
      </c>
      <c r="G403" s="336"/>
      <c r="H403" s="336"/>
      <c r="I403" s="336"/>
      <c r="J403" s="336"/>
      <c r="K403" s="336"/>
      <c r="L403" s="336"/>
      <c r="M403" s="336"/>
      <c r="N403" s="336"/>
      <c r="O403" s="336"/>
      <c r="P403" s="336"/>
      <c r="Q403" s="336"/>
      <c r="R403" s="336"/>
      <c r="S403" s="336"/>
      <c r="T403" s="336"/>
    </row>
    <row r="404" spans="1:20" x14ac:dyDescent="0.25">
      <c r="A404" s="336"/>
      <c r="B404" s="336"/>
      <c r="C404" s="336"/>
      <c r="D404" s="336"/>
      <c r="E404" s="336"/>
      <c r="F404" s="104" t="b">
        <f t="array" ref="F404">IF(_xlfn.NUMBERVALUE(RIGHT($E404,2))=MAX(IF(LEFT($E404:$E2402,11)=LEFT($E404,11),_xlfn.NUMBERVALUE(RIGHT($E404:$E2402,2)))),TRUE)</f>
        <v>1</v>
      </c>
      <c r="G404" s="336"/>
      <c r="H404" s="336"/>
      <c r="I404" s="336"/>
      <c r="J404" s="336"/>
      <c r="K404" s="336"/>
      <c r="L404" s="336"/>
      <c r="M404" s="336"/>
      <c r="N404" s="336"/>
      <c r="O404" s="336"/>
      <c r="P404" s="336"/>
      <c r="Q404" s="336"/>
      <c r="R404" s="336"/>
      <c r="S404" s="336"/>
      <c r="T404" s="336"/>
    </row>
    <row r="405" spans="1:20" x14ac:dyDescent="0.25">
      <c r="A405" s="336"/>
      <c r="B405" s="336"/>
      <c r="C405" s="336"/>
      <c r="D405" s="336"/>
      <c r="E405" s="336"/>
      <c r="F405" s="104" t="b">
        <f t="array" ref="F405">IF(_xlfn.NUMBERVALUE(RIGHT($E405,2))=MAX(IF(LEFT($E405:$E2403,11)=LEFT($E405,11),_xlfn.NUMBERVALUE(RIGHT($E405:$E2403,2)))),TRUE)</f>
        <v>1</v>
      </c>
      <c r="G405" s="336"/>
      <c r="H405" s="336"/>
      <c r="I405" s="336"/>
      <c r="J405" s="336"/>
      <c r="K405" s="336"/>
      <c r="L405" s="336"/>
      <c r="M405" s="336"/>
      <c r="N405" s="336"/>
      <c r="O405" s="336"/>
      <c r="P405" s="336"/>
      <c r="Q405" s="336"/>
      <c r="R405" s="336"/>
      <c r="S405" s="336"/>
      <c r="T405" s="336"/>
    </row>
    <row r="406" spans="1:20" x14ac:dyDescent="0.25">
      <c r="A406" s="336"/>
      <c r="B406" s="336"/>
      <c r="C406" s="336"/>
      <c r="D406" s="336"/>
      <c r="E406" s="336"/>
      <c r="F406" s="104" t="b">
        <f t="array" ref="F406">IF(_xlfn.NUMBERVALUE(RIGHT($E406,2))=MAX(IF(LEFT($E406:$E2404,11)=LEFT($E406,11),_xlfn.NUMBERVALUE(RIGHT($E406:$E2404,2)))),TRUE)</f>
        <v>1</v>
      </c>
      <c r="G406" s="336"/>
      <c r="H406" s="336"/>
      <c r="I406" s="336"/>
      <c r="J406" s="336"/>
      <c r="K406" s="336"/>
      <c r="L406" s="336"/>
      <c r="M406" s="336"/>
      <c r="N406" s="336"/>
      <c r="O406" s="336"/>
      <c r="P406" s="336"/>
      <c r="Q406" s="336"/>
      <c r="R406" s="336"/>
      <c r="S406" s="336"/>
      <c r="T406" s="336"/>
    </row>
    <row r="407" spans="1:20" x14ac:dyDescent="0.25">
      <c r="A407" s="336"/>
      <c r="B407" s="336"/>
      <c r="C407" s="336"/>
      <c r="D407" s="336"/>
      <c r="E407" s="336"/>
      <c r="F407" s="104" t="b">
        <f t="array" ref="F407">IF(_xlfn.NUMBERVALUE(RIGHT($E407,2))=MAX(IF(LEFT($E407:$E2405,11)=LEFT($E407,11),_xlfn.NUMBERVALUE(RIGHT($E407:$E2405,2)))),TRUE)</f>
        <v>1</v>
      </c>
      <c r="G407" s="336"/>
      <c r="H407" s="336"/>
      <c r="I407" s="336"/>
      <c r="J407" s="336"/>
      <c r="K407" s="336"/>
      <c r="L407" s="336"/>
      <c r="M407" s="336"/>
      <c r="N407" s="336"/>
      <c r="O407" s="336"/>
      <c r="P407" s="336"/>
      <c r="Q407" s="336"/>
      <c r="R407" s="336"/>
      <c r="S407" s="336"/>
      <c r="T407" s="336"/>
    </row>
    <row r="408" spans="1:20" x14ac:dyDescent="0.25">
      <c r="A408" s="336"/>
      <c r="B408" s="336"/>
      <c r="C408" s="336"/>
      <c r="D408" s="336"/>
      <c r="E408" s="336"/>
      <c r="F408" s="104" t="b">
        <f t="array" ref="F408">IF(_xlfn.NUMBERVALUE(RIGHT($E408,2))=MAX(IF(LEFT($E408:$E2406,11)=LEFT($E408,11),_xlfn.NUMBERVALUE(RIGHT($E408:$E2406,2)))),TRUE)</f>
        <v>1</v>
      </c>
      <c r="G408" s="336"/>
      <c r="H408" s="336"/>
      <c r="I408" s="336"/>
      <c r="J408" s="336"/>
      <c r="K408" s="336"/>
      <c r="L408" s="336"/>
      <c r="M408" s="336"/>
      <c r="N408" s="336"/>
      <c r="O408" s="336"/>
      <c r="P408" s="336"/>
      <c r="Q408" s="336"/>
      <c r="R408" s="336"/>
      <c r="S408" s="336"/>
      <c r="T408" s="336"/>
    </row>
    <row r="409" spans="1:20" x14ac:dyDescent="0.25">
      <c r="A409" s="336"/>
      <c r="B409" s="336"/>
      <c r="C409" s="336"/>
      <c r="D409" s="336"/>
      <c r="E409" s="336"/>
      <c r="F409" s="104" t="b">
        <f t="array" ref="F409">IF(_xlfn.NUMBERVALUE(RIGHT($E409,2))=MAX(IF(LEFT($E409:$E2407,11)=LEFT($E409,11),_xlfn.NUMBERVALUE(RIGHT($E409:$E2407,2)))),TRUE)</f>
        <v>1</v>
      </c>
      <c r="G409" s="336"/>
      <c r="H409" s="336"/>
      <c r="I409" s="336"/>
      <c r="J409" s="336"/>
      <c r="K409" s="336"/>
      <c r="L409" s="336"/>
      <c r="M409" s="336"/>
      <c r="N409" s="336"/>
      <c r="O409" s="336"/>
      <c r="P409" s="336"/>
      <c r="Q409" s="336"/>
      <c r="R409" s="336"/>
      <c r="S409" s="336"/>
      <c r="T409" s="336"/>
    </row>
    <row r="410" spans="1:20" x14ac:dyDescent="0.25">
      <c r="A410" s="336"/>
      <c r="B410" s="336"/>
      <c r="C410" s="336"/>
      <c r="D410" s="336"/>
      <c r="E410" s="336"/>
      <c r="F410" s="104" t="b">
        <f t="array" ref="F410">IF(_xlfn.NUMBERVALUE(RIGHT($E410,2))=MAX(IF(LEFT($E410:$E2408,11)=LEFT($E410,11),_xlfn.NUMBERVALUE(RIGHT($E410:$E2408,2)))),TRUE)</f>
        <v>1</v>
      </c>
      <c r="G410" s="336"/>
      <c r="H410" s="336"/>
      <c r="I410" s="336"/>
      <c r="J410" s="336"/>
      <c r="K410" s="336"/>
      <c r="L410" s="336"/>
      <c r="M410" s="336"/>
      <c r="N410" s="336"/>
      <c r="O410" s="336"/>
      <c r="P410" s="336"/>
      <c r="Q410" s="336"/>
      <c r="R410" s="336"/>
      <c r="S410" s="336"/>
      <c r="T410" s="336"/>
    </row>
    <row r="411" spans="1:20" x14ac:dyDescent="0.25">
      <c r="A411" s="336"/>
      <c r="B411" s="336"/>
      <c r="C411" s="336"/>
      <c r="D411" s="336"/>
      <c r="E411" s="336"/>
      <c r="F411" s="104" t="b">
        <f t="array" ref="F411">IF(_xlfn.NUMBERVALUE(RIGHT($E411,2))=MAX(IF(LEFT($E411:$E2409,11)=LEFT($E411,11),_xlfn.NUMBERVALUE(RIGHT($E411:$E2409,2)))),TRUE)</f>
        <v>1</v>
      </c>
      <c r="G411" s="336"/>
      <c r="H411" s="336"/>
      <c r="I411" s="336"/>
      <c r="J411" s="336"/>
      <c r="K411" s="336"/>
      <c r="L411" s="336"/>
      <c r="M411" s="336"/>
      <c r="N411" s="336"/>
      <c r="O411" s="336"/>
      <c r="P411" s="336"/>
      <c r="Q411" s="336"/>
      <c r="R411" s="336"/>
      <c r="S411" s="336"/>
      <c r="T411" s="336"/>
    </row>
    <row r="412" spans="1:20" x14ac:dyDescent="0.25">
      <c r="A412" s="336"/>
      <c r="B412" s="336"/>
      <c r="C412" s="336"/>
      <c r="D412" s="336"/>
      <c r="E412" s="336"/>
      <c r="F412" s="104" t="b">
        <f t="array" ref="F412">IF(_xlfn.NUMBERVALUE(RIGHT($E412,2))=MAX(IF(LEFT($E412:$E2410,11)=LEFT($E412,11),_xlfn.NUMBERVALUE(RIGHT($E412:$E2410,2)))),TRUE)</f>
        <v>1</v>
      </c>
      <c r="G412" s="336"/>
      <c r="H412" s="336"/>
      <c r="I412" s="336"/>
      <c r="J412" s="336"/>
      <c r="K412" s="336"/>
      <c r="L412" s="336"/>
      <c r="M412" s="336"/>
      <c r="N412" s="336"/>
      <c r="O412" s="336"/>
      <c r="P412" s="336"/>
      <c r="Q412" s="336"/>
      <c r="R412" s="336"/>
      <c r="S412" s="336"/>
      <c r="T412" s="336"/>
    </row>
    <row r="413" spans="1:20" x14ac:dyDescent="0.25">
      <c r="A413" s="336"/>
      <c r="B413" s="336"/>
      <c r="C413" s="336"/>
      <c r="D413" s="336"/>
      <c r="E413" s="336"/>
      <c r="F413" s="104" t="b">
        <f t="array" ref="F413">IF(_xlfn.NUMBERVALUE(RIGHT($E413,2))=MAX(IF(LEFT($E413:$E2411,11)=LEFT($E413,11),_xlfn.NUMBERVALUE(RIGHT($E413:$E2411,2)))),TRUE)</f>
        <v>1</v>
      </c>
      <c r="G413" s="336"/>
      <c r="H413" s="336"/>
      <c r="I413" s="336"/>
      <c r="J413" s="336"/>
      <c r="K413" s="336"/>
      <c r="L413" s="336"/>
      <c r="M413" s="336"/>
      <c r="N413" s="336"/>
      <c r="O413" s="336"/>
      <c r="P413" s="336"/>
      <c r="Q413" s="336"/>
      <c r="R413" s="336"/>
      <c r="S413" s="336"/>
      <c r="T413" s="336"/>
    </row>
    <row r="414" spans="1:20" x14ac:dyDescent="0.25">
      <c r="A414" s="336"/>
      <c r="B414" s="336"/>
      <c r="C414" s="336"/>
      <c r="D414" s="336"/>
      <c r="E414" s="336"/>
      <c r="F414" s="104" t="b">
        <f t="array" ref="F414">IF(_xlfn.NUMBERVALUE(RIGHT($E414,2))=MAX(IF(LEFT($E414:$E2412,11)=LEFT($E414,11),_xlfn.NUMBERVALUE(RIGHT($E414:$E2412,2)))),TRUE)</f>
        <v>1</v>
      </c>
      <c r="G414" s="336"/>
      <c r="H414" s="336"/>
      <c r="I414" s="336"/>
      <c r="J414" s="336"/>
      <c r="K414" s="336"/>
      <c r="L414" s="336"/>
      <c r="M414" s="336"/>
      <c r="N414" s="336"/>
      <c r="O414" s="336"/>
      <c r="P414" s="336"/>
      <c r="Q414" s="336"/>
      <c r="R414" s="336"/>
      <c r="S414" s="336"/>
      <c r="T414" s="336"/>
    </row>
    <row r="415" spans="1:20" x14ac:dyDescent="0.25">
      <c r="A415" s="336"/>
      <c r="B415" s="336"/>
      <c r="C415" s="336"/>
      <c r="D415" s="336"/>
      <c r="E415" s="336"/>
      <c r="F415" s="104" t="b">
        <f t="array" ref="F415">IF(_xlfn.NUMBERVALUE(RIGHT($E415,2))=MAX(IF(LEFT($E415:$E2413,11)=LEFT($E415,11),_xlfn.NUMBERVALUE(RIGHT($E415:$E2413,2)))),TRUE)</f>
        <v>1</v>
      </c>
      <c r="G415" s="336"/>
      <c r="H415" s="336"/>
      <c r="I415" s="336"/>
      <c r="J415" s="336"/>
      <c r="K415" s="336"/>
      <c r="L415" s="336"/>
      <c r="M415" s="336"/>
      <c r="N415" s="336"/>
      <c r="O415" s="336"/>
      <c r="P415" s="336"/>
      <c r="Q415" s="336"/>
      <c r="R415" s="336"/>
      <c r="S415" s="336"/>
      <c r="T415" s="336"/>
    </row>
    <row r="416" spans="1:20" x14ac:dyDescent="0.25">
      <c r="A416" s="336"/>
      <c r="B416" s="336"/>
      <c r="C416" s="336"/>
      <c r="D416" s="336"/>
      <c r="E416" s="336"/>
      <c r="F416" s="104" t="b">
        <f t="array" ref="F416">IF(_xlfn.NUMBERVALUE(RIGHT($E416,2))=MAX(IF(LEFT($E416:$E2414,11)=LEFT($E416,11),_xlfn.NUMBERVALUE(RIGHT($E416:$E2414,2)))),TRUE)</f>
        <v>1</v>
      </c>
      <c r="G416" s="336"/>
      <c r="H416" s="336"/>
      <c r="I416" s="336"/>
      <c r="J416" s="336"/>
      <c r="K416" s="336"/>
      <c r="L416" s="336"/>
      <c r="M416" s="336"/>
      <c r="N416" s="336"/>
      <c r="O416" s="336"/>
      <c r="P416" s="336"/>
      <c r="Q416" s="336"/>
      <c r="R416" s="336"/>
      <c r="S416" s="336"/>
      <c r="T416" s="336"/>
    </row>
    <row r="417" spans="1:20" x14ac:dyDescent="0.25">
      <c r="A417" s="336"/>
      <c r="B417" s="336"/>
      <c r="C417" s="336"/>
      <c r="D417" s="336"/>
      <c r="E417" s="336"/>
      <c r="F417" s="104" t="b">
        <f t="array" ref="F417">IF(_xlfn.NUMBERVALUE(RIGHT($E417,2))=MAX(IF(LEFT($E417:$E2415,11)=LEFT($E417,11),_xlfn.NUMBERVALUE(RIGHT($E417:$E2415,2)))),TRUE)</f>
        <v>1</v>
      </c>
      <c r="G417" s="336"/>
      <c r="H417" s="336"/>
      <c r="I417" s="336"/>
      <c r="J417" s="336"/>
      <c r="K417" s="336"/>
      <c r="L417" s="336"/>
      <c r="M417" s="336"/>
      <c r="N417" s="336"/>
      <c r="O417" s="336"/>
      <c r="P417" s="336"/>
      <c r="Q417" s="336"/>
      <c r="R417" s="336"/>
      <c r="S417" s="336"/>
      <c r="T417" s="336"/>
    </row>
    <row r="418" spans="1:20" x14ac:dyDescent="0.25">
      <c r="A418" s="336"/>
      <c r="B418" s="336"/>
      <c r="C418" s="336"/>
      <c r="D418" s="336"/>
      <c r="E418" s="336"/>
      <c r="F418" s="104" t="b">
        <f t="array" ref="F418">IF(_xlfn.NUMBERVALUE(RIGHT($E418,2))=MAX(IF(LEFT($E418:$E2416,11)=LEFT($E418,11),_xlfn.NUMBERVALUE(RIGHT($E418:$E2416,2)))),TRUE)</f>
        <v>1</v>
      </c>
      <c r="G418" s="336"/>
      <c r="H418" s="336"/>
      <c r="I418" s="336"/>
      <c r="J418" s="336"/>
      <c r="K418" s="336"/>
      <c r="L418" s="336"/>
      <c r="M418" s="336"/>
      <c r="N418" s="336"/>
      <c r="O418" s="336"/>
      <c r="P418" s="336"/>
      <c r="Q418" s="336"/>
      <c r="R418" s="336"/>
      <c r="S418" s="336"/>
      <c r="T418" s="336"/>
    </row>
    <row r="419" spans="1:20" x14ac:dyDescent="0.25">
      <c r="A419" s="336"/>
      <c r="B419" s="336"/>
      <c r="C419" s="336"/>
      <c r="D419" s="336"/>
      <c r="E419" s="336"/>
      <c r="F419" s="104" t="b">
        <f t="array" ref="F419">IF(_xlfn.NUMBERVALUE(RIGHT($E419,2))=MAX(IF(LEFT($E419:$E2417,11)=LEFT($E419,11),_xlfn.NUMBERVALUE(RIGHT($E419:$E2417,2)))),TRUE)</f>
        <v>1</v>
      </c>
      <c r="G419" s="336"/>
      <c r="H419" s="336"/>
      <c r="I419" s="336"/>
      <c r="J419" s="336"/>
      <c r="K419" s="336"/>
      <c r="L419" s="336"/>
      <c r="M419" s="336"/>
      <c r="N419" s="336"/>
      <c r="O419" s="336"/>
      <c r="P419" s="336"/>
      <c r="Q419" s="336"/>
      <c r="R419" s="336"/>
      <c r="S419" s="336"/>
      <c r="T419" s="336"/>
    </row>
    <row r="420" spans="1:20" x14ac:dyDescent="0.25">
      <c r="A420" s="336"/>
      <c r="B420" s="336"/>
      <c r="C420" s="336"/>
      <c r="D420" s="336"/>
      <c r="E420" s="336"/>
      <c r="F420" s="104" t="b">
        <f t="array" ref="F420">IF(_xlfn.NUMBERVALUE(RIGHT($E420,2))=MAX(IF(LEFT($E420:$E2418,11)=LEFT($E420,11),_xlfn.NUMBERVALUE(RIGHT($E420:$E2418,2)))),TRUE)</f>
        <v>1</v>
      </c>
      <c r="G420" s="336"/>
      <c r="H420" s="336"/>
      <c r="I420" s="336"/>
      <c r="J420" s="336"/>
      <c r="K420" s="336"/>
      <c r="L420" s="336"/>
      <c r="M420" s="336"/>
      <c r="N420" s="336"/>
      <c r="O420" s="336"/>
      <c r="P420" s="336"/>
      <c r="Q420" s="336"/>
      <c r="R420" s="336"/>
      <c r="S420" s="336"/>
      <c r="T420" s="336"/>
    </row>
    <row r="421" spans="1:20" x14ac:dyDescent="0.25">
      <c r="A421" s="336"/>
      <c r="B421" s="336"/>
      <c r="C421" s="336"/>
      <c r="D421" s="336"/>
      <c r="E421" s="336"/>
      <c r="F421" s="104" t="b">
        <f t="array" ref="F421">IF(_xlfn.NUMBERVALUE(RIGHT($E421,2))=MAX(IF(LEFT($E421:$E2419,11)=LEFT($E421,11),_xlfn.NUMBERVALUE(RIGHT($E421:$E2419,2)))),TRUE)</f>
        <v>1</v>
      </c>
      <c r="G421" s="336"/>
      <c r="H421" s="336"/>
      <c r="I421" s="336"/>
      <c r="J421" s="336"/>
      <c r="K421" s="336"/>
      <c r="L421" s="336"/>
      <c r="M421" s="336"/>
      <c r="N421" s="336"/>
      <c r="O421" s="336"/>
      <c r="P421" s="336"/>
      <c r="Q421" s="336"/>
      <c r="R421" s="336"/>
      <c r="S421" s="336"/>
      <c r="T421" s="336"/>
    </row>
    <row r="422" spans="1:20" x14ac:dyDescent="0.25">
      <c r="A422" s="336"/>
      <c r="B422" s="336"/>
      <c r="C422" s="336"/>
      <c r="D422" s="336"/>
      <c r="E422" s="336"/>
      <c r="F422" s="104" t="b">
        <f t="array" ref="F422">IF(_xlfn.NUMBERVALUE(RIGHT($E422,2))=MAX(IF(LEFT($E422:$E2420,11)=LEFT($E422,11),_xlfn.NUMBERVALUE(RIGHT($E422:$E2420,2)))),TRUE)</f>
        <v>1</v>
      </c>
      <c r="G422" s="336"/>
      <c r="H422" s="336"/>
      <c r="I422" s="336"/>
      <c r="J422" s="336"/>
      <c r="K422" s="336"/>
      <c r="L422" s="336"/>
      <c r="M422" s="336"/>
      <c r="N422" s="336"/>
      <c r="O422" s="336"/>
      <c r="P422" s="336"/>
      <c r="Q422" s="336"/>
      <c r="R422" s="336"/>
      <c r="S422" s="336"/>
      <c r="T422" s="336"/>
    </row>
    <row r="423" spans="1:20" x14ac:dyDescent="0.25">
      <c r="A423" s="336"/>
      <c r="B423" s="336"/>
      <c r="C423" s="336"/>
      <c r="D423" s="336"/>
      <c r="E423" s="336"/>
      <c r="F423" s="104" t="b">
        <f t="array" ref="F423">IF(_xlfn.NUMBERVALUE(RIGHT($E423,2))=MAX(IF(LEFT($E423:$E2421,11)=LEFT($E423,11),_xlfn.NUMBERVALUE(RIGHT($E423:$E2421,2)))),TRUE)</f>
        <v>1</v>
      </c>
      <c r="G423" s="336"/>
      <c r="H423" s="336"/>
      <c r="I423" s="336"/>
      <c r="J423" s="336"/>
      <c r="K423" s="336"/>
      <c r="L423" s="336"/>
      <c r="M423" s="336"/>
      <c r="N423" s="336"/>
      <c r="O423" s="336"/>
      <c r="P423" s="336"/>
      <c r="Q423" s="336"/>
      <c r="R423" s="336"/>
      <c r="S423" s="336"/>
      <c r="T423" s="336"/>
    </row>
    <row r="424" spans="1:20" x14ac:dyDescent="0.25">
      <c r="A424" s="336"/>
      <c r="B424" s="336"/>
      <c r="C424" s="336"/>
      <c r="D424" s="336"/>
      <c r="E424" s="336"/>
      <c r="F424" s="104" t="b">
        <f t="array" ref="F424">IF(_xlfn.NUMBERVALUE(RIGHT($E424,2))=MAX(IF(LEFT($E424:$E2422,11)=LEFT($E424,11),_xlfn.NUMBERVALUE(RIGHT($E424:$E2422,2)))),TRUE)</f>
        <v>1</v>
      </c>
      <c r="G424" s="336"/>
      <c r="H424" s="336"/>
      <c r="I424" s="336"/>
      <c r="J424" s="336"/>
      <c r="K424" s="336"/>
      <c r="L424" s="336"/>
      <c r="M424" s="336"/>
      <c r="N424" s="336"/>
      <c r="O424" s="336"/>
      <c r="P424" s="336"/>
      <c r="Q424" s="336"/>
      <c r="R424" s="336"/>
      <c r="S424" s="336"/>
      <c r="T424" s="336"/>
    </row>
    <row r="425" spans="1:20" x14ac:dyDescent="0.25">
      <c r="A425" s="336"/>
      <c r="B425" s="336"/>
      <c r="C425" s="336"/>
      <c r="D425" s="336"/>
      <c r="E425" s="336"/>
      <c r="F425" s="104" t="b">
        <f t="array" ref="F425">IF(_xlfn.NUMBERVALUE(RIGHT($E425,2))=MAX(IF(LEFT($E425:$E2423,11)=LEFT($E425,11),_xlfn.NUMBERVALUE(RIGHT($E425:$E2423,2)))),TRUE)</f>
        <v>1</v>
      </c>
      <c r="G425" s="336"/>
      <c r="H425" s="336"/>
      <c r="I425" s="336"/>
      <c r="J425" s="336"/>
      <c r="K425" s="336"/>
      <c r="L425" s="336"/>
      <c r="M425" s="336"/>
      <c r="N425" s="336"/>
      <c r="O425" s="336"/>
      <c r="P425" s="336"/>
      <c r="Q425" s="336"/>
      <c r="R425" s="336"/>
      <c r="S425" s="336"/>
      <c r="T425" s="336"/>
    </row>
    <row r="426" spans="1:20" x14ac:dyDescent="0.25">
      <c r="A426" s="336"/>
      <c r="B426" s="336"/>
      <c r="C426" s="336"/>
      <c r="D426" s="336"/>
      <c r="E426" s="336"/>
      <c r="F426" s="104" t="b">
        <f t="array" ref="F426">IF(_xlfn.NUMBERVALUE(RIGHT($E426,2))=MAX(IF(LEFT($E426:$E2424,11)=LEFT($E426,11),_xlfn.NUMBERVALUE(RIGHT($E426:$E2424,2)))),TRUE)</f>
        <v>1</v>
      </c>
      <c r="G426" s="336"/>
      <c r="H426" s="336"/>
      <c r="I426" s="336"/>
      <c r="J426" s="336"/>
      <c r="K426" s="336"/>
      <c r="L426" s="336"/>
      <c r="M426" s="336"/>
      <c r="N426" s="336"/>
      <c r="O426" s="336"/>
      <c r="P426" s="336"/>
      <c r="Q426" s="336"/>
      <c r="R426" s="336"/>
      <c r="S426" s="336"/>
      <c r="T426" s="336"/>
    </row>
    <row r="427" spans="1:20" x14ac:dyDescent="0.25">
      <c r="A427" s="336"/>
      <c r="B427" s="336"/>
      <c r="C427" s="336"/>
      <c r="D427" s="336"/>
      <c r="E427" s="336"/>
      <c r="F427" s="104" t="b">
        <f t="array" ref="F427">IF(_xlfn.NUMBERVALUE(RIGHT($E427,2))=MAX(IF(LEFT($E427:$E2425,11)=LEFT($E427,11),_xlfn.NUMBERVALUE(RIGHT($E427:$E2425,2)))),TRUE)</f>
        <v>1</v>
      </c>
      <c r="G427" s="336"/>
      <c r="H427" s="336"/>
      <c r="I427" s="336"/>
      <c r="J427" s="336"/>
      <c r="K427" s="336"/>
      <c r="L427" s="336"/>
      <c r="M427" s="336"/>
      <c r="N427" s="336"/>
      <c r="O427" s="336"/>
      <c r="P427" s="336"/>
      <c r="Q427" s="336"/>
      <c r="R427" s="336"/>
      <c r="S427" s="336"/>
      <c r="T427" s="336"/>
    </row>
    <row r="428" spans="1:20" x14ac:dyDescent="0.25">
      <c r="A428" s="336"/>
      <c r="B428" s="336"/>
      <c r="C428" s="336"/>
      <c r="D428" s="336"/>
      <c r="E428" s="336"/>
      <c r="F428" s="104" t="b">
        <f t="array" ref="F428">IF(_xlfn.NUMBERVALUE(RIGHT($E428,2))=MAX(IF(LEFT($E428:$E2426,11)=LEFT($E428,11),_xlfn.NUMBERVALUE(RIGHT($E428:$E2426,2)))),TRUE)</f>
        <v>1</v>
      </c>
      <c r="G428" s="336"/>
      <c r="H428" s="336"/>
      <c r="I428" s="336"/>
      <c r="J428" s="336"/>
      <c r="K428" s="336"/>
      <c r="L428" s="336"/>
      <c r="M428" s="336"/>
      <c r="N428" s="336"/>
      <c r="O428" s="336"/>
      <c r="P428" s="336"/>
      <c r="Q428" s="336"/>
      <c r="R428" s="336"/>
      <c r="S428" s="336"/>
      <c r="T428" s="336"/>
    </row>
    <row r="429" spans="1:20" x14ac:dyDescent="0.25">
      <c r="A429" s="336"/>
      <c r="B429" s="336"/>
      <c r="C429" s="336"/>
      <c r="D429" s="336"/>
      <c r="E429" s="336"/>
      <c r="F429" s="104" t="b">
        <f t="array" ref="F429">IF(_xlfn.NUMBERVALUE(RIGHT($E429,2))=MAX(IF(LEFT($E429:$E2427,11)=LEFT($E429,11),_xlfn.NUMBERVALUE(RIGHT($E429:$E2427,2)))),TRUE)</f>
        <v>1</v>
      </c>
      <c r="G429" s="336"/>
      <c r="H429" s="336"/>
      <c r="I429" s="336"/>
      <c r="J429" s="336"/>
      <c r="K429" s="336"/>
      <c r="L429" s="336"/>
      <c r="M429" s="336"/>
      <c r="N429" s="336"/>
      <c r="O429" s="336"/>
      <c r="P429" s="336"/>
      <c r="Q429" s="336"/>
      <c r="R429" s="336"/>
      <c r="S429" s="336"/>
      <c r="T429" s="336"/>
    </row>
    <row r="430" spans="1:20" x14ac:dyDescent="0.25">
      <c r="A430" s="336"/>
      <c r="B430" s="336"/>
      <c r="C430" s="336"/>
      <c r="D430" s="336"/>
      <c r="E430" s="336"/>
      <c r="F430" s="104" t="b">
        <f t="array" ref="F430">IF(_xlfn.NUMBERVALUE(RIGHT($E430,2))=MAX(IF(LEFT($E430:$E2428,11)=LEFT($E430,11),_xlfn.NUMBERVALUE(RIGHT($E430:$E2428,2)))),TRUE)</f>
        <v>1</v>
      </c>
      <c r="G430" s="336"/>
      <c r="H430" s="336"/>
      <c r="I430" s="336"/>
      <c r="J430" s="336"/>
      <c r="K430" s="336"/>
      <c r="L430" s="336"/>
      <c r="M430" s="336"/>
      <c r="N430" s="336"/>
      <c r="O430" s="336"/>
      <c r="P430" s="336"/>
      <c r="Q430" s="336"/>
      <c r="R430" s="336"/>
      <c r="S430" s="336"/>
      <c r="T430" s="336"/>
    </row>
    <row r="431" spans="1:20" x14ac:dyDescent="0.25">
      <c r="A431" s="336"/>
      <c r="B431" s="336"/>
      <c r="C431" s="336"/>
      <c r="D431" s="336"/>
      <c r="E431" s="336"/>
      <c r="F431" s="104" t="b">
        <f t="array" ref="F431">IF(_xlfn.NUMBERVALUE(RIGHT($E431,2))=MAX(IF(LEFT($E431:$E2429,11)=LEFT($E431,11),_xlfn.NUMBERVALUE(RIGHT($E431:$E2429,2)))),TRUE)</f>
        <v>1</v>
      </c>
      <c r="G431" s="336"/>
      <c r="H431" s="336"/>
      <c r="I431" s="336"/>
      <c r="J431" s="336"/>
      <c r="K431" s="336"/>
      <c r="L431" s="336"/>
      <c r="M431" s="336"/>
      <c r="N431" s="336"/>
      <c r="O431" s="336"/>
      <c r="P431" s="336"/>
      <c r="Q431" s="336"/>
      <c r="R431" s="336"/>
      <c r="S431" s="336"/>
      <c r="T431" s="336"/>
    </row>
    <row r="432" spans="1:20" x14ac:dyDescent="0.25">
      <c r="A432" s="336"/>
      <c r="B432" s="336"/>
      <c r="C432" s="336"/>
      <c r="D432" s="336"/>
      <c r="E432" s="336"/>
      <c r="F432" s="104" t="b">
        <f t="array" ref="F432">IF(_xlfn.NUMBERVALUE(RIGHT($E432,2))=MAX(IF(LEFT($E432:$E2430,11)=LEFT($E432,11),_xlfn.NUMBERVALUE(RIGHT($E432:$E2430,2)))),TRUE)</f>
        <v>1</v>
      </c>
      <c r="G432" s="336"/>
      <c r="H432" s="336"/>
      <c r="I432" s="336"/>
      <c r="J432" s="336"/>
      <c r="K432" s="336"/>
      <c r="L432" s="336"/>
      <c r="M432" s="336"/>
      <c r="N432" s="336"/>
      <c r="O432" s="336"/>
      <c r="P432" s="336"/>
      <c r="Q432" s="336"/>
      <c r="R432" s="336"/>
      <c r="S432" s="336"/>
      <c r="T432" s="336"/>
    </row>
    <row r="433" spans="1:20" x14ac:dyDescent="0.25">
      <c r="A433" s="336"/>
      <c r="B433" s="336"/>
      <c r="C433" s="336"/>
      <c r="D433" s="336"/>
      <c r="E433" s="336"/>
      <c r="F433" s="104" t="b">
        <f t="array" ref="F433">IF(_xlfn.NUMBERVALUE(RIGHT($E433,2))=MAX(IF(LEFT($E433:$E2431,11)=LEFT($E433,11),_xlfn.NUMBERVALUE(RIGHT($E433:$E2431,2)))),TRUE)</f>
        <v>1</v>
      </c>
      <c r="G433" s="336"/>
      <c r="H433" s="336"/>
      <c r="I433" s="336"/>
      <c r="J433" s="336"/>
      <c r="K433" s="336"/>
      <c r="L433" s="336"/>
      <c r="M433" s="336"/>
      <c r="N433" s="336"/>
      <c r="O433" s="336"/>
      <c r="P433" s="336"/>
      <c r="Q433" s="336"/>
      <c r="R433" s="336"/>
      <c r="S433" s="336"/>
      <c r="T433" s="336"/>
    </row>
    <row r="434" spans="1:20" x14ac:dyDescent="0.25">
      <c r="A434" s="336"/>
      <c r="B434" s="336"/>
      <c r="C434" s="336"/>
      <c r="D434" s="336"/>
      <c r="E434" s="336"/>
      <c r="F434" s="104" t="b">
        <f t="array" ref="F434">IF(_xlfn.NUMBERVALUE(RIGHT($E434,2))=MAX(IF(LEFT($E434:$E2432,11)=LEFT($E434,11),_xlfn.NUMBERVALUE(RIGHT($E434:$E2432,2)))),TRUE)</f>
        <v>1</v>
      </c>
      <c r="G434" s="336"/>
      <c r="H434" s="336"/>
      <c r="I434" s="336"/>
      <c r="J434" s="336"/>
      <c r="K434" s="336"/>
      <c r="L434" s="336"/>
      <c r="M434" s="336"/>
      <c r="N434" s="336"/>
      <c r="O434" s="336"/>
      <c r="P434" s="336"/>
      <c r="Q434" s="336"/>
      <c r="R434" s="336"/>
      <c r="S434" s="336"/>
      <c r="T434" s="336"/>
    </row>
    <row r="435" spans="1:20" x14ac:dyDescent="0.25">
      <c r="A435" s="336"/>
      <c r="B435" s="336"/>
      <c r="C435" s="336"/>
      <c r="D435" s="336"/>
      <c r="E435" s="336"/>
      <c r="F435" s="104" t="b">
        <f t="array" ref="F435">IF(_xlfn.NUMBERVALUE(RIGHT($E435,2))=MAX(IF(LEFT($E435:$E2433,11)=LEFT($E435,11),_xlfn.NUMBERVALUE(RIGHT($E435:$E2433,2)))),TRUE)</f>
        <v>1</v>
      </c>
      <c r="G435" s="336"/>
      <c r="H435" s="336"/>
      <c r="I435" s="336"/>
      <c r="J435" s="336"/>
      <c r="K435" s="336"/>
      <c r="L435" s="336"/>
      <c r="M435" s="336"/>
      <c r="N435" s="336"/>
      <c r="O435" s="336"/>
      <c r="P435" s="336"/>
      <c r="Q435" s="336"/>
      <c r="R435" s="336"/>
      <c r="S435" s="336"/>
      <c r="T435" s="336"/>
    </row>
    <row r="436" spans="1:20" x14ac:dyDescent="0.25">
      <c r="A436" s="336"/>
      <c r="B436" s="336"/>
      <c r="C436" s="336"/>
      <c r="D436" s="336"/>
      <c r="E436" s="336"/>
      <c r="F436" s="104" t="b">
        <f t="array" ref="F436">IF(_xlfn.NUMBERVALUE(RIGHT($E436,2))=MAX(IF(LEFT($E436:$E2434,11)=LEFT($E436,11),_xlfn.NUMBERVALUE(RIGHT($E436:$E2434,2)))),TRUE)</f>
        <v>1</v>
      </c>
      <c r="G436" s="336"/>
      <c r="H436" s="336"/>
      <c r="I436" s="336"/>
      <c r="J436" s="336"/>
      <c r="K436" s="336"/>
      <c r="L436" s="336"/>
      <c r="M436" s="336"/>
      <c r="N436" s="336"/>
      <c r="O436" s="336"/>
      <c r="P436" s="336"/>
      <c r="Q436" s="336"/>
      <c r="R436" s="336"/>
      <c r="S436" s="336"/>
      <c r="T436" s="336"/>
    </row>
    <row r="437" spans="1:20" x14ac:dyDescent="0.25">
      <c r="A437" s="336"/>
      <c r="B437" s="336"/>
      <c r="C437" s="336"/>
      <c r="D437" s="336"/>
      <c r="E437" s="336"/>
      <c r="F437" s="104" t="b">
        <f t="array" ref="F437">IF(_xlfn.NUMBERVALUE(RIGHT($E437,2))=MAX(IF(LEFT($E437:$E2435,11)=LEFT($E437,11),_xlfn.NUMBERVALUE(RIGHT($E437:$E2435,2)))),TRUE)</f>
        <v>1</v>
      </c>
      <c r="G437" s="336"/>
      <c r="H437" s="336"/>
      <c r="I437" s="336"/>
      <c r="J437" s="336"/>
      <c r="K437" s="336"/>
      <c r="L437" s="336"/>
      <c r="M437" s="336"/>
      <c r="N437" s="336"/>
      <c r="O437" s="336"/>
      <c r="P437" s="336"/>
      <c r="Q437" s="336"/>
      <c r="R437" s="336"/>
      <c r="S437" s="336"/>
      <c r="T437" s="336"/>
    </row>
    <row r="438" spans="1:20" x14ac:dyDescent="0.25">
      <c r="A438" s="336"/>
      <c r="B438" s="336"/>
      <c r="C438" s="336"/>
      <c r="D438" s="336"/>
      <c r="E438" s="336"/>
      <c r="F438" s="104" t="b">
        <f t="array" ref="F438">IF(_xlfn.NUMBERVALUE(RIGHT($E438,2))=MAX(IF(LEFT($E438:$E2436,11)=LEFT($E438,11),_xlfn.NUMBERVALUE(RIGHT($E438:$E2436,2)))),TRUE)</f>
        <v>1</v>
      </c>
      <c r="G438" s="336"/>
      <c r="H438" s="336"/>
      <c r="I438" s="336"/>
      <c r="J438" s="336"/>
      <c r="K438" s="336"/>
      <c r="L438" s="336"/>
      <c r="M438" s="336"/>
      <c r="N438" s="336"/>
      <c r="O438" s="336"/>
      <c r="P438" s="336"/>
      <c r="Q438" s="336"/>
      <c r="R438" s="336"/>
      <c r="S438" s="336"/>
      <c r="T438" s="336"/>
    </row>
    <row r="439" spans="1:20" x14ac:dyDescent="0.25">
      <c r="A439" s="336"/>
      <c r="B439" s="336"/>
      <c r="C439" s="336"/>
      <c r="D439" s="336"/>
      <c r="E439" s="336"/>
      <c r="F439" s="104" t="b">
        <f t="array" ref="F439">IF(_xlfn.NUMBERVALUE(RIGHT($E439,2))=MAX(IF(LEFT($E439:$E2437,11)=LEFT($E439,11),_xlfn.NUMBERVALUE(RIGHT($E439:$E2437,2)))),TRUE)</f>
        <v>1</v>
      </c>
      <c r="G439" s="336"/>
      <c r="H439" s="336"/>
      <c r="I439" s="336"/>
      <c r="J439" s="336"/>
      <c r="K439" s="336"/>
      <c r="L439" s="336"/>
      <c r="M439" s="336"/>
      <c r="N439" s="336"/>
      <c r="O439" s="336"/>
      <c r="P439" s="336"/>
      <c r="Q439" s="336"/>
      <c r="R439" s="336"/>
      <c r="S439" s="336"/>
      <c r="T439" s="336"/>
    </row>
    <row r="440" spans="1:20" x14ac:dyDescent="0.25">
      <c r="A440" s="336"/>
      <c r="B440" s="336"/>
      <c r="C440" s="336"/>
      <c r="D440" s="336"/>
      <c r="E440" s="336"/>
      <c r="F440" s="104" t="b">
        <f t="array" ref="F440">IF(_xlfn.NUMBERVALUE(RIGHT($E440,2))=MAX(IF(LEFT($E440:$E2438,11)=LEFT($E440,11),_xlfn.NUMBERVALUE(RIGHT($E440:$E2438,2)))),TRUE)</f>
        <v>1</v>
      </c>
      <c r="G440" s="336"/>
      <c r="H440" s="336"/>
      <c r="I440" s="336"/>
      <c r="J440" s="336"/>
      <c r="K440" s="336"/>
      <c r="L440" s="336"/>
      <c r="M440" s="336"/>
      <c r="N440" s="336"/>
      <c r="O440" s="336"/>
      <c r="P440" s="336"/>
      <c r="Q440" s="336"/>
      <c r="R440" s="336"/>
      <c r="S440" s="336"/>
      <c r="T440" s="336"/>
    </row>
    <row r="441" spans="1:20" x14ac:dyDescent="0.25">
      <c r="A441" s="336"/>
      <c r="B441" s="336"/>
      <c r="C441" s="336"/>
      <c r="D441" s="336"/>
      <c r="E441" s="336"/>
      <c r="F441" s="104" t="b">
        <f t="array" ref="F441">IF(_xlfn.NUMBERVALUE(RIGHT($E441,2))=MAX(IF(LEFT($E441:$E2439,11)=LEFT($E441,11),_xlfn.NUMBERVALUE(RIGHT($E441:$E2439,2)))),TRUE)</f>
        <v>1</v>
      </c>
      <c r="G441" s="336"/>
      <c r="H441" s="336"/>
      <c r="I441" s="336"/>
      <c r="J441" s="336"/>
      <c r="K441" s="336"/>
      <c r="L441" s="336"/>
      <c r="M441" s="336"/>
      <c r="N441" s="336"/>
      <c r="O441" s="336"/>
      <c r="P441" s="336"/>
      <c r="Q441" s="336"/>
      <c r="R441" s="336"/>
      <c r="S441" s="336"/>
      <c r="T441" s="336"/>
    </row>
    <row r="442" spans="1:20" x14ac:dyDescent="0.25">
      <c r="A442" s="336"/>
      <c r="B442" s="336"/>
      <c r="C442" s="336"/>
      <c r="D442" s="336"/>
      <c r="E442" s="336"/>
      <c r="F442" s="104" t="b">
        <f t="array" ref="F442">IF(_xlfn.NUMBERVALUE(RIGHT($E442,2))=MAX(IF(LEFT($E442:$E2440,11)=LEFT($E442,11),_xlfn.NUMBERVALUE(RIGHT($E442:$E2440,2)))),TRUE)</f>
        <v>1</v>
      </c>
      <c r="G442" s="336"/>
      <c r="H442" s="336"/>
      <c r="I442" s="336"/>
      <c r="J442" s="336"/>
      <c r="K442" s="336"/>
      <c r="L442" s="336"/>
      <c r="M442" s="336"/>
      <c r="N442" s="336"/>
      <c r="O442" s="336"/>
      <c r="P442" s="336"/>
      <c r="Q442" s="336"/>
      <c r="R442" s="336"/>
      <c r="S442" s="336"/>
      <c r="T442" s="336"/>
    </row>
    <row r="443" spans="1:20" x14ac:dyDescent="0.25">
      <c r="A443" s="336"/>
      <c r="B443" s="336"/>
      <c r="C443" s="336"/>
      <c r="D443" s="336"/>
      <c r="E443" s="336"/>
      <c r="F443" s="104" t="b">
        <f t="array" ref="F443">IF(_xlfn.NUMBERVALUE(RIGHT($E443,2))=MAX(IF(LEFT($E443:$E2441,11)=LEFT($E443,11),_xlfn.NUMBERVALUE(RIGHT($E443:$E2441,2)))),TRUE)</f>
        <v>1</v>
      </c>
      <c r="G443" s="336"/>
      <c r="H443" s="336"/>
      <c r="I443" s="336"/>
      <c r="J443" s="336"/>
      <c r="K443" s="336"/>
      <c r="L443" s="336"/>
      <c r="M443" s="336"/>
      <c r="N443" s="336"/>
      <c r="O443" s="336"/>
      <c r="P443" s="336"/>
      <c r="Q443" s="336"/>
      <c r="R443" s="336"/>
      <c r="S443" s="336"/>
      <c r="T443" s="336"/>
    </row>
    <row r="444" spans="1:20" x14ac:dyDescent="0.25">
      <c r="A444" s="336"/>
      <c r="B444" s="336"/>
      <c r="C444" s="336"/>
      <c r="D444" s="336"/>
      <c r="E444" s="336"/>
      <c r="F444" s="104" t="b">
        <f t="array" ref="F444">IF(_xlfn.NUMBERVALUE(RIGHT($E444,2))=MAX(IF(LEFT($E444:$E2442,11)=LEFT($E444,11),_xlfn.NUMBERVALUE(RIGHT($E444:$E2442,2)))),TRUE)</f>
        <v>1</v>
      </c>
      <c r="G444" s="336"/>
      <c r="H444" s="336"/>
      <c r="I444" s="336"/>
      <c r="J444" s="336"/>
      <c r="K444" s="336"/>
      <c r="L444" s="336"/>
      <c r="M444" s="336"/>
      <c r="N444" s="336"/>
      <c r="O444" s="336"/>
      <c r="P444" s="336"/>
      <c r="Q444" s="336"/>
      <c r="R444" s="336"/>
      <c r="S444" s="336"/>
      <c r="T444" s="336"/>
    </row>
    <row r="445" spans="1:20" x14ac:dyDescent="0.25">
      <c r="A445" s="336"/>
      <c r="B445" s="336"/>
      <c r="C445" s="336"/>
      <c r="D445" s="336"/>
      <c r="E445" s="336"/>
      <c r="F445" s="104" t="b">
        <f t="array" ref="F445">IF(_xlfn.NUMBERVALUE(RIGHT($E445,2))=MAX(IF(LEFT($E445:$E2443,11)=LEFT($E445,11),_xlfn.NUMBERVALUE(RIGHT($E445:$E2443,2)))),TRUE)</f>
        <v>1</v>
      </c>
      <c r="G445" s="336"/>
      <c r="H445" s="336"/>
      <c r="I445" s="336"/>
      <c r="J445" s="336"/>
      <c r="K445" s="336"/>
      <c r="L445" s="336"/>
      <c r="M445" s="336"/>
      <c r="N445" s="336"/>
      <c r="O445" s="336"/>
      <c r="P445" s="336"/>
      <c r="Q445" s="336"/>
      <c r="R445" s="336"/>
      <c r="S445" s="336"/>
      <c r="T445" s="336"/>
    </row>
    <row r="446" spans="1:20" x14ac:dyDescent="0.25">
      <c r="A446" s="336"/>
      <c r="B446" s="336"/>
      <c r="C446" s="336"/>
      <c r="D446" s="336"/>
      <c r="E446" s="336"/>
      <c r="F446" s="104" t="b">
        <f t="array" ref="F446">IF(_xlfn.NUMBERVALUE(RIGHT($E446,2))=MAX(IF(LEFT($E446:$E2444,11)=LEFT($E446,11),_xlfn.NUMBERVALUE(RIGHT($E446:$E2444,2)))),TRUE)</f>
        <v>1</v>
      </c>
      <c r="G446" s="336"/>
      <c r="H446" s="336"/>
      <c r="I446" s="336"/>
      <c r="J446" s="336"/>
      <c r="K446" s="336"/>
      <c r="L446" s="336"/>
      <c r="M446" s="336"/>
      <c r="N446" s="336"/>
      <c r="O446" s="336"/>
      <c r="P446" s="336"/>
      <c r="Q446" s="336"/>
      <c r="R446" s="336"/>
      <c r="S446" s="336"/>
      <c r="T446" s="336"/>
    </row>
    <row r="447" spans="1:20" x14ac:dyDescent="0.25">
      <c r="A447" s="336"/>
      <c r="B447" s="336"/>
      <c r="C447" s="336"/>
      <c r="D447" s="336"/>
      <c r="E447" s="336"/>
      <c r="F447" s="104" t="b">
        <f t="array" ref="F447">IF(_xlfn.NUMBERVALUE(RIGHT($E447,2))=MAX(IF(LEFT($E447:$E2445,11)=LEFT($E447,11),_xlfn.NUMBERVALUE(RIGHT($E447:$E2445,2)))),TRUE)</f>
        <v>1</v>
      </c>
      <c r="G447" s="336"/>
      <c r="H447" s="336"/>
      <c r="I447" s="336"/>
      <c r="J447" s="336"/>
      <c r="K447" s="336"/>
      <c r="L447" s="336"/>
      <c r="M447" s="336"/>
      <c r="N447" s="336"/>
      <c r="O447" s="336"/>
      <c r="P447" s="336"/>
      <c r="Q447" s="336"/>
      <c r="R447" s="336"/>
      <c r="S447" s="336"/>
      <c r="T447" s="336"/>
    </row>
    <row r="448" spans="1:20" x14ac:dyDescent="0.25">
      <c r="A448" s="336"/>
      <c r="B448" s="336"/>
      <c r="C448" s="336"/>
      <c r="D448" s="336"/>
      <c r="E448" s="336"/>
      <c r="F448" s="104" t="b">
        <f t="array" ref="F448">IF(_xlfn.NUMBERVALUE(RIGHT($E448,2))=MAX(IF(LEFT($E448:$E2446,11)=LEFT($E448,11),_xlfn.NUMBERVALUE(RIGHT($E448:$E2446,2)))),TRUE)</f>
        <v>1</v>
      </c>
      <c r="G448" s="336"/>
      <c r="H448" s="336"/>
      <c r="I448" s="336"/>
      <c r="J448" s="336"/>
      <c r="K448" s="336"/>
      <c r="L448" s="336"/>
      <c r="M448" s="336"/>
      <c r="N448" s="336"/>
      <c r="O448" s="336"/>
      <c r="P448" s="336"/>
      <c r="Q448" s="336"/>
      <c r="R448" s="336"/>
      <c r="S448" s="336"/>
      <c r="T448" s="336"/>
    </row>
    <row r="449" spans="1:20" x14ac:dyDescent="0.25">
      <c r="A449" s="336"/>
      <c r="B449" s="336"/>
      <c r="C449" s="336"/>
      <c r="D449" s="336"/>
      <c r="E449" s="336"/>
      <c r="F449" s="104" t="b">
        <f t="array" ref="F449">IF(_xlfn.NUMBERVALUE(RIGHT($E449,2))=MAX(IF(LEFT($E449:$E2447,11)=LEFT($E449,11),_xlfn.NUMBERVALUE(RIGHT($E449:$E2447,2)))),TRUE)</f>
        <v>1</v>
      </c>
      <c r="G449" s="336"/>
      <c r="H449" s="336"/>
      <c r="I449" s="336"/>
      <c r="J449" s="336"/>
      <c r="K449" s="336"/>
      <c r="L449" s="336"/>
      <c r="M449" s="336"/>
      <c r="N449" s="336"/>
      <c r="O449" s="336"/>
      <c r="P449" s="336"/>
      <c r="Q449" s="336"/>
      <c r="R449" s="336"/>
      <c r="S449" s="336"/>
      <c r="T449" s="336"/>
    </row>
    <row r="450" spans="1:20" x14ac:dyDescent="0.25">
      <c r="A450" s="336"/>
      <c r="B450" s="336"/>
      <c r="C450" s="336"/>
      <c r="D450" s="336"/>
      <c r="E450" s="336"/>
      <c r="F450" s="104" t="b">
        <f t="array" ref="F450">IF(_xlfn.NUMBERVALUE(RIGHT($E450,2))=MAX(IF(LEFT($E450:$E2448,11)=LEFT($E450,11),_xlfn.NUMBERVALUE(RIGHT($E450:$E2448,2)))),TRUE)</f>
        <v>1</v>
      </c>
      <c r="G450" s="336"/>
      <c r="H450" s="336"/>
      <c r="I450" s="336"/>
      <c r="J450" s="336"/>
      <c r="K450" s="336"/>
      <c r="L450" s="336"/>
      <c r="M450" s="336"/>
      <c r="N450" s="336"/>
      <c r="O450" s="336"/>
      <c r="P450" s="336"/>
      <c r="Q450" s="336"/>
      <c r="R450" s="336"/>
      <c r="S450" s="336"/>
      <c r="T450" s="336"/>
    </row>
    <row r="451" spans="1:20" x14ac:dyDescent="0.25">
      <c r="A451" s="336"/>
      <c r="B451" s="336"/>
      <c r="C451" s="336"/>
      <c r="D451" s="336"/>
      <c r="E451" s="336"/>
      <c r="F451" s="104" t="b">
        <f t="array" ref="F451">IF(_xlfn.NUMBERVALUE(RIGHT($E451,2))=MAX(IF(LEFT($E451:$E2449,11)=LEFT($E451,11),_xlfn.NUMBERVALUE(RIGHT($E451:$E2449,2)))),TRUE)</f>
        <v>1</v>
      </c>
      <c r="G451" s="336"/>
      <c r="H451" s="336"/>
      <c r="I451" s="336"/>
      <c r="J451" s="336"/>
      <c r="K451" s="336"/>
      <c r="L451" s="336"/>
      <c r="M451" s="336"/>
      <c r="N451" s="336"/>
      <c r="O451" s="336"/>
      <c r="P451" s="336"/>
      <c r="Q451" s="336"/>
      <c r="R451" s="336"/>
      <c r="S451" s="336"/>
      <c r="T451" s="336"/>
    </row>
    <row r="452" spans="1:20" x14ac:dyDescent="0.25">
      <c r="A452" s="336"/>
      <c r="B452" s="336"/>
      <c r="C452" s="336"/>
      <c r="D452" s="336"/>
      <c r="E452" s="336"/>
      <c r="F452" s="104" t="b">
        <f t="array" ref="F452">IF(_xlfn.NUMBERVALUE(RIGHT($E452,2))=MAX(IF(LEFT($E452:$E2450,11)=LEFT($E452,11),_xlfn.NUMBERVALUE(RIGHT($E452:$E2450,2)))),TRUE)</f>
        <v>1</v>
      </c>
      <c r="G452" s="336"/>
      <c r="H452" s="336"/>
      <c r="I452" s="336"/>
      <c r="J452" s="336"/>
      <c r="K452" s="336"/>
      <c r="L452" s="336"/>
      <c r="M452" s="336"/>
      <c r="N452" s="336"/>
      <c r="O452" s="336"/>
      <c r="P452" s="336"/>
      <c r="Q452" s="336"/>
      <c r="R452" s="336"/>
      <c r="S452" s="336"/>
      <c r="T452" s="336"/>
    </row>
    <row r="453" spans="1:20" x14ac:dyDescent="0.25">
      <c r="A453" s="336"/>
      <c r="B453" s="336"/>
      <c r="C453" s="336"/>
      <c r="D453" s="336"/>
      <c r="E453" s="336"/>
      <c r="F453" s="104" t="b">
        <f t="array" ref="F453">IF(_xlfn.NUMBERVALUE(RIGHT($E453,2))=MAX(IF(LEFT($E453:$E2451,11)=LEFT($E453,11),_xlfn.NUMBERVALUE(RIGHT($E453:$E2451,2)))),TRUE)</f>
        <v>1</v>
      </c>
      <c r="G453" s="336"/>
      <c r="H453" s="336"/>
      <c r="I453" s="336"/>
      <c r="J453" s="336"/>
      <c r="K453" s="336"/>
      <c r="L453" s="336"/>
      <c r="M453" s="336"/>
      <c r="N453" s="336"/>
      <c r="O453" s="336"/>
      <c r="P453" s="336"/>
      <c r="Q453" s="336"/>
      <c r="R453" s="336"/>
      <c r="S453" s="336"/>
      <c r="T453" s="336"/>
    </row>
    <row r="454" spans="1:20" x14ac:dyDescent="0.25">
      <c r="A454" s="336"/>
      <c r="B454" s="336"/>
      <c r="C454" s="336"/>
      <c r="D454" s="336"/>
      <c r="E454" s="336"/>
      <c r="F454" s="104" t="b">
        <f t="array" ref="F454">IF(_xlfn.NUMBERVALUE(RIGHT($E454,2))=MAX(IF(LEFT($E454:$E2452,11)=LEFT($E454,11),_xlfn.NUMBERVALUE(RIGHT($E454:$E2452,2)))),TRUE)</f>
        <v>1</v>
      </c>
      <c r="G454" s="336"/>
      <c r="H454" s="336"/>
      <c r="I454" s="336"/>
      <c r="J454" s="336"/>
      <c r="K454" s="336"/>
      <c r="L454" s="336"/>
      <c r="M454" s="336"/>
      <c r="N454" s="336"/>
      <c r="O454" s="336"/>
      <c r="P454" s="336"/>
      <c r="Q454" s="336"/>
      <c r="R454" s="336"/>
      <c r="S454" s="336"/>
      <c r="T454" s="336"/>
    </row>
    <row r="455" spans="1:20" x14ac:dyDescent="0.25">
      <c r="A455" s="336"/>
      <c r="B455" s="336"/>
      <c r="C455" s="336"/>
      <c r="D455" s="336"/>
      <c r="E455" s="336"/>
      <c r="F455" s="104" t="b">
        <f t="array" ref="F455">IF(_xlfn.NUMBERVALUE(RIGHT($E455,2))=MAX(IF(LEFT($E455:$E2453,11)=LEFT($E455,11),_xlfn.NUMBERVALUE(RIGHT($E455:$E2453,2)))),TRUE)</f>
        <v>1</v>
      </c>
      <c r="G455" s="336"/>
      <c r="H455" s="336"/>
      <c r="I455" s="336"/>
      <c r="J455" s="336"/>
      <c r="K455" s="336"/>
      <c r="L455" s="336"/>
      <c r="M455" s="336"/>
      <c r="N455" s="336"/>
      <c r="O455" s="336"/>
      <c r="P455" s="336"/>
      <c r="Q455" s="336"/>
      <c r="R455" s="336"/>
      <c r="S455" s="336"/>
      <c r="T455" s="336"/>
    </row>
    <row r="456" spans="1:20" x14ac:dyDescent="0.25">
      <c r="A456" s="336"/>
      <c r="B456" s="336"/>
      <c r="C456" s="336"/>
      <c r="D456" s="336"/>
      <c r="E456" s="336"/>
      <c r="F456" s="104" t="b">
        <f t="array" ref="F456">IF(_xlfn.NUMBERVALUE(RIGHT($E456,2))=MAX(IF(LEFT($E456:$E2454,11)=LEFT($E456,11),_xlfn.NUMBERVALUE(RIGHT($E456:$E2454,2)))),TRUE)</f>
        <v>1</v>
      </c>
      <c r="G456" s="336"/>
      <c r="H456" s="336"/>
      <c r="I456" s="336"/>
      <c r="J456" s="336"/>
      <c r="K456" s="336"/>
      <c r="L456" s="336"/>
      <c r="M456" s="336"/>
      <c r="N456" s="336"/>
      <c r="O456" s="336"/>
      <c r="P456" s="336"/>
      <c r="Q456" s="336"/>
      <c r="R456" s="336"/>
      <c r="S456" s="336"/>
      <c r="T456" s="336"/>
    </row>
    <row r="457" spans="1:20" x14ac:dyDescent="0.25">
      <c r="A457" s="336"/>
      <c r="B457" s="336"/>
      <c r="C457" s="336"/>
      <c r="D457" s="336"/>
      <c r="E457" s="336"/>
      <c r="F457" s="104" t="b">
        <f t="array" ref="F457">IF(_xlfn.NUMBERVALUE(RIGHT($E457,2))=MAX(IF(LEFT($E457:$E2455,11)=LEFT($E457,11),_xlfn.NUMBERVALUE(RIGHT($E457:$E2455,2)))),TRUE)</f>
        <v>1</v>
      </c>
      <c r="G457" s="336"/>
      <c r="H457" s="336"/>
      <c r="I457" s="336"/>
      <c r="J457" s="336"/>
      <c r="K457" s="336"/>
      <c r="L457" s="336"/>
      <c r="M457" s="336"/>
      <c r="N457" s="336"/>
      <c r="O457" s="336"/>
      <c r="P457" s="336"/>
      <c r="Q457" s="336"/>
      <c r="R457" s="336"/>
      <c r="S457" s="336"/>
      <c r="T457" s="336"/>
    </row>
    <row r="458" spans="1:20" x14ac:dyDescent="0.25">
      <c r="A458" s="336"/>
      <c r="B458" s="336"/>
      <c r="C458" s="336"/>
      <c r="D458" s="336"/>
      <c r="E458" s="336"/>
      <c r="F458" s="104" t="b">
        <f t="array" ref="F458">IF(_xlfn.NUMBERVALUE(RIGHT($E458,2))=MAX(IF(LEFT($E458:$E2456,11)=LEFT($E458,11),_xlfn.NUMBERVALUE(RIGHT($E458:$E2456,2)))),TRUE)</f>
        <v>1</v>
      </c>
      <c r="G458" s="336"/>
      <c r="H458" s="336"/>
      <c r="I458" s="336"/>
      <c r="J458" s="336"/>
      <c r="K458" s="336"/>
      <c r="L458" s="336"/>
      <c r="M458" s="336"/>
      <c r="N458" s="336"/>
      <c r="O458" s="336"/>
      <c r="P458" s="336"/>
      <c r="Q458" s="336"/>
      <c r="R458" s="336"/>
      <c r="S458" s="336"/>
      <c r="T458" s="336"/>
    </row>
    <row r="459" spans="1:20" x14ac:dyDescent="0.25">
      <c r="A459" s="336"/>
      <c r="B459" s="336"/>
      <c r="C459" s="336"/>
      <c r="D459" s="336"/>
      <c r="E459" s="336"/>
      <c r="F459" s="104" t="b">
        <f t="array" ref="F459">IF(_xlfn.NUMBERVALUE(RIGHT($E459,2))=MAX(IF(LEFT($E459:$E2457,11)=LEFT($E459,11),_xlfn.NUMBERVALUE(RIGHT($E459:$E2457,2)))),TRUE)</f>
        <v>1</v>
      </c>
      <c r="G459" s="336"/>
      <c r="H459" s="336"/>
      <c r="I459" s="336"/>
      <c r="J459" s="336"/>
      <c r="K459" s="336"/>
      <c r="L459" s="336"/>
      <c r="M459" s="336"/>
      <c r="N459" s="336"/>
      <c r="O459" s="336"/>
      <c r="P459" s="336"/>
      <c r="Q459" s="336"/>
      <c r="R459" s="336"/>
      <c r="S459" s="336"/>
      <c r="T459" s="336"/>
    </row>
    <row r="460" spans="1:20" x14ac:dyDescent="0.25">
      <c r="A460" s="336"/>
      <c r="B460" s="336"/>
      <c r="C460" s="336"/>
      <c r="D460" s="336"/>
      <c r="E460" s="336"/>
      <c r="F460" s="104" t="b">
        <f t="array" ref="F460">IF(_xlfn.NUMBERVALUE(RIGHT($E460,2))=MAX(IF(LEFT($E460:$E2458,11)=LEFT($E460,11),_xlfn.NUMBERVALUE(RIGHT($E460:$E2458,2)))),TRUE)</f>
        <v>1</v>
      </c>
      <c r="G460" s="336"/>
      <c r="H460" s="336"/>
      <c r="I460" s="336"/>
      <c r="J460" s="336"/>
      <c r="K460" s="336"/>
      <c r="L460" s="336"/>
      <c r="M460" s="336"/>
      <c r="N460" s="336"/>
      <c r="O460" s="336"/>
      <c r="P460" s="336"/>
      <c r="Q460" s="336"/>
      <c r="R460" s="336"/>
      <c r="S460" s="336"/>
      <c r="T460" s="336"/>
    </row>
    <row r="461" spans="1:20" x14ac:dyDescent="0.25">
      <c r="A461" s="336"/>
      <c r="B461" s="336"/>
      <c r="C461" s="336"/>
      <c r="D461" s="336"/>
      <c r="E461" s="336"/>
      <c r="F461" s="104" t="b">
        <f t="array" ref="F461">IF(_xlfn.NUMBERVALUE(RIGHT($E461,2))=MAX(IF(LEFT($E461:$E2459,11)=LEFT($E461,11),_xlfn.NUMBERVALUE(RIGHT($E461:$E2459,2)))),TRUE)</f>
        <v>1</v>
      </c>
      <c r="G461" s="336"/>
      <c r="H461" s="336"/>
      <c r="I461" s="336"/>
      <c r="J461" s="336"/>
      <c r="K461" s="336"/>
      <c r="L461" s="336"/>
      <c r="M461" s="336"/>
      <c r="N461" s="336"/>
      <c r="O461" s="336"/>
      <c r="P461" s="336"/>
      <c r="Q461" s="336"/>
      <c r="R461" s="336"/>
      <c r="S461" s="336"/>
      <c r="T461" s="336"/>
    </row>
    <row r="462" spans="1:20" x14ac:dyDescent="0.25">
      <c r="A462" s="336"/>
      <c r="B462" s="336"/>
      <c r="C462" s="336"/>
      <c r="D462" s="336"/>
      <c r="E462" s="336"/>
      <c r="F462" s="104" t="b">
        <f t="array" ref="F462">IF(_xlfn.NUMBERVALUE(RIGHT($E462,2))=MAX(IF(LEFT($E462:$E2460,11)=LEFT($E462,11),_xlfn.NUMBERVALUE(RIGHT($E462:$E2460,2)))),TRUE)</f>
        <v>1</v>
      </c>
      <c r="G462" s="336"/>
      <c r="H462" s="336"/>
      <c r="I462" s="336"/>
      <c r="J462" s="336"/>
      <c r="K462" s="336"/>
      <c r="L462" s="336"/>
      <c r="M462" s="336"/>
      <c r="N462" s="336"/>
      <c r="O462" s="336"/>
      <c r="P462" s="336"/>
      <c r="Q462" s="336"/>
      <c r="R462" s="336"/>
      <c r="S462" s="336"/>
      <c r="T462" s="336"/>
    </row>
    <row r="463" spans="1:20" x14ac:dyDescent="0.25">
      <c r="A463" s="336"/>
      <c r="B463" s="336"/>
      <c r="C463" s="336"/>
      <c r="D463" s="336"/>
      <c r="E463" s="336"/>
      <c r="F463" s="104" t="b">
        <f t="array" ref="F463">IF(_xlfn.NUMBERVALUE(RIGHT($E463,2))=MAX(IF(LEFT($E463:$E2461,11)=LEFT($E463,11),_xlfn.NUMBERVALUE(RIGHT($E463:$E2461,2)))),TRUE)</f>
        <v>1</v>
      </c>
      <c r="G463" s="336"/>
      <c r="H463" s="336"/>
      <c r="I463" s="336"/>
      <c r="J463" s="336"/>
      <c r="K463" s="336"/>
      <c r="L463" s="336"/>
      <c r="M463" s="336"/>
      <c r="N463" s="336"/>
      <c r="O463" s="336"/>
      <c r="P463" s="336"/>
      <c r="Q463" s="336"/>
      <c r="R463" s="336"/>
      <c r="S463" s="336"/>
      <c r="T463" s="336"/>
    </row>
    <row r="464" spans="1:20" x14ac:dyDescent="0.25">
      <c r="A464" s="336"/>
      <c r="B464" s="336"/>
      <c r="C464" s="336"/>
      <c r="D464" s="336"/>
      <c r="E464" s="336"/>
      <c r="F464" s="104" t="b">
        <f t="array" ref="F464">IF(_xlfn.NUMBERVALUE(RIGHT($E464,2))=MAX(IF(LEFT($E464:$E2462,11)=LEFT($E464,11),_xlfn.NUMBERVALUE(RIGHT($E464:$E2462,2)))),TRUE)</f>
        <v>1</v>
      </c>
      <c r="G464" s="336"/>
      <c r="H464" s="336"/>
      <c r="I464" s="336"/>
      <c r="J464" s="336"/>
      <c r="K464" s="336"/>
      <c r="L464" s="336"/>
      <c r="M464" s="336"/>
      <c r="N464" s="336"/>
      <c r="O464" s="336"/>
      <c r="P464" s="336"/>
      <c r="Q464" s="336"/>
      <c r="R464" s="336"/>
      <c r="S464" s="336"/>
      <c r="T464" s="336"/>
    </row>
    <row r="465" spans="1:20" x14ac:dyDescent="0.25">
      <c r="A465" s="336"/>
      <c r="B465" s="336"/>
      <c r="C465" s="336"/>
      <c r="D465" s="336"/>
      <c r="E465" s="336"/>
      <c r="F465" s="104" t="b">
        <f t="array" ref="F465">IF(_xlfn.NUMBERVALUE(RIGHT($E465,2))=MAX(IF(LEFT($E465:$E2463,11)=LEFT($E465,11),_xlfn.NUMBERVALUE(RIGHT($E465:$E2463,2)))),TRUE)</f>
        <v>1</v>
      </c>
      <c r="G465" s="336"/>
      <c r="H465" s="336"/>
      <c r="I465" s="336"/>
      <c r="J465" s="336"/>
      <c r="K465" s="336"/>
      <c r="L465" s="336"/>
      <c r="M465" s="336"/>
      <c r="N465" s="336"/>
      <c r="O465" s="336"/>
      <c r="P465" s="336"/>
      <c r="Q465" s="336"/>
      <c r="R465" s="336"/>
      <c r="S465" s="336"/>
      <c r="T465" s="336"/>
    </row>
    <row r="466" spans="1:20" x14ac:dyDescent="0.25">
      <c r="A466" s="336"/>
      <c r="B466" s="336"/>
      <c r="C466" s="336"/>
      <c r="D466" s="336"/>
      <c r="E466" s="336"/>
      <c r="F466" s="104" t="b">
        <f t="array" ref="F466">IF(_xlfn.NUMBERVALUE(RIGHT($E466,2))=MAX(IF(LEFT($E466:$E2464,11)=LEFT($E466,11),_xlfn.NUMBERVALUE(RIGHT($E466:$E2464,2)))),TRUE)</f>
        <v>1</v>
      </c>
      <c r="G466" s="336"/>
      <c r="H466" s="336"/>
      <c r="I466" s="336"/>
      <c r="J466" s="336"/>
      <c r="K466" s="336"/>
      <c r="L466" s="336"/>
      <c r="M466" s="336"/>
      <c r="N466" s="336"/>
      <c r="O466" s="336"/>
      <c r="P466" s="336"/>
      <c r="Q466" s="336"/>
      <c r="R466" s="336"/>
      <c r="S466" s="336"/>
      <c r="T466" s="336"/>
    </row>
    <row r="467" spans="1:20" x14ac:dyDescent="0.25">
      <c r="A467" s="336"/>
      <c r="B467" s="336"/>
      <c r="C467" s="336"/>
      <c r="D467" s="336"/>
      <c r="E467" s="336"/>
      <c r="F467" s="104" t="b">
        <f t="array" ref="F467">IF(_xlfn.NUMBERVALUE(RIGHT($E467,2))=MAX(IF(LEFT($E467:$E2465,11)=LEFT($E467,11),_xlfn.NUMBERVALUE(RIGHT($E467:$E2465,2)))),TRUE)</f>
        <v>1</v>
      </c>
      <c r="G467" s="336"/>
      <c r="H467" s="336"/>
      <c r="I467" s="336"/>
      <c r="J467" s="336"/>
      <c r="K467" s="336"/>
      <c r="L467" s="336"/>
      <c r="M467" s="336"/>
      <c r="N467" s="336"/>
      <c r="O467" s="336"/>
      <c r="P467" s="336"/>
      <c r="Q467" s="336"/>
      <c r="R467" s="336"/>
      <c r="S467" s="336"/>
      <c r="T467" s="336"/>
    </row>
    <row r="468" spans="1:20" x14ac:dyDescent="0.25">
      <c r="A468" s="336"/>
      <c r="B468" s="336"/>
      <c r="C468" s="336"/>
      <c r="D468" s="336"/>
      <c r="E468" s="336"/>
      <c r="F468" s="104" t="b">
        <f t="array" ref="F468">IF(_xlfn.NUMBERVALUE(RIGHT($E468,2))=MAX(IF(LEFT($E468:$E2466,11)=LEFT($E468,11),_xlfn.NUMBERVALUE(RIGHT($E468:$E2466,2)))),TRUE)</f>
        <v>1</v>
      </c>
      <c r="G468" s="336"/>
      <c r="H468" s="336"/>
      <c r="I468" s="336"/>
      <c r="J468" s="336"/>
      <c r="K468" s="336"/>
      <c r="L468" s="336"/>
      <c r="M468" s="336"/>
      <c r="N468" s="336"/>
      <c r="O468" s="336"/>
      <c r="P468" s="336"/>
      <c r="Q468" s="336"/>
      <c r="R468" s="336"/>
      <c r="S468" s="336"/>
      <c r="T468" s="336"/>
    </row>
    <row r="469" spans="1:20" x14ac:dyDescent="0.25">
      <c r="A469" s="336"/>
      <c r="B469" s="336"/>
      <c r="C469" s="336"/>
      <c r="D469" s="336"/>
      <c r="E469" s="336"/>
      <c r="F469" s="104" t="b">
        <f t="array" ref="F469">IF(_xlfn.NUMBERVALUE(RIGHT($E469,2))=MAX(IF(LEFT($E469:$E2467,11)=LEFT($E469,11),_xlfn.NUMBERVALUE(RIGHT($E469:$E2467,2)))),TRUE)</f>
        <v>1</v>
      </c>
      <c r="G469" s="336"/>
      <c r="H469" s="336"/>
      <c r="I469" s="336"/>
      <c r="J469" s="336"/>
      <c r="K469" s="336"/>
      <c r="L469" s="336"/>
      <c r="M469" s="336"/>
      <c r="N469" s="336"/>
      <c r="O469" s="336"/>
      <c r="P469" s="336"/>
      <c r="Q469" s="336"/>
      <c r="R469" s="336"/>
      <c r="S469" s="336"/>
      <c r="T469" s="336"/>
    </row>
    <row r="470" spans="1:20" x14ac:dyDescent="0.25">
      <c r="A470" s="336"/>
      <c r="B470" s="336"/>
      <c r="C470" s="336"/>
      <c r="D470" s="336"/>
      <c r="E470" s="336"/>
      <c r="F470" s="104" t="b">
        <f t="array" ref="F470">IF(_xlfn.NUMBERVALUE(RIGHT($E470,2))=MAX(IF(LEFT($E470:$E2468,11)=LEFT($E470,11),_xlfn.NUMBERVALUE(RIGHT($E470:$E2468,2)))),TRUE)</f>
        <v>1</v>
      </c>
      <c r="G470" s="336"/>
      <c r="H470" s="336"/>
      <c r="I470" s="336"/>
      <c r="J470" s="336"/>
      <c r="K470" s="336"/>
      <c r="L470" s="336"/>
      <c r="M470" s="336"/>
      <c r="N470" s="336"/>
      <c r="O470" s="336"/>
      <c r="P470" s="336"/>
      <c r="Q470" s="336"/>
      <c r="R470" s="336"/>
      <c r="S470" s="336"/>
      <c r="T470" s="336"/>
    </row>
    <row r="471" spans="1:20" x14ac:dyDescent="0.25">
      <c r="A471" s="336"/>
      <c r="B471" s="336"/>
      <c r="C471" s="336"/>
      <c r="D471" s="336"/>
      <c r="E471" s="336"/>
      <c r="F471" s="104" t="b">
        <f t="array" ref="F471">IF(_xlfn.NUMBERVALUE(RIGHT($E471,2))=MAX(IF(LEFT($E471:$E2469,11)=LEFT($E471,11),_xlfn.NUMBERVALUE(RIGHT($E471:$E2469,2)))),TRUE)</f>
        <v>1</v>
      </c>
      <c r="G471" s="336"/>
      <c r="H471" s="336"/>
      <c r="I471" s="336"/>
      <c r="J471" s="336"/>
      <c r="K471" s="336"/>
      <c r="L471" s="336"/>
      <c r="M471" s="336"/>
      <c r="N471" s="336"/>
      <c r="O471" s="336"/>
      <c r="P471" s="336"/>
      <c r="Q471" s="336"/>
      <c r="R471" s="336"/>
      <c r="S471" s="336"/>
      <c r="T471" s="336"/>
    </row>
    <row r="472" spans="1:20" x14ac:dyDescent="0.25">
      <c r="A472" s="336"/>
      <c r="B472" s="336"/>
      <c r="C472" s="336"/>
      <c r="D472" s="336"/>
      <c r="E472" s="336"/>
      <c r="F472" s="104" t="b">
        <f t="array" ref="F472">IF(_xlfn.NUMBERVALUE(RIGHT($E472,2))=MAX(IF(LEFT($E472:$E2470,11)=LEFT($E472,11),_xlfn.NUMBERVALUE(RIGHT($E472:$E2470,2)))),TRUE)</f>
        <v>1</v>
      </c>
      <c r="G472" s="336"/>
      <c r="H472" s="336"/>
      <c r="I472" s="336"/>
      <c r="J472" s="336"/>
      <c r="K472" s="336"/>
      <c r="L472" s="336"/>
      <c r="M472" s="336"/>
      <c r="N472" s="336"/>
      <c r="O472" s="336"/>
      <c r="P472" s="336"/>
      <c r="Q472" s="336"/>
      <c r="R472" s="336"/>
      <c r="S472" s="336"/>
      <c r="T472" s="336"/>
    </row>
    <row r="473" spans="1:20" x14ac:dyDescent="0.25">
      <c r="A473" s="336"/>
      <c r="B473" s="336"/>
      <c r="C473" s="336"/>
      <c r="D473" s="336"/>
      <c r="E473" s="336"/>
      <c r="F473" s="104" t="b">
        <f t="array" ref="F473">IF(_xlfn.NUMBERVALUE(RIGHT($E473,2))=MAX(IF(LEFT($E473:$E2471,11)=LEFT($E473,11),_xlfn.NUMBERVALUE(RIGHT($E473:$E2471,2)))),TRUE)</f>
        <v>1</v>
      </c>
      <c r="G473" s="336"/>
      <c r="H473" s="336"/>
      <c r="I473" s="336"/>
      <c r="J473" s="336"/>
      <c r="K473" s="336"/>
      <c r="L473" s="336"/>
      <c r="M473" s="336"/>
      <c r="N473" s="336"/>
      <c r="O473" s="336"/>
      <c r="P473" s="336"/>
      <c r="Q473" s="336"/>
      <c r="R473" s="336"/>
      <c r="S473" s="336"/>
      <c r="T473" s="336"/>
    </row>
    <row r="474" spans="1:20" x14ac:dyDescent="0.25">
      <c r="A474" s="336"/>
      <c r="B474" s="336"/>
      <c r="C474" s="336"/>
      <c r="D474" s="336"/>
      <c r="E474" s="336"/>
      <c r="F474" s="104" t="b">
        <f t="array" ref="F474">IF(_xlfn.NUMBERVALUE(RIGHT($E474,2))=MAX(IF(LEFT($E474:$E2472,11)=LEFT($E474,11),_xlfn.NUMBERVALUE(RIGHT($E474:$E2472,2)))),TRUE)</f>
        <v>1</v>
      </c>
      <c r="G474" s="336"/>
      <c r="H474" s="336"/>
      <c r="I474" s="336"/>
      <c r="J474" s="336"/>
      <c r="K474" s="336"/>
      <c r="L474" s="336"/>
      <c r="M474" s="336"/>
      <c r="N474" s="336"/>
      <c r="O474" s="336"/>
      <c r="P474" s="336"/>
      <c r="Q474" s="336"/>
      <c r="R474" s="336"/>
      <c r="S474" s="336"/>
      <c r="T474" s="336"/>
    </row>
    <row r="475" spans="1:20" x14ac:dyDescent="0.25">
      <c r="A475" s="336"/>
      <c r="B475" s="336"/>
      <c r="C475" s="336"/>
      <c r="D475" s="336"/>
      <c r="E475" s="336"/>
      <c r="F475" s="104" t="b">
        <f t="array" ref="F475">IF(_xlfn.NUMBERVALUE(RIGHT($E475,2))=MAX(IF(LEFT($E475:$E2473,11)=LEFT($E475,11),_xlfn.NUMBERVALUE(RIGHT($E475:$E2473,2)))),TRUE)</f>
        <v>1</v>
      </c>
      <c r="G475" s="336"/>
      <c r="H475" s="336"/>
      <c r="I475" s="336"/>
      <c r="J475" s="336"/>
      <c r="K475" s="336"/>
      <c r="L475" s="336"/>
      <c r="M475" s="336"/>
      <c r="N475" s="336"/>
      <c r="O475" s="336"/>
      <c r="P475" s="336"/>
      <c r="Q475" s="336"/>
      <c r="R475" s="336"/>
      <c r="S475" s="336"/>
      <c r="T475" s="336"/>
    </row>
    <row r="476" spans="1:20" x14ac:dyDescent="0.25">
      <c r="A476" s="336"/>
      <c r="B476" s="336"/>
      <c r="C476" s="336"/>
      <c r="D476" s="336"/>
      <c r="E476" s="336"/>
      <c r="F476" s="104" t="b">
        <f t="array" ref="F476">IF(_xlfn.NUMBERVALUE(RIGHT($E476,2))=MAX(IF(LEFT($E476:$E2474,11)=LEFT($E476,11),_xlfn.NUMBERVALUE(RIGHT($E476:$E2474,2)))),TRUE)</f>
        <v>1</v>
      </c>
      <c r="G476" s="336"/>
      <c r="H476" s="336"/>
      <c r="I476" s="336"/>
      <c r="J476" s="336"/>
      <c r="K476" s="336"/>
      <c r="L476" s="336"/>
      <c r="M476" s="336"/>
      <c r="N476" s="336"/>
      <c r="O476" s="336"/>
      <c r="P476" s="336"/>
      <c r="Q476" s="336"/>
      <c r="R476" s="336"/>
      <c r="S476" s="336"/>
      <c r="T476" s="336"/>
    </row>
    <row r="477" spans="1:20" x14ac:dyDescent="0.25">
      <c r="A477" s="336"/>
      <c r="B477" s="336"/>
      <c r="C477" s="336"/>
      <c r="D477" s="336"/>
      <c r="E477" s="336"/>
      <c r="F477" s="104" t="b">
        <f t="array" ref="F477">IF(_xlfn.NUMBERVALUE(RIGHT($E477,2))=MAX(IF(LEFT($E477:$E2475,11)=LEFT($E477,11),_xlfn.NUMBERVALUE(RIGHT($E477:$E2475,2)))),TRUE)</f>
        <v>1</v>
      </c>
      <c r="G477" s="336"/>
      <c r="H477" s="336"/>
      <c r="I477" s="336"/>
      <c r="J477" s="336"/>
      <c r="K477" s="336"/>
      <c r="L477" s="336"/>
      <c r="M477" s="336"/>
      <c r="N477" s="336"/>
      <c r="O477" s="336"/>
      <c r="P477" s="336"/>
      <c r="Q477" s="336"/>
      <c r="R477" s="336"/>
      <c r="S477" s="336"/>
      <c r="T477" s="336"/>
    </row>
    <row r="478" spans="1:20" x14ac:dyDescent="0.25">
      <c r="A478" s="336"/>
      <c r="B478" s="336"/>
      <c r="C478" s="336"/>
      <c r="D478" s="336"/>
      <c r="E478" s="336"/>
      <c r="F478" s="104" t="b">
        <f t="array" ref="F478">IF(_xlfn.NUMBERVALUE(RIGHT($E478,2))=MAX(IF(LEFT($E478:$E2476,11)=LEFT($E478,11),_xlfn.NUMBERVALUE(RIGHT($E478:$E2476,2)))),TRUE)</f>
        <v>1</v>
      </c>
      <c r="G478" s="336"/>
      <c r="H478" s="336"/>
      <c r="I478" s="336"/>
      <c r="J478" s="336"/>
      <c r="K478" s="336"/>
      <c r="L478" s="336"/>
      <c r="M478" s="336"/>
      <c r="N478" s="336"/>
      <c r="O478" s="336"/>
      <c r="P478" s="336"/>
      <c r="Q478" s="336"/>
      <c r="R478" s="336"/>
      <c r="S478" s="336"/>
      <c r="T478" s="336"/>
    </row>
    <row r="479" spans="1:20" x14ac:dyDescent="0.25">
      <c r="A479" s="336"/>
      <c r="B479" s="336"/>
      <c r="C479" s="336"/>
      <c r="D479" s="336"/>
      <c r="E479" s="336"/>
      <c r="F479" s="104" t="b">
        <f t="array" ref="F479">IF(_xlfn.NUMBERVALUE(RIGHT($E479,2))=MAX(IF(LEFT($E479:$E2477,11)=LEFT($E479,11),_xlfn.NUMBERVALUE(RIGHT($E479:$E2477,2)))),TRUE)</f>
        <v>1</v>
      </c>
      <c r="G479" s="336"/>
      <c r="H479" s="336"/>
      <c r="I479" s="336"/>
      <c r="J479" s="336"/>
      <c r="K479" s="336"/>
      <c r="L479" s="336"/>
      <c r="M479" s="336"/>
      <c r="N479" s="336"/>
      <c r="O479" s="336"/>
      <c r="P479" s="336"/>
      <c r="Q479" s="336"/>
      <c r="R479" s="336"/>
      <c r="S479" s="336"/>
      <c r="T479" s="336"/>
    </row>
    <row r="480" spans="1:20" x14ac:dyDescent="0.25">
      <c r="A480" s="336"/>
      <c r="B480" s="336"/>
      <c r="C480" s="336"/>
      <c r="D480" s="336"/>
      <c r="E480" s="336"/>
      <c r="F480" s="104" t="b">
        <f t="array" ref="F480">IF(_xlfn.NUMBERVALUE(RIGHT($E480,2))=MAX(IF(LEFT($E480:$E2478,11)=LEFT($E480,11),_xlfn.NUMBERVALUE(RIGHT($E480:$E2478,2)))),TRUE)</f>
        <v>1</v>
      </c>
      <c r="G480" s="336"/>
      <c r="H480" s="336"/>
      <c r="I480" s="336"/>
      <c r="J480" s="336"/>
      <c r="K480" s="336"/>
      <c r="L480" s="336"/>
      <c r="M480" s="336"/>
      <c r="N480" s="336"/>
      <c r="O480" s="336"/>
      <c r="P480" s="336"/>
      <c r="Q480" s="336"/>
      <c r="R480" s="336"/>
      <c r="S480" s="336"/>
      <c r="T480" s="336"/>
    </row>
    <row r="481" spans="1:20" x14ac:dyDescent="0.25">
      <c r="A481" s="336"/>
      <c r="B481" s="336"/>
      <c r="C481" s="336"/>
      <c r="D481" s="336"/>
      <c r="E481" s="336"/>
      <c r="F481" s="104" t="b">
        <f t="array" ref="F481">IF(_xlfn.NUMBERVALUE(RIGHT($E481,2))=MAX(IF(LEFT($E481:$E2479,11)=LEFT($E481,11),_xlfn.NUMBERVALUE(RIGHT($E481:$E2479,2)))),TRUE)</f>
        <v>1</v>
      </c>
      <c r="G481" s="336"/>
      <c r="H481" s="336"/>
      <c r="I481" s="336"/>
      <c r="J481" s="336"/>
      <c r="K481" s="336"/>
      <c r="L481" s="336"/>
      <c r="M481" s="336"/>
      <c r="N481" s="336"/>
      <c r="O481" s="336"/>
      <c r="P481" s="336"/>
      <c r="Q481" s="336"/>
      <c r="R481" s="336"/>
      <c r="S481" s="336"/>
      <c r="T481" s="336"/>
    </row>
    <row r="482" spans="1:20" x14ac:dyDescent="0.25">
      <c r="A482" s="336"/>
      <c r="B482" s="336"/>
      <c r="C482" s="336"/>
      <c r="D482" s="336"/>
      <c r="E482" s="336"/>
      <c r="F482" s="104" t="b">
        <f t="array" ref="F482">IF(_xlfn.NUMBERVALUE(RIGHT($E482,2))=MAX(IF(LEFT($E482:$E2480,11)=LEFT($E482,11),_xlfn.NUMBERVALUE(RIGHT($E482:$E2480,2)))),TRUE)</f>
        <v>1</v>
      </c>
      <c r="G482" s="336"/>
      <c r="H482" s="336"/>
      <c r="I482" s="336"/>
      <c r="J482" s="336"/>
      <c r="K482" s="336"/>
      <c r="L482" s="336"/>
      <c r="M482" s="336"/>
      <c r="N482" s="336"/>
      <c r="O482" s="336"/>
      <c r="P482" s="336"/>
      <c r="Q482" s="336"/>
      <c r="R482" s="336"/>
      <c r="S482" s="336"/>
      <c r="T482" s="336"/>
    </row>
    <row r="483" spans="1:20" x14ac:dyDescent="0.25">
      <c r="A483" s="336"/>
      <c r="B483" s="336"/>
      <c r="C483" s="336"/>
      <c r="D483" s="336"/>
      <c r="E483" s="336"/>
      <c r="F483" s="104" t="b">
        <f t="array" ref="F483">IF(_xlfn.NUMBERVALUE(RIGHT($E483,2))=MAX(IF(LEFT($E483:$E2481,11)=LEFT($E483,11),_xlfn.NUMBERVALUE(RIGHT($E483:$E2481,2)))),TRUE)</f>
        <v>1</v>
      </c>
      <c r="G483" s="336"/>
      <c r="H483" s="336"/>
      <c r="I483" s="336"/>
      <c r="J483" s="336"/>
      <c r="K483" s="336"/>
      <c r="L483" s="336"/>
      <c r="M483" s="336"/>
      <c r="N483" s="336"/>
      <c r="O483" s="336"/>
      <c r="P483" s="336"/>
      <c r="Q483" s="336"/>
      <c r="R483" s="336"/>
      <c r="S483" s="336"/>
      <c r="T483" s="336"/>
    </row>
    <row r="484" spans="1:20" x14ac:dyDescent="0.25">
      <c r="A484" s="336"/>
      <c r="B484" s="336"/>
      <c r="C484" s="336"/>
      <c r="D484" s="336"/>
      <c r="E484" s="336"/>
      <c r="F484" s="104" t="b">
        <f t="array" ref="F484">IF(_xlfn.NUMBERVALUE(RIGHT($E484,2))=MAX(IF(LEFT($E484:$E2482,11)=LEFT($E484,11),_xlfn.NUMBERVALUE(RIGHT($E484:$E2482,2)))),TRUE)</f>
        <v>1</v>
      </c>
      <c r="G484" s="336"/>
      <c r="H484" s="336"/>
      <c r="I484" s="336"/>
      <c r="J484" s="336"/>
      <c r="K484" s="336"/>
      <c r="L484" s="336"/>
      <c r="M484" s="336"/>
      <c r="N484" s="336"/>
      <c r="O484" s="336"/>
      <c r="P484" s="336"/>
      <c r="Q484" s="336"/>
      <c r="R484" s="336"/>
      <c r="S484" s="336"/>
      <c r="T484" s="336"/>
    </row>
    <row r="485" spans="1:20" x14ac:dyDescent="0.25">
      <c r="A485" s="336"/>
      <c r="B485" s="336"/>
      <c r="C485" s="336"/>
      <c r="D485" s="336"/>
      <c r="E485" s="336"/>
      <c r="F485" s="104" t="b">
        <f t="array" ref="F485">IF(_xlfn.NUMBERVALUE(RIGHT($E485,2))=MAX(IF(LEFT($E485:$E2483,11)=LEFT($E485,11),_xlfn.NUMBERVALUE(RIGHT($E485:$E2483,2)))),TRUE)</f>
        <v>1</v>
      </c>
      <c r="G485" s="336"/>
      <c r="H485" s="336"/>
      <c r="I485" s="336"/>
      <c r="J485" s="336"/>
      <c r="K485" s="336"/>
      <c r="L485" s="336"/>
      <c r="M485" s="336"/>
      <c r="N485" s="336"/>
      <c r="O485" s="336"/>
      <c r="P485" s="336"/>
      <c r="Q485" s="336"/>
      <c r="R485" s="336"/>
      <c r="S485" s="336"/>
      <c r="T485" s="336"/>
    </row>
    <row r="486" spans="1:20" x14ac:dyDescent="0.25">
      <c r="A486" s="336"/>
      <c r="B486" s="336"/>
      <c r="C486" s="336"/>
      <c r="D486" s="336"/>
      <c r="E486" s="336"/>
      <c r="F486" s="104" t="b">
        <f t="array" ref="F486">IF(_xlfn.NUMBERVALUE(RIGHT($E486,2))=MAX(IF(LEFT($E486:$E2484,11)=LEFT($E486,11),_xlfn.NUMBERVALUE(RIGHT($E486:$E2484,2)))),TRUE)</f>
        <v>1</v>
      </c>
      <c r="G486" s="336"/>
      <c r="H486" s="336"/>
      <c r="I486" s="336"/>
      <c r="J486" s="336"/>
      <c r="K486" s="336"/>
      <c r="L486" s="336"/>
      <c r="M486" s="336"/>
      <c r="N486" s="336"/>
      <c r="O486" s="336"/>
      <c r="P486" s="336"/>
      <c r="Q486" s="336"/>
      <c r="R486" s="336"/>
      <c r="S486" s="336"/>
      <c r="T486" s="336"/>
    </row>
    <row r="487" spans="1:20" x14ac:dyDescent="0.25">
      <c r="A487" s="336"/>
      <c r="B487" s="336"/>
      <c r="C487" s="336"/>
      <c r="D487" s="336"/>
      <c r="E487" s="336"/>
      <c r="F487" s="104" t="b">
        <f t="array" ref="F487">IF(_xlfn.NUMBERVALUE(RIGHT($E487,2))=MAX(IF(LEFT($E487:$E2485,11)=LEFT($E487,11),_xlfn.NUMBERVALUE(RIGHT($E487:$E2485,2)))),TRUE)</f>
        <v>1</v>
      </c>
      <c r="G487" s="336"/>
      <c r="H487" s="336"/>
      <c r="I487" s="336"/>
      <c r="J487" s="336"/>
      <c r="K487" s="336"/>
      <c r="L487" s="336"/>
      <c r="M487" s="336"/>
      <c r="N487" s="336"/>
      <c r="O487" s="336"/>
      <c r="P487" s="336"/>
      <c r="Q487" s="336"/>
      <c r="R487" s="336"/>
      <c r="S487" s="336"/>
      <c r="T487" s="336"/>
    </row>
    <row r="488" spans="1:20" x14ac:dyDescent="0.25">
      <c r="A488" s="336"/>
      <c r="B488" s="336"/>
      <c r="C488" s="336"/>
      <c r="D488" s="336"/>
      <c r="E488" s="336"/>
      <c r="F488" s="104" t="b">
        <f t="array" ref="F488">IF(_xlfn.NUMBERVALUE(RIGHT($E488,2))=MAX(IF(LEFT($E488:$E2486,11)=LEFT($E488,11),_xlfn.NUMBERVALUE(RIGHT($E488:$E2486,2)))),TRUE)</f>
        <v>1</v>
      </c>
      <c r="G488" s="336"/>
      <c r="H488" s="336"/>
      <c r="I488" s="336"/>
      <c r="J488" s="336"/>
      <c r="K488" s="336"/>
      <c r="L488" s="336"/>
      <c r="M488" s="336"/>
      <c r="N488" s="336"/>
      <c r="O488" s="336"/>
      <c r="P488" s="336"/>
      <c r="Q488" s="336"/>
      <c r="R488" s="336"/>
      <c r="S488" s="336"/>
      <c r="T488" s="336"/>
    </row>
    <row r="489" spans="1:20" x14ac:dyDescent="0.25">
      <c r="A489" s="336"/>
      <c r="B489" s="336"/>
      <c r="C489" s="336"/>
      <c r="D489" s="336"/>
      <c r="E489" s="336"/>
      <c r="F489" s="104" t="b">
        <f t="array" ref="F489">IF(_xlfn.NUMBERVALUE(RIGHT($E489,2))=MAX(IF(LEFT($E489:$E2487,11)=LEFT($E489,11),_xlfn.NUMBERVALUE(RIGHT($E489:$E2487,2)))),TRUE)</f>
        <v>1</v>
      </c>
      <c r="G489" s="336"/>
      <c r="H489" s="336"/>
      <c r="I489" s="336"/>
      <c r="J489" s="336"/>
      <c r="K489" s="336"/>
      <c r="L489" s="336"/>
      <c r="M489" s="336"/>
      <c r="N489" s="336"/>
      <c r="O489" s="336"/>
      <c r="P489" s="336"/>
      <c r="Q489" s="336"/>
      <c r="R489" s="336"/>
      <c r="S489" s="336"/>
      <c r="T489" s="336"/>
    </row>
    <row r="490" spans="1:20" x14ac:dyDescent="0.25">
      <c r="A490" s="336"/>
      <c r="B490" s="336"/>
      <c r="C490" s="336"/>
      <c r="D490" s="336"/>
      <c r="E490" s="336"/>
      <c r="F490" s="104" t="b">
        <f t="array" ref="F490">IF(_xlfn.NUMBERVALUE(RIGHT($E490,2))=MAX(IF(LEFT($E490:$E2488,11)=LEFT($E490,11),_xlfn.NUMBERVALUE(RIGHT($E490:$E2488,2)))),TRUE)</f>
        <v>1</v>
      </c>
      <c r="G490" s="336"/>
      <c r="H490" s="336"/>
      <c r="I490" s="336"/>
      <c r="J490" s="336"/>
      <c r="K490" s="336"/>
      <c r="L490" s="336"/>
      <c r="M490" s="336"/>
      <c r="N490" s="336"/>
      <c r="O490" s="336"/>
      <c r="P490" s="336"/>
      <c r="Q490" s="336"/>
      <c r="R490" s="336"/>
      <c r="S490" s="336"/>
      <c r="T490" s="336"/>
    </row>
    <row r="491" spans="1:20" x14ac:dyDescent="0.25">
      <c r="A491" s="336"/>
      <c r="B491" s="336"/>
      <c r="C491" s="336"/>
      <c r="D491" s="336"/>
      <c r="E491" s="336"/>
      <c r="F491" s="104" t="b">
        <f t="array" ref="F491">IF(_xlfn.NUMBERVALUE(RIGHT($E491,2))=MAX(IF(LEFT($E491:$E2489,11)=LEFT($E491,11),_xlfn.NUMBERVALUE(RIGHT($E491:$E2489,2)))),TRUE)</f>
        <v>1</v>
      </c>
      <c r="G491" s="336"/>
      <c r="H491" s="336"/>
      <c r="I491" s="336"/>
      <c r="J491" s="336"/>
      <c r="K491" s="336"/>
      <c r="L491" s="336"/>
      <c r="M491" s="336"/>
      <c r="N491" s="336"/>
      <c r="O491" s="336"/>
      <c r="P491" s="336"/>
      <c r="Q491" s="336"/>
      <c r="R491" s="336"/>
      <c r="S491" s="336"/>
      <c r="T491" s="336"/>
    </row>
    <row r="492" spans="1:20" x14ac:dyDescent="0.25">
      <c r="A492" s="336"/>
      <c r="B492" s="336"/>
      <c r="C492" s="336"/>
      <c r="D492" s="336"/>
      <c r="E492" s="336"/>
      <c r="F492" s="104" t="b">
        <f t="array" ref="F492">IF(_xlfn.NUMBERVALUE(RIGHT($E492,2))=MAX(IF(LEFT($E492:$E2490,11)=LEFT($E492,11),_xlfn.NUMBERVALUE(RIGHT($E492:$E2490,2)))),TRUE)</f>
        <v>1</v>
      </c>
      <c r="G492" s="336"/>
      <c r="H492" s="336"/>
      <c r="I492" s="336"/>
      <c r="J492" s="336"/>
      <c r="K492" s="336"/>
      <c r="L492" s="336"/>
      <c r="M492" s="336"/>
      <c r="N492" s="336"/>
      <c r="O492" s="336"/>
      <c r="P492" s="336"/>
      <c r="Q492" s="336"/>
      <c r="R492" s="336"/>
      <c r="S492" s="336"/>
      <c r="T492" s="336"/>
    </row>
    <row r="493" spans="1:20" x14ac:dyDescent="0.25">
      <c r="A493" s="336"/>
      <c r="B493" s="336"/>
      <c r="C493" s="336"/>
      <c r="D493" s="336"/>
      <c r="E493" s="336"/>
      <c r="F493" s="104" t="b">
        <f t="array" ref="F493">IF(_xlfn.NUMBERVALUE(RIGHT($E493,2))=MAX(IF(LEFT($E493:$E2491,11)=LEFT($E493,11),_xlfn.NUMBERVALUE(RIGHT($E493:$E2491,2)))),TRUE)</f>
        <v>1</v>
      </c>
      <c r="G493" s="336"/>
      <c r="H493" s="336"/>
      <c r="I493" s="336"/>
      <c r="J493" s="336"/>
      <c r="K493" s="336"/>
      <c r="L493" s="336"/>
      <c r="M493" s="336"/>
      <c r="N493" s="336"/>
      <c r="O493" s="336"/>
      <c r="P493" s="336"/>
      <c r="Q493" s="336"/>
      <c r="R493" s="336"/>
      <c r="S493" s="336"/>
      <c r="T493" s="336"/>
    </row>
    <row r="494" spans="1:20" x14ac:dyDescent="0.25">
      <c r="A494" s="336"/>
      <c r="B494" s="336"/>
      <c r="C494" s="336"/>
      <c r="D494" s="336"/>
      <c r="E494" s="336"/>
      <c r="F494" s="104" t="b">
        <f t="array" ref="F494">IF(_xlfn.NUMBERVALUE(RIGHT($E494,2))=MAX(IF(LEFT($E494:$E2492,11)=LEFT($E494,11),_xlfn.NUMBERVALUE(RIGHT($E494:$E2492,2)))),TRUE)</f>
        <v>1</v>
      </c>
      <c r="G494" s="336"/>
      <c r="H494" s="336"/>
      <c r="I494" s="336"/>
      <c r="J494" s="336"/>
      <c r="K494" s="336"/>
      <c r="L494" s="336"/>
      <c r="M494" s="336"/>
      <c r="N494" s="336"/>
      <c r="O494" s="336"/>
      <c r="P494" s="336"/>
      <c r="Q494" s="336"/>
      <c r="R494" s="336"/>
      <c r="S494" s="336"/>
      <c r="T494" s="336"/>
    </row>
    <row r="495" spans="1:20" x14ac:dyDescent="0.25">
      <c r="A495" s="336"/>
      <c r="B495" s="336"/>
      <c r="C495" s="336"/>
      <c r="D495" s="336"/>
      <c r="E495" s="336"/>
      <c r="F495" s="104" t="b">
        <f t="array" ref="F495">IF(_xlfn.NUMBERVALUE(RIGHT($E495,2))=MAX(IF(LEFT($E495:$E2493,11)=LEFT($E495,11),_xlfn.NUMBERVALUE(RIGHT($E495:$E2493,2)))),TRUE)</f>
        <v>1</v>
      </c>
      <c r="G495" s="336"/>
      <c r="H495" s="336"/>
      <c r="I495" s="336"/>
      <c r="J495" s="336"/>
      <c r="K495" s="336"/>
      <c r="L495" s="336"/>
      <c r="M495" s="336"/>
      <c r="N495" s="336"/>
      <c r="O495" s="336"/>
      <c r="P495" s="336"/>
      <c r="Q495" s="336"/>
      <c r="R495" s="336"/>
      <c r="S495" s="336"/>
      <c r="T495" s="336"/>
    </row>
    <row r="496" spans="1:20" x14ac:dyDescent="0.25">
      <c r="A496" s="336"/>
      <c r="B496" s="336"/>
      <c r="C496" s="336"/>
      <c r="D496" s="336"/>
      <c r="E496" s="336"/>
      <c r="F496" s="104" t="b">
        <f t="array" ref="F496">IF(_xlfn.NUMBERVALUE(RIGHT($E496,2))=MAX(IF(LEFT($E496:$E2494,11)=LEFT($E496,11),_xlfn.NUMBERVALUE(RIGHT($E496:$E2494,2)))),TRUE)</f>
        <v>1</v>
      </c>
      <c r="G496" s="336"/>
      <c r="H496" s="336"/>
      <c r="I496" s="336"/>
      <c r="J496" s="336"/>
      <c r="K496" s="336"/>
      <c r="L496" s="336"/>
      <c r="M496" s="336"/>
      <c r="N496" s="336"/>
      <c r="O496" s="336"/>
      <c r="P496" s="336"/>
      <c r="Q496" s="336"/>
      <c r="R496" s="336"/>
      <c r="S496" s="336"/>
      <c r="T496" s="336"/>
    </row>
    <row r="497" spans="1:20" x14ac:dyDescent="0.25">
      <c r="A497" s="336"/>
      <c r="B497" s="336"/>
      <c r="C497" s="336"/>
      <c r="D497" s="336"/>
      <c r="E497" s="336"/>
      <c r="F497" s="104" t="b">
        <f t="array" ref="F497">IF(_xlfn.NUMBERVALUE(RIGHT($E497,2))=MAX(IF(LEFT($E497:$E2495,11)=LEFT($E497,11),_xlfn.NUMBERVALUE(RIGHT($E497:$E2495,2)))),TRUE)</f>
        <v>1</v>
      </c>
      <c r="G497" s="336"/>
      <c r="H497" s="336"/>
      <c r="I497" s="336"/>
      <c r="J497" s="336"/>
      <c r="K497" s="336"/>
      <c r="L497" s="336"/>
      <c r="M497" s="336"/>
      <c r="N497" s="336"/>
      <c r="O497" s="336"/>
      <c r="P497" s="336"/>
      <c r="Q497" s="336"/>
      <c r="R497" s="336"/>
      <c r="S497" s="336"/>
      <c r="T497" s="336"/>
    </row>
    <row r="498" spans="1:20" x14ac:dyDescent="0.25">
      <c r="A498" s="336"/>
      <c r="B498" s="336"/>
      <c r="C498" s="336"/>
      <c r="D498" s="336"/>
      <c r="E498" s="336"/>
      <c r="F498" s="104" t="b">
        <f t="array" ref="F498">IF(_xlfn.NUMBERVALUE(RIGHT($E498,2))=MAX(IF(LEFT($E498:$E2496,11)=LEFT($E498,11),_xlfn.NUMBERVALUE(RIGHT($E498:$E2496,2)))),TRUE)</f>
        <v>1</v>
      </c>
      <c r="G498" s="336"/>
      <c r="H498" s="336"/>
      <c r="I498" s="336"/>
      <c r="J498" s="336"/>
      <c r="K498" s="336"/>
      <c r="L498" s="336"/>
      <c r="M498" s="336"/>
      <c r="N498" s="336"/>
      <c r="O498" s="336"/>
      <c r="P498" s="336"/>
      <c r="Q498" s="336"/>
      <c r="R498" s="336"/>
      <c r="S498" s="336"/>
      <c r="T498" s="336"/>
    </row>
    <row r="499" spans="1:20" x14ac:dyDescent="0.25">
      <c r="A499" s="336"/>
      <c r="B499" s="336"/>
      <c r="C499" s="336"/>
      <c r="D499" s="336"/>
      <c r="E499" s="336"/>
      <c r="F499" s="104" t="b">
        <f t="array" ref="F499">IF(_xlfn.NUMBERVALUE(RIGHT($E499,2))=MAX(IF(LEFT($E499:$E2497,11)=LEFT($E499,11),_xlfn.NUMBERVALUE(RIGHT($E499:$E2497,2)))),TRUE)</f>
        <v>1</v>
      </c>
      <c r="G499" s="336"/>
      <c r="H499" s="336"/>
      <c r="I499" s="336"/>
      <c r="J499" s="336"/>
      <c r="K499" s="336"/>
      <c r="L499" s="336"/>
      <c r="M499" s="336"/>
      <c r="N499" s="336"/>
      <c r="O499" s="336"/>
      <c r="P499" s="336"/>
      <c r="Q499" s="336"/>
      <c r="R499" s="336"/>
      <c r="S499" s="336"/>
      <c r="T499" s="336"/>
    </row>
    <row r="500" spans="1:20" x14ac:dyDescent="0.25">
      <c r="A500" s="336"/>
      <c r="B500" s="336"/>
      <c r="C500" s="336"/>
      <c r="D500" s="336"/>
      <c r="E500" s="336"/>
      <c r="F500" s="104" t="b">
        <f t="array" ref="F500">IF(_xlfn.NUMBERVALUE(RIGHT($E500,2))=MAX(IF(LEFT($E500:$E2498,11)=LEFT($E500,11),_xlfn.NUMBERVALUE(RIGHT($E500:$E2498,2)))),TRUE)</f>
        <v>1</v>
      </c>
      <c r="G500" s="336"/>
      <c r="H500" s="336"/>
      <c r="I500" s="336"/>
      <c r="J500" s="336"/>
      <c r="K500" s="336"/>
      <c r="L500" s="336"/>
      <c r="M500" s="336"/>
      <c r="N500" s="336"/>
      <c r="O500" s="336"/>
      <c r="P500" s="336"/>
      <c r="Q500" s="336"/>
      <c r="R500" s="336"/>
      <c r="S500" s="336"/>
      <c r="T500" s="336"/>
    </row>
    <row r="501" spans="1:20" x14ac:dyDescent="0.25">
      <c r="A501" s="336"/>
      <c r="B501" s="336"/>
      <c r="C501" s="336"/>
      <c r="D501" s="336"/>
      <c r="E501" s="336"/>
      <c r="F501" s="104" t="b">
        <f t="array" ref="F501">IF(_xlfn.NUMBERVALUE(RIGHT($E501,2))=MAX(IF(LEFT($E501:$E2499,11)=LEFT($E501,11),_xlfn.NUMBERVALUE(RIGHT($E501:$E2499,2)))),TRUE)</f>
        <v>1</v>
      </c>
      <c r="G501" s="336"/>
      <c r="H501" s="336"/>
      <c r="I501" s="336"/>
      <c r="J501" s="336"/>
      <c r="K501" s="336"/>
      <c r="L501" s="336"/>
      <c r="M501" s="336"/>
      <c r="N501" s="336"/>
      <c r="O501" s="336"/>
      <c r="P501" s="336"/>
      <c r="Q501" s="336"/>
      <c r="R501" s="336"/>
      <c r="S501" s="336"/>
      <c r="T501" s="336"/>
    </row>
    <row r="502" spans="1:20" x14ac:dyDescent="0.25">
      <c r="A502" s="336"/>
      <c r="B502" s="336"/>
      <c r="C502" s="336"/>
      <c r="D502" s="336"/>
      <c r="E502" s="336"/>
      <c r="F502" s="104" t="b">
        <f t="array" ref="F502">IF(_xlfn.NUMBERVALUE(RIGHT($E502,2))=MAX(IF(LEFT($E502:$E2500,11)=LEFT($E502,11),_xlfn.NUMBERVALUE(RIGHT($E502:$E2500,2)))),TRUE)</f>
        <v>1</v>
      </c>
      <c r="G502" s="336"/>
      <c r="H502" s="336"/>
      <c r="I502" s="336"/>
      <c r="J502" s="336"/>
      <c r="K502" s="336"/>
      <c r="L502" s="336"/>
      <c r="M502" s="336"/>
      <c r="N502" s="336"/>
      <c r="O502" s="336"/>
      <c r="P502" s="336"/>
      <c r="Q502" s="336"/>
      <c r="R502" s="336"/>
      <c r="S502" s="336"/>
      <c r="T502" s="336"/>
    </row>
    <row r="503" spans="1:20" x14ac:dyDescent="0.25">
      <c r="A503" s="336"/>
      <c r="B503" s="336"/>
      <c r="C503" s="336"/>
      <c r="D503" s="336"/>
      <c r="E503" s="336"/>
      <c r="F503" s="104" t="b">
        <f t="array" ref="F503">IF(_xlfn.NUMBERVALUE(RIGHT($E503,2))=MAX(IF(LEFT($E503:$E2501,11)=LEFT($E503,11),_xlfn.NUMBERVALUE(RIGHT($E503:$E2501,2)))),TRUE)</f>
        <v>1</v>
      </c>
      <c r="G503" s="336"/>
      <c r="H503" s="336"/>
      <c r="I503" s="336"/>
      <c r="J503" s="336"/>
      <c r="K503" s="336"/>
      <c r="L503" s="336"/>
      <c r="M503" s="336"/>
      <c r="N503" s="336"/>
      <c r="O503" s="336"/>
      <c r="P503" s="336"/>
      <c r="Q503" s="336"/>
      <c r="R503" s="336"/>
      <c r="S503" s="336"/>
      <c r="T503" s="336"/>
    </row>
    <row r="504" spans="1:20" x14ac:dyDescent="0.25">
      <c r="A504" s="336"/>
      <c r="B504" s="336"/>
      <c r="C504" s="336"/>
      <c r="D504" s="336"/>
      <c r="E504" s="336"/>
      <c r="F504" s="104" t="b">
        <f t="array" ref="F504">IF(_xlfn.NUMBERVALUE(RIGHT($E504,2))=MAX(IF(LEFT($E504:$E2502,11)=LEFT($E504,11),_xlfn.NUMBERVALUE(RIGHT($E504:$E2502,2)))),TRUE)</f>
        <v>1</v>
      </c>
      <c r="G504" s="336"/>
      <c r="H504" s="336"/>
      <c r="I504" s="336"/>
      <c r="J504" s="336"/>
      <c r="K504" s="336"/>
      <c r="L504" s="336"/>
      <c r="M504" s="336"/>
      <c r="N504" s="336"/>
      <c r="O504" s="336"/>
      <c r="P504" s="336"/>
      <c r="Q504" s="336"/>
      <c r="R504" s="336"/>
      <c r="S504" s="336"/>
      <c r="T504" s="336"/>
    </row>
    <row r="505" spans="1:20" x14ac:dyDescent="0.25">
      <c r="A505" s="336"/>
      <c r="B505" s="336"/>
      <c r="C505" s="336"/>
      <c r="D505" s="336"/>
      <c r="E505" s="336"/>
      <c r="F505" s="104" t="b">
        <f t="array" ref="F505">IF(_xlfn.NUMBERVALUE(RIGHT($E505,2))=MAX(IF(LEFT($E505:$E2503,11)=LEFT($E505,11),_xlfn.NUMBERVALUE(RIGHT($E505:$E2503,2)))),TRUE)</f>
        <v>1</v>
      </c>
      <c r="G505" s="336"/>
      <c r="H505" s="336"/>
      <c r="I505" s="336"/>
      <c r="J505" s="336"/>
      <c r="K505" s="336"/>
      <c r="L505" s="336"/>
      <c r="M505" s="336"/>
      <c r="N505" s="336"/>
      <c r="O505" s="336"/>
      <c r="P505" s="336"/>
      <c r="Q505" s="336"/>
      <c r="R505" s="336"/>
      <c r="S505" s="336"/>
      <c r="T505" s="336"/>
    </row>
    <row r="506" spans="1:20" x14ac:dyDescent="0.25">
      <c r="A506" s="336"/>
      <c r="B506" s="336"/>
      <c r="C506" s="336"/>
      <c r="D506" s="336"/>
      <c r="E506" s="336"/>
      <c r="F506" s="104" t="b">
        <f t="array" ref="F506">IF(_xlfn.NUMBERVALUE(RIGHT($E506,2))=MAX(IF(LEFT($E506:$E2504,11)=LEFT($E506,11),_xlfn.NUMBERVALUE(RIGHT($E506:$E2504,2)))),TRUE)</f>
        <v>1</v>
      </c>
      <c r="G506" s="336"/>
      <c r="H506" s="336"/>
      <c r="I506" s="336"/>
      <c r="J506" s="336"/>
      <c r="K506" s="336"/>
      <c r="L506" s="336"/>
      <c r="M506" s="336"/>
      <c r="N506" s="336"/>
      <c r="O506" s="336"/>
      <c r="P506" s="336"/>
      <c r="Q506" s="336"/>
      <c r="R506" s="336"/>
      <c r="S506" s="336"/>
      <c r="T506" s="336"/>
    </row>
    <row r="507" spans="1:20" x14ac:dyDescent="0.25">
      <c r="A507" s="336"/>
      <c r="B507" s="336"/>
      <c r="C507" s="336"/>
      <c r="D507" s="336"/>
      <c r="E507" s="336"/>
      <c r="F507" s="104" t="b">
        <f t="array" ref="F507">IF(_xlfn.NUMBERVALUE(RIGHT($E507,2))=MAX(IF(LEFT($E507:$E2505,11)=LEFT($E507,11),_xlfn.NUMBERVALUE(RIGHT($E507:$E2505,2)))),TRUE)</f>
        <v>1</v>
      </c>
      <c r="G507" s="336"/>
      <c r="H507" s="336"/>
      <c r="I507" s="336"/>
      <c r="J507" s="336"/>
      <c r="K507" s="336"/>
      <c r="L507" s="336"/>
      <c r="M507" s="336"/>
      <c r="N507" s="336"/>
      <c r="O507" s="336"/>
      <c r="P507" s="336"/>
      <c r="Q507" s="336"/>
      <c r="R507" s="336"/>
      <c r="S507" s="336"/>
      <c r="T507" s="336"/>
    </row>
    <row r="508" spans="1:20" x14ac:dyDescent="0.25">
      <c r="A508" s="336"/>
      <c r="B508" s="336"/>
      <c r="C508" s="336"/>
      <c r="D508" s="336"/>
      <c r="E508" s="336"/>
      <c r="F508" s="104" t="b">
        <f t="array" ref="F508">IF(_xlfn.NUMBERVALUE(RIGHT($E508,2))=MAX(IF(LEFT($E508:$E2506,11)=LEFT($E508,11),_xlfn.NUMBERVALUE(RIGHT($E508:$E2506,2)))),TRUE)</f>
        <v>1</v>
      </c>
      <c r="G508" s="336"/>
      <c r="H508" s="336"/>
      <c r="I508" s="336"/>
      <c r="J508" s="336"/>
      <c r="K508" s="336"/>
      <c r="L508" s="336"/>
      <c r="M508" s="336"/>
      <c r="N508" s="336"/>
      <c r="O508" s="336"/>
      <c r="P508" s="336"/>
      <c r="Q508" s="336"/>
      <c r="R508" s="336"/>
      <c r="S508" s="336"/>
      <c r="T508" s="336"/>
    </row>
    <row r="509" spans="1:20" x14ac:dyDescent="0.25">
      <c r="A509" s="336"/>
      <c r="B509" s="336"/>
      <c r="C509" s="336"/>
      <c r="D509" s="336"/>
      <c r="E509" s="336"/>
      <c r="F509" s="104" t="b">
        <f t="array" ref="F509">IF(_xlfn.NUMBERVALUE(RIGHT($E509,2))=MAX(IF(LEFT($E509:$E2507,11)=LEFT($E509,11),_xlfn.NUMBERVALUE(RIGHT($E509:$E2507,2)))),TRUE)</f>
        <v>1</v>
      </c>
      <c r="G509" s="336"/>
      <c r="H509" s="336"/>
      <c r="I509" s="336"/>
      <c r="J509" s="336"/>
      <c r="K509" s="336"/>
      <c r="L509" s="336"/>
      <c r="M509" s="336"/>
      <c r="N509" s="336"/>
      <c r="O509" s="336"/>
      <c r="P509" s="336"/>
      <c r="Q509" s="336"/>
      <c r="R509" s="336"/>
      <c r="S509" s="336"/>
      <c r="T509" s="336"/>
    </row>
    <row r="510" spans="1:20" x14ac:dyDescent="0.25">
      <c r="A510" s="336"/>
      <c r="B510" s="336"/>
      <c r="C510" s="336"/>
      <c r="D510" s="336"/>
      <c r="E510" s="336"/>
      <c r="F510" s="104" t="b">
        <f t="array" ref="F510">IF(_xlfn.NUMBERVALUE(RIGHT($E510,2))=MAX(IF(LEFT($E510:$E2508,11)=LEFT($E510,11),_xlfn.NUMBERVALUE(RIGHT($E510:$E2508,2)))),TRUE)</f>
        <v>1</v>
      </c>
      <c r="G510" s="336"/>
      <c r="H510" s="336"/>
      <c r="I510" s="336"/>
      <c r="J510" s="336"/>
      <c r="K510" s="336"/>
      <c r="L510" s="336"/>
      <c r="M510" s="336"/>
      <c r="N510" s="336"/>
      <c r="O510" s="336"/>
      <c r="P510" s="336"/>
      <c r="Q510" s="336"/>
      <c r="R510" s="336"/>
      <c r="S510" s="336"/>
      <c r="T510" s="336"/>
    </row>
    <row r="511" spans="1:20" x14ac:dyDescent="0.25">
      <c r="A511" s="336"/>
      <c r="B511" s="336"/>
      <c r="C511" s="336"/>
      <c r="D511" s="336"/>
      <c r="E511" s="336"/>
      <c r="F511" s="104" t="b">
        <f t="array" ref="F511">IF(_xlfn.NUMBERVALUE(RIGHT($E511,2))=MAX(IF(LEFT($E511:$E2509,11)=LEFT($E511,11),_xlfn.NUMBERVALUE(RIGHT($E511:$E2509,2)))),TRUE)</f>
        <v>1</v>
      </c>
      <c r="G511" s="336"/>
      <c r="H511" s="336"/>
      <c r="I511" s="336"/>
      <c r="J511" s="336"/>
      <c r="K511" s="336"/>
      <c r="L511" s="336"/>
      <c r="M511" s="336"/>
      <c r="N511" s="336"/>
      <c r="O511" s="336"/>
      <c r="P511" s="336"/>
      <c r="Q511" s="336"/>
      <c r="R511" s="336"/>
      <c r="S511" s="336"/>
      <c r="T511" s="336"/>
    </row>
    <row r="512" spans="1:20" x14ac:dyDescent="0.25">
      <c r="A512" s="336"/>
      <c r="B512" s="336"/>
      <c r="C512" s="336"/>
      <c r="D512" s="336"/>
      <c r="E512" s="336"/>
      <c r="F512" s="104" t="b">
        <f t="array" ref="F512">IF(_xlfn.NUMBERVALUE(RIGHT($E512,2))=MAX(IF(LEFT($E512:$E2510,11)=LEFT($E512,11),_xlfn.NUMBERVALUE(RIGHT($E512:$E2510,2)))),TRUE)</f>
        <v>1</v>
      </c>
      <c r="G512" s="336"/>
      <c r="H512" s="336"/>
      <c r="I512" s="336"/>
      <c r="J512" s="336"/>
      <c r="K512" s="336"/>
      <c r="L512" s="336"/>
      <c r="M512" s="336"/>
      <c r="N512" s="336"/>
      <c r="O512" s="336"/>
      <c r="P512" s="336"/>
      <c r="Q512" s="336"/>
      <c r="R512" s="336"/>
      <c r="S512" s="336"/>
      <c r="T512" s="336"/>
    </row>
    <row r="513" spans="1:20" x14ac:dyDescent="0.25">
      <c r="A513" s="336"/>
      <c r="B513" s="336"/>
      <c r="C513" s="336"/>
      <c r="D513" s="336"/>
      <c r="E513" s="336"/>
      <c r="F513" s="104" t="b">
        <f t="array" ref="F513">IF(_xlfn.NUMBERVALUE(RIGHT($E513,2))=MAX(IF(LEFT($E513:$E2511,11)=LEFT($E513,11),_xlfn.NUMBERVALUE(RIGHT($E513:$E2511,2)))),TRUE)</f>
        <v>1</v>
      </c>
      <c r="G513" s="336"/>
      <c r="H513" s="336"/>
      <c r="I513" s="336"/>
      <c r="J513" s="336"/>
      <c r="K513" s="336"/>
      <c r="L513" s="336"/>
      <c r="M513" s="336"/>
      <c r="N513" s="336"/>
      <c r="O513" s="336"/>
      <c r="P513" s="336"/>
      <c r="Q513" s="336"/>
      <c r="R513" s="336"/>
      <c r="S513" s="336"/>
      <c r="T513" s="336"/>
    </row>
    <row r="514" spans="1:20" x14ac:dyDescent="0.25">
      <c r="A514" s="336"/>
      <c r="B514" s="336"/>
      <c r="C514" s="336"/>
      <c r="D514" s="336"/>
      <c r="E514" s="336"/>
      <c r="F514" s="104" t="b">
        <f t="array" ref="F514">IF(_xlfn.NUMBERVALUE(RIGHT($E514,2))=MAX(IF(LEFT($E514:$E2512,11)=LEFT($E514,11),_xlfn.NUMBERVALUE(RIGHT($E514:$E2512,2)))),TRUE)</f>
        <v>1</v>
      </c>
      <c r="G514" s="336"/>
      <c r="H514" s="336"/>
      <c r="I514" s="336"/>
      <c r="J514" s="336"/>
      <c r="K514" s="336"/>
      <c r="L514" s="336"/>
      <c r="M514" s="336"/>
      <c r="N514" s="336"/>
      <c r="O514" s="336"/>
      <c r="P514" s="336"/>
      <c r="Q514" s="336"/>
      <c r="R514" s="336"/>
      <c r="S514" s="336"/>
      <c r="T514" s="336"/>
    </row>
    <row r="515" spans="1:20" x14ac:dyDescent="0.25">
      <c r="A515" s="336"/>
      <c r="B515" s="336"/>
      <c r="C515" s="336"/>
      <c r="D515" s="336"/>
      <c r="E515" s="336"/>
      <c r="F515" s="104" t="b">
        <f t="array" ref="F515">IF(_xlfn.NUMBERVALUE(RIGHT($E515,2))=MAX(IF(LEFT($E515:$E2513,11)=LEFT($E515,11),_xlfn.NUMBERVALUE(RIGHT($E515:$E2513,2)))),TRUE)</f>
        <v>1</v>
      </c>
      <c r="G515" s="336"/>
      <c r="H515" s="336"/>
      <c r="I515" s="336"/>
      <c r="J515" s="336"/>
      <c r="K515" s="336"/>
      <c r="L515" s="336"/>
      <c r="M515" s="336"/>
      <c r="N515" s="336"/>
      <c r="O515" s="336"/>
      <c r="P515" s="336"/>
      <c r="Q515" s="336"/>
      <c r="R515" s="336"/>
      <c r="S515" s="336"/>
      <c r="T515" s="336"/>
    </row>
    <row r="516" spans="1:20" x14ac:dyDescent="0.25">
      <c r="A516" s="336"/>
      <c r="B516" s="336"/>
      <c r="C516" s="336"/>
      <c r="D516" s="336"/>
      <c r="E516" s="336"/>
      <c r="F516" s="104" t="b">
        <f t="array" ref="F516">IF(_xlfn.NUMBERVALUE(RIGHT($E516,2))=MAX(IF(LEFT($E516:$E2514,11)=LEFT($E516,11),_xlfn.NUMBERVALUE(RIGHT($E516:$E2514,2)))),TRUE)</f>
        <v>1</v>
      </c>
      <c r="G516" s="336"/>
      <c r="H516" s="336"/>
      <c r="I516" s="336"/>
      <c r="J516" s="336"/>
      <c r="K516" s="336"/>
      <c r="L516" s="336"/>
      <c r="M516" s="336"/>
      <c r="N516" s="336"/>
      <c r="O516" s="336"/>
      <c r="P516" s="336"/>
      <c r="Q516" s="336"/>
      <c r="R516" s="336"/>
      <c r="S516" s="336"/>
      <c r="T516" s="336"/>
    </row>
    <row r="517" spans="1:20" x14ac:dyDescent="0.25">
      <c r="A517" s="336"/>
      <c r="B517" s="336"/>
      <c r="C517" s="336"/>
      <c r="D517" s="336"/>
      <c r="E517" s="336"/>
      <c r="F517" s="104" t="b">
        <f t="array" ref="F517">IF(_xlfn.NUMBERVALUE(RIGHT($E517,2))=MAX(IF(LEFT($E517:$E2515,11)=LEFT($E517,11),_xlfn.NUMBERVALUE(RIGHT($E517:$E2515,2)))),TRUE)</f>
        <v>1</v>
      </c>
      <c r="G517" s="336"/>
      <c r="H517" s="336"/>
      <c r="I517" s="336"/>
      <c r="J517" s="336"/>
      <c r="K517" s="336"/>
      <c r="L517" s="336"/>
      <c r="M517" s="336"/>
      <c r="N517" s="336"/>
      <c r="O517" s="336"/>
      <c r="P517" s="336"/>
      <c r="Q517" s="336"/>
      <c r="R517" s="336"/>
      <c r="S517" s="336"/>
      <c r="T517" s="336"/>
    </row>
    <row r="518" spans="1:20" x14ac:dyDescent="0.25">
      <c r="A518" s="336"/>
      <c r="B518" s="336"/>
      <c r="C518" s="336"/>
      <c r="D518" s="336"/>
      <c r="E518" s="336"/>
      <c r="F518" s="104" t="b">
        <f t="array" ref="F518">IF(_xlfn.NUMBERVALUE(RIGHT($E518,2))=MAX(IF(LEFT($E518:$E2516,11)=LEFT($E518,11),_xlfn.NUMBERVALUE(RIGHT($E518:$E2516,2)))),TRUE)</f>
        <v>1</v>
      </c>
      <c r="G518" s="336"/>
      <c r="H518" s="336"/>
      <c r="I518" s="336"/>
      <c r="J518" s="336"/>
      <c r="K518" s="336"/>
      <c r="L518" s="336"/>
      <c r="M518" s="336"/>
      <c r="N518" s="336"/>
      <c r="O518" s="336"/>
      <c r="P518" s="336"/>
      <c r="Q518" s="336"/>
      <c r="R518" s="336"/>
      <c r="S518" s="336"/>
      <c r="T518" s="336"/>
    </row>
    <row r="519" spans="1:20" x14ac:dyDescent="0.25">
      <c r="A519" s="336"/>
      <c r="B519" s="336"/>
      <c r="C519" s="336"/>
      <c r="D519" s="336"/>
      <c r="E519" s="336"/>
      <c r="F519" s="104" t="b">
        <f t="array" ref="F519">IF(_xlfn.NUMBERVALUE(RIGHT($E519,2))=MAX(IF(LEFT($E519:$E2517,11)=LEFT($E519,11),_xlfn.NUMBERVALUE(RIGHT($E519:$E2517,2)))),TRUE)</f>
        <v>1</v>
      </c>
      <c r="G519" s="336"/>
      <c r="H519" s="336"/>
      <c r="I519" s="336"/>
      <c r="J519" s="336"/>
      <c r="K519" s="336"/>
      <c r="L519" s="336"/>
      <c r="M519" s="336"/>
      <c r="N519" s="336"/>
      <c r="O519" s="336"/>
      <c r="P519" s="336"/>
      <c r="Q519" s="336"/>
      <c r="R519" s="336"/>
      <c r="S519" s="336"/>
      <c r="T519" s="336"/>
    </row>
    <row r="520" spans="1:20" x14ac:dyDescent="0.25">
      <c r="A520" s="336"/>
      <c r="B520" s="336"/>
      <c r="C520" s="336"/>
      <c r="D520" s="336"/>
      <c r="E520" s="336"/>
      <c r="F520" s="104" t="b">
        <f t="array" ref="F520">IF(_xlfn.NUMBERVALUE(RIGHT($E520,2))=MAX(IF(LEFT($E520:$E2518,11)=LEFT($E520,11),_xlfn.NUMBERVALUE(RIGHT($E520:$E2518,2)))),TRUE)</f>
        <v>1</v>
      </c>
      <c r="G520" s="336"/>
      <c r="H520" s="336"/>
      <c r="I520" s="336"/>
      <c r="J520" s="336"/>
      <c r="K520" s="336"/>
      <c r="L520" s="336"/>
      <c r="M520" s="336"/>
      <c r="N520" s="336"/>
      <c r="O520" s="336"/>
      <c r="P520" s="336"/>
      <c r="Q520" s="336"/>
      <c r="R520" s="336"/>
      <c r="S520" s="336"/>
      <c r="T520" s="336"/>
    </row>
    <row r="521" spans="1:20" x14ac:dyDescent="0.25">
      <c r="A521" s="336"/>
      <c r="B521" s="336"/>
      <c r="C521" s="336"/>
      <c r="D521" s="336"/>
      <c r="E521" s="336"/>
      <c r="F521" s="104" t="b">
        <f t="array" ref="F521">IF(_xlfn.NUMBERVALUE(RIGHT($E521,2))=MAX(IF(LEFT($E521:$E2519,11)=LEFT($E521,11),_xlfn.NUMBERVALUE(RIGHT($E521:$E2519,2)))),TRUE)</f>
        <v>1</v>
      </c>
      <c r="G521" s="336"/>
      <c r="H521" s="336"/>
      <c r="I521" s="336"/>
      <c r="J521" s="336"/>
      <c r="K521" s="336"/>
      <c r="L521" s="336"/>
      <c r="M521" s="336"/>
      <c r="N521" s="336"/>
      <c r="O521" s="336"/>
      <c r="P521" s="336"/>
      <c r="Q521" s="336"/>
      <c r="R521" s="336"/>
      <c r="S521" s="336"/>
      <c r="T521" s="336"/>
    </row>
    <row r="522" spans="1:20" x14ac:dyDescent="0.25">
      <c r="A522" s="336"/>
      <c r="B522" s="336"/>
      <c r="C522" s="336"/>
      <c r="D522" s="336"/>
      <c r="E522" s="336"/>
      <c r="F522" s="104" t="b">
        <f t="array" ref="F522">IF(_xlfn.NUMBERVALUE(RIGHT($E522,2))=MAX(IF(LEFT($E522:$E2520,11)=LEFT($E522,11),_xlfn.NUMBERVALUE(RIGHT($E522:$E2520,2)))),TRUE)</f>
        <v>1</v>
      </c>
      <c r="G522" s="336"/>
      <c r="H522" s="336"/>
      <c r="I522" s="336"/>
      <c r="J522" s="336"/>
      <c r="K522" s="336"/>
      <c r="L522" s="336"/>
      <c r="M522" s="336"/>
      <c r="N522" s="336"/>
      <c r="O522" s="336"/>
      <c r="P522" s="336"/>
      <c r="Q522" s="336"/>
      <c r="R522" s="336"/>
      <c r="S522" s="336"/>
      <c r="T522" s="336"/>
    </row>
    <row r="523" spans="1:20" x14ac:dyDescent="0.25">
      <c r="A523" s="336"/>
      <c r="B523" s="336"/>
      <c r="C523" s="336"/>
      <c r="D523" s="336"/>
      <c r="E523" s="336"/>
      <c r="F523" s="104" t="b">
        <f t="array" ref="F523">IF(_xlfn.NUMBERVALUE(RIGHT($E523,2))=MAX(IF(LEFT($E523:$E2521,11)=LEFT($E523,11),_xlfn.NUMBERVALUE(RIGHT($E523:$E2521,2)))),TRUE)</f>
        <v>1</v>
      </c>
      <c r="G523" s="336"/>
      <c r="H523" s="336"/>
      <c r="I523" s="336"/>
      <c r="J523" s="336"/>
      <c r="K523" s="336"/>
      <c r="L523" s="336"/>
      <c r="M523" s="336"/>
      <c r="N523" s="336"/>
      <c r="O523" s="336"/>
      <c r="P523" s="336"/>
      <c r="Q523" s="336"/>
      <c r="R523" s="336"/>
      <c r="S523" s="336"/>
      <c r="T523" s="336"/>
    </row>
    <row r="524" spans="1:20" x14ac:dyDescent="0.25">
      <c r="A524" s="336"/>
      <c r="B524" s="336"/>
      <c r="C524" s="336"/>
      <c r="D524" s="336"/>
      <c r="E524" s="336"/>
      <c r="F524" s="104" t="b">
        <f t="array" ref="F524">IF(_xlfn.NUMBERVALUE(RIGHT($E524,2))=MAX(IF(LEFT($E524:$E2522,11)=LEFT($E524,11),_xlfn.NUMBERVALUE(RIGHT($E524:$E2522,2)))),TRUE)</f>
        <v>1</v>
      </c>
      <c r="G524" s="336"/>
      <c r="H524" s="336"/>
      <c r="I524" s="336"/>
      <c r="J524" s="336"/>
      <c r="K524" s="336"/>
      <c r="L524" s="336"/>
      <c r="M524" s="336"/>
      <c r="N524" s="336"/>
      <c r="O524" s="336"/>
      <c r="P524" s="336"/>
      <c r="Q524" s="336"/>
      <c r="R524" s="336"/>
      <c r="S524" s="336"/>
      <c r="T524" s="336"/>
    </row>
    <row r="525" spans="1:20" x14ac:dyDescent="0.25">
      <c r="A525" s="336"/>
      <c r="B525" s="336"/>
      <c r="C525" s="336"/>
      <c r="D525" s="336"/>
      <c r="E525" s="336"/>
      <c r="F525" s="104" t="b">
        <f t="array" ref="F525">IF(_xlfn.NUMBERVALUE(RIGHT($E525,2))=MAX(IF(LEFT($E525:$E2523,11)=LEFT($E525,11),_xlfn.NUMBERVALUE(RIGHT($E525:$E2523,2)))),TRUE)</f>
        <v>1</v>
      </c>
      <c r="G525" s="336"/>
      <c r="H525" s="336"/>
      <c r="I525" s="336"/>
      <c r="J525" s="336"/>
      <c r="K525" s="336"/>
      <c r="L525" s="336"/>
      <c r="M525" s="336"/>
      <c r="N525" s="336"/>
      <c r="O525" s="336"/>
      <c r="P525" s="336"/>
      <c r="Q525" s="336"/>
      <c r="R525" s="336"/>
      <c r="S525" s="336"/>
      <c r="T525" s="336"/>
    </row>
    <row r="526" spans="1:20" x14ac:dyDescent="0.25">
      <c r="A526" s="336"/>
      <c r="B526" s="336"/>
      <c r="C526" s="336"/>
      <c r="D526" s="336"/>
      <c r="E526" s="336"/>
      <c r="F526" s="104" t="b">
        <f t="array" ref="F526">IF(_xlfn.NUMBERVALUE(RIGHT($E526,2))=MAX(IF(LEFT($E526:$E2524,11)=LEFT($E526,11),_xlfn.NUMBERVALUE(RIGHT($E526:$E2524,2)))),TRUE)</f>
        <v>1</v>
      </c>
      <c r="G526" s="336"/>
      <c r="H526" s="336"/>
      <c r="I526" s="336"/>
      <c r="J526" s="336"/>
      <c r="K526" s="336"/>
      <c r="L526" s="336"/>
      <c r="M526" s="336"/>
      <c r="N526" s="336"/>
      <c r="O526" s="336"/>
      <c r="P526" s="336"/>
      <c r="Q526" s="336"/>
      <c r="R526" s="336"/>
      <c r="S526" s="336"/>
      <c r="T526" s="336"/>
    </row>
    <row r="527" spans="1:20" x14ac:dyDescent="0.25">
      <c r="A527" s="336"/>
      <c r="B527" s="336"/>
      <c r="C527" s="336"/>
      <c r="D527" s="336"/>
      <c r="E527" s="336"/>
      <c r="F527" s="104" t="b">
        <f t="array" ref="F527">IF(_xlfn.NUMBERVALUE(RIGHT($E527,2))=MAX(IF(LEFT($E527:$E2525,11)=LEFT($E527,11),_xlfn.NUMBERVALUE(RIGHT($E527:$E2525,2)))),TRUE)</f>
        <v>1</v>
      </c>
      <c r="G527" s="336"/>
      <c r="H527" s="336"/>
      <c r="I527" s="336"/>
      <c r="J527" s="336"/>
      <c r="K527" s="336"/>
      <c r="L527" s="336"/>
      <c r="M527" s="336"/>
      <c r="N527" s="336"/>
      <c r="O527" s="336"/>
      <c r="P527" s="336"/>
      <c r="Q527" s="336"/>
      <c r="R527" s="336"/>
      <c r="S527" s="336"/>
      <c r="T527" s="336"/>
    </row>
    <row r="528" spans="1:20" x14ac:dyDescent="0.25">
      <c r="A528" s="336"/>
      <c r="B528" s="336"/>
      <c r="C528" s="336"/>
      <c r="D528" s="336"/>
      <c r="E528" s="336"/>
      <c r="F528" s="104" t="b">
        <f t="array" ref="F528">IF(_xlfn.NUMBERVALUE(RIGHT($E528,2))=MAX(IF(LEFT($E528:$E2526,11)=LEFT($E528,11),_xlfn.NUMBERVALUE(RIGHT($E528:$E2526,2)))),TRUE)</f>
        <v>1</v>
      </c>
      <c r="G528" s="336"/>
      <c r="H528" s="336"/>
      <c r="I528" s="336"/>
      <c r="J528" s="336"/>
      <c r="K528" s="336"/>
      <c r="L528" s="336"/>
      <c r="M528" s="336"/>
      <c r="N528" s="336"/>
      <c r="O528" s="336"/>
      <c r="P528" s="336"/>
      <c r="Q528" s="336"/>
      <c r="R528" s="336"/>
      <c r="S528" s="336"/>
      <c r="T528" s="336"/>
    </row>
    <row r="529" spans="1:20" x14ac:dyDescent="0.25">
      <c r="A529" s="336"/>
      <c r="B529" s="336"/>
      <c r="C529" s="336"/>
      <c r="D529" s="336"/>
      <c r="E529" s="336"/>
      <c r="F529" s="104" t="b">
        <f t="array" ref="F529">IF(_xlfn.NUMBERVALUE(RIGHT($E529,2))=MAX(IF(LEFT($E529:$E2527,11)=LEFT($E529,11),_xlfn.NUMBERVALUE(RIGHT($E529:$E2527,2)))),TRUE)</f>
        <v>1</v>
      </c>
      <c r="G529" s="336"/>
      <c r="H529" s="336"/>
      <c r="I529" s="336"/>
      <c r="J529" s="336"/>
      <c r="K529" s="336"/>
      <c r="L529" s="336"/>
      <c r="M529" s="336"/>
      <c r="N529" s="336"/>
      <c r="O529" s="336"/>
      <c r="P529" s="336"/>
      <c r="Q529" s="336"/>
      <c r="R529" s="336"/>
      <c r="S529" s="336"/>
      <c r="T529" s="336"/>
    </row>
    <row r="530" spans="1:20" x14ac:dyDescent="0.25">
      <c r="A530" s="336"/>
      <c r="B530" s="336"/>
      <c r="C530" s="336"/>
      <c r="D530" s="336"/>
      <c r="E530" s="336"/>
      <c r="F530" s="104" t="b">
        <f t="array" ref="F530">IF(_xlfn.NUMBERVALUE(RIGHT($E530,2))=MAX(IF(LEFT($E530:$E2528,11)=LEFT($E530,11),_xlfn.NUMBERVALUE(RIGHT($E530:$E2528,2)))),TRUE)</f>
        <v>1</v>
      </c>
      <c r="G530" s="336"/>
      <c r="H530" s="336"/>
      <c r="I530" s="336"/>
      <c r="J530" s="336"/>
      <c r="K530" s="336"/>
      <c r="L530" s="336"/>
      <c r="M530" s="336"/>
      <c r="N530" s="336"/>
      <c r="O530" s="336"/>
      <c r="P530" s="336"/>
      <c r="Q530" s="336"/>
      <c r="R530" s="336"/>
      <c r="S530" s="336"/>
      <c r="T530" s="336"/>
    </row>
    <row r="531" spans="1:20" x14ac:dyDescent="0.25">
      <c r="A531" s="336"/>
      <c r="B531" s="336"/>
      <c r="C531" s="336"/>
      <c r="D531" s="336"/>
      <c r="E531" s="336"/>
      <c r="F531" s="104" t="b">
        <f t="array" ref="F531">IF(_xlfn.NUMBERVALUE(RIGHT($E531,2))=MAX(IF(LEFT($E531:$E2529,11)=LEFT($E531,11),_xlfn.NUMBERVALUE(RIGHT($E531:$E2529,2)))),TRUE)</f>
        <v>1</v>
      </c>
      <c r="G531" s="336"/>
      <c r="H531" s="336"/>
      <c r="I531" s="336"/>
      <c r="J531" s="336"/>
      <c r="K531" s="336"/>
      <c r="L531" s="336"/>
      <c r="M531" s="336"/>
      <c r="N531" s="336"/>
      <c r="O531" s="336"/>
      <c r="P531" s="336"/>
      <c r="Q531" s="336"/>
      <c r="R531" s="336"/>
      <c r="S531" s="336"/>
      <c r="T531" s="336"/>
    </row>
    <row r="532" spans="1:20" x14ac:dyDescent="0.25">
      <c r="A532" s="336"/>
      <c r="B532" s="336"/>
      <c r="C532" s="336"/>
      <c r="D532" s="336"/>
      <c r="E532" s="336"/>
      <c r="F532" s="104" t="b">
        <f t="array" ref="F532">IF(_xlfn.NUMBERVALUE(RIGHT($E532,2))=MAX(IF(LEFT($E532:$E2530,11)=LEFT($E532,11),_xlfn.NUMBERVALUE(RIGHT($E532:$E2530,2)))),TRUE)</f>
        <v>1</v>
      </c>
      <c r="G532" s="336"/>
      <c r="H532" s="336"/>
      <c r="I532" s="336"/>
      <c r="J532" s="336"/>
      <c r="K532" s="336"/>
      <c r="L532" s="336"/>
      <c r="M532" s="336"/>
      <c r="N532" s="336"/>
      <c r="O532" s="336"/>
      <c r="P532" s="336"/>
      <c r="Q532" s="336"/>
      <c r="R532" s="336"/>
      <c r="S532" s="336"/>
      <c r="T532" s="336"/>
    </row>
    <row r="533" spans="1:20" x14ac:dyDescent="0.25">
      <c r="A533" s="336"/>
      <c r="B533" s="336"/>
      <c r="C533" s="336"/>
      <c r="D533" s="336"/>
      <c r="E533" s="336"/>
      <c r="F533" s="104" t="b">
        <f t="array" ref="F533">IF(_xlfn.NUMBERVALUE(RIGHT($E533,2))=MAX(IF(LEFT($E533:$E2531,11)=LEFT($E533,11),_xlfn.NUMBERVALUE(RIGHT($E533:$E2531,2)))),TRUE)</f>
        <v>1</v>
      </c>
      <c r="G533" s="336"/>
      <c r="H533" s="336"/>
      <c r="I533" s="336"/>
      <c r="J533" s="336"/>
      <c r="K533" s="336"/>
      <c r="L533" s="336"/>
      <c r="M533" s="336"/>
      <c r="N533" s="336"/>
      <c r="O533" s="336"/>
      <c r="P533" s="336"/>
      <c r="Q533" s="336"/>
      <c r="R533" s="336"/>
      <c r="S533" s="336"/>
      <c r="T533" s="336"/>
    </row>
    <row r="534" spans="1:20" x14ac:dyDescent="0.25">
      <c r="A534" s="336"/>
      <c r="B534" s="336"/>
      <c r="C534" s="336"/>
      <c r="D534" s="336"/>
      <c r="E534" s="336"/>
      <c r="F534" s="104" t="b">
        <f t="array" ref="F534">IF(_xlfn.NUMBERVALUE(RIGHT($E534,2))=MAX(IF(LEFT($E534:$E2532,11)=LEFT($E534,11),_xlfn.NUMBERVALUE(RIGHT($E534:$E2532,2)))),TRUE)</f>
        <v>1</v>
      </c>
      <c r="G534" s="336"/>
      <c r="H534" s="336"/>
      <c r="I534" s="336"/>
      <c r="J534" s="336"/>
      <c r="K534" s="336"/>
      <c r="L534" s="336"/>
      <c r="M534" s="336"/>
      <c r="N534" s="336"/>
      <c r="O534" s="336"/>
      <c r="P534" s="336"/>
      <c r="Q534" s="336"/>
      <c r="R534" s="336"/>
      <c r="S534" s="336"/>
      <c r="T534" s="336"/>
    </row>
    <row r="535" spans="1:20" x14ac:dyDescent="0.25">
      <c r="A535" s="336"/>
      <c r="B535" s="336"/>
      <c r="C535" s="336"/>
      <c r="D535" s="336"/>
      <c r="E535" s="336"/>
      <c r="F535" s="104" t="b">
        <f t="array" ref="F535">IF(_xlfn.NUMBERVALUE(RIGHT($E535,2))=MAX(IF(LEFT($E535:$E2533,11)=LEFT($E535,11),_xlfn.NUMBERVALUE(RIGHT($E535:$E2533,2)))),TRUE)</f>
        <v>1</v>
      </c>
      <c r="G535" s="336"/>
      <c r="H535" s="336"/>
      <c r="I535" s="336"/>
      <c r="J535" s="336"/>
      <c r="K535" s="336"/>
      <c r="L535" s="336"/>
      <c r="M535" s="336"/>
      <c r="N535" s="336"/>
      <c r="O535" s="336"/>
      <c r="P535" s="336"/>
      <c r="Q535" s="336"/>
      <c r="R535" s="336"/>
      <c r="S535" s="336"/>
      <c r="T535" s="336"/>
    </row>
    <row r="536" spans="1:20" x14ac:dyDescent="0.25">
      <c r="A536" s="336"/>
      <c r="B536" s="336"/>
      <c r="C536" s="336"/>
      <c r="D536" s="336"/>
      <c r="E536" s="336"/>
      <c r="F536" s="104" t="b">
        <f t="array" ref="F536">IF(_xlfn.NUMBERVALUE(RIGHT($E536,2))=MAX(IF(LEFT($E536:$E2534,11)=LEFT($E536,11),_xlfn.NUMBERVALUE(RIGHT($E536:$E2534,2)))),TRUE)</f>
        <v>1</v>
      </c>
      <c r="G536" s="336"/>
      <c r="H536" s="336"/>
      <c r="I536" s="336"/>
      <c r="J536" s="336"/>
      <c r="K536" s="336"/>
      <c r="L536" s="336"/>
      <c r="M536" s="336"/>
      <c r="N536" s="336"/>
      <c r="O536" s="336"/>
      <c r="P536" s="336"/>
      <c r="Q536" s="336"/>
      <c r="R536" s="336"/>
      <c r="S536" s="336"/>
      <c r="T536" s="336"/>
    </row>
    <row r="537" spans="1:20" x14ac:dyDescent="0.25">
      <c r="A537" s="336"/>
      <c r="B537" s="336"/>
      <c r="C537" s="336"/>
      <c r="D537" s="336"/>
      <c r="E537" s="336"/>
      <c r="F537" s="104" t="b">
        <f t="array" ref="F537">IF(_xlfn.NUMBERVALUE(RIGHT($E537,2))=MAX(IF(LEFT($E537:$E2535,11)=LEFT($E537,11),_xlfn.NUMBERVALUE(RIGHT($E537:$E2535,2)))),TRUE)</f>
        <v>1</v>
      </c>
      <c r="G537" s="336"/>
      <c r="H537" s="336"/>
      <c r="I537" s="336"/>
      <c r="J537" s="336"/>
      <c r="K537" s="336"/>
      <c r="L537" s="336"/>
      <c r="M537" s="336"/>
      <c r="N537" s="336"/>
      <c r="O537" s="336"/>
      <c r="P537" s="336"/>
      <c r="Q537" s="336"/>
      <c r="R537" s="336"/>
      <c r="S537" s="336"/>
      <c r="T537" s="336"/>
    </row>
    <row r="538" spans="1:20" x14ac:dyDescent="0.25">
      <c r="A538" s="336"/>
      <c r="B538" s="336"/>
      <c r="C538" s="336"/>
      <c r="D538" s="336"/>
      <c r="E538" s="336"/>
      <c r="F538" s="104" t="b">
        <f t="array" ref="F538">IF(_xlfn.NUMBERVALUE(RIGHT($E538,2))=MAX(IF(LEFT($E538:$E2536,11)=LEFT($E538,11),_xlfn.NUMBERVALUE(RIGHT($E538:$E2536,2)))),TRUE)</f>
        <v>1</v>
      </c>
      <c r="G538" s="336"/>
      <c r="H538" s="336"/>
      <c r="I538" s="336"/>
      <c r="J538" s="336"/>
      <c r="K538" s="336"/>
      <c r="L538" s="336"/>
      <c r="M538" s="336"/>
      <c r="N538" s="336"/>
      <c r="O538" s="336"/>
      <c r="P538" s="336"/>
      <c r="Q538" s="336"/>
      <c r="R538" s="336"/>
      <c r="S538" s="336"/>
      <c r="T538" s="336"/>
    </row>
    <row r="539" spans="1:20" x14ac:dyDescent="0.25">
      <c r="A539" s="336"/>
      <c r="B539" s="336"/>
      <c r="C539" s="336"/>
      <c r="D539" s="336"/>
      <c r="E539" s="336"/>
      <c r="F539" s="104" t="b">
        <f t="array" ref="F539">IF(_xlfn.NUMBERVALUE(RIGHT($E539,2))=MAX(IF(LEFT($E539:$E2537,11)=LEFT($E539,11),_xlfn.NUMBERVALUE(RIGHT($E539:$E2537,2)))),TRUE)</f>
        <v>1</v>
      </c>
      <c r="G539" s="336"/>
      <c r="H539" s="336"/>
      <c r="I539" s="336"/>
      <c r="J539" s="336"/>
      <c r="K539" s="336"/>
      <c r="L539" s="336"/>
      <c r="M539" s="336"/>
      <c r="N539" s="336"/>
      <c r="O539" s="336"/>
      <c r="P539" s="336"/>
      <c r="Q539" s="336"/>
      <c r="R539" s="336"/>
      <c r="S539" s="336"/>
      <c r="T539" s="336"/>
    </row>
    <row r="540" spans="1:20" x14ac:dyDescent="0.25">
      <c r="A540" s="336"/>
      <c r="B540" s="336"/>
      <c r="C540" s="336"/>
      <c r="D540" s="336"/>
      <c r="E540" s="336"/>
      <c r="F540" s="104" t="b">
        <f t="array" ref="F540">IF(_xlfn.NUMBERVALUE(RIGHT($E540,2))=MAX(IF(LEFT($E540:$E2538,11)=LEFT($E540,11),_xlfn.NUMBERVALUE(RIGHT($E540:$E2538,2)))),TRUE)</f>
        <v>1</v>
      </c>
      <c r="G540" s="336"/>
      <c r="H540" s="336"/>
      <c r="I540" s="336"/>
      <c r="J540" s="336"/>
      <c r="K540" s="336"/>
      <c r="L540" s="336"/>
      <c r="M540" s="336"/>
      <c r="N540" s="336"/>
      <c r="O540" s="336"/>
      <c r="P540" s="336"/>
      <c r="Q540" s="336"/>
      <c r="R540" s="336"/>
      <c r="S540" s="336"/>
      <c r="T540" s="336"/>
    </row>
    <row r="541" spans="1:20" x14ac:dyDescent="0.25">
      <c r="A541" s="336"/>
      <c r="B541" s="336"/>
      <c r="C541" s="336"/>
      <c r="D541" s="336"/>
      <c r="E541" s="336"/>
      <c r="F541" s="104" t="b">
        <f t="array" ref="F541">IF(_xlfn.NUMBERVALUE(RIGHT($E541,2))=MAX(IF(LEFT($E541:$E2539,11)=LEFT($E541,11),_xlfn.NUMBERVALUE(RIGHT($E541:$E2539,2)))),TRUE)</f>
        <v>1</v>
      </c>
      <c r="G541" s="336"/>
      <c r="H541" s="336"/>
      <c r="I541" s="336"/>
      <c r="J541" s="336"/>
      <c r="K541" s="336"/>
      <c r="L541" s="336"/>
      <c r="M541" s="336"/>
      <c r="N541" s="336"/>
      <c r="O541" s="336"/>
      <c r="P541" s="336"/>
      <c r="Q541" s="336"/>
      <c r="R541" s="336"/>
      <c r="S541" s="336"/>
      <c r="T541" s="336"/>
    </row>
    <row r="542" spans="1:20" x14ac:dyDescent="0.25">
      <c r="A542" s="336"/>
      <c r="B542" s="336"/>
      <c r="C542" s="336"/>
      <c r="D542" s="336"/>
      <c r="E542" s="336"/>
      <c r="F542" s="104" t="b">
        <f t="array" ref="F542">IF(_xlfn.NUMBERVALUE(RIGHT($E542,2))=MAX(IF(LEFT($E542:$E2540,11)=LEFT($E542,11),_xlfn.NUMBERVALUE(RIGHT($E542:$E2540,2)))),TRUE)</f>
        <v>1</v>
      </c>
      <c r="G542" s="336"/>
      <c r="H542" s="336"/>
      <c r="I542" s="336"/>
      <c r="J542" s="336"/>
      <c r="K542" s="336"/>
      <c r="L542" s="336"/>
      <c r="M542" s="336"/>
      <c r="N542" s="336"/>
      <c r="O542" s="336"/>
      <c r="P542" s="336"/>
      <c r="Q542" s="336"/>
      <c r="R542" s="336"/>
      <c r="S542" s="336"/>
      <c r="T542" s="336"/>
    </row>
    <row r="543" spans="1:20" x14ac:dyDescent="0.25">
      <c r="A543" s="336"/>
      <c r="B543" s="336"/>
      <c r="C543" s="336"/>
      <c r="D543" s="336"/>
      <c r="E543" s="336"/>
      <c r="F543" s="104" t="b">
        <f t="array" ref="F543">IF(_xlfn.NUMBERVALUE(RIGHT($E543,2))=MAX(IF(LEFT($E543:$E2541,11)=LEFT($E543,11),_xlfn.NUMBERVALUE(RIGHT($E543:$E2541,2)))),TRUE)</f>
        <v>1</v>
      </c>
      <c r="G543" s="336"/>
      <c r="H543" s="336"/>
      <c r="I543" s="336"/>
      <c r="J543" s="336"/>
      <c r="K543" s="336"/>
      <c r="L543" s="336"/>
      <c r="M543" s="336"/>
      <c r="N543" s="336"/>
      <c r="O543" s="336"/>
      <c r="P543" s="336"/>
      <c r="Q543" s="336"/>
      <c r="R543" s="336"/>
      <c r="S543" s="336"/>
      <c r="T543" s="336"/>
    </row>
    <row r="544" spans="1:20" x14ac:dyDescent="0.25">
      <c r="A544" s="336"/>
      <c r="B544" s="336"/>
      <c r="C544" s="336"/>
      <c r="D544" s="336"/>
      <c r="E544" s="336"/>
      <c r="F544" s="104" t="b">
        <f t="array" ref="F544">IF(_xlfn.NUMBERVALUE(RIGHT($E544,2))=MAX(IF(LEFT($E544:$E2542,11)=LEFT($E544,11),_xlfn.NUMBERVALUE(RIGHT($E544:$E2542,2)))),TRUE)</f>
        <v>1</v>
      </c>
      <c r="G544" s="336"/>
      <c r="H544" s="336"/>
      <c r="I544" s="336"/>
      <c r="J544" s="336"/>
      <c r="K544" s="336"/>
      <c r="L544" s="336"/>
      <c r="M544" s="336"/>
      <c r="N544" s="336"/>
      <c r="O544" s="336"/>
      <c r="P544" s="336"/>
      <c r="Q544" s="336"/>
      <c r="R544" s="336"/>
      <c r="S544" s="336"/>
      <c r="T544" s="336"/>
    </row>
    <row r="545" spans="1:20" x14ac:dyDescent="0.25">
      <c r="A545" s="336"/>
      <c r="B545" s="336"/>
      <c r="C545" s="336"/>
      <c r="D545" s="336"/>
      <c r="E545" s="336"/>
      <c r="F545" s="104" t="b">
        <f t="array" ref="F545">IF(_xlfn.NUMBERVALUE(RIGHT($E545,2))=MAX(IF(LEFT($E545:$E2543,11)=LEFT($E545,11),_xlfn.NUMBERVALUE(RIGHT($E545:$E2543,2)))),TRUE)</f>
        <v>1</v>
      </c>
      <c r="G545" s="336"/>
      <c r="H545" s="336"/>
      <c r="I545" s="336"/>
      <c r="J545" s="336"/>
      <c r="K545" s="336"/>
      <c r="L545" s="336"/>
      <c r="M545" s="336"/>
      <c r="N545" s="336"/>
      <c r="O545" s="336"/>
      <c r="P545" s="336"/>
      <c r="Q545" s="336"/>
      <c r="R545" s="336"/>
      <c r="S545" s="336"/>
      <c r="T545" s="336"/>
    </row>
    <row r="546" spans="1:20" x14ac:dyDescent="0.25">
      <c r="A546" s="336"/>
      <c r="B546" s="336"/>
      <c r="C546" s="336"/>
      <c r="D546" s="336"/>
      <c r="E546" s="336"/>
      <c r="F546" s="104" t="b">
        <f t="array" ref="F546">IF(_xlfn.NUMBERVALUE(RIGHT($E546,2))=MAX(IF(LEFT($E546:$E2544,11)=LEFT($E546,11),_xlfn.NUMBERVALUE(RIGHT($E546:$E2544,2)))),TRUE)</f>
        <v>1</v>
      </c>
      <c r="G546" s="336"/>
      <c r="H546" s="336"/>
      <c r="I546" s="336"/>
      <c r="J546" s="336"/>
      <c r="K546" s="336"/>
      <c r="L546" s="336"/>
      <c r="M546" s="336"/>
      <c r="N546" s="336"/>
      <c r="O546" s="336"/>
      <c r="P546" s="336"/>
      <c r="Q546" s="336"/>
      <c r="R546" s="336"/>
      <c r="S546" s="336"/>
      <c r="T546" s="336"/>
    </row>
    <row r="547" spans="1:20" x14ac:dyDescent="0.25">
      <c r="A547" s="336"/>
      <c r="B547" s="336"/>
      <c r="C547" s="336"/>
      <c r="D547" s="336"/>
      <c r="E547" s="336"/>
      <c r="F547" s="104" t="b">
        <f t="array" ref="F547">IF(_xlfn.NUMBERVALUE(RIGHT($E547,2))=MAX(IF(LEFT($E547:$E2545,11)=LEFT($E547,11),_xlfn.NUMBERVALUE(RIGHT($E547:$E2545,2)))),TRUE)</f>
        <v>1</v>
      </c>
      <c r="G547" s="336"/>
      <c r="H547" s="336"/>
      <c r="I547" s="336"/>
      <c r="J547" s="336"/>
      <c r="K547" s="336"/>
      <c r="L547" s="336"/>
      <c r="M547" s="336"/>
      <c r="N547" s="336"/>
      <c r="O547" s="336"/>
      <c r="P547" s="336"/>
      <c r="Q547" s="336"/>
      <c r="R547" s="336"/>
      <c r="S547" s="336"/>
      <c r="T547" s="336"/>
    </row>
    <row r="548" spans="1:20" x14ac:dyDescent="0.25">
      <c r="A548" s="336"/>
      <c r="B548" s="336"/>
      <c r="C548" s="336"/>
      <c r="D548" s="336"/>
      <c r="E548" s="336"/>
      <c r="F548" s="104" t="b">
        <f t="array" ref="F548">IF(_xlfn.NUMBERVALUE(RIGHT($E548,2))=MAX(IF(LEFT($E548:$E2546,11)=LEFT($E548,11),_xlfn.NUMBERVALUE(RIGHT($E548:$E2546,2)))),TRUE)</f>
        <v>1</v>
      </c>
      <c r="G548" s="336"/>
      <c r="H548" s="336"/>
      <c r="I548" s="336"/>
      <c r="J548" s="336"/>
      <c r="K548" s="336"/>
      <c r="L548" s="336"/>
      <c r="M548" s="336"/>
      <c r="N548" s="336"/>
      <c r="O548" s="336"/>
      <c r="P548" s="336"/>
      <c r="Q548" s="336"/>
      <c r="R548" s="336"/>
      <c r="S548" s="336"/>
      <c r="T548" s="336"/>
    </row>
    <row r="549" spans="1:20" x14ac:dyDescent="0.25">
      <c r="A549" s="336"/>
      <c r="B549" s="336"/>
      <c r="C549" s="336"/>
      <c r="D549" s="336"/>
      <c r="E549" s="336"/>
      <c r="F549" s="104" t="b">
        <f t="array" ref="F549">IF(_xlfn.NUMBERVALUE(RIGHT($E549,2))=MAX(IF(LEFT($E549:$E2547,11)=LEFT($E549,11),_xlfn.NUMBERVALUE(RIGHT($E549:$E2547,2)))),TRUE)</f>
        <v>1</v>
      </c>
      <c r="G549" s="336"/>
      <c r="H549" s="336"/>
      <c r="I549" s="336"/>
      <c r="J549" s="336"/>
      <c r="K549" s="336"/>
      <c r="L549" s="336"/>
      <c r="M549" s="336"/>
      <c r="N549" s="336"/>
      <c r="O549" s="336"/>
      <c r="P549" s="336"/>
      <c r="Q549" s="336"/>
      <c r="R549" s="336"/>
      <c r="S549" s="336"/>
      <c r="T549" s="336"/>
    </row>
    <row r="550" spans="1:20" x14ac:dyDescent="0.25">
      <c r="A550" s="336"/>
      <c r="B550" s="336"/>
      <c r="C550" s="336"/>
      <c r="D550" s="336"/>
      <c r="E550" s="336"/>
      <c r="F550" s="104" t="b">
        <f t="array" ref="F550">IF(_xlfn.NUMBERVALUE(RIGHT($E550,2))=MAX(IF(LEFT($E550:$E2548,11)=LEFT($E550,11),_xlfn.NUMBERVALUE(RIGHT($E550:$E2548,2)))),TRUE)</f>
        <v>1</v>
      </c>
      <c r="G550" s="336"/>
      <c r="H550" s="336"/>
      <c r="I550" s="336"/>
      <c r="J550" s="336"/>
      <c r="K550" s="336"/>
      <c r="L550" s="336"/>
      <c r="M550" s="336"/>
      <c r="N550" s="336"/>
      <c r="O550" s="336"/>
      <c r="P550" s="336"/>
      <c r="Q550" s="336"/>
      <c r="R550" s="336"/>
      <c r="S550" s="336"/>
      <c r="T550" s="336"/>
    </row>
    <row r="551" spans="1:20" x14ac:dyDescent="0.25">
      <c r="A551" s="336"/>
      <c r="B551" s="336"/>
      <c r="C551" s="336"/>
      <c r="D551" s="336"/>
      <c r="E551" s="336"/>
      <c r="F551" s="104" t="b">
        <f t="array" ref="F551">IF(_xlfn.NUMBERVALUE(RIGHT($E551,2))=MAX(IF(LEFT($E551:$E2549,11)=LEFT($E551,11),_xlfn.NUMBERVALUE(RIGHT($E551:$E2549,2)))),TRUE)</f>
        <v>1</v>
      </c>
      <c r="G551" s="336"/>
      <c r="H551" s="336"/>
      <c r="I551" s="336"/>
      <c r="J551" s="336"/>
      <c r="K551" s="336"/>
      <c r="L551" s="336"/>
      <c r="M551" s="336"/>
      <c r="N551" s="336"/>
      <c r="O551" s="336"/>
      <c r="P551" s="336"/>
      <c r="Q551" s="336"/>
      <c r="R551" s="336"/>
      <c r="S551" s="336"/>
      <c r="T551" s="336"/>
    </row>
    <row r="552" spans="1:20" x14ac:dyDescent="0.25">
      <c r="A552" s="336"/>
      <c r="B552" s="336"/>
      <c r="C552" s="336"/>
      <c r="D552" s="336"/>
      <c r="E552" s="336"/>
      <c r="F552" s="104" t="b">
        <f t="array" ref="F552">IF(_xlfn.NUMBERVALUE(RIGHT($E552,2))=MAX(IF(LEFT($E552:$E2550,11)=LEFT($E552,11),_xlfn.NUMBERVALUE(RIGHT($E552:$E2550,2)))),TRUE)</f>
        <v>1</v>
      </c>
      <c r="G552" s="336"/>
      <c r="H552" s="336"/>
      <c r="I552" s="336"/>
      <c r="J552" s="336"/>
      <c r="K552" s="336"/>
      <c r="L552" s="336"/>
      <c r="M552" s="336"/>
      <c r="N552" s="336"/>
      <c r="O552" s="336"/>
      <c r="P552" s="336"/>
      <c r="Q552" s="336"/>
      <c r="R552" s="336"/>
      <c r="S552" s="336"/>
      <c r="T552" s="336"/>
    </row>
    <row r="553" spans="1:20" x14ac:dyDescent="0.25">
      <c r="A553" s="336"/>
      <c r="B553" s="336"/>
      <c r="C553" s="336"/>
      <c r="D553" s="336"/>
      <c r="E553" s="336"/>
      <c r="F553" s="104" t="b">
        <f t="array" ref="F553">IF(_xlfn.NUMBERVALUE(RIGHT($E553,2))=MAX(IF(LEFT($E553:$E2551,11)=LEFT($E553,11),_xlfn.NUMBERVALUE(RIGHT($E553:$E2551,2)))),TRUE)</f>
        <v>1</v>
      </c>
      <c r="G553" s="336"/>
      <c r="H553" s="336"/>
      <c r="I553" s="336"/>
      <c r="J553" s="336"/>
      <c r="K553" s="336"/>
      <c r="L553" s="336"/>
      <c r="M553" s="336"/>
      <c r="N553" s="336"/>
      <c r="O553" s="336"/>
      <c r="P553" s="336"/>
      <c r="Q553" s="336"/>
      <c r="R553" s="336"/>
      <c r="S553" s="336"/>
      <c r="T553" s="336"/>
    </row>
    <row r="554" spans="1:20" x14ac:dyDescent="0.25">
      <c r="A554" s="336"/>
      <c r="B554" s="336"/>
      <c r="C554" s="336"/>
      <c r="D554" s="336"/>
      <c r="E554" s="336"/>
      <c r="F554" s="104" t="b">
        <f t="array" ref="F554">IF(_xlfn.NUMBERVALUE(RIGHT($E554,2))=MAX(IF(LEFT($E554:$E2552,11)=LEFT($E554,11),_xlfn.NUMBERVALUE(RIGHT($E554:$E2552,2)))),TRUE)</f>
        <v>1</v>
      </c>
      <c r="G554" s="336"/>
      <c r="H554" s="336"/>
      <c r="I554" s="336"/>
      <c r="J554" s="336"/>
      <c r="K554" s="336"/>
      <c r="L554" s="336"/>
      <c r="M554" s="336"/>
      <c r="N554" s="336"/>
      <c r="O554" s="336"/>
      <c r="P554" s="336"/>
      <c r="Q554" s="336"/>
      <c r="R554" s="336"/>
      <c r="S554" s="336"/>
      <c r="T554" s="336"/>
    </row>
    <row r="555" spans="1:20" x14ac:dyDescent="0.25">
      <c r="A555" s="336"/>
      <c r="B555" s="336"/>
      <c r="C555" s="336"/>
      <c r="D555" s="336"/>
      <c r="E555" s="336"/>
      <c r="F555" s="104" t="b">
        <f t="array" ref="F555">IF(_xlfn.NUMBERVALUE(RIGHT($E555,2))=MAX(IF(LEFT($E555:$E2553,11)=LEFT($E555,11),_xlfn.NUMBERVALUE(RIGHT($E555:$E2553,2)))),TRUE)</f>
        <v>1</v>
      </c>
      <c r="G555" s="336"/>
      <c r="H555" s="336"/>
      <c r="I555" s="336"/>
      <c r="J555" s="336"/>
      <c r="K555" s="336"/>
      <c r="L555" s="336"/>
      <c r="M555" s="336"/>
      <c r="N555" s="336"/>
      <c r="O555" s="336"/>
      <c r="P555" s="336"/>
      <c r="Q555" s="336"/>
      <c r="R555" s="336"/>
      <c r="S555" s="336"/>
      <c r="T555" s="336"/>
    </row>
    <row r="556" spans="1:20" x14ac:dyDescent="0.25">
      <c r="A556" s="336"/>
      <c r="B556" s="336"/>
      <c r="C556" s="336"/>
      <c r="D556" s="336"/>
      <c r="E556" s="336"/>
      <c r="F556" s="104" t="b">
        <f t="array" ref="F556">IF(_xlfn.NUMBERVALUE(RIGHT($E556,2))=MAX(IF(LEFT($E556:$E2554,11)=LEFT($E556,11),_xlfn.NUMBERVALUE(RIGHT($E556:$E2554,2)))),TRUE)</f>
        <v>1</v>
      </c>
      <c r="G556" s="336"/>
      <c r="H556" s="336"/>
      <c r="I556" s="336"/>
      <c r="J556" s="336"/>
      <c r="K556" s="336"/>
      <c r="L556" s="336"/>
      <c r="M556" s="336"/>
      <c r="N556" s="336"/>
      <c r="O556" s="336"/>
      <c r="P556" s="336"/>
      <c r="Q556" s="336"/>
      <c r="R556" s="336"/>
      <c r="S556" s="336"/>
      <c r="T556" s="336"/>
    </row>
    <row r="557" spans="1:20" x14ac:dyDescent="0.25">
      <c r="A557" s="336"/>
      <c r="B557" s="336"/>
      <c r="C557" s="336"/>
      <c r="D557" s="336"/>
      <c r="E557" s="336"/>
      <c r="F557" s="104" t="b">
        <f t="array" ref="F557">IF(_xlfn.NUMBERVALUE(RIGHT($E557,2))=MAX(IF(LEFT($E557:$E2555,11)=LEFT($E557,11),_xlfn.NUMBERVALUE(RIGHT($E557:$E2555,2)))),TRUE)</f>
        <v>1</v>
      </c>
      <c r="G557" s="336"/>
      <c r="H557" s="336"/>
      <c r="I557" s="336"/>
      <c r="J557" s="336"/>
      <c r="K557" s="336"/>
      <c r="L557" s="336"/>
      <c r="M557" s="336"/>
      <c r="N557" s="336"/>
      <c r="O557" s="336"/>
      <c r="P557" s="336"/>
      <c r="Q557" s="336"/>
      <c r="R557" s="336"/>
      <c r="S557" s="336"/>
      <c r="T557" s="336"/>
    </row>
    <row r="558" spans="1:20" x14ac:dyDescent="0.25">
      <c r="A558" s="336"/>
      <c r="B558" s="336"/>
      <c r="C558" s="336"/>
      <c r="D558" s="336"/>
      <c r="E558" s="336"/>
      <c r="F558" s="104" t="b">
        <f t="array" ref="F558">IF(_xlfn.NUMBERVALUE(RIGHT($E558,2))=MAX(IF(LEFT($E558:$E2556,11)=LEFT($E558,11),_xlfn.NUMBERVALUE(RIGHT($E558:$E2556,2)))),TRUE)</f>
        <v>1</v>
      </c>
      <c r="G558" s="336"/>
      <c r="H558" s="336"/>
      <c r="I558" s="336"/>
      <c r="J558" s="336"/>
      <c r="K558" s="336"/>
      <c r="L558" s="336"/>
      <c r="M558" s="336"/>
      <c r="N558" s="336"/>
      <c r="O558" s="336"/>
      <c r="P558" s="336"/>
      <c r="Q558" s="336"/>
      <c r="R558" s="336"/>
      <c r="S558" s="336"/>
      <c r="T558" s="336"/>
    </row>
    <row r="559" spans="1:20" x14ac:dyDescent="0.25">
      <c r="A559" s="336"/>
      <c r="B559" s="336"/>
      <c r="C559" s="336"/>
      <c r="D559" s="336"/>
      <c r="E559" s="336"/>
      <c r="F559" s="104" t="b">
        <f t="array" ref="F559">IF(_xlfn.NUMBERVALUE(RIGHT($E559,2))=MAX(IF(LEFT($E559:$E2557,11)=LEFT($E559,11),_xlfn.NUMBERVALUE(RIGHT($E559:$E2557,2)))),TRUE)</f>
        <v>1</v>
      </c>
      <c r="G559" s="336"/>
      <c r="H559" s="336"/>
      <c r="I559" s="336"/>
      <c r="J559" s="336"/>
      <c r="K559" s="336"/>
      <c r="L559" s="336"/>
      <c r="M559" s="336"/>
      <c r="N559" s="336"/>
      <c r="O559" s="336"/>
      <c r="P559" s="336"/>
      <c r="Q559" s="336"/>
      <c r="R559" s="336"/>
      <c r="S559" s="336"/>
      <c r="T559" s="336"/>
    </row>
    <row r="560" spans="1:20" x14ac:dyDescent="0.25">
      <c r="A560" s="336"/>
      <c r="B560" s="336"/>
      <c r="C560" s="336"/>
      <c r="D560" s="336"/>
      <c r="E560" s="336"/>
      <c r="F560" s="104" t="b">
        <f t="array" ref="F560">IF(_xlfn.NUMBERVALUE(RIGHT($E560,2))=MAX(IF(LEFT($E560:$E2558,11)=LEFT($E560,11),_xlfn.NUMBERVALUE(RIGHT($E560:$E2558,2)))),TRUE)</f>
        <v>1</v>
      </c>
      <c r="G560" s="336"/>
      <c r="H560" s="336"/>
      <c r="I560" s="336"/>
      <c r="J560" s="336"/>
      <c r="K560" s="336"/>
      <c r="L560" s="336"/>
      <c r="M560" s="336"/>
      <c r="N560" s="336"/>
      <c r="O560" s="336"/>
      <c r="P560" s="336"/>
      <c r="Q560" s="336"/>
      <c r="R560" s="336"/>
      <c r="S560" s="336"/>
      <c r="T560" s="336"/>
    </row>
    <row r="561" spans="1:20" x14ac:dyDescent="0.25">
      <c r="A561" s="336"/>
      <c r="B561" s="336"/>
      <c r="C561" s="336"/>
      <c r="D561" s="336"/>
      <c r="E561" s="336"/>
      <c r="F561" s="104" t="b">
        <f t="array" ref="F561">IF(_xlfn.NUMBERVALUE(RIGHT($E561,2))=MAX(IF(LEFT($E561:$E2559,11)=LEFT($E561,11),_xlfn.NUMBERVALUE(RIGHT($E561:$E2559,2)))),TRUE)</f>
        <v>1</v>
      </c>
      <c r="G561" s="336"/>
      <c r="H561" s="336"/>
      <c r="I561" s="336"/>
      <c r="J561" s="336"/>
      <c r="K561" s="336"/>
      <c r="L561" s="336"/>
      <c r="M561" s="336"/>
      <c r="N561" s="336"/>
      <c r="O561" s="336"/>
      <c r="P561" s="336"/>
      <c r="Q561" s="336"/>
      <c r="R561" s="336"/>
      <c r="S561" s="336"/>
      <c r="T561" s="336"/>
    </row>
    <row r="562" spans="1:20" x14ac:dyDescent="0.25">
      <c r="A562" s="336"/>
      <c r="B562" s="336"/>
      <c r="C562" s="336"/>
      <c r="D562" s="336"/>
      <c r="E562" s="336"/>
      <c r="F562" s="104" t="b">
        <f t="array" ref="F562">IF(_xlfn.NUMBERVALUE(RIGHT($E562,2))=MAX(IF(LEFT($E562:$E2560,11)=LEFT($E562,11),_xlfn.NUMBERVALUE(RIGHT($E562:$E2560,2)))),TRUE)</f>
        <v>1</v>
      </c>
      <c r="G562" s="336"/>
      <c r="H562" s="336"/>
      <c r="I562" s="336"/>
      <c r="J562" s="336"/>
      <c r="K562" s="336"/>
      <c r="L562" s="336"/>
      <c r="M562" s="336"/>
      <c r="N562" s="336"/>
      <c r="O562" s="336"/>
      <c r="P562" s="336"/>
      <c r="Q562" s="336"/>
      <c r="R562" s="336"/>
      <c r="S562" s="336"/>
      <c r="T562" s="336"/>
    </row>
    <row r="563" spans="1:20" x14ac:dyDescent="0.25">
      <c r="A563" s="336"/>
      <c r="B563" s="336"/>
      <c r="C563" s="336"/>
      <c r="D563" s="336"/>
      <c r="E563" s="336"/>
      <c r="F563" s="104" t="b">
        <f t="array" ref="F563">IF(_xlfn.NUMBERVALUE(RIGHT($E563,2))=MAX(IF(LEFT($E563:$E2561,11)=LEFT($E563,11),_xlfn.NUMBERVALUE(RIGHT($E563:$E2561,2)))),TRUE)</f>
        <v>1</v>
      </c>
      <c r="G563" s="336"/>
      <c r="H563" s="336"/>
      <c r="I563" s="336"/>
      <c r="J563" s="336"/>
      <c r="K563" s="336"/>
      <c r="L563" s="336"/>
      <c r="M563" s="336"/>
      <c r="N563" s="336"/>
      <c r="O563" s="336"/>
      <c r="P563" s="336"/>
      <c r="Q563" s="336"/>
      <c r="R563" s="336"/>
      <c r="S563" s="336"/>
      <c r="T563" s="336"/>
    </row>
    <row r="564" spans="1:20" x14ac:dyDescent="0.25">
      <c r="A564" s="336"/>
      <c r="B564" s="336"/>
      <c r="C564" s="336"/>
      <c r="D564" s="336"/>
      <c r="E564" s="336"/>
      <c r="F564" s="104" t="b">
        <f t="array" ref="F564">IF(_xlfn.NUMBERVALUE(RIGHT($E564,2))=MAX(IF(LEFT($E564:$E2562,11)=LEFT($E564,11),_xlfn.NUMBERVALUE(RIGHT($E564:$E2562,2)))),TRUE)</f>
        <v>1</v>
      </c>
      <c r="G564" s="336"/>
      <c r="H564" s="336"/>
      <c r="I564" s="336"/>
      <c r="J564" s="336"/>
      <c r="K564" s="336"/>
      <c r="L564" s="336"/>
      <c r="M564" s="336"/>
      <c r="N564" s="336"/>
      <c r="O564" s="336"/>
      <c r="P564" s="336"/>
      <c r="Q564" s="336"/>
      <c r="R564" s="336"/>
      <c r="S564" s="336"/>
      <c r="T564" s="336"/>
    </row>
    <row r="565" spans="1:20" x14ac:dyDescent="0.25">
      <c r="A565" s="336"/>
      <c r="B565" s="336"/>
      <c r="C565" s="336"/>
      <c r="D565" s="336"/>
      <c r="E565" s="336"/>
      <c r="F565" s="104" t="b">
        <f t="array" ref="F565">IF(_xlfn.NUMBERVALUE(RIGHT($E565,2))=MAX(IF(LEFT($E565:$E2563,11)=LEFT($E565,11),_xlfn.NUMBERVALUE(RIGHT($E565:$E2563,2)))),TRUE)</f>
        <v>1</v>
      </c>
      <c r="G565" s="336"/>
      <c r="H565" s="336"/>
      <c r="I565" s="336"/>
      <c r="J565" s="336"/>
      <c r="K565" s="336"/>
      <c r="L565" s="336"/>
      <c r="M565" s="336"/>
      <c r="N565" s="336"/>
      <c r="O565" s="336"/>
      <c r="P565" s="336"/>
      <c r="Q565" s="336"/>
      <c r="R565" s="336"/>
      <c r="S565" s="336"/>
      <c r="T565" s="336"/>
    </row>
    <row r="566" spans="1:20" x14ac:dyDescent="0.25">
      <c r="A566" s="336"/>
      <c r="B566" s="336"/>
      <c r="C566" s="336"/>
      <c r="D566" s="336"/>
      <c r="E566" s="336"/>
      <c r="F566" s="104" t="b">
        <f t="array" ref="F566">IF(_xlfn.NUMBERVALUE(RIGHT($E566,2))=MAX(IF(LEFT($E566:$E2564,11)=LEFT($E566,11),_xlfn.NUMBERVALUE(RIGHT($E566:$E2564,2)))),TRUE)</f>
        <v>1</v>
      </c>
      <c r="G566" s="336"/>
      <c r="H566" s="336"/>
      <c r="I566" s="336"/>
      <c r="J566" s="336"/>
      <c r="K566" s="336"/>
      <c r="L566" s="336"/>
      <c r="M566" s="336"/>
      <c r="N566" s="336"/>
      <c r="O566" s="336"/>
      <c r="P566" s="336"/>
      <c r="Q566" s="336"/>
      <c r="R566" s="336"/>
      <c r="S566" s="336"/>
      <c r="T566" s="336"/>
    </row>
    <row r="567" spans="1:20" x14ac:dyDescent="0.25">
      <c r="A567" s="336"/>
      <c r="B567" s="336"/>
      <c r="C567" s="336"/>
      <c r="D567" s="336"/>
      <c r="E567" s="336"/>
      <c r="F567" s="104" t="b">
        <f t="array" ref="F567">IF(_xlfn.NUMBERVALUE(RIGHT($E567,2))=MAX(IF(LEFT($E567:$E2565,11)=LEFT($E567,11),_xlfn.NUMBERVALUE(RIGHT($E567:$E2565,2)))),TRUE)</f>
        <v>1</v>
      </c>
      <c r="G567" s="336"/>
      <c r="H567" s="336"/>
      <c r="I567" s="336"/>
      <c r="J567" s="336"/>
      <c r="K567" s="336"/>
      <c r="L567" s="336"/>
      <c r="M567" s="336"/>
      <c r="N567" s="336"/>
      <c r="O567" s="336"/>
      <c r="P567" s="336"/>
      <c r="Q567" s="336"/>
      <c r="R567" s="336"/>
      <c r="S567" s="336"/>
      <c r="T567" s="336"/>
    </row>
    <row r="568" spans="1:20" x14ac:dyDescent="0.25">
      <c r="A568" s="336"/>
      <c r="B568" s="336"/>
      <c r="C568" s="336"/>
      <c r="D568" s="336"/>
      <c r="E568" s="336"/>
      <c r="F568" s="104" t="b">
        <f t="array" ref="F568">IF(_xlfn.NUMBERVALUE(RIGHT($E568,2))=MAX(IF(LEFT($E568:$E2566,11)=LEFT($E568,11),_xlfn.NUMBERVALUE(RIGHT($E568:$E2566,2)))),TRUE)</f>
        <v>1</v>
      </c>
      <c r="G568" s="336"/>
      <c r="H568" s="336"/>
      <c r="I568" s="336"/>
      <c r="J568" s="336"/>
      <c r="K568" s="336"/>
      <c r="L568" s="336"/>
      <c r="M568" s="336"/>
      <c r="N568" s="336"/>
      <c r="O568" s="336"/>
      <c r="P568" s="336"/>
      <c r="Q568" s="336"/>
      <c r="R568" s="336"/>
      <c r="S568" s="336"/>
      <c r="T568" s="336"/>
    </row>
    <row r="569" spans="1:20" x14ac:dyDescent="0.25">
      <c r="A569" s="336"/>
      <c r="B569" s="336"/>
      <c r="C569" s="336"/>
      <c r="D569" s="336"/>
      <c r="E569" s="336"/>
      <c r="F569" s="104" t="b">
        <f t="array" ref="F569">IF(_xlfn.NUMBERVALUE(RIGHT($E569,2))=MAX(IF(LEFT($E569:$E2567,11)=LEFT($E569,11),_xlfn.NUMBERVALUE(RIGHT($E569:$E2567,2)))),TRUE)</f>
        <v>1</v>
      </c>
      <c r="G569" s="336"/>
      <c r="H569" s="336"/>
      <c r="I569" s="336"/>
      <c r="J569" s="336"/>
      <c r="K569" s="336"/>
      <c r="L569" s="336"/>
      <c r="M569" s="336"/>
      <c r="N569" s="336"/>
      <c r="O569" s="336"/>
      <c r="P569" s="336"/>
      <c r="Q569" s="336"/>
      <c r="R569" s="336"/>
      <c r="S569" s="336"/>
      <c r="T569" s="336"/>
    </row>
    <row r="570" spans="1:20" x14ac:dyDescent="0.25">
      <c r="A570" s="336"/>
      <c r="B570" s="336"/>
      <c r="C570" s="336"/>
      <c r="D570" s="336"/>
      <c r="E570" s="336"/>
      <c r="F570" s="104" t="b">
        <f t="array" ref="F570">IF(_xlfn.NUMBERVALUE(RIGHT($E570,2))=MAX(IF(LEFT($E570:$E2568,11)=LEFT($E570,11),_xlfn.NUMBERVALUE(RIGHT($E570:$E2568,2)))),TRUE)</f>
        <v>1</v>
      </c>
      <c r="G570" s="336"/>
      <c r="H570" s="336"/>
      <c r="I570" s="336"/>
      <c r="J570" s="336"/>
      <c r="K570" s="336"/>
      <c r="L570" s="336"/>
      <c r="M570" s="336"/>
      <c r="N570" s="336"/>
      <c r="O570" s="336"/>
      <c r="P570" s="336"/>
      <c r="Q570" s="336"/>
      <c r="R570" s="336"/>
      <c r="S570" s="336"/>
      <c r="T570" s="336"/>
    </row>
    <row r="571" spans="1:20" x14ac:dyDescent="0.25">
      <c r="A571" s="336"/>
      <c r="B571" s="336"/>
      <c r="C571" s="336"/>
      <c r="D571" s="336"/>
      <c r="E571" s="336"/>
      <c r="F571" s="104" t="b">
        <f t="array" ref="F571">IF(_xlfn.NUMBERVALUE(RIGHT($E571,2))=MAX(IF(LEFT($E571:$E2569,11)=LEFT($E571,11),_xlfn.NUMBERVALUE(RIGHT($E571:$E2569,2)))),TRUE)</f>
        <v>1</v>
      </c>
      <c r="G571" s="336"/>
      <c r="H571" s="336"/>
      <c r="I571" s="336"/>
      <c r="J571" s="336"/>
      <c r="K571" s="336"/>
      <c r="L571" s="336"/>
      <c r="M571" s="336"/>
      <c r="N571" s="336"/>
      <c r="O571" s="336"/>
      <c r="P571" s="336"/>
      <c r="Q571" s="336"/>
      <c r="R571" s="336"/>
      <c r="S571" s="336"/>
      <c r="T571" s="336"/>
    </row>
    <row r="572" spans="1:20" x14ac:dyDescent="0.25">
      <c r="A572" s="336"/>
      <c r="B572" s="336"/>
      <c r="C572" s="336"/>
      <c r="D572" s="336"/>
      <c r="E572" s="336"/>
      <c r="F572" s="104" t="b">
        <f t="array" ref="F572">IF(_xlfn.NUMBERVALUE(RIGHT($E572,2))=MAX(IF(LEFT($E572:$E2570,11)=LEFT($E572,11),_xlfn.NUMBERVALUE(RIGHT($E572:$E2570,2)))),TRUE)</f>
        <v>1</v>
      </c>
      <c r="G572" s="336"/>
      <c r="H572" s="336"/>
      <c r="I572" s="336"/>
      <c r="J572" s="336"/>
      <c r="K572" s="336"/>
      <c r="L572" s="336"/>
      <c r="M572" s="336"/>
      <c r="N572" s="336"/>
      <c r="O572" s="336"/>
      <c r="P572" s="336"/>
      <c r="Q572" s="336"/>
      <c r="R572" s="336"/>
      <c r="S572" s="336"/>
      <c r="T572" s="336"/>
    </row>
    <row r="573" spans="1:20" x14ac:dyDescent="0.25">
      <c r="A573" s="336"/>
      <c r="B573" s="336"/>
      <c r="C573" s="336"/>
      <c r="D573" s="336"/>
      <c r="E573" s="336"/>
      <c r="F573" s="104" t="b">
        <f t="array" ref="F573">IF(_xlfn.NUMBERVALUE(RIGHT($E573,2))=MAX(IF(LEFT($E573:$E2571,11)=LEFT($E573,11),_xlfn.NUMBERVALUE(RIGHT($E573:$E2571,2)))),TRUE)</f>
        <v>1</v>
      </c>
      <c r="G573" s="336"/>
      <c r="H573" s="336"/>
      <c r="I573" s="336"/>
      <c r="J573" s="336"/>
      <c r="K573" s="336"/>
      <c r="L573" s="336"/>
      <c r="M573" s="336"/>
      <c r="N573" s="336"/>
      <c r="O573" s="336"/>
      <c r="P573" s="336"/>
      <c r="Q573" s="336"/>
      <c r="R573" s="336"/>
      <c r="S573" s="336"/>
      <c r="T573" s="336"/>
    </row>
    <row r="574" spans="1:20" x14ac:dyDescent="0.25">
      <c r="A574" s="336"/>
      <c r="B574" s="336"/>
      <c r="C574" s="336"/>
      <c r="D574" s="336"/>
      <c r="E574" s="336"/>
      <c r="F574" s="104" t="b">
        <f t="array" ref="F574">IF(_xlfn.NUMBERVALUE(RIGHT($E574,2))=MAX(IF(LEFT($E574:$E2572,11)=LEFT($E574,11),_xlfn.NUMBERVALUE(RIGHT($E574:$E2572,2)))),TRUE)</f>
        <v>1</v>
      </c>
      <c r="G574" s="336"/>
      <c r="H574" s="336"/>
      <c r="I574" s="336"/>
      <c r="J574" s="336"/>
      <c r="K574" s="336"/>
      <c r="L574" s="336"/>
      <c r="M574" s="336"/>
      <c r="N574" s="336"/>
      <c r="O574" s="336"/>
      <c r="P574" s="336"/>
      <c r="Q574" s="336"/>
      <c r="R574" s="336"/>
      <c r="S574" s="336"/>
      <c r="T574" s="336"/>
    </row>
    <row r="575" spans="1:20" x14ac:dyDescent="0.25">
      <c r="A575" s="336"/>
      <c r="B575" s="336"/>
      <c r="C575" s="336"/>
      <c r="D575" s="336"/>
      <c r="E575" s="336"/>
      <c r="F575" s="104" t="b">
        <f t="array" ref="F575">IF(_xlfn.NUMBERVALUE(RIGHT($E575,2))=MAX(IF(LEFT($E575:$E2573,11)=LEFT($E575,11),_xlfn.NUMBERVALUE(RIGHT($E575:$E2573,2)))),TRUE)</f>
        <v>1</v>
      </c>
      <c r="G575" s="336"/>
      <c r="H575" s="336"/>
      <c r="I575" s="336"/>
      <c r="J575" s="336"/>
      <c r="K575" s="336"/>
      <c r="L575" s="336"/>
      <c r="M575" s="336"/>
      <c r="N575" s="336"/>
      <c r="O575" s="336"/>
      <c r="P575" s="336"/>
      <c r="Q575" s="336"/>
      <c r="R575" s="336"/>
      <c r="S575" s="336"/>
      <c r="T575" s="336"/>
    </row>
    <row r="576" spans="1:20" x14ac:dyDescent="0.25">
      <c r="A576" s="336"/>
      <c r="B576" s="336"/>
      <c r="C576" s="336"/>
      <c r="D576" s="336"/>
      <c r="E576" s="336"/>
      <c r="F576" s="104" t="b">
        <f t="array" ref="F576">IF(_xlfn.NUMBERVALUE(RIGHT($E576,2))=MAX(IF(LEFT($E576:$E2574,11)=LEFT($E576,11),_xlfn.NUMBERVALUE(RIGHT($E576:$E2574,2)))),TRUE)</f>
        <v>1</v>
      </c>
      <c r="G576" s="336"/>
      <c r="H576" s="336"/>
      <c r="I576" s="336"/>
      <c r="J576" s="336"/>
      <c r="K576" s="336"/>
      <c r="L576" s="336"/>
      <c r="M576" s="336"/>
      <c r="N576" s="336"/>
      <c r="O576" s="336"/>
      <c r="P576" s="336"/>
      <c r="Q576" s="336"/>
      <c r="R576" s="336"/>
      <c r="S576" s="336"/>
      <c r="T576" s="336"/>
    </row>
    <row r="577" spans="1:20" x14ac:dyDescent="0.25">
      <c r="A577" s="336"/>
      <c r="B577" s="336"/>
      <c r="C577" s="336"/>
      <c r="D577" s="336"/>
      <c r="E577" s="336"/>
      <c r="F577" s="104" t="b">
        <f t="array" ref="F577">IF(_xlfn.NUMBERVALUE(RIGHT($E577,2))=MAX(IF(LEFT($E577:$E2575,11)=LEFT($E577,11),_xlfn.NUMBERVALUE(RIGHT($E577:$E2575,2)))),TRUE)</f>
        <v>1</v>
      </c>
      <c r="G577" s="336"/>
      <c r="H577" s="336"/>
      <c r="I577" s="336"/>
      <c r="J577" s="336"/>
      <c r="K577" s="336"/>
      <c r="L577" s="336"/>
      <c r="M577" s="336"/>
      <c r="N577" s="336"/>
      <c r="O577" s="336"/>
      <c r="P577" s="336"/>
      <c r="Q577" s="336"/>
      <c r="R577" s="336"/>
      <c r="S577" s="336"/>
      <c r="T577" s="336"/>
    </row>
    <row r="578" spans="1:20" x14ac:dyDescent="0.25">
      <c r="A578" s="336"/>
      <c r="B578" s="336"/>
      <c r="C578" s="336"/>
      <c r="D578" s="336"/>
      <c r="E578" s="336"/>
      <c r="F578" s="104" t="b">
        <f t="array" ref="F578">IF(_xlfn.NUMBERVALUE(RIGHT($E578,2))=MAX(IF(LEFT($E578:$E2576,11)=LEFT($E578,11),_xlfn.NUMBERVALUE(RIGHT($E578:$E2576,2)))),TRUE)</f>
        <v>1</v>
      </c>
      <c r="G578" s="336"/>
      <c r="H578" s="336"/>
      <c r="I578" s="336"/>
      <c r="J578" s="336"/>
      <c r="K578" s="336"/>
      <c r="L578" s="336"/>
      <c r="M578" s="336"/>
      <c r="N578" s="336"/>
      <c r="O578" s="336"/>
      <c r="P578" s="336"/>
      <c r="Q578" s="336"/>
      <c r="R578" s="336"/>
      <c r="S578" s="336"/>
      <c r="T578" s="336"/>
    </row>
    <row r="579" spans="1:20" x14ac:dyDescent="0.25">
      <c r="A579" s="336"/>
      <c r="B579" s="336"/>
      <c r="C579" s="336"/>
      <c r="D579" s="336"/>
      <c r="E579" s="336"/>
      <c r="F579" s="104" t="b">
        <f t="array" ref="F579">IF(_xlfn.NUMBERVALUE(RIGHT($E579,2))=MAX(IF(LEFT($E579:$E2577,11)=LEFT($E579,11),_xlfn.NUMBERVALUE(RIGHT($E579:$E2577,2)))),TRUE)</f>
        <v>1</v>
      </c>
      <c r="G579" s="336"/>
      <c r="H579" s="336"/>
      <c r="I579" s="336"/>
      <c r="J579" s="336"/>
      <c r="K579" s="336"/>
      <c r="L579" s="336"/>
      <c r="M579" s="336"/>
      <c r="N579" s="336"/>
      <c r="O579" s="336"/>
      <c r="P579" s="336"/>
      <c r="Q579" s="336"/>
      <c r="R579" s="336"/>
      <c r="S579" s="336"/>
      <c r="T579" s="336"/>
    </row>
    <row r="580" spans="1:20" x14ac:dyDescent="0.25">
      <c r="A580" s="336"/>
      <c r="B580" s="336"/>
      <c r="C580" s="336"/>
      <c r="D580" s="336"/>
      <c r="E580" s="336"/>
      <c r="F580" s="104" t="b">
        <f t="array" ref="F580">IF(_xlfn.NUMBERVALUE(RIGHT($E580,2))=MAX(IF(LEFT($E580:$E2578,11)=LEFT($E580,11),_xlfn.NUMBERVALUE(RIGHT($E580:$E2578,2)))),TRUE)</f>
        <v>1</v>
      </c>
      <c r="G580" s="336"/>
      <c r="H580" s="336"/>
      <c r="I580" s="336"/>
      <c r="J580" s="336"/>
      <c r="K580" s="336"/>
      <c r="L580" s="336"/>
      <c r="M580" s="336"/>
      <c r="N580" s="336"/>
      <c r="O580" s="336"/>
      <c r="P580" s="336"/>
      <c r="Q580" s="336"/>
      <c r="R580" s="336"/>
      <c r="S580" s="336"/>
      <c r="T580" s="336"/>
    </row>
    <row r="581" spans="1:20" x14ac:dyDescent="0.25">
      <c r="A581" s="336"/>
      <c r="B581" s="336"/>
      <c r="C581" s="336"/>
      <c r="D581" s="336"/>
      <c r="E581" s="336"/>
      <c r="F581" s="104" t="b">
        <f t="array" ref="F581">IF(_xlfn.NUMBERVALUE(RIGHT($E581,2))=MAX(IF(LEFT($E581:$E2579,11)=LEFT($E581,11),_xlfn.NUMBERVALUE(RIGHT($E581:$E2579,2)))),TRUE)</f>
        <v>1</v>
      </c>
      <c r="G581" s="336"/>
      <c r="H581" s="336"/>
      <c r="I581" s="336"/>
      <c r="J581" s="336"/>
      <c r="K581" s="336"/>
      <c r="L581" s="336"/>
      <c r="M581" s="336"/>
      <c r="N581" s="336"/>
      <c r="O581" s="336"/>
      <c r="P581" s="336"/>
      <c r="Q581" s="336"/>
      <c r="R581" s="336"/>
      <c r="S581" s="336"/>
      <c r="T581" s="336"/>
    </row>
    <row r="582" spans="1:20" x14ac:dyDescent="0.25">
      <c r="A582" s="336"/>
      <c r="B582" s="336"/>
      <c r="C582" s="336"/>
      <c r="D582" s="336"/>
      <c r="E582" s="336"/>
      <c r="F582" s="104" t="b">
        <f t="array" ref="F582">IF(_xlfn.NUMBERVALUE(RIGHT($E582,2))=MAX(IF(LEFT($E582:$E2580,11)=LEFT($E582,11),_xlfn.NUMBERVALUE(RIGHT($E582:$E2580,2)))),TRUE)</f>
        <v>1</v>
      </c>
      <c r="G582" s="336"/>
      <c r="H582" s="336"/>
      <c r="I582" s="336"/>
      <c r="J582" s="336"/>
      <c r="K582" s="336"/>
      <c r="L582" s="336"/>
      <c r="M582" s="336"/>
      <c r="N582" s="336"/>
      <c r="O582" s="336"/>
      <c r="P582" s="336"/>
      <c r="Q582" s="336"/>
      <c r="R582" s="336"/>
      <c r="S582" s="336"/>
      <c r="T582" s="336"/>
    </row>
    <row r="583" spans="1:20" x14ac:dyDescent="0.25">
      <c r="A583" s="336"/>
      <c r="B583" s="336"/>
      <c r="C583" s="336"/>
      <c r="D583" s="336"/>
      <c r="E583" s="336"/>
      <c r="F583" s="104" t="b">
        <f t="array" ref="F583">IF(_xlfn.NUMBERVALUE(RIGHT($E583,2))=MAX(IF(LEFT($E583:$E2581,11)=LEFT($E583,11),_xlfn.NUMBERVALUE(RIGHT($E583:$E2581,2)))),TRUE)</f>
        <v>1</v>
      </c>
      <c r="G583" s="336"/>
      <c r="H583" s="336"/>
      <c r="I583" s="336"/>
      <c r="J583" s="336"/>
      <c r="K583" s="336"/>
      <c r="L583" s="336"/>
      <c r="M583" s="336"/>
      <c r="N583" s="336"/>
      <c r="O583" s="336"/>
      <c r="P583" s="336"/>
      <c r="Q583" s="336"/>
      <c r="R583" s="336"/>
      <c r="S583" s="336"/>
      <c r="T583" s="336"/>
    </row>
    <row r="584" spans="1:20" x14ac:dyDescent="0.25">
      <c r="A584" s="336"/>
      <c r="B584" s="336"/>
      <c r="C584" s="336"/>
      <c r="D584" s="336"/>
      <c r="E584" s="336"/>
      <c r="F584" s="104" t="b">
        <f t="array" ref="F584">IF(_xlfn.NUMBERVALUE(RIGHT($E584,2))=MAX(IF(LEFT($E584:$E2582,11)=LEFT($E584,11),_xlfn.NUMBERVALUE(RIGHT($E584:$E2582,2)))),TRUE)</f>
        <v>1</v>
      </c>
      <c r="G584" s="336"/>
      <c r="H584" s="336"/>
      <c r="I584" s="336"/>
      <c r="J584" s="336"/>
      <c r="K584" s="336"/>
      <c r="L584" s="336"/>
      <c r="M584" s="336"/>
      <c r="N584" s="336"/>
      <c r="O584" s="336"/>
      <c r="P584" s="336"/>
      <c r="Q584" s="336"/>
      <c r="R584" s="336"/>
      <c r="S584" s="336"/>
      <c r="T584" s="336"/>
    </row>
    <row r="585" spans="1:20" x14ac:dyDescent="0.25">
      <c r="A585" s="336"/>
      <c r="B585" s="336"/>
      <c r="C585" s="336"/>
      <c r="D585" s="336"/>
      <c r="E585" s="336"/>
      <c r="F585" s="104" t="b">
        <f t="array" ref="F585">IF(_xlfn.NUMBERVALUE(RIGHT($E585,2))=MAX(IF(LEFT($E585:$E2583,11)=LEFT($E585,11),_xlfn.NUMBERVALUE(RIGHT($E585:$E2583,2)))),TRUE)</f>
        <v>1</v>
      </c>
      <c r="G585" s="336"/>
      <c r="H585" s="336"/>
      <c r="I585" s="336"/>
      <c r="J585" s="336"/>
      <c r="K585" s="336"/>
      <c r="L585" s="336"/>
      <c r="M585" s="336"/>
      <c r="N585" s="336"/>
      <c r="O585" s="336"/>
      <c r="P585" s="336"/>
      <c r="Q585" s="336"/>
      <c r="R585" s="336"/>
      <c r="S585" s="336"/>
      <c r="T585" s="336"/>
    </row>
    <row r="586" spans="1:20" x14ac:dyDescent="0.25">
      <c r="A586" s="336"/>
      <c r="B586" s="336"/>
      <c r="C586" s="336"/>
      <c r="D586" s="336"/>
      <c r="E586" s="336"/>
      <c r="F586" s="104" t="b">
        <f t="array" ref="F586">IF(_xlfn.NUMBERVALUE(RIGHT($E586,2))=MAX(IF(LEFT($E586:$E2584,11)=LEFT($E586,11),_xlfn.NUMBERVALUE(RIGHT($E586:$E2584,2)))),TRUE)</f>
        <v>1</v>
      </c>
      <c r="G586" s="336"/>
      <c r="H586" s="336"/>
      <c r="I586" s="336"/>
      <c r="J586" s="336"/>
      <c r="K586" s="336"/>
      <c r="L586" s="336"/>
      <c r="M586" s="336"/>
      <c r="N586" s="336"/>
      <c r="O586" s="336"/>
      <c r="P586" s="336"/>
      <c r="Q586" s="336"/>
      <c r="R586" s="336"/>
      <c r="S586" s="336"/>
      <c r="T586" s="336"/>
    </row>
    <row r="587" spans="1:20" x14ac:dyDescent="0.25">
      <c r="A587" s="336"/>
      <c r="B587" s="336"/>
      <c r="C587" s="336"/>
      <c r="D587" s="336"/>
      <c r="E587" s="336"/>
      <c r="F587" s="104" t="b">
        <f t="array" ref="F587">IF(_xlfn.NUMBERVALUE(RIGHT($E587,2))=MAX(IF(LEFT($E587:$E2585,11)=LEFT($E587,11),_xlfn.NUMBERVALUE(RIGHT($E587:$E2585,2)))),TRUE)</f>
        <v>1</v>
      </c>
      <c r="G587" s="336"/>
      <c r="H587" s="336"/>
      <c r="I587" s="336"/>
      <c r="J587" s="336"/>
      <c r="K587" s="336"/>
      <c r="L587" s="336"/>
      <c r="M587" s="336"/>
      <c r="N587" s="336"/>
      <c r="O587" s="336"/>
      <c r="P587" s="336"/>
      <c r="Q587" s="336"/>
      <c r="R587" s="336"/>
      <c r="S587" s="336"/>
      <c r="T587" s="336"/>
    </row>
    <row r="588" spans="1:20" x14ac:dyDescent="0.25">
      <c r="A588" s="336"/>
      <c r="B588" s="336"/>
      <c r="C588" s="336"/>
      <c r="D588" s="336"/>
      <c r="E588" s="336"/>
      <c r="F588" s="104" t="b">
        <f t="array" ref="F588">IF(_xlfn.NUMBERVALUE(RIGHT($E588,2))=MAX(IF(LEFT($E588:$E2586,11)=LEFT($E588,11),_xlfn.NUMBERVALUE(RIGHT($E588:$E2586,2)))),TRUE)</f>
        <v>1</v>
      </c>
      <c r="G588" s="336"/>
      <c r="H588" s="336"/>
      <c r="I588" s="336"/>
      <c r="J588" s="336"/>
      <c r="K588" s="336"/>
      <c r="L588" s="336"/>
      <c r="M588" s="336"/>
      <c r="N588" s="336"/>
      <c r="O588" s="336"/>
      <c r="P588" s="336"/>
      <c r="Q588" s="336"/>
      <c r="R588" s="336"/>
      <c r="S588" s="336"/>
      <c r="T588" s="336"/>
    </row>
    <row r="589" spans="1:20" x14ac:dyDescent="0.25">
      <c r="A589" s="336"/>
      <c r="B589" s="336"/>
      <c r="C589" s="336"/>
      <c r="D589" s="336"/>
      <c r="E589" s="336"/>
      <c r="F589" s="104" t="b">
        <f t="array" ref="F589">IF(_xlfn.NUMBERVALUE(RIGHT($E589,2))=MAX(IF(LEFT($E589:$E2587,11)=LEFT($E589,11),_xlfn.NUMBERVALUE(RIGHT($E589:$E2587,2)))),TRUE)</f>
        <v>1</v>
      </c>
      <c r="G589" s="336"/>
      <c r="H589" s="336"/>
      <c r="I589" s="336"/>
      <c r="J589" s="336"/>
      <c r="K589" s="336"/>
      <c r="L589" s="336"/>
      <c r="M589" s="336"/>
      <c r="N589" s="336"/>
      <c r="O589" s="336"/>
      <c r="P589" s="336"/>
      <c r="Q589" s="336"/>
      <c r="R589" s="336"/>
      <c r="S589" s="336"/>
      <c r="T589" s="336"/>
    </row>
    <row r="590" spans="1:20" x14ac:dyDescent="0.25">
      <c r="A590" s="336"/>
      <c r="B590" s="336"/>
      <c r="C590" s="336"/>
      <c r="D590" s="336"/>
      <c r="E590" s="336"/>
      <c r="F590" s="104" t="b">
        <f t="array" ref="F590">IF(_xlfn.NUMBERVALUE(RIGHT($E590,2))=MAX(IF(LEFT($E590:$E2588,11)=LEFT($E590,11),_xlfn.NUMBERVALUE(RIGHT($E590:$E2588,2)))),TRUE)</f>
        <v>1</v>
      </c>
      <c r="G590" s="336"/>
      <c r="H590" s="336"/>
      <c r="I590" s="336"/>
      <c r="J590" s="336"/>
      <c r="K590" s="336"/>
      <c r="L590" s="336"/>
      <c r="M590" s="336"/>
      <c r="N590" s="336"/>
      <c r="O590" s="336"/>
      <c r="P590" s="336"/>
      <c r="Q590" s="336"/>
      <c r="R590" s="336"/>
      <c r="S590" s="336"/>
      <c r="T590" s="336"/>
    </row>
    <row r="591" spans="1:20" x14ac:dyDescent="0.25">
      <c r="A591" s="336"/>
      <c r="B591" s="336"/>
      <c r="C591" s="336"/>
      <c r="D591" s="336"/>
      <c r="E591" s="336"/>
      <c r="F591" s="104" t="b">
        <f t="array" ref="F591">IF(_xlfn.NUMBERVALUE(RIGHT($E591,2))=MAX(IF(LEFT($E591:$E2589,11)=LEFT($E591,11),_xlfn.NUMBERVALUE(RIGHT($E591:$E2589,2)))),TRUE)</f>
        <v>1</v>
      </c>
      <c r="G591" s="336"/>
      <c r="H591" s="336"/>
      <c r="I591" s="336"/>
      <c r="J591" s="336"/>
      <c r="K591" s="336"/>
      <c r="L591" s="336"/>
      <c r="M591" s="336"/>
      <c r="N591" s="336"/>
      <c r="O591" s="336"/>
      <c r="P591" s="336"/>
      <c r="Q591" s="336"/>
      <c r="R591" s="336"/>
      <c r="S591" s="336"/>
      <c r="T591" s="336"/>
    </row>
    <row r="592" spans="1:20" x14ac:dyDescent="0.25">
      <c r="A592" s="336"/>
      <c r="B592" s="336"/>
      <c r="C592" s="336"/>
      <c r="D592" s="336"/>
      <c r="E592" s="336"/>
      <c r="F592" s="104" t="b">
        <f t="array" ref="F592">IF(_xlfn.NUMBERVALUE(RIGHT($E592,2))=MAX(IF(LEFT($E592:$E2590,11)=LEFT($E592,11),_xlfn.NUMBERVALUE(RIGHT($E592:$E2590,2)))),TRUE)</f>
        <v>1</v>
      </c>
      <c r="G592" s="336"/>
      <c r="H592" s="336"/>
      <c r="I592" s="336"/>
      <c r="J592" s="336"/>
      <c r="K592" s="336"/>
      <c r="L592" s="336"/>
      <c r="M592" s="336"/>
      <c r="N592" s="336"/>
      <c r="O592" s="336"/>
      <c r="P592" s="336"/>
      <c r="Q592" s="336"/>
      <c r="R592" s="336"/>
      <c r="S592" s="336"/>
      <c r="T592" s="336"/>
    </row>
    <row r="593" spans="1:20" x14ac:dyDescent="0.25">
      <c r="A593" s="336"/>
      <c r="B593" s="336"/>
      <c r="C593" s="336"/>
      <c r="D593" s="336"/>
      <c r="E593" s="336"/>
      <c r="F593" s="104" t="b">
        <f t="array" ref="F593">IF(_xlfn.NUMBERVALUE(RIGHT($E593,2))=MAX(IF(LEFT($E593:$E2591,11)=LEFT($E593,11),_xlfn.NUMBERVALUE(RIGHT($E593:$E2591,2)))),TRUE)</f>
        <v>1</v>
      </c>
      <c r="G593" s="336"/>
      <c r="H593" s="336"/>
      <c r="I593" s="336"/>
      <c r="J593" s="336"/>
      <c r="K593" s="336"/>
      <c r="L593" s="336"/>
      <c r="M593" s="336"/>
      <c r="N593" s="336"/>
      <c r="O593" s="336"/>
      <c r="P593" s="336"/>
      <c r="Q593" s="336"/>
      <c r="R593" s="336"/>
      <c r="S593" s="336"/>
      <c r="T593" s="336"/>
    </row>
    <row r="594" spans="1:20" x14ac:dyDescent="0.25">
      <c r="A594" s="336"/>
      <c r="B594" s="336"/>
      <c r="C594" s="336"/>
      <c r="D594" s="336"/>
      <c r="E594" s="336"/>
      <c r="F594" s="104" t="b">
        <f t="array" ref="F594">IF(_xlfn.NUMBERVALUE(RIGHT($E594,2))=MAX(IF(LEFT($E594:$E2592,11)=LEFT($E594,11),_xlfn.NUMBERVALUE(RIGHT($E594:$E2592,2)))),TRUE)</f>
        <v>1</v>
      </c>
      <c r="G594" s="336"/>
      <c r="H594" s="336"/>
      <c r="I594" s="336"/>
      <c r="J594" s="336"/>
      <c r="K594" s="336"/>
      <c r="L594" s="336"/>
      <c r="M594" s="336"/>
      <c r="N594" s="336"/>
      <c r="O594" s="336"/>
      <c r="P594" s="336"/>
      <c r="Q594" s="336"/>
      <c r="R594" s="336"/>
      <c r="S594" s="336"/>
      <c r="T594" s="336"/>
    </row>
    <row r="595" spans="1:20" x14ac:dyDescent="0.25">
      <c r="A595" s="336"/>
      <c r="B595" s="336"/>
      <c r="C595" s="336"/>
      <c r="D595" s="336"/>
      <c r="E595" s="336"/>
      <c r="F595" s="104" t="b">
        <f t="array" ref="F595">IF(_xlfn.NUMBERVALUE(RIGHT($E595,2))=MAX(IF(LEFT($E595:$E2593,11)=LEFT($E595,11),_xlfn.NUMBERVALUE(RIGHT($E595:$E2593,2)))),TRUE)</f>
        <v>1</v>
      </c>
      <c r="G595" s="336"/>
      <c r="H595" s="336"/>
      <c r="I595" s="336"/>
      <c r="J595" s="336"/>
      <c r="K595" s="336"/>
      <c r="L595" s="336"/>
      <c r="M595" s="336"/>
      <c r="N595" s="336"/>
      <c r="O595" s="336"/>
      <c r="P595" s="336"/>
      <c r="Q595" s="336"/>
      <c r="R595" s="336"/>
      <c r="S595" s="336"/>
      <c r="T595" s="336"/>
    </row>
    <row r="596" spans="1:20" x14ac:dyDescent="0.25">
      <c r="A596" s="336"/>
      <c r="B596" s="336"/>
      <c r="C596" s="336"/>
      <c r="D596" s="336"/>
      <c r="E596" s="336"/>
      <c r="F596" s="104" t="b">
        <f t="array" ref="F596">IF(_xlfn.NUMBERVALUE(RIGHT($E596,2))=MAX(IF(LEFT($E596:$E2594,11)=LEFT($E596,11),_xlfn.NUMBERVALUE(RIGHT($E596:$E2594,2)))),TRUE)</f>
        <v>1</v>
      </c>
      <c r="G596" s="336"/>
      <c r="H596" s="336"/>
      <c r="I596" s="336"/>
      <c r="J596" s="336"/>
      <c r="K596" s="336"/>
      <c r="L596" s="336"/>
      <c r="M596" s="336"/>
      <c r="N596" s="336"/>
      <c r="O596" s="336"/>
      <c r="P596" s="336"/>
      <c r="Q596" s="336"/>
      <c r="R596" s="336"/>
      <c r="S596" s="336"/>
      <c r="T596" s="336"/>
    </row>
    <row r="597" spans="1:20" x14ac:dyDescent="0.25">
      <c r="A597" s="336"/>
      <c r="B597" s="336"/>
      <c r="C597" s="336"/>
      <c r="D597" s="336"/>
      <c r="E597" s="336"/>
      <c r="F597" s="104" t="b">
        <f t="array" ref="F597">IF(_xlfn.NUMBERVALUE(RIGHT($E597,2))=MAX(IF(LEFT($E597:$E2595,11)=LEFT($E597,11),_xlfn.NUMBERVALUE(RIGHT($E597:$E2595,2)))),TRUE)</f>
        <v>1</v>
      </c>
      <c r="G597" s="336"/>
      <c r="H597" s="336"/>
      <c r="I597" s="336"/>
      <c r="J597" s="336"/>
      <c r="K597" s="336"/>
      <c r="L597" s="336"/>
      <c r="M597" s="336"/>
      <c r="N597" s="336"/>
      <c r="O597" s="336"/>
      <c r="P597" s="336"/>
      <c r="Q597" s="336"/>
      <c r="R597" s="336"/>
      <c r="S597" s="336"/>
      <c r="T597" s="336"/>
    </row>
    <row r="598" spans="1:20" x14ac:dyDescent="0.25">
      <c r="A598" s="336"/>
      <c r="B598" s="336"/>
      <c r="C598" s="336"/>
      <c r="D598" s="336"/>
      <c r="E598" s="336"/>
      <c r="F598" s="104" t="b">
        <f t="array" ref="F598">IF(_xlfn.NUMBERVALUE(RIGHT($E598,2))=MAX(IF(LEFT($E598:$E2596,11)=LEFT($E598,11),_xlfn.NUMBERVALUE(RIGHT($E598:$E2596,2)))),TRUE)</f>
        <v>1</v>
      </c>
      <c r="G598" s="336"/>
      <c r="H598" s="336"/>
      <c r="I598" s="336"/>
      <c r="J598" s="336"/>
      <c r="K598" s="336"/>
      <c r="L598" s="336"/>
      <c r="M598" s="336"/>
      <c r="N598" s="336"/>
      <c r="O598" s="336"/>
      <c r="P598" s="336"/>
      <c r="Q598" s="336"/>
      <c r="R598" s="336"/>
      <c r="S598" s="336"/>
      <c r="T598" s="336"/>
    </row>
    <row r="599" spans="1:20" x14ac:dyDescent="0.25">
      <c r="A599" s="336"/>
      <c r="B599" s="336"/>
      <c r="C599" s="336"/>
      <c r="D599" s="336"/>
      <c r="E599" s="336"/>
      <c r="F599" s="104" t="b">
        <f t="array" ref="F599">IF(_xlfn.NUMBERVALUE(RIGHT($E599,2))=MAX(IF(LEFT($E599:$E2597,11)=LEFT($E599,11),_xlfn.NUMBERVALUE(RIGHT($E599:$E2597,2)))),TRUE)</f>
        <v>1</v>
      </c>
      <c r="G599" s="336"/>
      <c r="H599" s="336"/>
      <c r="I599" s="336"/>
      <c r="J599" s="336"/>
      <c r="K599" s="336"/>
      <c r="L599" s="336"/>
      <c r="M599" s="336"/>
      <c r="N599" s="336"/>
      <c r="O599" s="336"/>
      <c r="P599" s="336"/>
      <c r="Q599" s="336"/>
      <c r="R599" s="336"/>
      <c r="S599" s="336"/>
      <c r="T599" s="336"/>
    </row>
    <row r="600" spans="1:20" x14ac:dyDescent="0.25">
      <c r="A600" s="336"/>
      <c r="B600" s="336"/>
      <c r="C600" s="336"/>
      <c r="D600" s="336"/>
      <c r="E600" s="336"/>
      <c r="F600" s="104" t="b">
        <f t="array" ref="F600">IF(_xlfn.NUMBERVALUE(RIGHT($E600,2))=MAX(IF(LEFT($E600:$E2598,11)=LEFT($E600,11),_xlfn.NUMBERVALUE(RIGHT($E600:$E2598,2)))),TRUE)</f>
        <v>1</v>
      </c>
      <c r="G600" s="336"/>
      <c r="H600" s="336"/>
      <c r="I600" s="336"/>
      <c r="J600" s="336"/>
      <c r="K600" s="336"/>
      <c r="L600" s="336"/>
      <c r="M600" s="336"/>
      <c r="N600" s="336"/>
      <c r="O600" s="336"/>
      <c r="P600" s="336"/>
      <c r="Q600" s="336"/>
      <c r="R600" s="336"/>
      <c r="S600" s="336"/>
      <c r="T600" s="336"/>
    </row>
    <row r="601" spans="1:20" x14ac:dyDescent="0.25">
      <c r="A601" s="336"/>
      <c r="B601" s="336"/>
      <c r="C601" s="336"/>
      <c r="D601" s="336"/>
      <c r="E601" s="336"/>
      <c r="F601" s="104" t="b">
        <f t="array" ref="F601">IF(_xlfn.NUMBERVALUE(RIGHT($E601,2))=MAX(IF(LEFT($E601:$E2599,11)=LEFT($E601,11),_xlfn.NUMBERVALUE(RIGHT($E601:$E2599,2)))),TRUE)</f>
        <v>1</v>
      </c>
      <c r="G601" s="336"/>
      <c r="H601" s="336"/>
      <c r="I601" s="336"/>
      <c r="J601" s="336"/>
      <c r="K601" s="336"/>
      <c r="L601" s="336"/>
      <c r="M601" s="336"/>
      <c r="N601" s="336"/>
      <c r="O601" s="336"/>
      <c r="P601" s="336"/>
      <c r="Q601" s="336"/>
      <c r="R601" s="336"/>
      <c r="S601" s="336"/>
      <c r="T601" s="336"/>
    </row>
    <row r="602" spans="1:20" x14ac:dyDescent="0.25">
      <c r="A602" s="336"/>
      <c r="B602" s="336"/>
      <c r="C602" s="336"/>
      <c r="D602" s="336"/>
      <c r="E602" s="336"/>
      <c r="F602" s="104" t="b">
        <f t="array" ref="F602">IF(_xlfn.NUMBERVALUE(RIGHT($E602,2))=MAX(IF(LEFT($E602:$E2600,11)=LEFT($E602,11),_xlfn.NUMBERVALUE(RIGHT($E602:$E2600,2)))),TRUE)</f>
        <v>1</v>
      </c>
      <c r="G602" s="336"/>
      <c r="H602" s="336"/>
      <c r="I602" s="336"/>
      <c r="J602" s="336"/>
      <c r="K602" s="336"/>
      <c r="L602" s="336"/>
      <c r="M602" s="336"/>
      <c r="N602" s="336"/>
      <c r="O602" s="336"/>
      <c r="P602" s="336"/>
      <c r="Q602" s="336"/>
      <c r="R602" s="336"/>
      <c r="S602" s="336"/>
      <c r="T602" s="336"/>
    </row>
    <row r="603" spans="1:20" x14ac:dyDescent="0.25">
      <c r="A603" s="336"/>
      <c r="B603" s="336"/>
      <c r="C603" s="336"/>
      <c r="D603" s="336"/>
      <c r="E603" s="336"/>
      <c r="F603" s="104" t="b">
        <f t="array" ref="F603">IF(_xlfn.NUMBERVALUE(RIGHT($E603,2))=MAX(IF(LEFT($E603:$E2601,11)=LEFT($E603,11),_xlfn.NUMBERVALUE(RIGHT($E603:$E2601,2)))),TRUE)</f>
        <v>1</v>
      </c>
      <c r="G603" s="336"/>
      <c r="H603" s="336"/>
      <c r="I603" s="336"/>
      <c r="J603" s="336"/>
      <c r="K603" s="336"/>
      <c r="L603" s="336"/>
      <c r="M603" s="336"/>
      <c r="N603" s="336"/>
      <c r="O603" s="336"/>
      <c r="P603" s="336"/>
      <c r="Q603" s="336"/>
      <c r="R603" s="336"/>
      <c r="S603" s="336"/>
      <c r="T603" s="336"/>
    </row>
    <row r="604" spans="1:20" x14ac:dyDescent="0.25">
      <c r="A604" s="336"/>
      <c r="B604" s="336"/>
      <c r="C604" s="336"/>
      <c r="D604" s="336"/>
      <c r="E604" s="336"/>
      <c r="F604" s="104" t="b">
        <f t="array" ref="F604">IF(_xlfn.NUMBERVALUE(RIGHT($E604,2))=MAX(IF(LEFT($E604:$E2602,11)=LEFT($E604,11),_xlfn.NUMBERVALUE(RIGHT($E604:$E2602,2)))),TRUE)</f>
        <v>1</v>
      </c>
      <c r="G604" s="336"/>
      <c r="H604" s="336"/>
      <c r="I604" s="336"/>
      <c r="J604" s="336"/>
      <c r="K604" s="336"/>
      <c r="L604" s="336"/>
      <c r="M604" s="336"/>
      <c r="N604" s="336"/>
      <c r="O604" s="336"/>
      <c r="P604" s="336"/>
      <c r="Q604" s="336"/>
      <c r="R604" s="336"/>
      <c r="S604" s="336"/>
      <c r="T604" s="336"/>
    </row>
    <row r="605" spans="1:20" x14ac:dyDescent="0.25">
      <c r="A605" s="336"/>
      <c r="B605" s="336"/>
      <c r="C605" s="336"/>
      <c r="D605" s="336"/>
      <c r="E605" s="336"/>
      <c r="F605" s="104" t="b">
        <f t="array" ref="F605">IF(_xlfn.NUMBERVALUE(RIGHT($E605,2))=MAX(IF(LEFT($E605:$E2603,11)=LEFT($E605,11),_xlfn.NUMBERVALUE(RIGHT($E605:$E2603,2)))),TRUE)</f>
        <v>1</v>
      </c>
      <c r="G605" s="336"/>
      <c r="H605" s="336"/>
      <c r="I605" s="336"/>
      <c r="J605" s="336"/>
      <c r="K605" s="336"/>
      <c r="L605" s="336"/>
      <c r="M605" s="336"/>
      <c r="N605" s="336"/>
      <c r="O605" s="336"/>
      <c r="P605" s="336"/>
      <c r="Q605" s="336"/>
      <c r="R605" s="336"/>
      <c r="S605" s="336"/>
      <c r="T605" s="336"/>
    </row>
    <row r="606" spans="1:20" x14ac:dyDescent="0.25">
      <c r="A606" s="336"/>
      <c r="B606" s="336"/>
      <c r="C606" s="336"/>
      <c r="D606" s="336"/>
      <c r="E606" s="336"/>
      <c r="F606" s="104" t="b">
        <f t="array" ref="F606">IF(_xlfn.NUMBERVALUE(RIGHT($E606,2))=MAX(IF(LEFT($E606:$E2604,11)=LEFT($E606,11),_xlfn.NUMBERVALUE(RIGHT($E606:$E2604,2)))),TRUE)</f>
        <v>1</v>
      </c>
      <c r="G606" s="336"/>
      <c r="H606" s="336"/>
      <c r="I606" s="336"/>
      <c r="J606" s="336"/>
      <c r="K606" s="336"/>
      <c r="L606" s="336"/>
      <c r="M606" s="336"/>
      <c r="N606" s="336"/>
      <c r="O606" s="336"/>
      <c r="P606" s="336"/>
      <c r="Q606" s="336"/>
      <c r="R606" s="336"/>
      <c r="S606" s="336"/>
      <c r="T606" s="336"/>
    </row>
    <row r="607" spans="1:20" x14ac:dyDescent="0.25">
      <c r="A607" s="336"/>
      <c r="B607" s="336"/>
      <c r="C607" s="336"/>
      <c r="D607" s="336"/>
      <c r="E607" s="336"/>
      <c r="F607" s="104" t="b">
        <f t="array" ref="F607">IF(_xlfn.NUMBERVALUE(RIGHT($E607,2))=MAX(IF(LEFT($E607:$E2605,11)=LEFT($E607,11),_xlfn.NUMBERVALUE(RIGHT($E607:$E2605,2)))),TRUE)</f>
        <v>1</v>
      </c>
      <c r="G607" s="336"/>
      <c r="H607" s="336"/>
      <c r="I607" s="336"/>
      <c r="J607" s="336"/>
      <c r="K607" s="336"/>
      <c r="L607" s="336"/>
      <c r="M607" s="336"/>
      <c r="N607" s="336"/>
      <c r="O607" s="336"/>
      <c r="P607" s="336"/>
      <c r="Q607" s="336"/>
      <c r="R607" s="336"/>
      <c r="S607" s="336"/>
      <c r="T607" s="336"/>
    </row>
    <row r="608" spans="1:20" x14ac:dyDescent="0.25">
      <c r="A608" s="336"/>
      <c r="B608" s="336"/>
      <c r="C608" s="336"/>
      <c r="D608" s="336"/>
      <c r="E608" s="336"/>
      <c r="F608" s="104" t="b">
        <f t="array" ref="F608">IF(_xlfn.NUMBERVALUE(RIGHT($E608,2))=MAX(IF(LEFT($E608:$E2606,11)=LEFT($E608,11),_xlfn.NUMBERVALUE(RIGHT($E608:$E2606,2)))),TRUE)</f>
        <v>1</v>
      </c>
      <c r="G608" s="336"/>
      <c r="H608" s="336"/>
      <c r="I608" s="336"/>
      <c r="J608" s="336"/>
      <c r="K608" s="336"/>
      <c r="L608" s="336"/>
      <c r="M608" s="336"/>
      <c r="N608" s="336"/>
      <c r="O608" s="336"/>
      <c r="P608" s="336"/>
      <c r="Q608" s="336"/>
      <c r="R608" s="336"/>
      <c r="S608" s="336"/>
      <c r="T608" s="336"/>
    </row>
    <row r="609" spans="1:20" x14ac:dyDescent="0.25">
      <c r="A609" s="336"/>
      <c r="B609" s="336"/>
      <c r="C609" s="336"/>
      <c r="D609" s="336"/>
      <c r="E609" s="336"/>
      <c r="F609" s="104" t="b">
        <f t="array" ref="F609">IF(_xlfn.NUMBERVALUE(RIGHT($E609,2))=MAX(IF(LEFT($E609:$E2607,11)=LEFT($E609,11),_xlfn.NUMBERVALUE(RIGHT($E609:$E2607,2)))),TRUE)</f>
        <v>1</v>
      </c>
      <c r="G609" s="336"/>
      <c r="H609" s="336"/>
      <c r="I609" s="336"/>
      <c r="J609" s="336"/>
      <c r="K609" s="336"/>
      <c r="L609" s="336"/>
      <c r="M609" s="336"/>
      <c r="N609" s="336"/>
      <c r="O609" s="336"/>
      <c r="P609" s="336"/>
      <c r="Q609" s="336"/>
      <c r="R609" s="336"/>
      <c r="S609" s="336"/>
      <c r="T609" s="336"/>
    </row>
    <row r="610" spans="1:20" x14ac:dyDescent="0.25">
      <c r="A610" s="336"/>
      <c r="B610" s="336"/>
      <c r="C610" s="336"/>
      <c r="D610" s="336"/>
      <c r="E610" s="336"/>
      <c r="F610" s="104" t="b">
        <f t="array" ref="F610">IF(_xlfn.NUMBERVALUE(RIGHT($E610,2))=MAX(IF(LEFT($E610:$E2608,11)=LEFT($E610,11),_xlfn.NUMBERVALUE(RIGHT($E610:$E2608,2)))),TRUE)</f>
        <v>1</v>
      </c>
      <c r="G610" s="336"/>
      <c r="H610" s="336"/>
      <c r="I610" s="336"/>
      <c r="J610" s="336"/>
      <c r="K610" s="336"/>
      <c r="L610" s="336"/>
      <c r="M610" s="336"/>
      <c r="N610" s="336"/>
      <c r="O610" s="336"/>
      <c r="P610" s="336"/>
      <c r="Q610" s="336"/>
      <c r="R610" s="336"/>
      <c r="S610" s="336"/>
      <c r="T610" s="336"/>
    </row>
    <row r="611" spans="1:20" x14ac:dyDescent="0.25">
      <c r="A611" s="336"/>
      <c r="B611" s="336"/>
      <c r="C611" s="336"/>
      <c r="D611" s="336"/>
      <c r="E611" s="336"/>
      <c r="F611" s="104" t="b">
        <f t="array" ref="F611">IF(_xlfn.NUMBERVALUE(RIGHT($E611,2))=MAX(IF(LEFT($E611:$E2609,11)=LEFT($E611,11),_xlfn.NUMBERVALUE(RIGHT($E611:$E2609,2)))),TRUE)</f>
        <v>1</v>
      </c>
      <c r="G611" s="336"/>
      <c r="H611" s="336"/>
      <c r="I611" s="336"/>
      <c r="J611" s="336"/>
      <c r="K611" s="336"/>
      <c r="L611" s="336"/>
      <c r="M611" s="336"/>
      <c r="N611" s="336"/>
      <c r="O611" s="336"/>
      <c r="P611" s="336"/>
      <c r="Q611" s="336"/>
      <c r="R611" s="336"/>
      <c r="S611" s="336"/>
      <c r="T611" s="336"/>
    </row>
    <row r="612" spans="1:20" x14ac:dyDescent="0.25">
      <c r="A612" s="336"/>
      <c r="B612" s="336"/>
      <c r="C612" s="336"/>
      <c r="D612" s="336"/>
      <c r="E612" s="336"/>
      <c r="F612" s="104" t="b">
        <f t="array" ref="F612">IF(_xlfn.NUMBERVALUE(RIGHT($E612,2))=MAX(IF(LEFT($E612:$E2610,11)=LEFT($E612,11),_xlfn.NUMBERVALUE(RIGHT($E612:$E2610,2)))),TRUE)</f>
        <v>1</v>
      </c>
      <c r="G612" s="336"/>
      <c r="H612" s="336"/>
      <c r="I612" s="336"/>
      <c r="J612" s="336"/>
      <c r="K612" s="336"/>
      <c r="L612" s="336"/>
      <c r="M612" s="336"/>
      <c r="N612" s="336"/>
      <c r="O612" s="336"/>
      <c r="P612" s="336"/>
      <c r="Q612" s="336"/>
      <c r="R612" s="336"/>
      <c r="S612" s="336"/>
      <c r="T612" s="336"/>
    </row>
    <row r="613" spans="1:20" x14ac:dyDescent="0.25">
      <c r="A613" s="336"/>
      <c r="B613" s="336"/>
      <c r="C613" s="336"/>
      <c r="D613" s="336"/>
      <c r="E613" s="336"/>
      <c r="F613" s="104" t="b">
        <f t="array" ref="F613">IF(_xlfn.NUMBERVALUE(RIGHT($E613,2))=MAX(IF(LEFT($E613:$E2611,11)=LEFT($E613,11),_xlfn.NUMBERVALUE(RIGHT($E613:$E2611,2)))),TRUE)</f>
        <v>1</v>
      </c>
      <c r="G613" s="336"/>
      <c r="H613" s="336"/>
      <c r="I613" s="336"/>
      <c r="J613" s="336"/>
      <c r="K613" s="336"/>
      <c r="L613" s="336"/>
      <c r="M613" s="336"/>
      <c r="N613" s="336"/>
      <c r="O613" s="336"/>
      <c r="P613" s="336"/>
      <c r="Q613" s="336"/>
      <c r="R613" s="336"/>
      <c r="S613" s="336"/>
      <c r="T613" s="336"/>
    </row>
    <row r="614" spans="1:20" x14ac:dyDescent="0.25">
      <c r="A614" s="336"/>
      <c r="B614" s="336"/>
      <c r="C614" s="336"/>
      <c r="D614" s="336"/>
      <c r="E614" s="336"/>
      <c r="F614" s="104" t="b">
        <f t="array" ref="F614">IF(_xlfn.NUMBERVALUE(RIGHT($E614,2))=MAX(IF(LEFT($E614:$E2612,11)=LEFT($E614,11),_xlfn.NUMBERVALUE(RIGHT($E614:$E2612,2)))),TRUE)</f>
        <v>1</v>
      </c>
      <c r="G614" s="336"/>
      <c r="H614" s="336"/>
      <c r="I614" s="336"/>
      <c r="J614" s="336"/>
      <c r="K614" s="336"/>
      <c r="L614" s="336"/>
      <c r="M614" s="336"/>
      <c r="N614" s="336"/>
      <c r="O614" s="336"/>
      <c r="P614" s="336"/>
      <c r="Q614" s="336"/>
      <c r="R614" s="336"/>
      <c r="S614" s="336"/>
      <c r="T614" s="336"/>
    </row>
    <row r="615" spans="1:20" x14ac:dyDescent="0.25">
      <c r="A615" s="336"/>
      <c r="B615" s="336"/>
      <c r="C615" s="336"/>
      <c r="D615" s="336"/>
      <c r="E615" s="336"/>
      <c r="F615" s="104" t="b">
        <f t="array" ref="F615">IF(_xlfn.NUMBERVALUE(RIGHT($E615,2))=MAX(IF(LEFT($E615:$E2613,11)=LEFT($E615,11),_xlfn.NUMBERVALUE(RIGHT($E615:$E2613,2)))),TRUE)</f>
        <v>1</v>
      </c>
      <c r="G615" s="336"/>
      <c r="H615" s="336"/>
      <c r="I615" s="336"/>
      <c r="J615" s="336"/>
      <c r="K615" s="336"/>
      <c r="L615" s="336"/>
      <c r="M615" s="336"/>
      <c r="N615" s="336"/>
      <c r="O615" s="336"/>
      <c r="P615" s="336"/>
      <c r="Q615" s="336"/>
      <c r="R615" s="336"/>
      <c r="S615" s="336"/>
      <c r="T615" s="336"/>
    </row>
    <row r="616" spans="1:20" x14ac:dyDescent="0.25">
      <c r="A616" s="336"/>
      <c r="B616" s="336"/>
      <c r="C616" s="336"/>
      <c r="D616" s="336"/>
      <c r="E616" s="336"/>
      <c r="F616" s="104" t="b">
        <f t="array" ref="F616">IF(_xlfn.NUMBERVALUE(RIGHT($E616,2))=MAX(IF(LEFT($E616:$E2614,11)=LEFT($E616,11),_xlfn.NUMBERVALUE(RIGHT($E616:$E2614,2)))),TRUE)</f>
        <v>1</v>
      </c>
      <c r="G616" s="336"/>
      <c r="H616" s="336"/>
      <c r="I616" s="336"/>
      <c r="J616" s="336"/>
      <c r="K616" s="336"/>
      <c r="L616" s="336"/>
      <c r="M616" s="336"/>
      <c r="N616" s="336"/>
      <c r="O616" s="336"/>
      <c r="P616" s="336"/>
      <c r="Q616" s="336"/>
      <c r="R616" s="336"/>
      <c r="S616" s="336"/>
      <c r="T616" s="336"/>
    </row>
    <row r="617" spans="1:20" x14ac:dyDescent="0.25">
      <c r="A617" s="336"/>
      <c r="B617" s="336"/>
      <c r="C617" s="336"/>
      <c r="D617" s="336"/>
      <c r="E617" s="336"/>
      <c r="F617" s="104" t="b">
        <f t="array" ref="F617">IF(_xlfn.NUMBERVALUE(RIGHT($E617,2))=MAX(IF(LEFT($E617:$E2615,11)=LEFT($E617,11),_xlfn.NUMBERVALUE(RIGHT($E617:$E2615,2)))),TRUE)</f>
        <v>1</v>
      </c>
      <c r="G617" s="336"/>
      <c r="H617" s="336"/>
      <c r="I617" s="336"/>
      <c r="J617" s="336"/>
      <c r="K617" s="336"/>
      <c r="L617" s="336"/>
      <c r="M617" s="336"/>
      <c r="N617" s="336"/>
      <c r="O617" s="336"/>
      <c r="P617" s="336"/>
      <c r="Q617" s="336"/>
      <c r="R617" s="336"/>
      <c r="S617" s="336"/>
      <c r="T617" s="336"/>
    </row>
    <row r="618" spans="1:20" x14ac:dyDescent="0.25">
      <c r="A618" s="336"/>
      <c r="B618" s="336"/>
      <c r="C618" s="336"/>
      <c r="D618" s="336"/>
      <c r="E618" s="336"/>
      <c r="F618" s="104" t="b">
        <f t="array" ref="F618">IF(_xlfn.NUMBERVALUE(RIGHT($E618,2))=MAX(IF(LEFT($E618:$E2616,11)=LEFT($E618,11),_xlfn.NUMBERVALUE(RIGHT($E618:$E2616,2)))),TRUE)</f>
        <v>1</v>
      </c>
      <c r="G618" s="336"/>
      <c r="H618" s="336"/>
      <c r="I618" s="336"/>
      <c r="J618" s="336"/>
      <c r="K618" s="336"/>
      <c r="L618" s="336"/>
      <c r="M618" s="336"/>
      <c r="N618" s="336"/>
      <c r="O618" s="336"/>
      <c r="P618" s="336"/>
      <c r="Q618" s="336"/>
      <c r="R618" s="336"/>
      <c r="S618" s="336"/>
      <c r="T618" s="336"/>
    </row>
    <row r="619" spans="1:20" x14ac:dyDescent="0.25">
      <c r="A619" s="336"/>
      <c r="B619" s="336"/>
      <c r="C619" s="336"/>
      <c r="D619" s="336"/>
      <c r="E619" s="336"/>
      <c r="F619" s="104" t="b">
        <f t="array" ref="F619">IF(_xlfn.NUMBERVALUE(RIGHT($E619,2))=MAX(IF(LEFT($E619:$E2617,11)=LEFT($E619,11),_xlfn.NUMBERVALUE(RIGHT($E619:$E2617,2)))),TRUE)</f>
        <v>1</v>
      </c>
      <c r="G619" s="336"/>
      <c r="H619" s="336"/>
      <c r="I619" s="336"/>
      <c r="J619" s="336"/>
      <c r="K619" s="336"/>
      <c r="L619" s="336"/>
      <c r="M619" s="336"/>
      <c r="N619" s="336"/>
      <c r="O619" s="336"/>
      <c r="P619" s="336"/>
      <c r="Q619" s="336"/>
      <c r="R619" s="336"/>
      <c r="S619" s="336"/>
      <c r="T619" s="336"/>
    </row>
    <row r="620" spans="1:20" x14ac:dyDescent="0.25">
      <c r="A620" s="336"/>
      <c r="B620" s="336"/>
      <c r="C620" s="336"/>
      <c r="D620" s="336"/>
      <c r="E620" s="336"/>
      <c r="F620" s="104" t="b">
        <f t="array" ref="F620">IF(_xlfn.NUMBERVALUE(RIGHT($E620,2))=MAX(IF(LEFT($E620:$E2618,11)=LEFT($E620,11),_xlfn.NUMBERVALUE(RIGHT($E620:$E2618,2)))),TRUE)</f>
        <v>1</v>
      </c>
      <c r="G620" s="336"/>
      <c r="H620" s="336"/>
      <c r="I620" s="336"/>
      <c r="J620" s="336"/>
      <c r="K620" s="336"/>
      <c r="L620" s="336"/>
      <c r="M620" s="336"/>
      <c r="N620" s="336"/>
      <c r="O620" s="336"/>
      <c r="P620" s="336"/>
      <c r="Q620" s="336"/>
      <c r="R620" s="336"/>
      <c r="S620" s="336"/>
      <c r="T620" s="336"/>
    </row>
    <row r="621" spans="1:20" x14ac:dyDescent="0.25">
      <c r="A621" s="336"/>
      <c r="B621" s="336"/>
      <c r="C621" s="336"/>
      <c r="D621" s="336"/>
      <c r="E621" s="336"/>
      <c r="F621" s="104" t="b">
        <f t="array" ref="F621">IF(_xlfn.NUMBERVALUE(RIGHT($E621,2))=MAX(IF(LEFT($E621:$E2619,11)=LEFT($E621,11),_xlfn.NUMBERVALUE(RIGHT($E621:$E2619,2)))),TRUE)</f>
        <v>1</v>
      </c>
      <c r="G621" s="336"/>
      <c r="H621" s="336"/>
      <c r="I621" s="336"/>
      <c r="J621" s="336"/>
      <c r="K621" s="336"/>
      <c r="L621" s="336"/>
      <c r="M621" s="336"/>
      <c r="N621" s="336"/>
      <c r="O621" s="336"/>
      <c r="P621" s="336"/>
      <c r="Q621" s="336"/>
      <c r="R621" s="336"/>
      <c r="S621" s="336"/>
      <c r="T621" s="336"/>
    </row>
    <row r="622" spans="1:20" x14ac:dyDescent="0.25">
      <c r="A622" s="336"/>
      <c r="B622" s="336"/>
      <c r="C622" s="336"/>
      <c r="D622" s="336"/>
      <c r="E622" s="336"/>
      <c r="F622" s="104" t="b">
        <f t="array" ref="F622">IF(_xlfn.NUMBERVALUE(RIGHT($E622,2))=MAX(IF(LEFT($E622:$E2620,11)=LEFT($E622,11),_xlfn.NUMBERVALUE(RIGHT($E622:$E2620,2)))),TRUE)</f>
        <v>1</v>
      </c>
      <c r="G622" s="336"/>
      <c r="H622" s="336"/>
      <c r="I622" s="336"/>
      <c r="J622" s="336"/>
      <c r="K622" s="336"/>
      <c r="L622" s="336"/>
      <c r="M622" s="336"/>
      <c r="N622" s="336"/>
      <c r="O622" s="336"/>
      <c r="P622" s="336"/>
      <c r="Q622" s="336"/>
      <c r="R622" s="336"/>
      <c r="S622" s="336"/>
      <c r="T622" s="336"/>
    </row>
    <row r="623" spans="1:20" x14ac:dyDescent="0.25">
      <c r="A623" s="336"/>
      <c r="B623" s="336"/>
      <c r="C623" s="336"/>
      <c r="D623" s="336"/>
      <c r="E623" s="336"/>
      <c r="F623" s="104" t="b">
        <f t="array" ref="F623">IF(_xlfn.NUMBERVALUE(RIGHT($E623,2))=MAX(IF(LEFT($E623:$E2621,11)=LEFT($E623,11),_xlfn.NUMBERVALUE(RIGHT($E623:$E2621,2)))),TRUE)</f>
        <v>1</v>
      </c>
      <c r="G623" s="336"/>
      <c r="H623" s="336"/>
      <c r="I623" s="336"/>
      <c r="J623" s="336"/>
      <c r="K623" s="336"/>
      <c r="L623" s="336"/>
      <c r="M623" s="336"/>
      <c r="N623" s="336"/>
      <c r="O623" s="336"/>
      <c r="P623" s="336"/>
      <c r="Q623" s="336"/>
      <c r="R623" s="336"/>
      <c r="S623" s="336"/>
      <c r="T623" s="336"/>
    </row>
    <row r="624" spans="1:20" x14ac:dyDescent="0.25">
      <c r="A624" s="336"/>
      <c r="B624" s="336"/>
      <c r="C624" s="336"/>
      <c r="D624" s="336"/>
      <c r="E624" s="336"/>
      <c r="F624" s="104" t="b">
        <f t="array" ref="F624">IF(_xlfn.NUMBERVALUE(RIGHT($E624,2))=MAX(IF(LEFT($E624:$E2622,11)=LEFT($E624,11),_xlfn.NUMBERVALUE(RIGHT($E624:$E2622,2)))),TRUE)</f>
        <v>1</v>
      </c>
      <c r="G624" s="336"/>
      <c r="H624" s="336"/>
      <c r="I624" s="336"/>
      <c r="J624" s="336"/>
      <c r="K624" s="336"/>
      <c r="L624" s="336"/>
      <c r="M624" s="336"/>
      <c r="N624" s="336"/>
      <c r="O624" s="336"/>
      <c r="P624" s="336"/>
      <c r="Q624" s="336"/>
      <c r="R624" s="336"/>
      <c r="S624" s="336"/>
      <c r="T624" s="336"/>
    </row>
    <row r="625" spans="1:20" x14ac:dyDescent="0.25">
      <c r="A625" s="336"/>
      <c r="B625" s="336"/>
      <c r="C625" s="336"/>
      <c r="D625" s="336"/>
      <c r="E625" s="336"/>
      <c r="F625" s="104" t="b">
        <f t="array" ref="F625">IF(_xlfn.NUMBERVALUE(RIGHT($E625,2))=MAX(IF(LEFT($E625:$E2623,11)=LEFT($E625,11),_xlfn.NUMBERVALUE(RIGHT($E625:$E2623,2)))),TRUE)</f>
        <v>1</v>
      </c>
      <c r="G625" s="336"/>
      <c r="H625" s="336"/>
      <c r="I625" s="336"/>
      <c r="J625" s="336"/>
      <c r="K625" s="336"/>
      <c r="L625" s="336"/>
      <c r="M625" s="336"/>
      <c r="N625" s="336"/>
      <c r="O625" s="336"/>
      <c r="P625" s="336"/>
      <c r="Q625" s="336"/>
      <c r="R625" s="336"/>
      <c r="S625" s="336"/>
      <c r="T625" s="336"/>
    </row>
    <row r="626" spans="1:20" x14ac:dyDescent="0.25">
      <c r="A626" s="336"/>
      <c r="B626" s="336"/>
      <c r="C626" s="336"/>
      <c r="D626" s="336"/>
      <c r="E626" s="336"/>
      <c r="F626" s="104" t="b">
        <f t="array" ref="F626">IF(_xlfn.NUMBERVALUE(RIGHT($E626,2))=MAX(IF(LEFT($E626:$E2624,11)=LEFT($E626,11),_xlfn.NUMBERVALUE(RIGHT($E626:$E2624,2)))),TRUE)</f>
        <v>1</v>
      </c>
      <c r="G626" s="336"/>
      <c r="H626" s="336"/>
      <c r="I626" s="336"/>
      <c r="J626" s="336"/>
      <c r="K626" s="336"/>
      <c r="L626" s="336"/>
      <c r="M626" s="336"/>
      <c r="N626" s="336"/>
      <c r="O626" s="336"/>
      <c r="P626" s="336"/>
      <c r="Q626" s="336"/>
      <c r="R626" s="336"/>
      <c r="S626" s="336"/>
      <c r="T626" s="336"/>
    </row>
    <row r="627" spans="1:20" x14ac:dyDescent="0.25">
      <c r="A627" s="336"/>
      <c r="B627" s="336"/>
      <c r="C627" s="336"/>
      <c r="D627" s="336"/>
      <c r="E627" s="336"/>
      <c r="F627" s="104" t="b">
        <f t="array" ref="F627">IF(_xlfn.NUMBERVALUE(RIGHT($E627,2))=MAX(IF(LEFT($E627:$E2625,11)=LEFT($E627,11),_xlfn.NUMBERVALUE(RIGHT($E627:$E2625,2)))),TRUE)</f>
        <v>1</v>
      </c>
      <c r="G627" s="336"/>
      <c r="H627" s="336"/>
      <c r="I627" s="336"/>
      <c r="J627" s="336"/>
      <c r="K627" s="336"/>
      <c r="L627" s="336"/>
      <c r="M627" s="336"/>
      <c r="N627" s="336"/>
      <c r="O627" s="336"/>
      <c r="P627" s="336"/>
      <c r="Q627" s="336"/>
      <c r="R627" s="336"/>
      <c r="S627" s="336"/>
      <c r="T627" s="336"/>
    </row>
    <row r="628" spans="1:20" x14ac:dyDescent="0.25">
      <c r="A628" s="336"/>
      <c r="B628" s="336"/>
      <c r="C628" s="336"/>
      <c r="D628" s="336"/>
      <c r="E628" s="336"/>
      <c r="F628" s="104" t="b">
        <f t="array" ref="F628">IF(_xlfn.NUMBERVALUE(RIGHT($E628,2))=MAX(IF(LEFT($E628:$E2626,11)=LEFT($E628,11),_xlfn.NUMBERVALUE(RIGHT($E628:$E2626,2)))),TRUE)</f>
        <v>1</v>
      </c>
      <c r="G628" s="336"/>
      <c r="H628" s="336"/>
      <c r="I628" s="336"/>
      <c r="J628" s="336"/>
      <c r="K628" s="336"/>
      <c r="L628" s="336"/>
      <c r="M628" s="336"/>
      <c r="N628" s="336"/>
      <c r="O628" s="336"/>
      <c r="P628" s="336"/>
      <c r="Q628" s="336"/>
      <c r="R628" s="336"/>
      <c r="S628" s="336"/>
      <c r="T628" s="336"/>
    </row>
    <row r="629" spans="1:20" x14ac:dyDescent="0.25">
      <c r="A629" s="336"/>
      <c r="B629" s="336"/>
      <c r="C629" s="336"/>
      <c r="D629" s="336"/>
      <c r="E629" s="336"/>
      <c r="F629" s="104" t="b">
        <f t="array" ref="F629">IF(_xlfn.NUMBERVALUE(RIGHT($E629,2))=MAX(IF(LEFT($E629:$E2627,11)=LEFT($E629,11),_xlfn.NUMBERVALUE(RIGHT($E629:$E2627,2)))),TRUE)</f>
        <v>1</v>
      </c>
      <c r="G629" s="336"/>
      <c r="H629" s="336"/>
      <c r="I629" s="336"/>
      <c r="J629" s="336"/>
      <c r="K629" s="336"/>
      <c r="L629" s="336"/>
      <c r="M629" s="336"/>
      <c r="N629" s="336"/>
      <c r="O629" s="336"/>
      <c r="P629" s="336"/>
      <c r="Q629" s="336"/>
      <c r="R629" s="336"/>
      <c r="S629" s="336"/>
      <c r="T629" s="336"/>
    </row>
    <row r="630" spans="1:20" x14ac:dyDescent="0.25">
      <c r="A630" s="336"/>
      <c r="B630" s="336"/>
      <c r="C630" s="336"/>
      <c r="D630" s="336"/>
      <c r="E630" s="336"/>
      <c r="F630" s="104" t="b">
        <f t="array" ref="F630">IF(_xlfn.NUMBERVALUE(RIGHT($E630,2))=MAX(IF(LEFT($E630:$E2628,11)=LEFT($E630,11),_xlfn.NUMBERVALUE(RIGHT($E630:$E2628,2)))),TRUE)</f>
        <v>1</v>
      </c>
      <c r="G630" s="336"/>
      <c r="H630" s="336"/>
      <c r="I630" s="336"/>
      <c r="J630" s="336"/>
      <c r="K630" s="336"/>
      <c r="L630" s="336"/>
      <c r="M630" s="336"/>
      <c r="N630" s="336"/>
      <c r="O630" s="336"/>
      <c r="P630" s="336"/>
      <c r="Q630" s="336"/>
      <c r="R630" s="336"/>
      <c r="S630" s="336"/>
      <c r="T630" s="336"/>
    </row>
    <row r="631" spans="1:20" x14ac:dyDescent="0.25">
      <c r="A631" s="336"/>
      <c r="B631" s="336"/>
      <c r="C631" s="336"/>
      <c r="D631" s="336"/>
      <c r="E631" s="336"/>
      <c r="F631" s="104" t="b">
        <f t="array" ref="F631">IF(_xlfn.NUMBERVALUE(RIGHT($E631,2))=MAX(IF(LEFT($E631:$E2629,11)=LEFT($E631,11),_xlfn.NUMBERVALUE(RIGHT($E631:$E2629,2)))),TRUE)</f>
        <v>1</v>
      </c>
      <c r="G631" s="336"/>
      <c r="H631" s="336"/>
      <c r="I631" s="336"/>
      <c r="J631" s="336"/>
      <c r="K631" s="336"/>
      <c r="L631" s="336"/>
      <c r="M631" s="336"/>
      <c r="N631" s="336"/>
      <c r="O631" s="336"/>
      <c r="P631" s="336"/>
      <c r="Q631" s="336"/>
      <c r="R631" s="336"/>
      <c r="S631" s="336"/>
      <c r="T631" s="336"/>
    </row>
    <row r="632" spans="1:20" x14ac:dyDescent="0.25">
      <c r="A632" s="336"/>
      <c r="B632" s="336"/>
      <c r="C632" s="336"/>
      <c r="D632" s="336"/>
      <c r="E632" s="336"/>
      <c r="F632" s="104" t="b">
        <f t="array" ref="F632">IF(_xlfn.NUMBERVALUE(RIGHT($E632,2))=MAX(IF(LEFT($E632:$E2630,11)=LEFT($E632,11),_xlfn.NUMBERVALUE(RIGHT($E632:$E2630,2)))),TRUE)</f>
        <v>1</v>
      </c>
      <c r="G632" s="336"/>
      <c r="H632" s="336"/>
      <c r="I632" s="336"/>
      <c r="J632" s="336"/>
      <c r="K632" s="336"/>
      <c r="L632" s="336"/>
      <c r="M632" s="336"/>
      <c r="N632" s="336"/>
      <c r="O632" s="336"/>
      <c r="P632" s="336"/>
      <c r="Q632" s="336"/>
      <c r="R632" s="336"/>
      <c r="S632" s="336"/>
      <c r="T632" s="336"/>
    </row>
    <row r="633" spans="1:20" x14ac:dyDescent="0.25">
      <c r="A633" s="336"/>
      <c r="B633" s="336"/>
      <c r="C633" s="336"/>
      <c r="D633" s="336"/>
      <c r="E633" s="336"/>
      <c r="F633" s="104" t="b">
        <f t="array" ref="F633">IF(_xlfn.NUMBERVALUE(RIGHT($E633,2))=MAX(IF(LEFT($E633:$E2631,11)=LEFT($E633,11),_xlfn.NUMBERVALUE(RIGHT($E633:$E2631,2)))),TRUE)</f>
        <v>1</v>
      </c>
      <c r="G633" s="336"/>
      <c r="H633" s="336"/>
      <c r="I633" s="336"/>
      <c r="J633" s="336"/>
      <c r="K633" s="336"/>
      <c r="L633" s="336"/>
      <c r="M633" s="336"/>
      <c r="N633" s="336"/>
      <c r="O633" s="336"/>
      <c r="P633" s="336"/>
      <c r="Q633" s="336"/>
      <c r="R633" s="336"/>
      <c r="S633" s="336"/>
      <c r="T633" s="336"/>
    </row>
    <row r="634" spans="1:20" x14ac:dyDescent="0.25">
      <c r="A634" s="336"/>
      <c r="B634" s="336"/>
      <c r="C634" s="336"/>
      <c r="D634" s="336"/>
      <c r="E634" s="336"/>
      <c r="F634" s="104" t="b">
        <f t="array" ref="F634">IF(_xlfn.NUMBERVALUE(RIGHT($E634,2))=MAX(IF(LEFT($E634:$E2632,11)=LEFT($E634,11),_xlfn.NUMBERVALUE(RIGHT($E634:$E2632,2)))),TRUE)</f>
        <v>1</v>
      </c>
      <c r="G634" s="336"/>
      <c r="H634" s="336"/>
      <c r="I634" s="336"/>
      <c r="J634" s="336"/>
      <c r="K634" s="336"/>
      <c r="L634" s="336"/>
      <c r="M634" s="336"/>
      <c r="N634" s="336"/>
      <c r="O634" s="336"/>
      <c r="P634" s="336"/>
      <c r="Q634" s="336"/>
      <c r="R634" s="336"/>
      <c r="S634" s="336"/>
      <c r="T634" s="336"/>
    </row>
    <row r="635" spans="1:20" x14ac:dyDescent="0.25">
      <c r="A635" s="336"/>
      <c r="B635" s="336"/>
      <c r="C635" s="336"/>
      <c r="D635" s="336"/>
      <c r="E635" s="336"/>
      <c r="F635" s="104" t="b">
        <f t="array" ref="F635">IF(_xlfn.NUMBERVALUE(RIGHT($E635,2))=MAX(IF(LEFT($E635:$E2633,11)=LEFT($E635,11),_xlfn.NUMBERVALUE(RIGHT($E635:$E2633,2)))),TRUE)</f>
        <v>1</v>
      </c>
      <c r="G635" s="336"/>
      <c r="H635" s="336"/>
      <c r="I635" s="336"/>
      <c r="J635" s="336"/>
      <c r="K635" s="336"/>
      <c r="L635" s="336"/>
      <c r="M635" s="336"/>
      <c r="N635" s="336"/>
      <c r="O635" s="336"/>
      <c r="P635" s="336"/>
      <c r="Q635" s="336"/>
      <c r="R635" s="336"/>
      <c r="S635" s="336"/>
      <c r="T635" s="336"/>
    </row>
    <row r="636" spans="1:20" x14ac:dyDescent="0.25">
      <c r="A636" s="336"/>
      <c r="B636" s="336"/>
      <c r="C636" s="336"/>
      <c r="D636" s="336"/>
      <c r="E636" s="336"/>
      <c r="F636" s="104" t="b">
        <f t="array" ref="F636">IF(_xlfn.NUMBERVALUE(RIGHT($E636,2))=MAX(IF(LEFT($E636:$E2634,11)=LEFT($E636,11),_xlfn.NUMBERVALUE(RIGHT($E636:$E2634,2)))),TRUE)</f>
        <v>1</v>
      </c>
      <c r="G636" s="336"/>
      <c r="H636" s="336"/>
      <c r="I636" s="336"/>
      <c r="J636" s="336"/>
      <c r="K636" s="336"/>
      <c r="L636" s="336"/>
      <c r="M636" s="336"/>
      <c r="N636" s="336"/>
      <c r="O636" s="336"/>
      <c r="P636" s="336"/>
      <c r="Q636" s="336"/>
      <c r="R636" s="336"/>
      <c r="S636" s="336"/>
      <c r="T636" s="336"/>
    </row>
    <row r="637" spans="1:20" x14ac:dyDescent="0.25">
      <c r="A637" s="336"/>
      <c r="B637" s="336"/>
      <c r="C637" s="336"/>
      <c r="D637" s="336"/>
      <c r="E637" s="336"/>
      <c r="F637" s="104" t="b">
        <f t="array" ref="F637">IF(_xlfn.NUMBERVALUE(RIGHT($E637,2))=MAX(IF(LEFT($E637:$E2635,11)=LEFT($E637,11),_xlfn.NUMBERVALUE(RIGHT($E637:$E2635,2)))),TRUE)</f>
        <v>1</v>
      </c>
      <c r="G637" s="336"/>
      <c r="H637" s="336"/>
      <c r="I637" s="336"/>
      <c r="J637" s="336"/>
      <c r="K637" s="336"/>
      <c r="L637" s="336"/>
      <c r="M637" s="336"/>
      <c r="N637" s="336"/>
      <c r="O637" s="336"/>
      <c r="P637" s="336"/>
      <c r="Q637" s="336"/>
      <c r="R637" s="336"/>
      <c r="S637" s="336"/>
      <c r="T637" s="336"/>
    </row>
    <row r="638" spans="1:20" x14ac:dyDescent="0.25">
      <c r="A638" s="336"/>
      <c r="B638" s="336"/>
      <c r="C638" s="336"/>
      <c r="D638" s="336"/>
      <c r="E638" s="336"/>
      <c r="F638" s="104" t="b">
        <f t="array" ref="F638">IF(_xlfn.NUMBERVALUE(RIGHT($E638,2))=MAX(IF(LEFT($E638:$E2636,11)=LEFT($E638,11),_xlfn.NUMBERVALUE(RIGHT($E638:$E2636,2)))),TRUE)</f>
        <v>1</v>
      </c>
      <c r="G638" s="336"/>
      <c r="H638" s="336"/>
      <c r="I638" s="336"/>
      <c r="J638" s="336"/>
      <c r="K638" s="336"/>
      <c r="L638" s="336"/>
      <c r="M638" s="336"/>
      <c r="N638" s="336"/>
      <c r="O638" s="336"/>
      <c r="P638" s="336"/>
      <c r="Q638" s="336"/>
      <c r="R638" s="336"/>
      <c r="S638" s="336"/>
      <c r="T638" s="336"/>
    </row>
    <row r="639" spans="1:20" x14ac:dyDescent="0.25">
      <c r="A639" s="336"/>
      <c r="B639" s="336"/>
      <c r="C639" s="336"/>
      <c r="D639" s="336"/>
      <c r="E639" s="336"/>
      <c r="F639" s="104" t="b">
        <f t="array" ref="F639">IF(_xlfn.NUMBERVALUE(RIGHT($E639,2))=MAX(IF(LEFT($E639:$E2637,11)=LEFT($E639,11),_xlfn.NUMBERVALUE(RIGHT($E639:$E2637,2)))),TRUE)</f>
        <v>1</v>
      </c>
      <c r="G639" s="336"/>
      <c r="H639" s="336"/>
      <c r="I639" s="336"/>
      <c r="J639" s="336"/>
      <c r="K639" s="336"/>
      <c r="L639" s="336"/>
      <c r="M639" s="336"/>
      <c r="N639" s="336"/>
      <c r="O639" s="336"/>
      <c r="P639" s="336"/>
      <c r="Q639" s="336"/>
      <c r="R639" s="336"/>
      <c r="S639" s="336"/>
      <c r="T639" s="336"/>
    </row>
    <row r="640" spans="1:20" x14ac:dyDescent="0.25">
      <c r="A640" s="336"/>
      <c r="B640" s="336"/>
      <c r="C640" s="336"/>
      <c r="D640" s="336"/>
      <c r="E640" s="336"/>
      <c r="F640" s="104" t="b">
        <f t="array" ref="F640">IF(_xlfn.NUMBERVALUE(RIGHT($E640,2))=MAX(IF(LEFT($E640:$E2638,11)=LEFT($E640,11),_xlfn.NUMBERVALUE(RIGHT($E640:$E2638,2)))),TRUE)</f>
        <v>1</v>
      </c>
      <c r="G640" s="336"/>
      <c r="H640" s="336"/>
      <c r="I640" s="336"/>
      <c r="J640" s="336"/>
      <c r="K640" s="336"/>
      <c r="L640" s="336"/>
      <c r="M640" s="336"/>
      <c r="N640" s="336"/>
      <c r="O640" s="336"/>
      <c r="P640" s="336"/>
      <c r="Q640" s="336"/>
      <c r="R640" s="336"/>
      <c r="S640" s="336"/>
      <c r="T640" s="336"/>
    </row>
    <row r="641" spans="1:20" x14ac:dyDescent="0.25">
      <c r="A641" s="336"/>
      <c r="B641" s="336"/>
      <c r="C641" s="336"/>
      <c r="D641" s="336"/>
      <c r="E641" s="336"/>
      <c r="F641" s="104" t="b">
        <f t="array" ref="F641">IF(_xlfn.NUMBERVALUE(RIGHT($E641,2))=MAX(IF(LEFT($E641:$E2639,11)=LEFT($E641,11),_xlfn.NUMBERVALUE(RIGHT($E641:$E2639,2)))),TRUE)</f>
        <v>1</v>
      </c>
      <c r="G641" s="336"/>
      <c r="H641" s="336"/>
      <c r="I641" s="336"/>
      <c r="J641" s="336"/>
      <c r="K641" s="336"/>
      <c r="L641" s="336"/>
      <c r="M641" s="336"/>
      <c r="N641" s="336"/>
      <c r="O641" s="336"/>
      <c r="P641" s="336"/>
      <c r="Q641" s="336"/>
      <c r="R641" s="336"/>
      <c r="S641" s="336"/>
      <c r="T641" s="336"/>
    </row>
    <row r="642" spans="1:20" x14ac:dyDescent="0.25">
      <c r="A642" s="336"/>
      <c r="B642" s="336"/>
      <c r="C642" s="336"/>
      <c r="D642" s="336"/>
      <c r="E642" s="336"/>
      <c r="F642" s="104" t="b">
        <f t="array" ref="F642">IF(_xlfn.NUMBERVALUE(RIGHT($E642,2))=MAX(IF(LEFT($E642:$E2640,11)=LEFT($E642,11),_xlfn.NUMBERVALUE(RIGHT($E642:$E2640,2)))),TRUE)</f>
        <v>1</v>
      </c>
      <c r="G642" s="336"/>
      <c r="H642" s="336"/>
      <c r="I642" s="336"/>
      <c r="J642" s="336"/>
      <c r="K642" s="336"/>
      <c r="L642" s="336"/>
      <c r="M642" s="336"/>
      <c r="N642" s="336"/>
      <c r="O642" s="336"/>
      <c r="P642" s="336"/>
      <c r="Q642" s="336"/>
      <c r="R642" s="336"/>
      <c r="S642" s="336"/>
      <c r="T642" s="336"/>
    </row>
    <row r="643" spans="1:20" x14ac:dyDescent="0.25">
      <c r="A643" s="336"/>
      <c r="B643" s="336"/>
      <c r="C643" s="336"/>
      <c r="D643" s="336"/>
      <c r="E643" s="336"/>
      <c r="F643" s="104" t="b">
        <f t="array" ref="F643">IF(_xlfn.NUMBERVALUE(RIGHT($E643,2))=MAX(IF(LEFT($E643:$E2641,11)=LEFT($E643,11),_xlfn.NUMBERVALUE(RIGHT($E643:$E2641,2)))),TRUE)</f>
        <v>1</v>
      </c>
      <c r="G643" s="336"/>
      <c r="H643" s="336"/>
      <c r="I643" s="336"/>
      <c r="J643" s="336"/>
      <c r="K643" s="336"/>
      <c r="L643" s="336"/>
      <c r="M643" s="336"/>
      <c r="N643" s="336"/>
      <c r="O643" s="336"/>
      <c r="P643" s="336"/>
      <c r="Q643" s="336"/>
      <c r="R643" s="336"/>
      <c r="S643" s="336"/>
      <c r="T643" s="336"/>
    </row>
    <row r="644" spans="1:20" x14ac:dyDescent="0.25">
      <c r="A644" s="336"/>
      <c r="B644" s="336"/>
      <c r="C644" s="336"/>
      <c r="D644" s="336"/>
      <c r="E644" s="336"/>
      <c r="F644" s="104" t="b">
        <f t="array" ref="F644">IF(_xlfn.NUMBERVALUE(RIGHT($E644,2))=MAX(IF(LEFT($E644:$E2642,11)=LEFT($E644,11),_xlfn.NUMBERVALUE(RIGHT($E644:$E2642,2)))),TRUE)</f>
        <v>1</v>
      </c>
      <c r="G644" s="336"/>
      <c r="H644" s="336"/>
      <c r="I644" s="336"/>
      <c r="J644" s="336"/>
      <c r="K644" s="336"/>
      <c r="L644" s="336"/>
      <c r="M644" s="336"/>
      <c r="N644" s="336"/>
      <c r="O644" s="336"/>
      <c r="P644" s="336"/>
      <c r="Q644" s="336"/>
      <c r="R644" s="336"/>
      <c r="S644" s="336"/>
      <c r="T644" s="336"/>
    </row>
    <row r="645" spans="1:20" x14ac:dyDescent="0.25">
      <c r="A645" s="336"/>
      <c r="B645" s="336"/>
      <c r="C645" s="336"/>
      <c r="D645" s="336"/>
      <c r="E645" s="336"/>
      <c r="F645" s="104" t="b">
        <f t="array" ref="F645">IF(_xlfn.NUMBERVALUE(RIGHT($E645,2))=MAX(IF(LEFT($E645:$E2643,11)=LEFT($E645,11),_xlfn.NUMBERVALUE(RIGHT($E645:$E2643,2)))),TRUE)</f>
        <v>1</v>
      </c>
      <c r="G645" s="336"/>
      <c r="H645" s="336"/>
      <c r="I645" s="336"/>
      <c r="J645" s="336"/>
      <c r="K645" s="336"/>
      <c r="L645" s="336"/>
      <c r="M645" s="336"/>
      <c r="N645" s="336"/>
      <c r="O645" s="336"/>
      <c r="P645" s="336"/>
      <c r="Q645" s="336"/>
      <c r="R645" s="336"/>
      <c r="S645" s="336"/>
      <c r="T645" s="336"/>
    </row>
    <row r="646" spans="1:20" x14ac:dyDescent="0.25">
      <c r="A646" s="336"/>
      <c r="B646" s="336"/>
      <c r="C646" s="336"/>
      <c r="D646" s="336"/>
      <c r="E646" s="336"/>
      <c r="F646" s="104" t="b">
        <f t="array" ref="F646">IF(_xlfn.NUMBERVALUE(RIGHT($E646,2))=MAX(IF(LEFT($E646:$E2644,11)=LEFT($E646,11),_xlfn.NUMBERVALUE(RIGHT($E646:$E2644,2)))),TRUE)</f>
        <v>1</v>
      </c>
      <c r="G646" s="336"/>
      <c r="H646" s="336"/>
      <c r="I646" s="336"/>
      <c r="J646" s="336"/>
      <c r="K646" s="336"/>
      <c r="L646" s="336"/>
      <c r="M646" s="336"/>
      <c r="N646" s="336"/>
      <c r="O646" s="336"/>
      <c r="P646" s="336"/>
      <c r="Q646" s="336"/>
      <c r="R646" s="336"/>
      <c r="S646" s="336"/>
      <c r="T646" s="336"/>
    </row>
    <row r="647" spans="1:20" x14ac:dyDescent="0.25">
      <c r="A647" s="336"/>
      <c r="B647" s="336"/>
      <c r="C647" s="336"/>
      <c r="D647" s="336"/>
      <c r="E647" s="336"/>
      <c r="F647" s="104" t="b">
        <f t="array" ref="F647">IF(_xlfn.NUMBERVALUE(RIGHT($E647,2))=MAX(IF(LEFT($E647:$E2645,11)=LEFT($E647,11),_xlfn.NUMBERVALUE(RIGHT($E647:$E2645,2)))),TRUE)</f>
        <v>1</v>
      </c>
      <c r="G647" s="336"/>
      <c r="H647" s="336"/>
      <c r="I647" s="336"/>
      <c r="J647" s="336"/>
      <c r="K647" s="336"/>
      <c r="L647" s="336"/>
      <c r="M647" s="336"/>
      <c r="N647" s="336"/>
      <c r="O647" s="336"/>
      <c r="P647" s="336"/>
      <c r="Q647" s="336"/>
      <c r="R647" s="336"/>
      <c r="S647" s="336"/>
      <c r="T647" s="336"/>
    </row>
    <row r="648" spans="1:20" x14ac:dyDescent="0.25">
      <c r="A648" s="336"/>
      <c r="B648" s="336"/>
      <c r="C648" s="336"/>
      <c r="D648" s="336"/>
      <c r="E648" s="336"/>
      <c r="F648" s="104" t="b">
        <f t="array" ref="F648">IF(_xlfn.NUMBERVALUE(RIGHT($E648,2))=MAX(IF(LEFT($E648:$E2646,11)=LEFT($E648,11),_xlfn.NUMBERVALUE(RIGHT($E648:$E2646,2)))),TRUE)</f>
        <v>1</v>
      </c>
      <c r="G648" s="336"/>
      <c r="H648" s="336"/>
      <c r="I648" s="336"/>
      <c r="J648" s="336"/>
      <c r="K648" s="336"/>
      <c r="L648" s="336"/>
      <c r="M648" s="336"/>
      <c r="N648" s="336"/>
      <c r="O648" s="336"/>
      <c r="P648" s="336"/>
      <c r="Q648" s="336"/>
      <c r="R648" s="336"/>
      <c r="S648" s="336"/>
      <c r="T648" s="336"/>
    </row>
    <row r="649" spans="1:20" x14ac:dyDescent="0.25">
      <c r="A649" s="336"/>
      <c r="B649" s="336"/>
      <c r="C649" s="336"/>
      <c r="D649" s="336"/>
      <c r="E649" s="336"/>
      <c r="F649" s="104" t="b">
        <f t="array" ref="F649">IF(_xlfn.NUMBERVALUE(RIGHT($E649,2))=MAX(IF(LEFT($E649:$E2647,11)=LEFT($E649,11),_xlfn.NUMBERVALUE(RIGHT($E649:$E2647,2)))),TRUE)</f>
        <v>1</v>
      </c>
      <c r="G649" s="336"/>
      <c r="H649" s="336"/>
      <c r="I649" s="336"/>
      <c r="J649" s="336"/>
      <c r="K649" s="336"/>
      <c r="L649" s="336"/>
      <c r="M649" s="336"/>
      <c r="N649" s="336"/>
      <c r="O649" s="336"/>
      <c r="P649" s="336"/>
      <c r="Q649" s="336"/>
      <c r="R649" s="336"/>
      <c r="S649" s="336"/>
      <c r="T649" s="336"/>
    </row>
    <row r="650" spans="1:20" x14ac:dyDescent="0.25">
      <c r="A650" s="336"/>
      <c r="B650" s="336"/>
      <c r="C650" s="336"/>
      <c r="D650" s="336"/>
      <c r="E650" s="336"/>
      <c r="F650" s="104" t="b">
        <f t="array" ref="F650">IF(_xlfn.NUMBERVALUE(RIGHT($E650,2))=MAX(IF(LEFT($E650:$E2648,11)=LEFT($E650,11),_xlfn.NUMBERVALUE(RIGHT($E650:$E2648,2)))),TRUE)</f>
        <v>1</v>
      </c>
      <c r="G650" s="336"/>
      <c r="H650" s="336"/>
      <c r="I650" s="336"/>
      <c r="J650" s="336"/>
      <c r="K650" s="336"/>
      <c r="L650" s="336"/>
      <c r="M650" s="336"/>
      <c r="N650" s="336"/>
      <c r="O650" s="336"/>
      <c r="P650" s="336"/>
      <c r="Q650" s="336"/>
      <c r="R650" s="336"/>
      <c r="S650" s="336"/>
      <c r="T650" s="336"/>
    </row>
    <row r="651" spans="1:20" x14ac:dyDescent="0.25">
      <c r="A651" s="336"/>
      <c r="B651" s="336"/>
      <c r="C651" s="336"/>
      <c r="D651" s="336"/>
      <c r="E651" s="336"/>
      <c r="F651" s="104" t="b">
        <f t="array" ref="F651">IF(_xlfn.NUMBERVALUE(RIGHT($E651,2))=MAX(IF(LEFT($E651:$E2649,11)=LEFT($E651,11),_xlfn.NUMBERVALUE(RIGHT($E651:$E2649,2)))),TRUE)</f>
        <v>1</v>
      </c>
      <c r="G651" s="336"/>
      <c r="H651" s="336"/>
      <c r="I651" s="336"/>
      <c r="J651" s="336"/>
      <c r="K651" s="336"/>
      <c r="L651" s="336"/>
      <c r="M651" s="336"/>
      <c r="N651" s="336"/>
      <c r="O651" s="336"/>
      <c r="P651" s="336"/>
      <c r="Q651" s="336"/>
      <c r="R651" s="336"/>
      <c r="S651" s="336"/>
      <c r="T651" s="336"/>
    </row>
    <row r="652" spans="1:20" x14ac:dyDescent="0.25">
      <c r="A652" s="336"/>
      <c r="B652" s="336"/>
      <c r="C652" s="336"/>
      <c r="D652" s="336"/>
      <c r="E652" s="336"/>
      <c r="F652" s="104" t="b">
        <f t="array" ref="F652">IF(_xlfn.NUMBERVALUE(RIGHT($E652,2))=MAX(IF(LEFT($E652:$E2650,11)=LEFT($E652,11),_xlfn.NUMBERVALUE(RIGHT($E652:$E2650,2)))),TRUE)</f>
        <v>1</v>
      </c>
      <c r="G652" s="336"/>
      <c r="H652" s="336"/>
      <c r="I652" s="336"/>
      <c r="J652" s="336"/>
      <c r="K652" s="336"/>
      <c r="L652" s="336"/>
      <c r="M652" s="336"/>
      <c r="N652" s="336"/>
      <c r="O652" s="336"/>
      <c r="P652" s="336"/>
      <c r="Q652" s="336"/>
      <c r="R652" s="336"/>
      <c r="S652" s="336"/>
      <c r="T652" s="336"/>
    </row>
    <row r="653" spans="1:20" x14ac:dyDescent="0.25">
      <c r="A653" s="336"/>
      <c r="B653" s="336"/>
      <c r="C653" s="336"/>
      <c r="D653" s="336"/>
      <c r="E653" s="336"/>
      <c r="F653" s="104" t="b">
        <f t="array" ref="F653">IF(_xlfn.NUMBERVALUE(RIGHT($E653,2))=MAX(IF(LEFT($E653:$E2651,11)=LEFT($E653,11),_xlfn.NUMBERVALUE(RIGHT($E653:$E2651,2)))),TRUE)</f>
        <v>1</v>
      </c>
      <c r="G653" s="336"/>
      <c r="H653" s="336"/>
      <c r="I653" s="336"/>
      <c r="J653" s="336"/>
      <c r="K653" s="336"/>
      <c r="L653" s="336"/>
      <c r="M653" s="336"/>
      <c r="N653" s="336"/>
      <c r="O653" s="336"/>
      <c r="P653" s="336"/>
      <c r="Q653" s="336"/>
      <c r="R653" s="336"/>
      <c r="S653" s="336"/>
      <c r="T653" s="336"/>
    </row>
    <row r="654" spans="1:20" x14ac:dyDescent="0.25">
      <c r="A654" s="336"/>
      <c r="B654" s="336"/>
      <c r="C654" s="336"/>
      <c r="D654" s="336"/>
      <c r="E654" s="336"/>
      <c r="F654" s="104" t="b">
        <f t="array" ref="F654">IF(_xlfn.NUMBERVALUE(RIGHT($E654,2))=MAX(IF(LEFT($E654:$E2652,11)=LEFT($E654,11),_xlfn.NUMBERVALUE(RIGHT($E654:$E2652,2)))),TRUE)</f>
        <v>1</v>
      </c>
      <c r="G654" s="336"/>
      <c r="H654" s="336"/>
      <c r="I654" s="336"/>
      <c r="J654" s="336"/>
      <c r="K654" s="336"/>
      <c r="L654" s="336"/>
      <c r="M654" s="336"/>
      <c r="N654" s="336"/>
      <c r="O654" s="336"/>
      <c r="P654" s="336"/>
      <c r="Q654" s="336"/>
      <c r="R654" s="336"/>
      <c r="S654" s="336"/>
      <c r="T654" s="336"/>
    </row>
    <row r="655" spans="1:20" x14ac:dyDescent="0.25">
      <c r="A655" s="336"/>
      <c r="B655" s="336"/>
      <c r="C655" s="336"/>
      <c r="D655" s="336"/>
      <c r="E655" s="336"/>
      <c r="F655" s="104" t="b">
        <f t="array" ref="F655">IF(_xlfn.NUMBERVALUE(RIGHT($E655,2))=MAX(IF(LEFT($E655:$E2653,11)=LEFT($E655,11),_xlfn.NUMBERVALUE(RIGHT($E655:$E2653,2)))),TRUE)</f>
        <v>1</v>
      </c>
      <c r="G655" s="336"/>
      <c r="H655" s="336"/>
      <c r="I655" s="336"/>
      <c r="J655" s="336"/>
      <c r="K655" s="336"/>
      <c r="L655" s="336"/>
      <c r="M655" s="336"/>
      <c r="N655" s="336"/>
      <c r="O655" s="336"/>
      <c r="P655" s="336"/>
      <c r="Q655" s="336"/>
      <c r="R655" s="336"/>
      <c r="S655" s="336"/>
      <c r="T655" s="336"/>
    </row>
    <row r="656" spans="1:20" x14ac:dyDescent="0.25">
      <c r="A656" s="336"/>
      <c r="B656" s="336"/>
      <c r="C656" s="336"/>
      <c r="D656" s="336"/>
      <c r="E656" s="336"/>
      <c r="F656" s="104" t="b">
        <f t="array" ref="F656">IF(_xlfn.NUMBERVALUE(RIGHT($E656,2))=MAX(IF(LEFT($E656:$E2654,11)=LEFT($E656,11),_xlfn.NUMBERVALUE(RIGHT($E656:$E2654,2)))),TRUE)</f>
        <v>1</v>
      </c>
      <c r="G656" s="336"/>
      <c r="H656" s="336"/>
      <c r="I656" s="336"/>
      <c r="J656" s="336"/>
      <c r="K656" s="336"/>
      <c r="L656" s="336"/>
      <c r="M656" s="336"/>
      <c r="N656" s="336"/>
      <c r="O656" s="336"/>
      <c r="P656" s="336"/>
      <c r="Q656" s="336"/>
      <c r="R656" s="336"/>
      <c r="S656" s="336"/>
      <c r="T656" s="336"/>
    </row>
    <row r="657" spans="1:20" x14ac:dyDescent="0.25">
      <c r="A657" s="336"/>
      <c r="B657" s="336"/>
      <c r="C657" s="336"/>
      <c r="D657" s="336"/>
      <c r="E657" s="336"/>
      <c r="F657" s="104" t="b">
        <f t="array" ref="F657">IF(_xlfn.NUMBERVALUE(RIGHT($E657,2))=MAX(IF(LEFT($E657:$E2655,11)=LEFT($E657,11),_xlfn.NUMBERVALUE(RIGHT($E657:$E2655,2)))),TRUE)</f>
        <v>1</v>
      </c>
      <c r="G657" s="336"/>
      <c r="H657" s="336"/>
      <c r="I657" s="336"/>
      <c r="J657" s="336"/>
      <c r="K657" s="336"/>
      <c r="L657" s="336"/>
      <c r="M657" s="336"/>
      <c r="N657" s="336"/>
      <c r="O657" s="336"/>
      <c r="P657" s="336"/>
      <c r="Q657" s="336"/>
      <c r="R657" s="336"/>
      <c r="S657" s="336"/>
      <c r="T657" s="336"/>
    </row>
    <row r="658" spans="1:20" x14ac:dyDescent="0.25">
      <c r="A658" s="336"/>
      <c r="B658" s="336"/>
      <c r="C658" s="336"/>
      <c r="D658" s="336"/>
      <c r="E658" s="336"/>
      <c r="F658" s="104" t="b">
        <f t="array" ref="F658">IF(_xlfn.NUMBERVALUE(RIGHT($E658,2))=MAX(IF(LEFT($E658:$E2656,11)=LEFT($E658,11),_xlfn.NUMBERVALUE(RIGHT($E658:$E2656,2)))),TRUE)</f>
        <v>1</v>
      </c>
      <c r="G658" s="336"/>
      <c r="H658" s="336"/>
      <c r="I658" s="336"/>
      <c r="J658" s="336"/>
      <c r="K658" s="336"/>
      <c r="L658" s="336"/>
      <c r="M658" s="336"/>
      <c r="N658" s="336"/>
      <c r="O658" s="336"/>
      <c r="P658" s="336"/>
      <c r="Q658" s="336"/>
      <c r="R658" s="336"/>
      <c r="S658" s="336"/>
      <c r="T658" s="336"/>
    </row>
    <row r="659" spans="1:20" x14ac:dyDescent="0.25">
      <c r="A659" s="336"/>
      <c r="B659" s="336"/>
      <c r="C659" s="336"/>
      <c r="D659" s="336"/>
      <c r="E659" s="336"/>
      <c r="F659" s="104" t="b">
        <f t="array" ref="F659">IF(_xlfn.NUMBERVALUE(RIGHT($E659,2))=MAX(IF(LEFT($E659:$E2657,11)=LEFT($E659,11),_xlfn.NUMBERVALUE(RIGHT($E659:$E2657,2)))),TRUE)</f>
        <v>1</v>
      </c>
      <c r="G659" s="336"/>
      <c r="H659" s="336"/>
      <c r="I659" s="336"/>
      <c r="J659" s="336"/>
      <c r="K659" s="336"/>
      <c r="L659" s="336"/>
      <c r="M659" s="336"/>
      <c r="N659" s="336"/>
      <c r="O659" s="336"/>
      <c r="P659" s="336"/>
      <c r="Q659" s="336"/>
      <c r="R659" s="336"/>
      <c r="S659" s="336"/>
      <c r="T659" s="336"/>
    </row>
    <row r="660" spans="1:20" x14ac:dyDescent="0.25">
      <c r="A660" s="336"/>
      <c r="B660" s="336"/>
      <c r="C660" s="336"/>
      <c r="D660" s="336"/>
      <c r="E660" s="336"/>
      <c r="F660" s="104" t="b">
        <f t="array" ref="F660">IF(_xlfn.NUMBERVALUE(RIGHT($E660,2))=MAX(IF(LEFT($E660:$E2658,11)=LEFT($E660,11),_xlfn.NUMBERVALUE(RIGHT($E660:$E2658,2)))),TRUE)</f>
        <v>1</v>
      </c>
      <c r="G660" s="336"/>
      <c r="H660" s="336"/>
      <c r="I660" s="336"/>
      <c r="J660" s="336"/>
      <c r="K660" s="336"/>
      <c r="L660" s="336"/>
      <c r="M660" s="336"/>
      <c r="N660" s="336"/>
      <c r="O660" s="336"/>
      <c r="P660" s="336"/>
      <c r="Q660" s="336"/>
      <c r="R660" s="336"/>
      <c r="S660" s="336"/>
      <c r="T660" s="336"/>
    </row>
    <row r="661" spans="1:20" x14ac:dyDescent="0.25">
      <c r="A661" s="336"/>
      <c r="B661" s="336"/>
      <c r="C661" s="336"/>
      <c r="D661" s="336"/>
      <c r="E661" s="336"/>
      <c r="F661" s="104" t="b">
        <f t="array" ref="F661">IF(_xlfn.NUMBERVALUE(RIGHT($E661,2))=MAX(IF(LEFT($E661:$E2659,11)=LEFT($E661,11),_xlfn.NUMBERVALUE(RIGHT($E661:$E2659,2)))),TRUE)</f>
        <v>1</v>
      </c>
      <c r="G661" s="336"/>
      <c r="H661" s="336"/>
      <c r="I661" s="336"/>
      <c r="J661" s="336"/>
      <c r="K661" s="336"/>
      <c r="L661" s="336"/>
      <c r="M661" s="336"/>
      <c r="N661" s="336"/>
      <c r="O661" s="336"/>
      <c r="P661" s="336"/>
      <c r="Q661" s="336"/>
      <c r="R661" s="336"/>
      <c r="S661" s="336"/>
      <c r="T661" s="336"/>
    </row>
    <row r="662" spans="1:20" x14ac:dyDescent="0.25">
      <c r="A662" s="336"/>
      <c r="B662" s="336"/>
      <c r="C662" s="336"/>
      <c r="D662" s="336"/>
      <c r="E662" s="336"/>
      <c r="F662" s="104" t="b">
        <f t="array" ref="F662">IF(_xlfn.NUMBERVALUE(RIGHT($E662,2))=MAX(IF(LEFT($E662:$E2660,11)=LEFT($E662,11),_xlfn.NUMBERVALUE(RIGHT($E662:$E2660,2)))),TRUE)</f>
        <v>1</v>
      </c>
      <c r="G662" s="336"/>
      <c r="H662" s="336"/>
      <c r="I662" s="336"/>
      <c r="J662" s="336"/>
      <c r="K662" s="336"/>
      <c r="L662" s="336"/>
      <c r="M662" s="336"/>
      <c r="N662" s="336"/>
      <c r="O662" s="336"/>
      <c r="P662" s="336"/>
      <c r="Q662" s="336"/>
      <c r="R662" s="336"/>
      <c r="S662" s="336"/>
      <c r="T662" s="336"/>
    </row>
    <row r="663" spans="1:20" x14ac:dyDescent="0.25">
      <c r="A663" s="336"/>
      <c r="B663" s="336"/>
      <c r="C663" s="336"/>
      <c r="D663" s="336"/>
      <c r="E663" s="336"/>
      <c r="F663" s="104" t="b">
        <f t="array" ref="F663">IF(_xlfn.NUMBERVALUE(RIGHT($E663,2))=MAX(IF(LEFT($E663:$E2661,11)=LEFT($E663,11),_xlfn.NUMBERVALUE(RIGHT($E663:$E2661,2)))),TRUE)</f>
        <v>1</v>
      </c>
      <c r="G663" s="336"/>
      <c r="H663" s="336"/>
      <c r="I663" s="336"/>
      <c r="J663" s="336"/>
      <c r="K663" s="336"/>
      <c r="L663" s="336"/>
      <c r="M663" s="336"/>
      <c r="N663" s="336"/>
      <c r="O663" s="336"/>
      <c r="P663" s="336"/>
      <c r="Q663" s="336"/>
      <c r="R663" s="336"/>
      <c r="S663" s="336"/>
      <c r="T663" s="336"/>
    </row>
    <row r="664" spans="1:20" x14ac:dyDescent="0.25">
      <c r="A664" s="336"/>
      <c r="B664" s="336"/>
      <c r="C664" s="336"/>
      <c r="D664" s="336"/>
      <c r="E664" s="336"/>
      <c r="F664" s="104" t="b">
        <f t="array" ref="F664">IF(_xlfn.NUMBERVALUE(RIGHT($E664,2))=MAX(IF(LEFT($E664:$E2662,11)=LEFT($E664,11),_xlfn.NUMBERVALUE(RIGHT($E664:$E2662,2)))),TRUE)</f>
        <v>1</v>
      </c>
      <c r="G664" s="336"/>
      <c r="H664" s="336"/>
      <c r="I664" s="336"/>
      <c r="J664" s="336"/>
      <c r="K664" s="336"/>
      <c r="L664" s="336"/>
      <c r="M664" s="336"/>
      <c r="N664" s="336"/>
      <c r="O664" s="336"/>
      <c r="P664" s="336"/>
      <c r="Q664" s="336"/>
      <c r="R664" s="336"/>
      <c r="S664" s="336"/>
      <c r="T664" s="336"/>
    </row>
    <row r="665" spans="1:20" x14ac:dyDescent="0.25">
      <c r="A665" s="336"/>
      <c r="B665" s="336"/>
      <c r="C665" s="336"/>
      <c r="D665" s="336"/>
      <c r="E665" s="336"/>
      <c r="F665" s="104" t="b">
        <f t="array" ref="F665">IF(_xlfn.NUMBERVALUE(RIGHT($E665,2))=MAX(IF(LEFT($E665:$E2663,11)=LEFT($E665,11),_xlfn.NUMBERVALUE(RIGHT($E665:$E2663,2)))),TRUE)</f>
        <v>1</v>
      </c>
      <c r="G665" s="336"/>
      <c r="H665" s="336"/>
      <c r="I665" s="336"/>
      <c r="J665" s="336"/>
      <c r="K665" s="336"/>
      <c r="L665" s="336"/>
      <c r="M665" s="336"/>
      <c r="N665" s="336"/>
      <c r="O665" s="336"/>
      <c r="P665" s="336"/>
      <c r="Q665" s="336"/>
      <c r="R665" s="336"/>
      <c r="S665" s="336"/>
      <c r="T665" s="336"/>
    </row>
    <row r="666" spans="1:20" x14ac:dyDescent="0.25">
      <c r="A666" s="336"/>
      <c r="B666" s="336"/>
      <c r="C666" s="336"/>
      <c r="D666" s="336"/>
      <c r="E666" s="336"/>
      <c r="F666" s="104" t="b">
        <f t="array" ref="F666">IF(_xlfn.NUMBERVALUE(RIGHT($E666,2))=MAX(IF(LEFT($E666:$E2664,11)=LEFT($E666,11),_xlfn.NUMBERVALUE(RIGHT($E666:$E2664,2)))),TRUE)</f>
        <v>1</v>
      </c>
      <c r="G666" s="336"/>
      <c r="H666" s="336"/>
      <c r="I666" s="336"/>
      <c r="J666" s="336"/>
      <c r="K666" s="336"/>
      <c r="L666" s="336"/>
      <c r="M666" s="336"/>
      <c r="N666" s="336"/>
      <c r="O666" s="336"/>
      <c r="P666" s="336"/>
      <c r="Q666" s="336"/>
      <c r="R666" s="336"/>
      <c r="S666" s="336"/>
      <c r="T666" s="336"/>
    </row>
    <row r="667" spans="1:20" x14ac:dyDescent="0.25">
      <c r="A667" s="336"/>
      <c r="B667" s="336"/>
      <c r="C667" s="336"/>
      <c r="D667" s="336"/>
      <c r="E667" s="336"/>
      <c r="F667" s="104" t="b">
        <f t="array" ref="F667">IF(_xlfn.NUMBERVALUE(RIGHT($E667,2))=MAX(IF(LEFT($E667:$E2665,11)=LEFT($E667,11),_xlfn.NUMBERVALUE(RIGHT($E667:$E2665,2)))),TRUE)</f>
        <v>1</v>
      </c>
      <c r="G667" s="336"/>
      <c r="H667" s="336"/>
      <c r="I667" s="336"/>
      <c r="J667" s="336"/>
      <c r="K667" s="336"/>
      <c r="L667" s="336"/>
      <c r="M667" s="336"/>
      <c r="N667" s="336"/>
      <c r="O667" s="336"/>
      <c r="P667" s="336"/>
      <c r="Q667" s="336"/>
      <c r="R667" s="336"/>
      <c r="S667" s="336"/>
      <c r="T667" s="336"/>
    </row>
    <row r="668" spans="1:20" x14ac:dyDescent="0.25">
      <c r="A668" s="336"/>
      <c r="B668" s="336"/>
      <c r="C668" s="336"/>
      <c r="D668" s="336"/>
      <c r="E668" s="336"/>
      <c r="F668" s="104" t="b">
        <f t="array" ref="F668">IF(_xlfn.NUMBERVALUE(RIGHT($E668,2))=MAX(IF(LEFT($E668:$E2666,11)=LEFT($E668,11),_xlfn.NUMBERVALUE(RIGHT($E668:$E2666,2)))),TRUE)</f>
        <v>1</v>
      </c>
      <c r="G668" s="336"/>
      <c r="H668" s="336"/>
      <c r="I668" s="336"/>
      <c r="J668" s="336"/>
      <c r="K668" s="336"/>
      <c r="L668" s="336"/>
      <c r="M668" s="336"/>
      <c r="N668" s="336"/>
      <c r="O668" s="336"/>
      <c r="P668" s="336"/>
      <c r="Q668" s="336"/>
      <c r="R668" s="336"/>
      <c r="S668" s="336"/>
      <c r="T668" s="336"/>
    </row>
    <row r="669" spans="1:20" x14ac:dyDescent="0.25">
      <c r="A669" s="336"/>
      <c r="B669" s="336"/>
      <c r="C669" s="336"/>
      <c r="D669" s="336"/>
      <c r="E669" s="336"/>
      <c r="F669" s="104" t="b">
        <f t="array" ref="F669">IF(_xlfn.NUMBERVALUE(RIGHT($E669,2))=MAX(IF(LEFT($E669:$E2667,11)=LEFT($E669,11),_xlfn.NUMBERVALUE(RIGHT($E669:$E2667,2)))),TRUE)</f>
        <v>1</v>
      </c>
      <c r="G669" s="336"/>
      <c r="H669" s="336"/>
      <c r="I669" s="336"/>
      <c r="J669" s="336"/>
      <c r="K669" s="336"/>
      <c r="L669" s="336"/>
      <c r="M669" s="336"/>
      <c r="N669" s="336"/>
      <c r="O669" s="336"/>
      <c r="P669" s="336"/>
      <c r="Q669" s="336"/>
      <c r="R669" s="336"/>
      <c r="S669" s="336"/>
      <c r="T669" s="336"/>
    </row>
    <row r="670" spans="1:20" x14ac:dyDescent="0.25">
      <c r="A670" s="336"/>
      <c r="B670" s="336"/>
      <c r="C670" s="336"/>
      <c r="D670" s="336"/>
      <c r="E670" s="336"/>
      <c r="F670" s="104" t="b">
        <f t="array" ref="F670">IF(_xlfn.NUMBERVALUE(RIGHT($E670,2))=MAX(IF(LEFT($E670:$E2668,11)=LEFT($E670,11),_xlfn.NUMBERVALUE(RIGHT($E670:$E2668,2)))),TRUE)</f>
        <v>1</v>
      </c>
      <c r="G670" s="336"/>
      <c r="H670" s="336"/>
      <c r="I670" s="336"/>
      <c r="J670" s="336"/>
      <c r="K670" s="336"/>
      <c r="L670" s="336"/>
      <c r="M670" s="336"/>
      <c r="N670" s="336"/>
      <c r="O670" s="336"/>
      <c r="P670" s="336"/>
      <c r="Q670" s="336"/>
      <c r="R670" s="336"/>
      <c r="S670" s="336"/>
      <c r="T670" s="336"/>
    </row>
    <row r="671" spans="1:20" x14ac:dyDescent="0.25">
      <c r="A671" s="336"/>
      <c r="B671" s="336"/>
      <c r="C671" s="336"/>
      <c r="D671" s="336"/>
      <c r="E671" s="336"/>
      <c r="F671" s="104" t="b">
        <f t="array" ref="F671">IF(_xlfn.NUMBERVALUE(RIGHT($E671,2))=MAX(IF(LEFT($E671:$E2669,11)=LEFT($E671,11),_xlfn.NUMBERVALUE(RIGHT($E671:$E2669,2)))),TRUE)</f>
        <v>1</v>
      </c>
      <c r="G671" s="336"/>
      <c r="H671" s="336"/>
      <c r="I671" s="336"/>
      <c r="J671" s="336"/>
      <c r="K671" s="336"/>
      <c r="L671" s="336"/>
      <c r="M671" s="336"/>
      <c r="N671" s="336"/>
      <c r="O671" s="336"/>
      <c r="P671" s="336"/>
      <c r="Q671" s="336"/>
      <c r="R671" s="336"/>
      <c r="S671" s="336"/>
      <c r="T671" s="336"/>
    </row>
    <row r="672" spans="1:20" x14ac:dyDescent="0.25">
      <c r="A672" s="336"/>
      <c r="B672" s="336"/>
      <c r="C672" s="336"/>
      <c r="D672" s="336"/>
      <c r="E672" s="336"/>
      <c r="F672" s="104" t="b">
        <f t="array" ref="F672">IF(_xlfn.NUMBERVALUE(RIGHT($E672,2))=MAX(IF(LEFT($E672:$E2670,11)=LEFT($E672,11),_xlfn.NUMBERVALUE(RIGHT($E672:$E2670,2)))),TRUE)</f>
        <v>1</v>
      </c>
      <c r="G672" s="336"/>
      <c r="H672" s="336"/>
      <c r="I672" s="336"/>
      <c r="J672" s="336"/>
      <c r="K672" s="336"/>
      <c r="L672" s="336"/>
      <c r="M672" s="336"/>
      <c r="N672" s="336"/>
      <c r="O672" s="336"/>
      <c r="P672" s="336"/>
      <c r="Q672" s="336"/>
      <c r="R672" s="336"/>
      <c r="S672" s="336"/>
      <c r="T672" s="336"/>
    </row>
    <row r="673" spans="1:20" x14ac:dyDescent="0.25">
      <c r="A673" s="336"/>
      <c r="B673" s="336"/>
      <c r="C673" s="336"/>
      <c r="D673" s="336"/>
      <c r="E673" s="336"/>
      <c r="F673" s="104" t="b">
        <f t="array" ref="F673">IF(_xlfn.NUMBERVALUE(RIGHT($E673,2))=MAX(IF(LEFT($E673:$E2671,11)=LEFT($E673,11),_xlfn.NUMBERVALUE(RIGHT($E673:$E2671,2)))),TRUE)</f>
        <v>1</v>
      </c>
      <c r="G673" s="336"/>
      <c r="H673" s="336"/>
      <c r="I673" s="336"/>
      <c r="J673" s="336"/>
      <c r="K673" s="336"/>
      <c r="L673" s="336"/>
      <c r="M673" s="336"/>
      <c r="N673" s="336"/>
      <c r="O673" s="336"/>
      <c r="P673" s="336"/>
      <c r="Q673" s="336"/>
      <c r="R673" s="336"/>
      <c r="S673" s="336"/>
      <c r="T673" s="336"/>
    </row>
    <row r="674" spans="1:20" x14ac:dyDescent="0.25">
      <c r="A674" s="336"/>
      <c r="B674" s="336"/>
      <c r="C674" s="336"/>
      <c r="D674" s="336"/>
      <c r="E674" s="336"/>
      <c r="F674" s="104" t="b">
        <f t="array" ref="F674">IF(_xlfn.NUMBERVALUE(RIGHT($E674,2))=MAX(IF(LEFT($E674:$E2672,11)=LEFT($E674,11),_xlfn.NUMBERVALUE(RIGHT($E674:$E2672,2)))),TRUE)</f>
        <v>1</v>
      </c>
      <c r="G674" s="336"/>
      <c r="H674" s="336"/>
      <c r="I674" s="336"/>
      <c r="J674" s="336"/>
      <c r="K674" s="336"/>
      <c r="L674" s="336"/>
      <c r="M674" s="336"/>
      <c r="N674" s="336"/>
      <c r="O674" s="336"/>
      <c r="P674" s="336"/>
      <c r="Q674" s="336"/>
      <c r="R674" s="336"/>
      <c r="S674" s="336"/>
      <c r="T674" s="336"/>
    </row>
    <row r="675" spans="1:20" x14ac:dyDescent="0.25">
      <c r="A675" s="336"/>
      <c r="B675" s="336"/>
      <c r="C675" s="336"/>
      <c r="D675" s="336"/>
      <c r="E675" s="336"/>
      <c r="F675" s="104" t="b">
        <f t="array" ref="F675">IF(_xlfn.NUMBERVALUE(RIGHT($E675,2))=MAX(IF(LEFT($E675:$E2673,11)=LEFT($E675,11),_xlfn.NUMBERVALUE(RIGHT($E675:$E2673,2)))),TRUE)</f>
        <v>1</v>
      </c>
      <c r="G675" s="336"/>
      <c r="H675" s="336"/>
      <c r="I675" s="336"/>
      <c r="J675" s="336"/>
      <c r="K675" s="336"/>
      <c r="L675" s="336"/>
      <c r="M675" s="336"/>
      <c r="N675" s="336"/>
      <c r="O675" s="336"/>
      <c r="P675" s="336"/>
      <c r="Q675" s="336"/>
      <c r="R675" s="336"/>
      <c r="S675" s="336"/>
      <c r="T675" s="336"/>
    </row>
    <row r="676" spans="1:20" x14ac:dyDescent="0.25">
      <c r="A676" s="336"/>
      <c r="B676" s="336"/>
      <c r="C676" s="336"/>
      <c r="D676" s="336"/>
      <c r="E676" s="336"/>
      <c r="F676" s="104" t="b">
        <f t="array" ref="F676">IF(_xlfn.NUMBERVALUE(RIGHT($E676,2))=MAX(IF(LEFT($E676:$E2674,11)=LEFT($E676,11),_xlfn.NUMBERVALUE(RIGHT($E676:$E2674,2)))),TRUE)</f>
        <v>1</v>
      </c>
      <c r="G676" s="336"/>
      <c r="H676" s="336"/>
      <c r="I676" s="336"/>
      <c r="J676" s="336"/>
      <c r="K676" s="336"/>
      <c r="L676" s="336"/>
      <c r="M676" s="336"/>
      <c r="N676" s="336"/>
      <c r="O676" s="336"/>
      <c r="P676" s="336"/>
      <c r="Q676" s="336"/>
      <c r="R676" s="336"/>
      <c r="S676" s="336"/>
      <c r="T676" s="336"/>
    </row>
    <row r="677" spans="1:20" x14ac:dyDescent="0.25">
      <c r="A677" s="336"/>
      <c r="B677" s="336"/>
      <c r="C677" s="336"/>
      <c r="D677" s="336"/>
      <c r="E677" s="336"/>
      <c r="F677" s="104" t="b">
        <f t="array" ref="F677">IF(_xlfn.NUMBERVALUE(RIGHT($E677,2))=MAX(IF(LEFT($E677:$E2675,11)=LEFT($E677,11),_xlfn.NUMBERVALUE(RIGHT($E677:$E2675,2)))),TRUE)</f>
        <v>1</v>
      </c>
      <c r="G677" s="336"/>
      <c r="H677" s="336"/>
      <c r="I677" s="336"/>
      <c r="J677" s="336"/>
      <c r="K677" s="336"/>
      <c r="L677" s="336"/>
      <c r="M677" s="336"/>
      <c r="N677" s="336"/>
      <c r="O677" s="336"/>
      <c r="P677" s="336"/>
      <c r="Q677" s="336"/>
      <c r="R677" s="336"/>
      <c r="S677" s="336"/>
      <c r="T677" s="336"/>
    </row>
    <row r="678" spans="1:20" x14ac:dyDescent="0.25">
      <c r="A678" s="336"/>
      <c r="B678" s="336"/>
      <c r="C678" s="336"/>
      <c r="D678" s="336"/>
      <c r="E678" s="336"/>
      <c r="F678" s="104" t="b">
        <f t="array" ref="F678">IF(_xlfn.NUMBERVALUE(RIGHT($E678,2))=MAX(IF(LEFT($E678:$E2676,11)=LEFT($E678,11),_xlfn.NUMBERVALUE(RIGHT($E678:$E2676,2)))),TRUE)</f>
        <v>1</v>
      </c>
      <c r="G678" s="336"/>
      <c r="H678" s="336"/>
      <c r="I678" s="336"/>
      <c r="J678" s="336"/>
      <c r="K678" s="336"/>
      <c r="L678" s="336"/>
      <c r="M678" s="336"/>
      <c r="N678" s="336"/>
      <c r="O678" s="336"/>
      <c r="P678" s="336"/>
      <c r="Q678" s="336"/>
      <c r="R678" s="336"/>
      <c r="S678" s="336"/>
      <c r="T678" s="336"/>
    </row>
    <row r="679" spans="1:20" x14ac:dyDescent="0.25">
      <c r="A679" s="336"/>
      <c r="B679" s="336"/>
      <c r="C679" s="336"/>
      <c r="D679" s="336"/>
      <c r="E679" s="336"/>
      <c r="F679" s="104" t="b">
        <f t="array" ref="F679">IF(_xlfn.NUMBERVALUE(RIGHT($E679,2))=MAX(IF(LEFT($E679:$E2677,11)=LEFT($E679,11),_xlfn.NUMBERVALUE(RIGHT($E679:$E2677,2)))),TRUE)</f>
        <v>1</v>
      </c>
      <c r="G679" s="336"/>
      <c r="H679" s="336"/>
      <c r="I679" s="336"/>
      <c r="J679" s="336"/>
      <c r="K679" s="336"/>
      <c r="L679" s="336"/>
      <c r="M679" s="336"/>
      <c r="N679" s="336"/>
      <c r="O679" s="336"/>
      <c r="P679" s="336"/>
      <c r="Q679" s="336"/>
      <c r="R679" s="336"/>
      <c r="S679" s="336"/>
      <c r="T679" s="336"/>
    </row>
    <row r="680" spans="1:20" x14ac:dyDescent="0.25">
      <c r="A680" s="336"/>
      <c r="B680" s="336"/>
      <c r="C680" s="336"/>
      <c r="D680" s="336"/>
      <c r="E680" s="336"/>
      <c r="F680" s="104" t="b">
        <f t="array" ref="F680">IF(_xlfn.NUMBERVALUE(RIGHT($E680,2))=MAX(IF(LEFT($E680:$E2678,11)=LEFT($E680,11),_xlfn.NUMBERVALUE(RIGHT($E680:$E2678,2)))),TRUE)</f>
        <v>1</v>
      </c>
      <c r="G680" s="336"/>
      <c r="H680" s="336"/>
      <c r="I680" s="336"/>
      <c r="J680" s="336"/>
      <c r="K680" s="336"/>
      <c r="L680" s="336"/>
      <c r="M680" s="336"/>
      <c r="N680" s="336"/>
      <c r="O680" s="336"/>
      <c r="P680" s="336"/>
      <c r="Q680" s="336"/>
      <c r="R680" s="336"/>
      <c r="S680" s="336"/>
      <c r="T680" s="336"/>
    </row>
    <row r="681" spans="1:20" x14ac:dyDescent="0.25">
      <c r="A681" s="336"/>
      <c r="B681" s="336"/>
      <c r="C681" s="336"/>
      <c r="D681" s="336"/>
      <c r="E681" s="336"/>
      <c r="F681" s="104" t="b">
        <f t="array" ref="F681">IF(_xlfn.NUMBERVALUE(RIGHT($E681,2))=MAX(IF(LEFT($E681:$E2679,11)=LEFT($E681,11),_xlfn.NUMBERVALUE(RIGHT($E681:$E2679,2)))),TRUE)</f>
        <v>1</v>
      </c>
      <c r="G681" s="336"/>
      <c r="H681" s="336"/>
      <c r="I681" s="336"/>
      <c r="J681" s="336"/>
      <c r="K681" s="336"/>
      <c r="L681" s="336"/>
      <c r="M681" s="336"/>
      <c r="N681" s="336"/>
      <c r="O681" s="336"/>
      <c r="P681" s="336"/>
      <c r="Q681" s="336"/>
      <c r="R681" s="336"/>
      <c r="S681" s="336"/>
      <c r="T681" s="336"/>
    </row>
    <row r="682" spans="1:20" x14ac:dyDescent="0.25">
      <c r="A682" s="336"/>
      <c r="B682" s="336"/>
      <c r="C682" s="336"/>
      <c r="D682" s="336"/>
      <c r="E682" s="336"/>
      <c r="F682" s="104" t="b">
        <f t="array" ref="F682">IF(_xlfn.NUMBERVALUE(RIGHT($E682,2))=MAX(IF(LEFT($E682:$E2680,11)=LEFT($E682,11),_xlfn.NUMBERVALUE(RIGHT($E682:$E2680,2)))),TRUE)</f>
        <v>1</v>
      </c>
      <c r="G682" s="336"/>
      <c r="H682" s="336"/>
      <c r="I682" s="336"/>
      <c r="J682" s="336"/>
      <c r="K682" s="336"/>
      <c r="L682" s="336"/>
      <c r="M682" s="336"/>
      <c r="N682" s="336"/>
      <c r="O682" s="336"/>
      <c r="P682" s="336"/>
      <c r="Q682" s="336"/>
      <c r="R682" s="336"/>
      <c r="S682" s="336"/>
      <c r="T682" s="336"/>
    </row>
    <row r="683" spans="1:20" x14ac:dyDescent="0.25">
      <c r="A683" s="336"/>
      <c r="B683" s="336"/>
      <c r="C683" s="336"/>
      <c r="D683" s="336"/>
      <c r="E683" s="336"/>
      <c r="F683" s="104" t="b">
        <f t="array" ref="F683">IF(_xlfn.NUMBERVALUE(RIGHT($E683,2))=MAX(IF(LEFT($E683:$E2681,11)=LEFT($E683,11),_xlfn.NUMBERVALUE(RIGHT($E683:$E2681,2)))),TRUE)</f>
        <v>1</v>
      </c>
      <c r="G683" s="336"/>
      <c r="H683" s="336"/>
      <c r="I683" s="336"/>
      <c r="J683" s="336"/>
      <c r="K683" s="336"/>
      <c r="L683" s="336"/>
      <c r="M683" s="336"/>
      <c r="N683" s="336"/>
      <c r="O683" s="336"/>
      <c r="P683" s="336"/>
      <c r="Q683" s="336"/>
      <c r="R683" s="336"/>
      <c r="S683" s="336"/>
      <c r="T683" s="336"/>
    </row>
    <row r="684" spans="1:20" x14ac:dyDescent="0.25">
      <c r="A684" s="336"/>
      <c r="B684" s="336"/>
      <c r="C684" s="336"/>
      <c r="D684" s="336"/>
      <c r="E684" s="336"/>
      <c r="F684" s="104" t="b">
        <f t="array" ref="F684">IF(_xlfn.NUMBERVALUE(RIGHT($E684,2))=MAX(IF(LEFT($E684:$E2682,11)=LEFT($E684,11),_xlfn.NUMBERVALUE(RIGHT($E684:$E2682,2)))),TRUE)</f>
        <v>1</v>
      </c>
      <c r="G684" s="336"/>
      <c r="H684" s="336"/>
      <c r="I684" s="336"/>
      <c r="J684" s="336"/>
      <c r="K684" s="336"/>
      <c r="L684" s="336"/>
      <c r="M684" s="336"/>
      <c r="N684" s="336"/>
      <c r="O684" s="336"/>
      <c r="P684" s="336"/>
      <c r="Q684" s="336"/>
      <c r="R684" s="336"/>
      <c r="S684" s="336"/>
      <c r="T684" s="336"/>
    </row>
    <row r="685" spans="1:20" x14ac:dyDescent="0.25">
      <c r="A685" s="336"/>
      <c r="B685" s="336"/>
      <c r="C685" s="336"/>
      <c r="D685" s="336"/>
      <c r="E685" s="336"/>
      <c r="F685" s="104" t="b">
        <f t="array" ref="F685">IF(_xlfn.NUMBERVALUE(RIGHT($E685,2))=MAX(IF(LEFT($E685:$E2683,11)=LEFT($E685,11),_xlfn.NUMBERVALUE(RIGHT($E685:$E2683,2)))),TRUE)</f>
        <v>1</v>
      </c>
      <c r="G685" s="336"/>
      <c r="H685" s="336"/>
      <c r="I685" s="336"/>
      <c r="J685" s="336"/>
      <c r="K685" s="336"/>
      <c r="L685" s="336"/>
      <c r="M685" s="336"/>
      <c r="N685" s="336"/>
      <c r="O685" s="336"/>
      <c r="P685" s="336"/>
      <c r="Q685" s="336"/>
      <c r="R685" s="336"/>
      <c r="S685" s="336"/>
      <c r="T685" s="336"/>
    </row>
    <row r="686" spans="1:20" x14ac:dyDescent="0.25">
      <c r="A686" s="336"/>
      <c r="B686" s="336"/>
      <c r="C686" s="336"/>
      <c r="D686" s="336"/>
      <c r="E686" s="336"/>
      <c r="F686" s="104" t="b">
        <f t="array" ref="F686">IF(_xlfn.NUMBERVALUE(RIGHT($E686,2))=MAX(IF(LEFT($E686:$E2684,11)=LEFT($E686,11),_xlfn.NUMBERVALUE(RIGHT($E686:$E2684,2)))),TRUE)</f>
        <v>1</v>
      </c>
      <c r="G686" s="336"/>
      <c r="H686" s="336"/>
      <c r="I686" s="336"/>
      <c r="J686" s="336"/>
      <c r="K686" s="336"/>
      <c r="L686" s="336"/>
      <c r="M686" s="336"/>
      <c r="N686" s="336"/>
      <c r="O686" s="336"/>
      <c r="P686" s="336"/>
      <c r="Q686" s="336"/>
      <c r="R686" s="336"/>
      <c r="S686" s="336"/>
      <c r="T686" s="336"/>
    </row>
    <row r="687" spans="1:20" x14ac:dyDescent="0.25">
      <c r="A687" s="336"/>
      <c r="B687" s="336"/>
      <c r="C687" s="336"/>
      <c r="D687" s="336"/>
      <c r="E687" s="336"/>
      <c r="F687" s="104" t="b">
        <f t="array" ref="F687">IF(_xlfn.NUMBERVALUE(RIGHT($E687,2))=MAX(IF(LEFT($E687:$E2685,11)=LEFT($E687,11),_xlfn.NUMBERVALUE(RIGHT($E687:$E2685,2)))),TRUE)</f>
        <v>1</v>
      </c>
      <c r="G687" s="336"/>
      <c r="H687" s="336"/>
      <c r="I687" s="336"/>
      <c r="J687" s="336"/>
      <c r="K687" s="336"/>
      <c r="L687" s="336"/>
      <c r="M687" s="336"/>
      <c r="N687" s="336"/>
      <c r="O687" s="336"/>
      <c r="P687" s="336"/>
      <c r="Q687" s="336"/>
      <c r="R687" s="336"/>
      <c r="S687" s="336"/>
      <c r="T687" s="336"/>
    </row>
    <row r="688" spans="1:20" x14ac:dyDescent="0.25">
      <c r="A688" s="336"/>
      <c r="B688" s="336"/>
      <c r="C688" s="336"/>
      <c r="D688" s="336"/>
      <c r="E688" s="336"/>
      <c r="F688" s="104" t="b">
        <f t="array" ref="F688">IF(_xlfn.NUMBERVALUE(RIGHT($E688,2))=MAX(IF(LEFT($E688:$E2686,11)=LEFT($E688,11),_xlfn.NUMBERVALUE(RIGHT($E688:$E2686,2)))),TRUE)</f>
        <v>1</v>
      </c>
      <c r="G688" s="336"/>
      <c r="H688" s="336"/>
      <c r="I688" s="336"/>
      <c r="J688" s="336"/>
      <c r="K688" s="336"/>
      <c r="L688" s="336"/>
      <c r="M688" s="336"/>
      <c r="N688" s="336"/>
      <c r="O688" s="336"/>
      <c r="P688" s="336"/>
      <c r="Q688" s="336"/>
      <c r="R688" s="336"/>
      <c r="S688" s="336"/>
      <c r="T688" s="336"/>
    </row>
    <row r="689" spans="1:20" x14ac:dyDescent="0.25">
      <c r="A689" s="336"/>
      <c r="B689" s="336"/>
      <c r="C689" s="336"/>
      <c r="D689" s="336"/>
      <c r="E689" s="336"/>
      <c r="F689" s="104" t="b">
        <f t="array" ref="F689">IF(_xlfn.NUMBERVALUE(RIGHT($E689,2))=MAX(IF(LEFT($E689:$E2687,11)=LEFT($E689,11),_xlfn.NUMBERVALUE(RIGHT($E689:$E2687,2)))),TRUE)</f>
        <v>1</v>
      </c>
      <c r="G689" s="336"/>
      <c r="H689" s="336"/>
      <c r="I689" s="336"/>
      <c r="J689" s="336"/>
      <c r="K689" s="336"/>
      <c r="L689" s="336"/>
      <c r="M689" s="336"/>
      <c r="N689" s="336"/>
      <c r="O689" s="336"/>
      <c r="P689" s="336"/>
      <c r="Q689" s="336"/>
      <c r="R689" s="336"/>
      <c r="S689" s="336"/>
      <c r="T689" s="336"/>
    </row>
    <row r="690" spans="1:20" x14ac:dyDescent="0.25">
      <c r="A690" s="336"/>
      <c r="B690" s="336"/>
      <c r="C690" s="336"/>
      <c r="D690" s="336"/>
      <c r="E690" s="336"/>
      <c r="F690" s="104" t="b">
        <f t="array" ref="F690">IF(_xlfn.NUMBERVALUE(RIGHT($E690,2))=MAX(IF(LEFT($E690:$E2688,11)=LEFT($E690,11),_xlfn.NUMBERVALUE(RIGHT($E690:$E2688,2)))),TRUE)</f>
        <v>1</v>
      </c>
      <c r="G690" s="336"/>
      <c r="H690" s="336"/>
      <c r="I690" s="336"/>
      <c r="J690" s="336"/>
      <c r="K690" s="336"/>
      <c r="L690" s="336"/>
      <c r="M690" s="336"/>
      <c r="N690" s="336"/>
      <c r="O690" s="336"/>
      <c r="P690" s="336"/>
      <c r="Q690" s="336"/>
      <c r="R690" s="336"/>
      <c r="S690" s="336"/>
      <c r="T690" s="336"/>
    </row>
    <row r="691" spans="1:20" x14ac:dyDescent="0.25">
      <c r="A691" s="336"/>
      <c r="B691" s="336"/>
      <c r="C691" s="336"/>
      <c r="D691" s="336"/>
      <c r="E691" s="336"/>
      <c r="F691" s="104" t="b">
        <f t="array" ref="F691">IF(_xlfn.NUMBERVALUE(RIGHT($E691,2))=MAX(IF(LEFT($E691:$E2689,11)=LEFT($E691,11),_xlfn.NUMBERVALUE(RIGHT($E691:$E2689,2)))),TRUE)</f>
        <v>1</v>
      </c>
      <c r="G691" s="336"/>
      <c r="H691" s="336"/>
      <c r="I691" s="336"/>
      <c r="J691" s="336"/>
      <c r="K691" s="336"/>
      <c r="L691" s="336"/>
      <c r="M691" s="336"/>
      <c r="N691" s="336"/>
      <c r="O691" s="336"/>
      <c r="P691" s="336"/>
      <c r="Q691" s="336"/>
      <c r="R691" s="336"/>
      <c r="S691" s="336"/>
      <c r="T691" s="336"/>
    </row>
    <row r="692" spans="1:20" x14ac:dyDescent="0.25">
      <c r="A692" s="336"/>
      <c r="B692" s="336"/>
      <c r="C692" s="336"/>
      <c r="D692" s="336"/>
      <c r="E692" s="336"/>
      <c r="F692" s="104" t="b">
        <f t="array" ref="F692">IF(_xlfn.NUMBERVALUE(RIGHT($E692,2))=MAX(IF(LEFT($E692:$E2690,11)=LEFT($E692,11),_xlfn.NUMBERVALUE(RIGHT($E692:$E2690,2)))),TRUE)</f>
        <v>1</v>
      </c>
      <c r="G692" s="336"/>
      <c r="H692" s="336"/>
      <c r="I692" s="336"/>
      <c r="J692" s="336"/>
      <c r="K692" s="336"/>
      <c r="L692" s="336"/>
      <c r="M692" s="336"/>
      <c r="N692" s="336"/>
      <c r="O692" s="336"/>
      <c r="P692" s="336"/>
      <c r="Q692" s="336"/>
      <c r="R692" s="336"/>
      <c r="S692" s="336"/>
      <c r="T692" s="336"/>
    </row>
    <row r="693" spans="1:20" x14ac:dyDescent="0.25">
      <c r="A693" s="336"/>
      <c r="B693" s="336"/>
      <c r="C693" s="336"/>
      <c r="D693" s="336"/>
      <c r="E693" s="336"/>
      <c r="F693" s="104" t="b">
        <f t="array" ref="F693">IF(_xlfn.NUMBERVALUE(RIGHT($E693,2))=MAX(IF(LEFT($E693:$E2691,11)=LEFT($E693,11),_xlfn.NUMBERVALUE(RIGHT($E693:$E2691,2)))),TRUE)</f>
        <v>1</v>
      </c>
      <c r="G693" s="336"/>
      <c r="H693" s="336"/>
      <c r="I693" s="336"/>
      <c r="J693" s="336"/>
      <c r="K693" s="336"/>
      <c r="L693" s="336"/>
      <c r="M693" s="336"/>
      <c r="N693" s="336"/>
      <c r="O693" s="336"/>
      <c r="P693" s="336"/>
      <c r="Q693" s="336"/>
      <c r="R693" s="336"/>
      <c r="S693" s="336"/>
      <c r="T693" s="336"/>
    </row>
    <row r="694" spans="1:20" x14ac:dyDescent="0.25">
      <c r="A694" s="336"/>
      <c r="B694" s="336"/>
      <c r="C694" s="336"/>
      <c r="D694" s="336"/>
      <c r="E694" s="336"/>
      <c r="F694" s="104" t="b">
        <f t="array" ref="F694">IF(_xlfn.NUMBERVALUE(RIGHT($E694,2))=MAX(IF(LEFT($E694:$E2692,11)=LEFT($E694,11),_xlfn.NUMBERVALUE(RIGHT($E694:$E2692,2)))),TRUE)</f>
        <v>1</v>
      </c>
      <c r="G694" s="336"/>
      <c r="H694" s="336"/>
      <c r="I694" s="336"/>
      <c r="J694" s="336"/>
      <c r="K694" s="336"/>
      <c r="L694" s="336"/>
      <c r="M694" s="336"/>
      <c r="N694" s="336"/>
      <c r="O694" s="336"/>
      <c r="P694" s="336"/>
      <c r="Q694" s="336"/>
      <c r="R694" s="336"/>
      <c r="S694" s="336"/>
      <c r="T694" s="336"/>
    </row>
    <row r="695" spans="1:20" x14ac:dyDescent="0.25">
      <c r="A695" s="336"/>
      <c r="B695" s="336"/>
      <c r="C695" s="336"/>
      <c r="D695" s="336"/>
      <c r="E695" s="336"/>
      <c r="F695" s="104" t="b">
        <f t="array" ref="F695">IF(_xlfn.NUMBERVALUE(RIGHT($E695,2))=MAX(IF(LEFT($E695:$E2693,11)=LEFT($E695,11),_xlfn.NUMBERVALUE(RIGHT($E695:$E2693,2)))),TRUE)</f>
        <v>1</v>
      </c>
      <c r="G695" s="336"/>
      <c r="H695" s="336"/>
      <c r="I695" s="336"/>
      <c r="J695" s="336"/>
      <c r="K695" s="336"/>
      <c r="L695" s="336"/>
      <c r="M695" s="336"/>
      <c r="N695" s="336"/>
      <c r="O695" s="336"/>
      <c r="P695" s="336"/>
      <c r="Q695" s="336"/>
      <c r="R695" s="336"/>
      <c r="S695" s="336"/>
      <c r="T695" s="336"/>
    </row>
    <row r="696" spans="1:20" x14ac:dyDescent="0.25">
      <c r="A696" s="336"/>
      <c r="B696" s="336"/>
      <c r="C696" s="336"/>
      <c r="D696" s="336"/>
      <c r="E696" s="336"/>
      <c r="F696" s="104" t="b">
        <f t="array" ref="F696">IF(_xlfn.NUMBERVALUE(RIGHT($E696,2))=MAX(IF(LEFT($E696:$E2694,11)=LEFT($E696,11),_xlfn.NUMBERVALUE(RIGHT($E696:$E2694,2)))),TRUE)</f>
        <v>1</v>
      </c>
      <c r="G696" s="336"/>
      <c r="H696" s="336"/>
      <c r="I696" s="336"/>
      <c r="J696" s="336"/>
      <c r="K696" s="336"/>
      <c r="L696" s="336"/>
      <c r="M696" s="336"/>
      <c r="N696" s="336"/>
      <c r="O696" s="336"/>
      <c r="P696" s="336"/>
      <c r="Q696" s="336"/>
      <c r="R696" s="336"/>
      <c r="S696" s="336"/>
      <c r="T696" s="336"/>
    </row>
    <row r="697" spans="1:20" x14ac:dyDescent="0.25">
      <c r="A697" s="336"/>
      <c r="B697" s="336"/>
      <c r="C697" s="336"/>
      <c r="D697" s="336"/>
      <c r="E697" s="336"/>
      <c r="F697" s="104" t="b">
        <f t="array" ref="F697">IF(_xlfn.NUMBERVALUE(RIGHT($E697,2))=MAX(IF(LEFT($E697:$E2695,11)=LEFT($E697,11),_xlfn.NUMBERVALUE(RIGHT($E697:$E2695,2)))),TRUE)</f>
        <v>1</v>
      </c>
      <c r="G697" s="336"/>
      <c r="H697" s="336"/>
      <c r="I697" s="336"/>
      <c r="J697" s="336"/>
      <c r="K697" s="336"/>
      <c r="L697" s="336"/>
      <c r="M697" s="336"/>
      <c r="N697" s="336"/>
      <c r="O697" s="336"/>
      <c r="P697" s="336"/>
      <c r="Q697" s="336"/>
      <c r="R697" s="336"/>
      <c r="S697" s="336"/>
      <c r="T697" s="336"/>
    </row>
    <row r="698" spans="1:20" x14ac:dyDescent="0.25">
      <c r="A698" s="336"/>
      <c r="B698" s="336"/>
      <c r="C698" s="336"/>
      <c r="D698" s="336"/>
      <c r="E698" s="336"/>
      <c r="F698" s="104" t="b">
        <f t="array" ref="F698">IF(_xlfn.NUMBERVALUE(RIGHT($E698,2))=MAX(IF(LEFT($E698:$E2696,11)=LEFT($E698,11),_xlfn.NUMBERVALUE(RIGHT($E698:$E2696,2)))),TRUE)</f>
        <v>1</v>
      </c>
      <c r="G698" s="336"/>
      <c r="H698" s="336"/>
      <c r="I698" s="336"/>
      <c r="J698" s="336"/>
      <c r="K698" s="336"/>
      <c r="L698" s="336"/>
      <c r="M698" s="336"/>
      <c r="N698" s="336"/>
      <c r="O698" s="336"/>
      <c r="P698" s="336"/>
      <c r="Q698" s="336"/>
      <c r="R698" s="336"/>
      <c r="S698" s="336"/>
      <c r="T698" s="336"/>
    </row>
    <row r="699" spans="1:20" x14ac:dyDescent="0.25">
      <c r="A699" s="336"/>
      <c r="B699" s="336"/>
      <c r="C699" s="336"/>
      <c r="D699" s="336"/>
      <c r="E699" s="336"/>
      <c r="F699" s="104" t="b">
        <f t="array" ref="F699">IF(_xlfn.NUMBERVALUE(RIGHT($E699,2))=MAX(IF(LEFT($E699:$E2697,11)=LEFT($E699,11),_xlfn.NUMBERVALUE(RIGHT($E699:$E2697,2)))),TRUE)</f>
        <v>1</v>
      </c>
      <c r="G699" s="336"/>
      <c r="H699" s="336"/>
      <c r="I699" s="336"/>
      <c r="J699" s="336"/>
      <c r="K699" s="336"/>
      <c r="L699" s="336"/>
      <c r="M699" s="336"/>
      <c r="N699" s="336"/>
      <c r="O699" s="336"/>
      <c r="P699" s="336"/>
      <c r="Q699" s="336"/>
      <c r="R699" s="336"/>
      <c r="S699" s="336"/>
      <c r="T699" s="336"/>
    </row>
    <row r="700" spans="1:20" x14ac:dyDescent="0.25">
      <c r="A700" s="336"/>
      <c r="B700" s="336"/>
      <c r="C700" s="336"/>
      <c r="D700" s="336"/>
      <c r="E700" s="336"/>
      <c r="F700" s="104" t="b">
        <f t="array" ref="F700">IF(_xlfn.NUMBERVALUE(RIGHT($E700,2))=MAX(IF(LEFT($E700:$E2698,11)=LEFT($E700,11),_xlfn.NUMBERVALUE(RIGHT($E700:$E2698,2)))),TRUE)</f>
        <v>1</v>
      </c>
      <c r="G700" s="336"/>
      <c r="H700" s="336"/>
      <c r="I700" s="336"/>
      <c r="J700" s="336"/>
      <c r="K700" s="336"/>
      <c r="L700" s="336"/>
      <c r="M700" s="336"/>
      <c r="N700" s="336"/>
      <c r="O700" s="336"/>
      <c r="P700" s="336"/>
      <c r="Q700" s="336"/>
      <c r="R700" s="336"/>
      <c r="S700" s="336"/>
      <c r="T700" s="336"/>
    </row>
    <row r="701" spans="1:20" x14ac:dyDescent="0.25">
      <c r="A701" s="336"/>
      <c r="B701" s="336"/>
      <c r="C701" s="336"/>
      <c r="D701" s="336"/>
      <c r="E701" s="336"/>
      <c r="F701" s="104" t="b">
        <f t="array" ref="F701">IF(_xlfn.NUMBERVALUE(RIGHT($E701,2))=MAX(IF(LEFT($E701:$E2699,11)=LEFT($E701,11),_xlfn.NUMBERVALUE(RIGHT($E701:$E2699,2)))),TRUE)</f>
        <v>1</v>
      </c>
      <c r="G701" s="336"/>
      <c r="H701" s="336"/>
      <c r="I701" s="336"/>
      <c r="J701" s="336"/>
      <c r="K701" s="336"/>
      <c r="L701" s="336"/>
      <c r="M701" s="336"/>
      <c r="N701" s="336"/>
      <c r="O701" s="336"/>
      <c r="P701" s="336"/>
      <c r="Q701" s="336"/>
      <c r="R701" s="336"/>
      <c r="S701" s="336"/>
      <c r="T701" s="336"/>
    </row>
    <row r="702" spans="1:20" x14ac:dyDescent="0.25">
      <c r="A702" s="336"/>
      <c r="B702" s="336"/>
      <c r="C702" s="336"/>
      <c r="D702" s="336"/>
      <c r="E702" s="336"/>
      <c r="F702" s="104" t="b">
        <f t="array" ref="F702">IF(_xlfn.NUMBERVALUE(RIGHT($E702,2))=MAX(IF(LEFT($E702:$E2700,11)=LEFT($E702,11),_xlfn.NUMBERVALUE(RIGHT($E702:$E2700,2)))),TRUE)</f>
        <v>1</v>
      </c>
      <c r="G702" s="336"/>
      <c r="H702" s="336"/>
      <c r="I702" s="336"/>
      <c r="J702" s="336"/>
      <c r="K702" s="336"/>
      <c r="L702" s="336"/>
      <c r="M702" s="336"/>
      <c r="N702" s="336"/>
      <c r="O702" s="336"/>
      <c r="P702" s="336"/>
      <c r="Q702" s="336"/>
      <c r="R702" s="336"/>
      <c r="S702" s="336"/>
      <c r="T702" s="336"/>
    </row>
    <row r="703" spans="1:20" x14ac:dyDescent="0.25">
      <c r="A703" s="336"/>
      <c r="B703" s="336"/>
      <c r="C703" s="336"/>
      <c r="D703" s="336"/>
      <c r="E703" s="336"/>
      <c r="F703" s="104" t="b">
        <f t="array" ref="F703">IF(_xlfn.NUMBERVALUE(RIGHT($E703,2))=MAX(IF(LEFT($E703:$E2701,11)=LEFT($E703,11),_xlfn.NUMBERVALUE(RIGHT($E703:$E2701,2)))),TRUE)</f>
        <v>1</v>
      </c>
      <c r="G703" s="336"/>
      <c r="H703" s="336"/>
      <c r="I703" s="336"/>
      <c r="J703" s="336"/>
      <c r="K703" s="336"/>
      <c r="L703" s="336"/>
      <c r="M703" s="336"/>
      <c r="N703" s="336"/>
      <c r="O703" s="336"/>
      <c r="P703" s="336"/>
      <c r="Q703" s="336"/>
      <c r="R703" s="336"/>
      <c r="S703" s="336"/>
      <c r="T703" s="336"/>
    </row>
    <row r="704" spans="1:20" x14ac:dyDescent="0.25">
      <c r="A704" s="336"/>
      <c r="B704" s="336"/>
      <c r="C704" s="336"/>
      <c r="D704" s="336"/>
      <c r="E704" s="336"/>
      <c r="F704" s="104" t="b">
        <f t="array" ref="F704">IF(_xlfn.NUMBERVALUE(RIGHT($E704,2))=MAX(IF(LEFT($E704:$E2702,11)=LEFT($E704,11),_xlfn.NUMBERVALUE(RIGHT($E704:$E2702,2)))),TRUE)</f>
        <v>1</v>
      </c>
      <c r="G704" s="336"/>
      <c r="H704" s="336"/>
      <c r="I704" s="336"/>
      <c r="J704" s="336"/>
      <c r="K704" s="336"/>
      <c r="L704" s="336"/>
      <c r="M704" s="336"/>
      <c r="N704" s="336"/>
      <c r="O704" s="336"/>
      <c r="P704" s="336"/>
      <c r="Q704" s="336"/>
      <c r="R704" s="336"/>
      <c r="S704" s="336"/>
      <c r="T704" s="336"/>
    </row>
    <row r="705" spans="1:20" x14ac:dyDescent="0.25">
      <c r="A705" s="336"/>
      <c r="B705" s="336"/>
      <c r="C705" s="336"/>
      <c r="D705" s="336"/>
      <c r="E705" s="336"/>
      <c r="F705" s="104" t="b">
        <f t="array" ref="F705">IF(_xlfn.NUMBERVALUE(RIGHT($E705,2))=MAX(IF(LEFT($E705:$E2703,11)=LEFT($E705,11),_xlfn.NUMBERVALUE(RIGHT($E705:$E2703,2)))),TRUE)</f>
        <v>1</v>
      </c>
      <c r="G705" s="336"/>
      <c r="H705" s="336"/>
      <c r="I705" s="336"/>
      <c r="J705" s="336"/>
      <c r="K705" s="336"/>
      <c r="L705" s="336"/>
      <c r="M705" s="336"/>
      <c r="N705" s="336"/>
      <c r="O705" s="336"/>
      <c r="P705" s="336"/>
      <c r="Q705" s="336"/>
      <c r="R705" s="336"/>
      <c r="S705" s="336"/>
      <c r="T705" s="336"/>
    </row>
    <row r="706" spans="1:20" x14ac:dyDescent="0.25">
      <c r="A706" s="336"/>
      <c r="B706" s="336"/>
      <c r="C706" s="336"/>
      <c r="D706" s="336"/>
      <c r="E706" s="336"/>
      <c r="F706" s="104" t="b">
        <f t="array" ref="F706">IF(_xlfn.NUMBERVALUE(RIGHT($E706,2))=MAX(IF(LEFT($E706:$E2704,11)=LEFT($E706,11),_xlfn.NUMBERVALUE(RIGHT($E706:$E2704,2)))),TRUE)</f>
        <v>1</v>
      </c>
      <c r="G706" s="336"/>
      <c r="H706" s="336"/>
      <c r="I706" s="336"/>
      <c r="J706" s="336"/>
      <c r="K706" s="336"/>
      <c r="L706" s="336"/>
      <c r="M706" s="336"/>
      <c r="N706" s="336"/>
      <c r="O706" s="336"/>
      <c r="P706" s="336"/>
      <c r="Q706" s="336"/>
      <c r="R706" s="336"/>
      <c r="S706" s="336"/>
      <c r="T706" s="336"/>
    </row>
    <row r="707" spans="1:20" x14ac:dyDescent="0.25">
      <c r="A707" s="336"/>
      <c r="B707" s="336"/>
      <c r="C707" s="336"/>
      <c r="D707" s="336"/>
      <c r="E707" s="336"/>
      <c r="F707" s="104" t="b">
        <f t="array" ref="F707">IF(_xlfn.NUMBERVALUE(RIGHT($E707,2))=MAX(IF(LEFT($E707:$E2705,11)=LEFT($E707,11),_xlfn.NUMBERVALUE(RIGHT($E707:$E2705,2)))),TRUE)</f>
        <v>1</v>
      </c>
      <c r="G707" s="336"/>
      <c r="H707" s="336"/>
      <c r="I707" s="336"/>
      <c r="J707" s="336"/>
      <c r="K707" s="336"/>
      <c r="L707" s="336"/>
      <c r="M707" s="336"/>
      <c r="N707" s="336"/>
      <c r="O707" s="336"/>
      <c r="P707" s="336"/>
      <c r="Q707" s="336"/>
      <c r="R707" s="336"/>
      <c r="S707" s="336"/>
      <c r="T707" s="336"/>
    </row>
    <row r="708" spans="1:20" x14ac:dyDescent="0.25">
      <c r="A708" s="336"/>
      <c r="B708" s="336"/>
      <c r="C708" s="336"/>
      <c r="D708" s="336"/>
      <c r="E708" s="336"/>
      <c r="F708" s="104" t="b">
        <f t="array" ref="F708">IF(_xlfn.NUMBERVALUE(RIGHT($E708,2))=MAX(IF(LEFT($E708:$E2706,11)=LEFT($E708,11),_xlfn.NUMBERVALUE(RIGHT($E708:$E2706,2)))),TRUE)</f>
        <v>1</v>
      </c>
      <c r="G708" s="336"/>
      <c r="H708" s="336"/>
      <c r="I708" s="336"/>
      <c r="J708" s="336"/>
      <c r="K708" s="336"/>
      <c r="L708" s="336"/>
      <c r="M708" s="336"/>
      <c r="N708" s="336"/>
      <c r="O708" s="336"/>
      <c r="P708" s="336"/>
      <c r="Q708" s="336"/>
      <c r="R708" s="336"/>
      <c r="S708" s="336"/>
      <c r="T708" s="336"/>
    </row>
    <row r="709" spans="1:20" x14ac:dyDescent="0.25">
      <c r="A709" s="336"/>
      <c r="B709" s="336"/>
      <c r="C709" s="336"/>
      <c r="D709" s="336"/>
      <c r="E709" s="336"/>
      <c r="F709" s="104" t="b">
        <f t="array" ref="F709">IF(_xlfn.NUMBERVALUE(RIGHT($E709,2))=MAX(IF(LEFT($E709:$E2707,11)=LEFT($E709,11),_xlfn.NUMBERVALUE(RIGHT($E709:$E2707,2)))),TRUE)</f>
        <v>1</v>
      </c>
      <c r="G709" s="336"/>
      <c r="H709" s="336"/>
      <c r="I709" s="336"/>
      <c r="J709" s="336"/>
      <c r="K709" s="336"/>
      <c r="L709" s="336"/>
      <c r="M709" s="336"/>
      <c r="N709" s="336"/>
      <c r="O709" s="336"/>
      <c r="P709" s="336"/>
      <c r="Q709" s="336"/>
      <c r="R709" s="336"/>
      <c r="S709" s="336"/>
      <c r="T709" s="336"/>
    </row>
    <row r="710" spans="1:20" x14ac:dyDescent="0.25">
      <c r="A710" s="336"/>
      <c r="B710" s="336"/>
      <c r="C710" s="336"/>
      <c r="D710" s="336"/>
      <c r="E710" s="336"/>
      <c r="F710" s="104" t="b">
        <f t="array" ref="F710">IF(_xlfn.NUMBERVALUE(RIGHT($E710,2))=MAX(IF(LEFT($E710:$E2708,11)=LEFT($E710,11),_xlfn.NUMBERVALUE(RIGHT($E710:$E2708,2)))),TRUE)</f>
        <v>1</v>
      </c>
      <c r="G710" s="336"/>
      <c r="H710" s="336"/>
      <c r="I710" s="336"/>
      <c r="J710" s="336"/>
      <c r="K710" s="336"/>
      <c r="L710" s="336"/>
      <c r="M710" s="336"/>
      <c r="N710" s="336"/>
      <c r="O710" s="336"/>
      <c r="P710" s="336"/>
      <c r="Q710" s="336"/>
      <c r="R710" s="336"/>
      <c r="S710" s="336"/>
      <c r="T710" s="336"/>
    </row>
    <row r="711" spans="1:20" x14ac:dyDescent="0.25">
      <c r="A711" s="336"/>
      <c r="B711" s="336"/>
      <c r="C711" s="336"/>
      <c r="D711" s="336"/>
      <c r="E711" s="336"/>
      <c r="F711" s="104" t="b">
        <f t="array" ref="F711">IF(_xlfn.NUMBERVALUE(RIGHT($E711,2))=MAX(IF(LEFT($E711:$E2709,11)=LEFT($E711,11),_xlfn.NUMBERVALUE(RIGHT($E711:$E2709,2)))),TRUE)</f>
        <v>1</v>
      </c>
      <c r="G711" s="336"/>
      <c r="H711" s="336"/>
      <c r="I711" s="336"/>
      <c r="J711" s="336"/>
      <c r="K711" s="336"/>
      <c r="L711" s="336"/>
      <c r="M711" s="336"/>
      <c r="N711" s="336"/>
      <c r="O711" s="336"/>
      <c r="P711" s="336"/>
      <c r="Q711" s="336"/>
      <c r="R711" s="336"/>
      <c r="S711" s="336"/>
      <c r="T711" s="336"/>
    </row>
    <row r="712" spans="1:20" x14ac:dyDescent="0.25">
      <c r="A712" s="336"/>
      <c r="B712" s="336"/>
      <c r="C712" s="336"/>
      <c r="D712" s="336"/>
      <c r="E712" s="336"/>
      <c r="F712" s="104" t="b">
        <f t="array" ref="F712">IF(_xlfn.NUMBERVALUE(RIGHT($E712,2))=MAX(IF(LEFT($E712:$E2710,11)=LEFT($E712,11),_xlfn.NUMBERVALUE(RIGHT($E712:$E2710,2)))),TRUE)</f>
        <v>1</v>
      </c>
      <c r="G712" s="336"/>
      <c r="H712" s="336"/>
      <c r="I712" s="336"/>
      <c r="J712" s="336"/>
      <c r="K712" s="336"/>
      <c r="L712" s="336"/>
      <c r="M712" s="336"/>
      <c r="N712" s="336"/>
      <c r="O712" s="336"/>
      <c r="P712" s="336"/>
      <c r="Q712" s="336"/>
      <c r="R712" s="336"/>
      <c r="S712" s="336"/>
      <c r="T712" s="336"/>
    </row>
    <row r="713" spans="1:20" x14ac:dyDescent="0.25">
      <c r="A713" s="336"/>
      <c r="B713" s="336"/>
      <c r="C713" s="336"/>
      <c r="D713" s="336"/>
      <c r="E713" s="336"/>
      <c r="F713" s="104" t="b">
        <f t="array" ref="F713">IF(_xlfn.NUMBERVALUE(RIGHT($E713,2))=MAX(IF(LEFT($E713:$E2711,11)=LEFT($E713,11),_xlfn.NUMBERVALUE(RIGHT($E713:$E2711,2)))),TRUE)</f>
        <v>1</v>
      </c>
      <c r="G713" s="336"/>
      <c r="H713" s="336"/>
      <c r="I713" s="336"/>
      <c r="J713" s="336"/>
      <c r="K713" s="336"/>
      <c r="L713" s="336"/>
      <c r="M713" s="336"/>
      <c r="N713" s="336"/>
      <c r="O713" s="336"/>
      <c r="P713" s="336"/>
      <c r="Q713" s="336"/>
      <c r="R713" s="336"/>
      <c r="S713" s="336"/>
      <c r="T713" s="336"/>
    </row>
    <row r="714" spans="1:20" x14ac:dyDescent="0.25">
      <c r="A714" s="336"/>
      <c r="B714" s="336"/>
      <c r="C714" s="336"/>
      <c r="D714" s="336"/>
      <c r="E714" s="336"/>
      <c r="F714" s="104" t="b">
        <f t="array" ref="F714">IF(_xlfn.NUMBERVALUE(RIGHT($E714,2))=MAX(IF(LEFT($E714:$E2712,11)=LEFT($E714,11),_xlfn.NUMBERVALUE(RIGHT($E714:$E2712,2)))),TRUE)</f>
        <v>1</v>
      </c>
      <c r="G714" s="336"/>
      <c r="H714" s="336"/>
      <c r="I714" s="336"/>
      <c r="J714" s="336"/>
      <c r="K714" s="336"/>
      <c r="L714" s="336"/>
      <c r="M714" s="336"/>
      <c r="N714" s="336"/>
      <c r="O714" s="336"/>
      <c r="P714" s="336"/>
      <c r="Q714" s="336"/>
      <c r="R714" s="336"/>
      <c r="S714" s="336"/>
      <c r="T714" s="336"/>
    </row>
    <row r="715" spans="1:20" x14ac:dyDescent="0.25">
      <c r="A715" s="336"/>
      <c r="B715" s="336"/>
      <c r="C715" s="336"/>
      <c r="D715" s="336"/>
      <c r="E715" s="336"/>
      <c r="F715" s="104" t="b">
        <f t="array" ref="F715">IF(_xlfn.NUMBERVALUE(RIGHT($E715,2))=MAX(IF(LEFT($E715:$E2713,11)=LEFT($E715,11),_xlfn.NUMBERVALUE(RIGHT($E715:$E2713,2)))),TRUE)</f>
        <v>1</v>
      </c>
      <c r="G715" s="336"/>
      <c r="H715" s="336"/>
      <c r="I715" s="336"/>
      <c r="J715" s="336"/>
      <c r="K715" s="336"/>
      <c r="L715" s="336"/>
      <c r="M715" s="336"/>
      <c r="N715" s="336"/>
      <c r="O715" s="336"/>
      <c r="P715" s="336"/>
      <c r="Q715" s="336"/>
      <c r="R715" s="336"/>
      <c r="S715" s="336"/>
      <c r="T715" s="336"/>
    </row>
    <row r="716" spans="1:20" x14ac:dyDescent="0.25">
      <c r="A716" s="336"/>
      <c r="B716" s="336"/>
      <c r="C716" s="336"/>
      <c r="D716" s="336"/>
      <c r="E716" s="336"/>
      <c r="F716" s="104" t="b">
        <f t="array" ref="F716">IF(_xlfn.NUMBERVALUE(RIGHT($E716,2))=MAX(IF(LEFT($E716:$E2714,11)=LEFT($E716,11),_xlfn.NUMBERVALUE(RIGHT($E716:$E2714,2)))),TRUE)</f>
        <v>1</v>
      </c>
      <c r="G716" s="336"/>
      <c r="H716" s="336"/>
      <c r="I716" s="336"/>
      <c r="J716" s="336"/>
      <c r="K716" s="336"/>
      <c r="L716" s="336"/>
      <c r="M716" s="336"/>
      <c r="N716" s="336"/>
      <c r="O716" s="336"/>
      <c r="P716" s="336"/>
      <c r="Q716" s="336"/>
      <c r="R716" s="336"/>
      <c r="S716" s="336"/>
      <c r="T716" s="336"/>
    </row>
    <row r="717" spans="1:20" x14ac:dyDescent="0.25">
      <c r="A717" s="336"/>
      <c r="B717" s="336"/>
      <c r="C717" s="336"/>
      <c r="D717" s="336"/>
      <c r="E717" s="336"/>
      <c r="F717" s="104" t="b">
        <f t="array" ref="F717">IF(_xlfn.NUMBERVALUE(RIGHT($E717,2))=MAX(IF(LEFT($E717:$E2715,11)=LEFT($E717,11),_xlfn.NUMBERVALUE(RIGHT($E717:$E2715,2)))),TRUE)</f>
        <v>1</v>
      </c>
      <c r="G717" s="336"/>
      <c r="H717" s="336"/>
      <c r="I717" s="336"/>
      <c r="J717" s="336"/>
      <c r="K717" s="336"/>
      <c r="L717" s="336"/>
      <c r="M717" s="336"/>
      <c r="N717" s="336"/>
      <c r="O717" s="336"/>
      <c r="P717" s="336"/>
      <c r="Q717" s="336"/>
      <c r="R717" s="336"/>
      <c r="S717" s="336"/>
      <c r="T717" s="336"/>
    </row>
    <row r="718" spans="1:20" x14ac:dyDescent="0.25">
      <c r="A718" s="336"/>
      <c r="B718" s="336"/>
      <c r="C718" s="336"/>
      <c r="D718" s="336"/>
      <c r="E718" s="336"/>
      <c r="F718" s="104" t="b">
        <f t="array" ref="F718">IF(_xlfn.NUMBERVALUE(RIGHT($E718,2))=MAX(IF(LEFT($E718:$E2716,11)=LEFT($E718,11),_xlfn.NUMBERVALUE(RIGHT($E718:$E2716,2)))),TRUE)</f>
        <v>1</v>
      </c>
      <c r="G718" s="336"/>
      <c r="H718" s="336"/>
      <c r="I718" s="336"/>
      <c r="J718" s="336"/>
      <c r="K718" s="336"/>
      <c r="L718" s="336"/>
      <c r="M718" s="336"/>
      <c r="N718" s="336"/>
      <c r="O718" s="336"/>
      <c r="P718" s="336"/>
      <c r="Q718" s="336"/>
      <c r="R718" s="336"/>
      <c r="S718" s="336"/>
      <c r="T718" s="336"/>
    </row>
    <row r="719" spans="1:20" x14ac:dyDescent="0.25">
      <c r="A719" s="336"/>
      <c r="B719" s="336"/>
      <c r="C719" s="336"/>
      <c r="D719" s="336"/>
      <c r="E719" s="336"/>
      <c r="F719" s="104" t="b">
        <f t="array" ref="F719">IF(_xlfn.NUMBERVALUE(RIGHT($E719,2))=MAX(IF(LEFT($E719:$E2717,11)=LEFT($E719,11),_xlfn.NUMBERVALUE(RIGHT($E719:$E2717,2)))),TRUE)</f>
        <v>1</v>
      </c>
      <c r="G719" s="336"/>
      <c r="H719" s="336"/>
      <c r="I719" s="336"/>
      <c r="J719" s="336"/>
      <c r="K719" s="336"/>
      <c r="L719" s="336"/>
      <c r="M719" s="336"/>
      <c r="N719" s="336"/>
      <c r="O719" s="336"/>
      <c r="P719" s="336"/>
      <c r="Q719" s="336"/>
      <c r="R719" s="336"/>
      <c r="S719" s="336"/>
      <c r="T719" s="336"/>
    </row>
    <row r="720" spans="1:20" x14ac:dyDescent="0.25">
      <c r="A720" s="336"/>
      <c r="B720" s="336"/>
      <c r="C720" s="336"/>
      <c r="D720" s="336"/>
      <c r="E720" s="336"/>
      <c r="F720" s="104" t="b">
        <f t="array" ref="F720">IF(_xlfn.NUMBERVALUE(RIGHT($E720,2))=MAX(IF(LEFT($E720:$E2718,11)=LEFT($E720,11),_xlfn.NUMBERVALUE(RIGHT($E720:$E2718,2)))),TRUE)</f>
        <v>1</v>
      </c>
      <c r="G720" s="336"/>
      <c r="H720" s="336"/>
      <c r="I720" s="336"/>
      <c r="J720" s="336"/>
      <c r="K720" s="336"/>
      <c r="L720" s="336"/>
      <c r="M720" s="336"/>
      <c r="N720" s="336"/>
      <c r="O720" s="336"/>
      <c r="P720" s="336"/>
      <c r="Q720" s="336"/>
      <c r="R720" s="336"/>
      <c r="S720" s="336"/>
      <c r="T720" s="336"/>
    </row>
    <row r="721" spans="1:20" x14ac:dyDescent="0.25">
      <c r="A721" s="336"/>
      <c r="B721" s="336"/>
      <c r="C721" s="336"/>
      <c r="D721" s="336"/>
      <c r="E721" s="336"/>
      <c r="F721" s="104" t="b">
        <f t="array" ref="F721">IF(_xlfn.NUMBERVALUE(RIGHT($E721,2))=MAX(IF(LEFT($E721:$E2719,11)=LEFT($E721,11),_xlfn.NUMBERVALUE(RIGHT($E721:$E2719,2)))),TRUE)</f>
        <v>1</v>
      </c>
      <c r="G721" s="336"/>
      <c r="H721" s="336"/>
      <c r="I721" s="336"/>
      <c r="J721" s="336"/>
      <c r="K721" s="336"/>
      <c r="L721" s="336"/>
      <c r="M721" s="336"/>
      <c r="N721" s="336"/>
      <c r="O721" s="336"/>
      <c r="P721" s="336"/>
      <c r="Q721" s="336"/>
      <c r="R721" s="336"/>
      <c r="S721" s="336"/>
      <c r="T721" s="336"/>
    </row>
    <row r="722" spans="1:20" x14ac:dyDescent="0.25">
      <c r="A722" s="336"/>
      <c r="B722" s="336"/>
      <c r="C722" s="336"/>
      <c r="D722" s="336"/>
      <c r="E722" s="336"/>
      <c r="F722" s="104" t="b">
        <f t="array" ref="F722">IF(_xlfn.NUMBERVALUE(RIGHT($E722,2))=MAX(IF(LEFT($E722:$E2720,11)=LEFT($E722,11),_xlfn.NUMBERVALUE(RIGHT($E722:$E2720,2)))),TRUE)</f>
        <v>1</v>
      </c>
      <c r="G722" s="336"/>
      <c r="H722" s="336"/>
      <c r="I722" s="336"/>
      <c r="J722" s="336"/>
      <c r="K722" s="336"/>
      <c r="L722" s="336"/>
      <c r="M722" s="336"/>
      <c r="N722" s="336"/>
      <c r="O722" s="336"/>
      <c r="P722" s="336"/>
      <c r="Q722" s="336"/>
      <c r="R722" s="336"/>
      <c r="S722" s="336"/>
      <c r="T722" s="336"/>
    </row>
    <row r="723" spans="1:20" x14ac:dyDescent="0.25">
      <c r="A723" s="336"/>
      <c r="B723" s="336"/>
      <c r="C723" s="336"/>
      <c r="D723" s="336"/>
      <c r="E723" s="336"/>
      <c r="F723" s="104" t="b">
        <f t="array" ref="F723">IF(_xlfn.NUMBERVALUE(RIGHT($E723,2))=MAX(IF(LEFT($E723:$E2721,11)=LEFT($E723,11),_xlfn.NUMBERVALUE(RIGHT($E723:$E2721,2)))),TRUE)</f>
        <v>1</v>
      </c>
      <c r="G723" s="336"/>
      <c r="H723" s="336"/>
      <c r="I723" s="336"/>
      <c r="J723" s="336"/>
      <c r="K723" s="336"/>
      <c r="L723" s="336"/>
      <c r="M723" s="336"/>
      <c r="N723" s="336"/>
      <c r="O723" s="336"/>
      <c r="P723" s="336"/>
      <c r="Q723" s="336"/>
      <c r="R723" s="336"/>
      <c r="S723" s="336"/>
      <c r="T723" s="336"/>
    </row>
    <row r="724" spans="1:20" x14ac:dyDescent="0.25">
      <c r="A724" s="336"/>
      <c r="B724" s="336"/>
      <c r="C724" s="336"/>
      <c r="D724" s="336"/>
      <c r="E724" s="336"/>
      <c r="F724" s="104" t="b">
        <f t="array" ref="F724">IF(_xlfn.NUMBERVALUE(RIGHT($E724,2))=MAX(IF(LEFT($E724:$E2722,11)=LEFT($E724,11),_xlfn.NUMBERVALUE(RIGHT($E724:$E2722,2)))),TRUE)</f>
        <v>1</v>
      </c>
      <c r="G724" s="336"/>
      <c r="H724" s="336"/>
      <c r="I724" s="336"/>
      <c r="J724" s="336"/>
      <c r="K724" s="336"/>
      <c r="L724" s="336"/>
      <c r="M724" s="336"/>
      <c r="N724" s="336"/>
      <c r="O724" s="336"/>
      <c r="P724" s="336"/>
      <c r="Q724" s="336"/>
      <c r="R724" s="336"/>
      <c r="S724" s="336"/>
      <c r="T724" s="336"/>
    </row>
    <row r="725" spans="1:20" x14ac:dyDescent="0.25">
      <c r="A725" s="336"/>
      <c r="B725" s="336"/>
      <c r="C725" s="336"/>
      <c r="D725" s="336"/>
      <c r="E725" s="336"/>
      <c r="F725" s="104" t="b">
        <f t="array" ref="F725">IF(_xlfn.NUMBERVALUE(RIGHT($E725,2))=MAX(IF(LEFT($E725:$E2723,11)=LEFT($E725,11),_xlfn.NUMBERVALUE(RIGHT($E725:$E2723,2)))),TRUE)</f>
        <v>1</v>
      </c>
      <c r="G725" s="336"/>
      <c r="H725" s="336"/>
      <c r="I725" s="336"/>
      <c r="J725" s="336"/>
      <c r="K725" s="336"/>
      <c r="L725" s="336"/>
      <c r="M725" s="336"/>
      <c r="N725" s="336"/>
      <c r="O725" s="336"/>
      <c r="P725" s="336"/>
      <c r="Q725" s="336"/>
      <c r="R725" s="336"/>
      <c r="S725" s="336"/>
      <c r="T725" s="336"/>
    </row>
    <row r="726" spans="1:20" x14ac:dyDescent="0.25">
      <c r="A726" s="336"/>
      <c r="B726" s="336"/>
      <c r="C726" s="336"/>
      <c r="D726" s="336"/>
      <c r="E726" s="336"/>
      <c r="F726" s="104" t="b">
        <f t="array" ref="F726">IF(_xlfn.NUMBERVALUE(RIGHT($E726,2))=MAX(IF(LEFT($E726:$E2724,11)=LEFT($E726,11),_xlfn.NUMBERVALUE(RIGHT($E726:$E2724,2)))),TRUE)</f>
        <v>1</v>
      </c>
      <c r="G726" s="336"/>
      <c r="H726" s="336"/>
      <c r="I726" s="336"/>
      <c r="J726" s="336"/>
      <c r="K726" s="336"/>
      <c r="L726" s="336"/>
      <c r="M726" s="336"/>
      <c r="N726" s="336"/>
      <c r="O726" s="336"/>
      <c r="P726" s="336"/>
      <c r="Q726" s="336"/>
      <c r="R726" s="336"/>
      <c r="S726" s="336"/>
      <c r="T726" s="336"/>
    </row>
    <row r="727" spans="1:20" x14ac:dyDescent="0.25">
      <c r="A727" s="336"/>
      <c r="B727" s="336"/>
      <c r="C727" s="336"/>
      <c r="D727" s="336"/>
      <c r="E727" s="336"/>
      <c r="F727" s="104" t="b">
        <f t="array" ref="F727">IF(_xlfn.NUMBERVALUE(RIGHT($E727,2))=MAX(IF(LEFT($E727:$E2725,11)=LEFT($E727,11),_xlfn.NUMBERVALUE(RIGHT($E727:$E2725,2)))),TRUE)</f>
        <v>1</v>
      </c>
      <c r="G727" s="336"/>
      <c r="H727" s="336"/>
      <c r="I727" s="336"/>
      <c r="J727" s="336"/>
      <c r="K727" s="336"/>
      <c r="L727" s="336"/>
      <c r="M727" s="336"/>
      <c r="N727" s="336"/>
      <c r="O727" s="336"/>
      <c r="P727" s="336"/>
      <c r="Q727" s="336"/>
      <c r="R727" s="336"/>
      <c r="S727" s="336"/>
      <c r="T727" s="336"/>
    </row>
    <row r="728" spans="1:20" x14ac:dyDescent="0.25">
      <c r="A728" s="336"/>
      <c r="B728" s="336"/>
      <c r="C728" s="336"/>
      <c r="D728" s="336"/>
      <c r="E728" s="336"/>
      <c r="F728" s="104" t="b">
        <f t="array" ref="F728">IF(_xlfn.NUMBERVALUE(RIGHT($E728,2))=MAX(IF(LEFT($E728:$E2726,11)=LEFT($E728,11),_xlfn.NUMBERVALUE(RIGHT($E728:$E2726,2)))),TRUE)</f>
        <v>1</v>
      </c>
      <c r="G728" s="336"/>
      <c r="H728" s="336"/>
      <c r="I728" s="336"/>
      <c r="J728" s="336"/>
      <c r="K728" s="336"/>
      <c r="L728" s="336"/>
      <c r="M728" s="336"/>
      <c r="N728" s="336"/>
      <c r="O728" s="336"/>
      <c r="P728" s="336"/>
      <c r="Q728" s="336"/>
      <c r="R728" s="336"/>
      <c r="S728" s="336"/>
      <c r="T728" s="336"/>
    </row>
    <row r="729" spans="1:20" x14ac:dyDescent="0.25">
      <c r="A729" s="336"/>
      <c r="B729" s="336"/>
      <c r="C729" s="336"/>
      <c r="D729" s="336"/>
      <c r="E729" s="336"/>
      <c r="F729" s="104" t="b">
        <f t="array" ref="F729">IF(_xlfn.NUMBERVALUE(RIGHT($E729,2))=MAX(IF(LEFT($E729:$E2727,11)=LEFT($E729,11),_xlfn.NUMBERVALUE(RIGHT($E729:$E2727,2)))),TRUE)</f>
        <v>1</v>
      </c>
      <c r="G729" s="336"/>
      <c r="H729" s="336"/>
      <c r="I729" s="336"/>
      <c r="J729" s="336"/>
      <c r="K729" s="336"/>
      <c r="L729" s="336"/>
      <c r="M729" s="336"/>
      <c r="N729" s="336"/>
      <c r="O729" s="336"/>
      <c r="P729" s="336"/>
      <c r="Q729" s="336"/>
      <c r="R729" s="336"/>
      <c r="S729" s="336"/>
      <c r="T729" s="336"/>
    </row>
    <row r="730" spans="1:20" x14ac:dyDescent="0.25">
      <c r="A730" s="336"/>
      <c r="B730" s="336"/>
      <c r="C730" s="336"/>
      <c r="D730" s="336"/>
      <c r="E730" s="336"/>
      <c r="F730" s="104" t="b">
        <f t="array" ref="F730">IF(_xlfn.NUMBERVALUE(RIGHT($E730,2))=MAX(IF(LEFT($E730:$E2728,11)=LEFT($E730,11),_xlfn.NUMBERVALUE(RIGHT($E730:$E2728,2)))),TRUE)</f>
        <v>1</v>
      </c>
      <c r="G730" s="336"/>
      <c r="H730" s="336"/>
      <c r="I730" s="336"/>
      <c r="J730" s="336"/>
      <c r="K730" s="336"/>
      <c r="L730" s="336"/>
      <c r="M730" s="336"/>
      <c r="N730" s="336"/>
      <c r="O730" s="336"/>
      <c r="P730" s="336"/>
      <c r="Q730" s="336"/>
      <c r="R730" s="336"/>
      <c r="S730" s="336"/>
      <c r="T730" s="336"/>
    </row>
    <row r="731" spans="1:20" x14ac:dyDescent="0.25">
      <c r="A731" s="336"/>
      <c r="B731" s="336"/>
      <c r="C731" s="336"/>
      <c r="D731" s="336"/>
      <c r="E731" s="336"/>
      <c r="F731" s="104" t="b">
        <f t="array" ref="F731">IF(_xlfn.NUMBERVALUE(RIGHT($E731,2))=MAX(IF(LEFT($E731:$E2729,11)=LEFT($E731,11),_xlfn.NUMBERVALUE(RIGHT($E731:$E2729,2)))),TRUE)</f>
        <v>1</v>
      </c>
      <c r="G731" s="336"/>
      <c r="H731" s="336"/>
      <c r="I731" s="336"/>
      <c r="J731" s="336"/>
      <c r="K731" s="336"/>
      <c r="L731" s="336"/>
      <c r="M731" s="336"/>
      <c r="N731" s="336"/>
      <c r="O731" s="336"/>
      <c r="P731" s="336"/>
      <c r="Q731" s="336"/>
      <c r="R731" s="336"/>
      <c r="S731" s="336"/>
      <c r="T731" s="336"/>
    </row>
    <row r="732" spans="1:20" x14ac:dyDescent="0.25">
      <c r="A732" s="336"/>
      <c r="B732" s="336"/>
      <c r="C732" s="336"/>
      <c r="D732" s="336"/>
      <c r="E732" s="336"/>
      <c r="F732" s="104" t="b">
        <f t="array" ref="F732">IF(_xlfn.NUMBERVALUE(RIGHT($E732,2))=MAX(IF(LEFT($E732:$E2730,11)=LEFT($E732,11),_xlfn.NUMBERVALUE(RIGHT($E732:$E2730,2)))),TRUE)</f>
        <v>1</v>
      </c>
      <c r="G732" s="336"/>
      <c r="H732" s="336"/>
      <c r="I732" s="336"/>
      <c r="J732" s="336"/>
      <c r="K732" s="336"/>
      <c r="L732" s="336"/>
      <c r="M732" s="336"/>
      <c r="N732" s="336"/>
      <c r="O732" s="336"/>
      <c r="P732" s="336"/>
      <c r="Q732" s="336"/>
      <c r="R732" s="336"/>
      <c r="S732" s="336"/>
      <c r="T732" s="336"/>
    </row>
    <row r="733" spans="1:20" x14ac:dyDescent="0.25">
      <c r="A733" s="336"/>
      <c r="B733" s="336"/>
      <c r="C733" s="336"/>
      <c r="D733" s="336"/>
      <c r="E733" s="336"/>
      <c r="F733" s="104" t="b">
        <f t="array" ref="F733">IF(_xlfn.NUMBERVALUE(RIGHT($E733,2))=MAX(IF(LEFT($E733:$E2731,11)=LEFT($E733,11),_xlfn.NUMBERVALUE(RIGHT($E733:$E2731,2)))),TRUE)</f>
        <v>1</v>
      </c>
      <c r="G733" s="336"/>
      <c r="H733" s="336"/>
      <c r="I733" s="336"/>
      <c r="J733" s="336"/>
      <c r="K733" s="336"/>
      <c r="L733" s="336"/>
      <c r="M733" s="336"/>
      <c r="N733" s="336"/>
      <c r="O733" s="336"/>
      <c r="P733" s="336"/>
      <c r="Q733" s="336"/>
      <c r="R733" s="336"/>
      <c r="S733" s="336"/>
      <c r="T733" s="336"/>
    </row>
    <row r="734" spans="1:20" x14ac:dyDescent="0.25">
      <c r="A734" s="336"/>
      <c r="B734" s="336"/>
      <c r="C734" s="336"/>
      <c r="D734" s="336"/>
      <c r="E734" s="336"/>
      <c r="F734" s="104" t="b">
        <f t="array" ref="F734">IF(_xlfn.NUMBERVALUE(RIGHT($E734,2))=MAX(IF(LEFT($E734:$E2732,11)=LEFT($E734,11),_xlfn.NUMBERVALUE(RIGHT($E734:$E2732,2)))),TRUE)</f>
        <v>1</v>
      </c>
      <c r="G734" s="336"/>
      <c r="H734" s="336"/>
      <c r="I734" s="336"/>
      <c r="J734" s="336"/>
      <c r="K734" s="336"/>
      <c r="L734" s="336"/>
      <c r="M734" s="336"/>
      <c r="N734" s="336"/>
      <c r="O734" s="336"/>
      <c r="P734" s="336"/>
      <c r="Q734" s="336"/>
      <c r="R734" s="336"/>
      <c r="S734" s="336"/>
      <c r="T734" s="336"/>
    </row>
    <row r="735" spans="1:20" x14ac:dyDescent="0.25">
      <c r="A735" s="336"/>
      <c r="B735" s="336"/>
      <c r="C735" s="336"/>
      <c r="D735" s="336"/>
      <c r="E735" s="336"/>
      <c r="F735" s="104" t="b">
        <f t="array" ref="F735">IF(_xlfn.NUMBERVALUE(RIGHT($E735,2))=MAX(IF(LEFT($E735:$E2733,11)=LEFT($E735,11),_xlfn.NUMBERVALUE(RIGHT($E735:$E2733,2)))),TRUE)</f>
        <v>1</v>
      </c>
      <c r="G735" s="336"/>
      <c r="H735" s="336"/>
      <c r="I735" s="336"/>
      <c r="J735" s="336"/>
      <c r="K735" s="336"/>
      <c r="L735" s="336"/>
      <c r="M735" s="336"/>
      <c r="N735" s="336"/>
      <c r="O735" s="336"/>
      <c r="P735" s="336"/>
      <c r="Q735" s="336"/>
      <c r="R735" s="336"/>
      <c r="S735" s="336"/>
      <c r="T735" s="336"/>
    </row>
    <row r="736" spans="1:20" x14ac:dyDescent="0.25">
      <c r="A736" s="336"/>
      <c r="B736" s="336"/>
      <c r="C736" s="336"/>
      <c r="D736" s="336"/>
      <c r="E736" s="336"/>
      <c r="F736" s="104" t="b">
        <f t="array" ref="F736">IF(_xlfn.NUMBERVALUE(RIGHT($E736,2))=MAX(IF(LEFT($E736:$E2734,11)=LEFT($E736,11),_xlfn.NUMBERVALUE(RIGHT($E736:$E2734,2)))),TRUE)</f>
        <v>1</v>
      </c>
      <c r="G736" s="336"/>
      <c r="H736" s="336"/>
      <c r="I736" s="336"/>
      <c r="J736" s="336"/>
      <c r="K736" s="336"/>
      <c r="L736" s="336"/>
      <c r="M736" s="336"/>
      <c r="N736" s="336"/>
      <c r="O736" s="336"/>
      <c r="P736" s="336"/>
      <c r="Q736" s="336"/>
      <c r="R736" s="336"/>
      <c r="S736" s="336"/>
      <c r="T736" s="336"/>
    </row>
    <row r="737" spans="1:20" x14ac:dyDescent="0.25">
      <c r="A737" s="336"/>
      <c r="B737" s="336"/>
      <c r="C737" s="336"/>
      <c r="D737" s="336"/>
      <c r="E737" s="336"/>
      <c r="F737" s="104" t="b">
        <f t="array" ref="F737">IF(_xlfn.NUMBERVALUE(RIGHT($E737,2))=MAX(IF(LEFT($E737:$E2735,11)=LEFT($E737,11),_xlfn.NUMBERVALUE(RIGHT($E737:$E2735,2)))),TRUE)</f>
        <v>1</v>
      </c>
      <c r="G737" s="336"/>
      <c r="H737" s="336"/>
      <c r="I737" s="336"/>
      <c r="J737" s="336"/>
      <c r="K737" s="336"/>
      <c r="L737" s="336"/>
      <c r="M737" s="336"/>
      <c r="N737" s="336"/>
      <c r="O737" s="336"/>
      <c r="P737" s="336"/>
      <c r="Q737" s="336"/>
      <c r="R737" s="336"/>
      <c r="S737" s="336"/>
      <c r="T737" s="336"/>
    </row>
    <row r="738" spans="1:20" x14ac:dyDescent="0.25">
      <c r="A738" s="336"/>
      <c r="B738" s="336"/>
      <c r="C738" s="336"/>
      <c r="D738" s="336"/>
      <c r="E738" s="336"/>
      <c r="F738" s="104" t="b">
        <f t="array" ref="F738">IF(_xlfn.NUMBERVALUE(RIGHT($E738,2))=MAX(IF(LEFT($E738:$E2736,11)=LEFT($E738,11),_xlfn.NUMBERVALUE(RIGHT($E738:$E2736,2)))),TRUE)</f>
        <v>1</v>
      </c>
      <c r="G738" s="336"/>
      <c r="H738" s="336"/>
      <c r="I738" s="336"/>
      <c r="J738" s="336"/>
      <c r="K738" s="336"/>
      <c r="L738" s="336"/>
      <c r="M738" s="336"/>
      <c r="N738" s="336"/>
      <c r="O738" s="336"/>
      <c r="P738" s="336"/>
      <c r="Q738" s="336"/>
      <c r="R738" s="336"/>
      <c r="S738" s="336"/>
      <c r="T738" s="336"/>
    </row>
    <row r="739" spans="1:20" x14ac:dyDescent="0.25">
      <c r="A739" s="336"/>
      <c r="B739" s="336"/>
      <c r="C739" s="336"/>
      <c r="D739" s="336"/>
      <c r="E739" s="336"/>
      <c r="F739" s="104" t="b">
        <f t="array" ref="F739">IF(_xlfn.NUMBERVALUE(RIGHT($E739,2))=MAX(IF(LEFT($E739:$E2737,11)=LEFT($E739,11),_xlfn.NUMBERVALUE(RIGHT($E739:$E2737,2)))),TRUE)</f>
        <v>1</v>
      </c>
      <c r="G739" s="336"/>
      <c r="H739" s="336"/>
      <c r="I739" s="336"/>
      <c r="J739" s="336"/>
      <c r="K739" s="336"/>
      <c r="L739" s="336"/>
      <c r="M739" s="336"/>
      <c r="N739" s="336"/>
      <c r="O739" s="336"/>
      <c r="P739" s="336"/>
      <c r="Q739" s="336"/>
      <c r="R739" s="336"/>
      <c r="S739" s="336"/>
      <c r="T739" s="336"/>
    </row>
    <row r="740" spans="1:20" x14ac:dyDescent="0.25">
      <c r="A740" s="336"/>
      <c r="B740" s="336"/>
      <c r="C740" s="336"/>
      <c r="D740" s="336"/>
      <c r="E740" s="336"/>
      <c r="F740" s="104" t="b">
        <f t="array" ref="F740">IF(_xlfn.NUMBERVALUE(RIGHT($E740,2))=MAX(IF(LEFT($E740:$E2738,11)=LEFT($E740,11),_xlfn.NUMBERVALUE(RIGHT($E740:$E2738,2)))),TRUE)</f>
        <v>1</v>
      </c>
      <c r="G740" s="336"/>
      <c r="H740" s="336"/>
      <c r="I740" s="336"/>
      <c r="J740" s="336"/>
      <c r="K740" s="336"/>
      <c r="L740" s="336"/>
      <c r="M740" s="336"/>
      <c r="N740" s="336"/>
      <c r="O740" s="336"/>
      <c r="P740" s="336"/>
      <c r="Q740" s="336"/>
      <c r="R740" s="336"/>
      <c r="S740" s="336"/>
      <c r="T740" s="336"/>
    </row>
    <row r="741" spans="1:20" x14ac:dyDescent="0.25">
      <c r="A741" s="336"/>
      <c r="B741" s="336"/>
      <c r="C741" s="336"/>
      <c r="D741" s="336"/>
      <c r="E741" s="336"/>
      <c r="F741" s="104" t="b">
        <f t="array" ref="F741">IF(_xlfn.NUMBERVALUE(RIGHT($E741,2))=MAX(IF(LEFT($E741:$E2739,11)=LEFT($E741,11),_xlfn.NUMBERVALUE(RIGHT($E741:$E2739,2)))),TRUE)</f>
        <v>1</v>
      </c>
      <c r="G741" s="336"/>
      <c r="H741" s="336"/>
      <c r="I741" s="336"/>
      <c r="J741" s="336"/>
      <c r="K741" s="336"/>
      <c r="L741" s="336"/>
      <c r="M741" s="336"/>
      <c r="N741" s="336"/>
      <c r="O741" s="336"/>
      <c r="P741" s="336"/>
      <c r="Q741" s="336"/>
      <c r="R741" s="336"/>
      <c r="S741" s="336"/>
      <c r="T741" s="336"/>
    </row>
    <row r="742" spans="1:20" x14ac:dyDescent="0.25">
      <c r="A742" s="336"/>
      <c r="B742" s="336"/>
      <c r="C742" s="336"/>
      <c r="D742" s="336"/>
      <c r="E742" s="336"/>
      <c r="F742" s="104" t="b">
        <f t="array" ref="F742">IF(_xlfn.NUMBERVALUE(RIGHT($E742,2))=MAX(IF(LEFT($E742:$E2740,11)=LEFT($E742,11),_xlfn.NUMBERVALUE(RIGHT($E742:$E2740,2)))),TRUE)</f>
        <v>1</v>
      </c>
      <c r="G742" s="336"/>
      <c r="H742" s="336"/>
      <c r="I742" s="336"/>
      <c r="J742" s="336"/>
      <c r="K742" s="336"/>
      <c r="L742" s="336"/>
      <c r="M742" s="336"/>
      <c r="N742" s="336"/>
      <c r="O742" s="336"/>
      <c r="P742" s="336"/>
      <c r="Q742" s="336"/>
      <c r="R742" s="336"/>
      <c r="S742" s="336"/>
      <c r="T742" s="336"/>
    </row>
    <row r="743" spans="1:20" x14ac:dyDescent="0.25">
      <c r="A743" s="336"/>
      <c r="B743" s="336"/>
      <c r="C743" s="336"/>
      <c r="D743" s="336"/>
      <c r="E743" s="336"/>
      <c r="F743" s="104" t="b">
        <f t="array" ref="F743">IF(_xlfn.NUMBERVALUE(RIGHT($E743,2))=MAX(IF(LEFT($E743:$E2741,11)=LEFT($E743,11),_xlfn.NUMBERVALUE(RIGHT($E743:$E2741,2)))),TRUE)</f>
        <v>1</v>
      </c>
      <c r="G743" s="336"/>
      <c r="H743" s="336"/>
      <c r="I743" s="336"/>
      <c r="J743" s="336"/>
      <c r="K743" s="336"/>
      <c r="L743" s="336"/>
      <c r="M743" s="336"/>
      <c r="N743" s="336"/>
      <c r="O743" s="336"/>
      <c r="P743" s="336"/>
      <c r="Q743" s="336"/>
      <c r="R743" s="336"/>
      <c r="S743" s="336"/>
      <c r="T743" s="336"/>
    </row>
    <row r="744" spans="1:20" x14ac:dyDescent="0.25">
      <c r="A744" s="336"/>
      <c r="B744" s="336"/>
      <c r="C744" s="336"/>
      <c r="D744" s="336"/>
      <c r="E744" s="336"/>
      <c r="F744" s="104" t="b">
        <f t="array" ref="F744">IF(_xlfn.NUMBERVALUE(RIGHT($E744,2))=MAX(IF(LEFT($E744:$E2742,11)=LEFT($E744,11),_xlfn.NUMBERVALUE(RIGHT($E744:$E2742,2)))),TRUE)</f>
        <v>1</v>
      </c>
      <c r="G744" s="336"/>
      <c r="H744" s="336"/>
      <c r="I744" s="336"/>
      <c r="J744" s="336"/>
      <c r="K744" s="336"/>
      <c r="L744" s="336"/>
      <c r="M744" s="336"/>
      <c r="N744" s="336"/>
      <c r="O744" s="336"/>
      <c r="P744" s="336"/>
      <c r="Q744" s="336"/>
      <c r="R744" s="336"/>
      <c r="S744" s="336"/>
      <c r="T744" s="336"/>
    </row>
    <row r="745" spans="1:20" x14ac:dyDescent="0.25">
      <c r="A745" s="336"/>
      <c r="B745" s="336"/>
      <c r="C745" s="336"/>
      <c r="D745" s="336"/>
      <c r="E745" s="336"/>
      <c r="F745" s="104" t="b">
        <f t="array" ref="F745">IF(_xlfn.NUMBERVALUE(RIGHT($E745,2))=MAX(IF(LEFT($E745:$E2743,11)=LEFT($E745,11),_xlfn.NUMBERVALUE(RIGHT($E745:$E2743,2)))),TRUE)</f>
        <v>1</v>
      </c>
      <c r="G745" s="336"/>
      <c r="H745" s="336"/>
      <c r="I745" s="336"/>
      <c r="J745" s="336"/>
      <c r="K745" s="336"/>
      <c r="L745" s="336"/>
      <c r="M745" s="336"/>
      <c r="N745" s="336"/>
      <c r="O745" s="336"/>
      <c r="P745" s="336"/>
      <c r="Q745" s="336"/>
      <c r="R745" s="336"/>
      <c r="S745" s="336"/>
      <c r="T745" s="336"/>
    </row>
    <row r="746" spans="1:20" x14ac:dyDescent="0.25">
      <c r="A746" s="336"/>
      <c r="B746" s="336"/>
      <c r="C746" s="336"/>
      <c r="D746" s="336"/>
      <c r="E746" s="336"/>
      <c r="F746" s="104" t="b">
        <f t="array" ref="F746">IF(_xlfn.NUMBERVALUE(RIGHT($E746,2))=MAX(IF(LEFT($E746:$E2744,11)=LEFT($E746,11),_xlfn.NUMBERVALUE(RIGHT($E746:$E2744,2)))),TRUE)</f>
        <v>1</v>
      </c>
      <c r="G746" s="336"/>
      <c r="H746" s="336"/>
      <c r="I746" s="336"/>
      <c r="J746" s="336"/>
      <c r="K746" s="336"/>
      <c r="L746" s="336"/>
      <c r="M746" s="336"/>
      <c r="N746" s="336"/>
      <c r="O746" s="336"/>
      <c r="P746" s="336"/>
      <c r="Q746" s="336"/>
      <c r="R746" s="336"/>
      <c r="S746" s="336"/>
      <c r="T746" s="336"/>
    </row>
    <row r="747" spans="1:20" x14ac:dyDescent="0.25">
      <c r="A747" s="336"/>
      <c r="B747" s="336"/>
      <c r="C747" s="336"/>
      <c r="D747" s="336"/>
      <c r="E747" s="336"/>
      <c r="F747" s="104" t="b">
        <f t="array" ref="F747">IF(_xlfn.NUMBERVALUE(RIGHT($E747,2))=MAX(IF(LEFT($E747:$E2745,11)=LEFT($E747,11),_xlfn.NUMBERVALUE(RIGHT($E747:$E2745,2)))),TRUE)</f>
        <v>1</v>
      </c>
      <c r="G747" s="336"/>
      <c r="H747" s="336"/>
      <c r="I747" s="336"/>
      <c r="J747" s="336"/>
      <c r="K747" s="336"/>
      <c r="L747" s="336"/>
      <c r="M747" s="336"/>
      <c r="N747" s="336"/>
      <c r="O747" s="336"/>
      <c r="P747" s="336"/>
      <c r="Q747" s="336"/>
      <c r="R747" s="336"/>
      <c r="S747" s="336"/>
      <c r="T747" s="336"/>
    </row>
    <row r="748" spans="1:20" x14ac:dyDescent="0.25">
      <c r="A748" s="336"/>
      <c r="B748" s="336"/>
      <c r="C748" s="336"/>
      <c r="D748" s="336"/>
      <c r="E748" s="336"/>
      <c r="F748" s="104" t="b">
        <f t="array" ref="F748">IF(_xlfn.NUMBERVALUE(RIGHT($E748,2))=MAX(IF(LEFT($E748:$E2746,11)=LEFT($E748,11),_xlfn.NUMBERVALUE(RIGHT($E748:$E2746,2)))),TRUE)</f>
        <v>1</v>
      </c>
      <c r="G748" s="336"/>
      <c r="H748" s="336"/>
      <c r="I748" s="336"/>
      <c r="J748" s="336"/>
      <c r="K748" s="336"/>
      <c r="L748" s="336"/>
      <c r="M748" s="336"/>
      <c r="N748" s="336"/>
      <c r="O748" s="336"/>
      <c r="P748" s="336"/>
      <c r="Q748" s="336"/>
      <c r="R748" s="336"/>
      <c r="S748" s="336"/>
      <c r="T748" s="336"/>
    </row>
    <row r="749" spans="1:20" x14ac:dyDescent="0.25">
      <c r="A749" s="336"/>
      <c r="B749" s="336"/>
      <c r="C749" s="336"/>
      <c r="D749" s="336"/>
      <c r="E749" s="336"/>
      <c r="F749" s="104" t="b">
        <f t="array" ref="F749">IF(_xlfn.NUMBERVALUE(RIGHT($E749,2))=MAX(IF(LEFT($E749:$E2747,11)=LEFT($E749,11),_xlfn.NUMBERVALUE(RIGHT($E749:$E2747,2)))),TRUE)</f>
        <v>1</v>
      </c>
      <c r="G749" s="336"/>
      <c r="H749" s="336"/>
      <c r="I749" s="336"/>
      <c r="J749" s="336"/>
      <c r="K749" s="336"/>
      <c r="L749" s="336"/>
      <c r="M749" s="336"/>
      <c r="N749" s="336"/>
      <c r="O749" s="336"/>
      <c r="P749" s="336"/>
      <c r="Q749" s="336"/>
      <c r="R749" s="336"/>
      <c r="S749" s="336"/>
      <c r="T749" s="336"/>
    </row>
    <row r="750" spans="1:20" x14ac:dyDescent="0.25">
      <c r="A750" s="336"/>
      <c r="B750" s="336"/>
      <c r="C750" s="336"/>
      <c r="D750" s="336"/>
      <c r="E750" s="336"/>
      <c r="F750" s="104" t="b">
        <f t="array" ref="F750">IF(_xlfn.NUMBERVALUE(RIGHT($E750,2))=MAX(IF(LEFT($E750:$E2748,11)=LEFT($E750,11),_xlfn.NUMBERVALUE(RIGHT($E750:$E2748,2)))),TRUE)</f>
        <v>1</v>
      </c>
      <c r="G750" s="336"/>
      <c r="H750" s="336"/>
      <c r="I750" s="336"/>
      <c r="J750" s="336"/>
      <c r="K750" s="336"/>
      <c r="L750" s="336"/>
      <c r="M750" s="336"/>
      <c r="N750" s="336"/>
      <c r="O750" s="336"/>
      <c r="P750" s="336"/>
      <c r="Q750" s="336"/>
      <c r="R750" s="336"/>
      <c r="S750" s="336"/>
      <c r="T750" s="336"/>
    </row>
    <row r="751" spans="1:20" x14ac:dyDescent="0.25">
      <c r="A751" s="336"/>
      <c r="B751" s="336"/>
      <c r="C751" s="336"/>
      <c r="D751" s="336"/>
      <c r="E751" s="336"/>
      <c r="F751" s="104" t="b">
        <f t="array" ref="F751">IF(_xlfn.NUMBERVALUE(RIGHT($E751,2))=MAX(IF(LEFT($E751:$E2749,11)=LEFT($E751,11),_xlfn.NUMBERVALUE(RIGHT($E751:$E2749,2)))),TRUE)</f>
        <v>1</v>
      </c>
      <c r="G751" s="336"/>
      <c r="H751" s="336"/>
      <c r="I751" s="336"/>
      <c r="J751" s="336"/>
      <c r="K751" s="336"/>
      <c r="L751" s="336"/>
      <c r="M751" s="336"/>
      <c r="N751" s="336"/>
      <c r="O751" s="336"/>
      <c r="P751" s="336"/>
      <c r="Q751" s="336"/>
      <c r="R751" s="336"/>
      <c r="S751" s="336"/>
      <c r="T751" s="336"/>
    </row>
    <row r="752" spans="1:20" x14ac:dyDescent="0.25">
      <c r="A752" s="336"/>
      <c r="B752" s="336"/>
      <c r="C752" s="336"/>
      <c r="D752" s="336"/>
      <c r="E752" s="336"/>
      <c r="F752" s="104" t="b">
        <f t="array" ref="F752">IF(_xlfn.NUMBERVALUE(RIGHT($E752,2))=MAX(IF(LEFT($E752:$E2750,11)=LEFT($E752,11),_xlfn.NUMBERVALUE(RIGHT($E752:$E2750,2)))),TRUE)</f>
        <v>1</v>
      </c>
      <c r="G752" s="336"/>
      <c r="H752" s="336"/>
      <c r="I752" s="336"/>
      <c r="J752" s="336"/>
      <c r="K752" s="336"/>
      <c r="L752" s="336"/>
      <c r="M752" s="336"/>
      <c r="N752" s="336"/>
      <c r="O752" s="336"/>
      <c r="P752" s="336"/>
      <c r="Q752" s="336"/>
      <c r="R752" s="336"/>
      <c r="S752" s="336"/>
      <c r="T752" s="336"/>
    </row>
    <row r="753" spans="1:20" x14ac:dyDescent="0.25">
      <c r="A753" s="336"/>
      <c r="B753" s="336"/>
      <c r="C753" s="336"/>
      <c r="D753" s="336"/>
      <c r="E753" s="336"/>
      <c r="F753" s="104" t="b">
        <f t="array" ref="F753">IF(_xlfn.NUMBERVALUE(RIGHT($E753,2))=MAX(IF(LEFT($E753:$E2751,11)=LEFT($E753,11),_xlfn.NUMBERVALUE(RIGHT($E753:$E2751,2)))),TRUE)</f>
        <v>1</v>
      </c>
      <c r="G753" s="336"/>
      <c r="H753" s="336"/>
      <c r="I753" s="336"/>
      <c r="J753" s="336"/>
      <c r="K753" s="336"/>
      <c r="L753" s="336"/>
      <c r="M753" s="336"/>
      <c r="N753" s="336"/>
      <c r="O753" s="336"/>
      <c r="P753" s="336"/>
      <c r="Q753" s="336"/>
      <c r="R753" s="336"/>
      <c r="S753" s="336"/>
      <c r="T753" s="336"/>
    </row>
    <row r="754" spans="1:20" x14ac:dyDescent="0.25">
      <c r="A754" s="336"/>
      <c r="B754" s="336"/>
      <c r="C754" s="336"/>
      <c r="D754" s="336"/>
      <c r="E754" s="336"/>
      <c r="F754" s="104" t="b">
        <f t="array" ref="F754">IF(_xlfn.NUMBERVALUE(RIGHT($E754,2))=MAX(IF(LEFT($E754:$E2752,11)=LEFT($E754,11),_xlfn.NUMBERVALUE(RIGHT($E754:$E2752,2)))),TRUE)</f>
        <v>1</v>
      </c>
      <c r="G754" s="336"/>
      <c r="H754" s="336"/>
      <c r="I754" s="336"/>
      <c r="J754" s="336"/>
      <c r="K754" s="336"/>
      <c r="L754" s="336"/>
      <c r="M754" s="336"/>
      <c r="N754" s="336"/>
      <c r="O754" s="336"/>
      <c r="P754" s="336"/>
      <c r="Q754" s="336"/>
      <c r="R754" s="336"/>
      <c r="S754" s="336"/>
      <c r="T754" s="336"/>
    </row>
    <row r="755" spans="1:20" x14ac:dyDescent="0.25">
      <c r="A755" s="336"/>
      <c r="B755" s="336"/>
      <c r="C755" s="336"/>
      <c r="D755" s="336"/>
      <c r="E755" s="336"/>
      <c r="F755" s="104" t="b">
        <f t="array" ref="F755">IF(_xlfn.NUMBERVALUE(RIGHT($E755,2))=MAX(IF(LEFT($E755:$E2753,11)=LEFT($E755,11),_xlfn.NUMBERVALUE(RIGHT($E755:$E2753,2)))),TRUE)</f>
        <v>1</v>
      </c>
      <c r="G755" s="336"/>
      <c r="H755" s="336"/>
      <c r="I755" s="336"/>
      <c r="J755" s="336"/>
      <c r="K755" s="336"/>
      <c r="L755" s="336"/>
      <c r="M755" s="336"/>
      <c r="N755" s="336"/>
      <c r="O755" s="336"/>
      <c r="P755" s="336"/>
      <c r="Q755" s="336"/>
      <c r="R755" s="336"/>
      <c r="S755" s="336"/>
      <c r="T755" s="336"/>
    </row>
    <row r="756" spans="1:20" x14ac:dyDescent="0.25">
      <c r="A756" s="336"/>
      <c r="B756" s="336"/>
      <c r="C756" s="336"/>
      <c r="D756" s="336"/>
      <c r="E756" s="336"/>
      <c r="F756" s="104" t="b">
        <f t="array" ref="F756">IF(_xlfn.NUMBERVALUE(RIGHT($E756,2))=MAX(IF(LEFT($E756:$E2754,11)=LEFT($E756,11),_xlfn.NUMBERVALUE(RIGHT($E756:$E2754,2)))),TRUE)</f>
        <v>1</v>
      </c>
      <c r="G756" s="336"/>
      <c r="H756" s="336"/>
      <c r="I756" s="336"/>
      <c r="J756" s="336"/>
      <c r="K756" s="336"/>
      <c r="L756" s="336"/>
      <c r="M756" s="336"/>
      <c r="N756" s="336"/>
      <c r="O756" s="336"/>
      <c r="P756" s="336"/>
      <c r="Q756" s="336"/>
      <c r="R756" s="336"/>
      <c r="S756" s="336"/>
      <c r="T756" s="336"/>
    </row>
    <row r="757" spans="1:20" x14ac:dyDescent="0.25">
      <c r="A757" s="336"/>
      <c r="B757" s="336"/>
      <c r="C757" s="336"/>
      <c r="D757" s="336"/>
      <c r="E757" s="336"/>
      <c r="F757" s="104" t="b">
        <f t="array" ref="F757">IF(_xlfn.NUMBERVALUE(RIGHT($E757,2))=MAX(IF(LEFT($E757:$E2755,11)=LEFT($E757,11),_xlfn.NUMBERVALUE(RIGHT($E757:$E2755,2)))),TRUE)</f>
        <v>1</v>
      </c>
      <c r="G757" s="336"/>
      <c r="H757" s="336"/>
      <c r="I757" s="336"/>
      <c r="J757" s="336"/>
      <c r="K757" s="336"/>
      <c r="L757" s="336"/>
      <c r="M757" s="336"/>
      <c r="N757" s="336"/>
      <c r="O757" s="336"/>
      <c r="P757" s="336"/>
      <c r="Q757" s="336"/>
      <c r="R757" s="336"/>
      <c r="S757" s="336"/>
      <c r="T757" s="336"/>
    </row>
    <row r="758" spans="1:20" x14ac:dyDescent="0.25">
      <c r="A758" s="336"/>
      <c r="B758" s="336"/>
      <c r="C758" s="336"/>
      <c r="D758" s="336"/>
      <c r="E758" s="336"/>
      <c r="F758" s="104" t="b">
        <f t="array" ref="F758">IF(_xlfn.NUMBERVALUE(RIGHT($E758,2))=MAX(IF(LEFT($E758:$E2756,11)=LEFT($E758,11),_xlfn.NUMBERVALUE(RIGHT($E758:$E2756,2)))),TRUE)</f>
        <v>1</v>
      </c>
      <c r="G758" s="336"/>
      <c r="H758" s="336"/>
      <c r="I758" s="336"/>
      <c r="J758" s="336"/>
      <c r="K758" s="336"/>
      <c r="L758" s="336"/>
      <c r="M758" s="336"/>
      <c r="N758" s="336"/>
      <c r="O758" s="336"/>
      <c r="P758" s="336"/>
      <c r="Q758" s="336"/>
      <c r="R758" s="336"/>
      <c r="S758" s="336"/>
      <c r="T758" s="336"/>
    </row>
    <row r="759" spans="1:20" x14ac:dyDescent="0.25">
      <c r="A759" s="336"/>
      <c r="B759" s="336"/>
      <c r="C759" s="336"/>
      <c r="D759" s="336"/>
      <c r="E759" s="336"/>
      <c r="F759" s="104" t="b">
        <f t="array" ref="F759">IF(_xlfn.NUMBERVALUE(RIGHT($E759,2))=MAX(IF(LEFT($E759:$E2757,11)=LEFT($E759,11),_xlfn.NUMBERVALUE(RIGHT($E759:$E2757,2)))),TRUE)</f>
        <v>1</v>
      </c>
      <c r="G759" s="336"/>
      <c r="H759" s="336"/>
      <c r="I759" s="336"/>
      <c r="J759" s="336"/>
      <c r="K759" s="336"/>
      <c r="L759" s="336"/>
      <c r="M759" s="336"/>
      <c r="N759" s="336"/>
      <c r="O759" s="336"/>
      <c r="P759" s="336"/>
      <c r="Q759" s="336"/>
      <c r="R759" s="336"/>
      <c r="S759" s="336"/>
      <c r="T759" s="336"/>
    </row>
    <row r="760" spans="1:20" x14ac:dyDescent="0.25">
      <c r="A760" s="336"/>
      <c r="B760" s="336"/>
      <c r="C760" s="336"/>
      <c r="D760" s="336"/>
      <c r="E760" s="336"/>
      <c r="F760" s="104" t="b">
        <f t="array" ref="F760">IF(_xlfn.NUMBERVALUE(RIGHT($E760,2))=MAX(IF(LEFT($E760:$E2758,11)=LEFT($E760,11),_xlfn.NUMBERVALUE(RIGHT($E760:$E2758,2)))),TRUE)</f>
        <v>1</v>
      </c>
      <c r="G760" s="336"/>
      <c r="H760" s="336"/>
      <c r="I760" s="336"/>
      <c r="J760" s="336"/>
      <c r="K760" s="336"/>
      <c r="L760" s="336"/>
      <c r="M760" s="336"/>
      <c r="N760" s="336"/>
      <c r="O760" s="336"/>
      <c r="P760" s="336"/>
      <c r="Q760" s="336"/>
      <c r="R760" s="336"/>
      <c r="S760" s="336"/>
      <c r="T760" s="336"/>
    </row>
    <row r="761" spans="1:20" x14ac:dyDescent="0.25">
      <c r="A761" s="336"/>
      <c r="B761" s="336"/>
      <c r="C761" s="336"/>
      <c r="D761" s="336"/>
      <c r="E761" s="336"/>
      <c r="F761" s="104" t="b">
        <f t="array" ref="F761">IF(_xlfn.NUMBERVALUE(RIGHT($E761,2))=MAX(IF(LEFT($E761:$E2759,11)=LEFT($E761,11),_xlfn.NUMBERVALUE(RIGHT($E761:$E2759,2)))),TRUE)</f>
        <v>1</v>
      </c>
      <c r="G761" s="336"/>
      <c r="H761" s="336"/>
      <c r="I761" s="336"/>
      <c r="J761" s="336"/>
      <c r="K761" s="336"/>
      <c r="L761" s="336"/>
      <c r="M761" s="336"/>
      <c r="N761" s="336"/>
      <c r="O761" s="336"/>
      <c r="P761" s="336"/>
      <c r="Q761" s="336"/>
      <c r="R761" s="336"/>
      <c r="S761" s="336"/>
      <c r="T761" s="336"/>
    </row>
    <row r="762" spans="1:20" x14ac:dyDescent="0.25">
      <c r="A762" s="336"/>
      <c r="B762" s="336"/>
      <c r="C762" s="336"/>
      <c r="D762" s="336"/>
      <c r="E762" s="336"/>
      <c r="F762" s="104" t="b">
        <f t="array" ref="F762">IF(_xlfn.NUMBERVALUE(RIGHT($E762,2))=MAX(IF(LEFT($E762:$E2760,11)=LEFT($E762,11),_xlfn.NUMBERVALUE(RIGHT($E762:$E2760,2)))),TRUE)</f>
        <v>1</v>
      </c>
      <c r="G762" s="336"/>
      <c r="H762" s="336"/>
      <c r="I762" s="336"/>
      <c r="J762" s="336"/>
      <c r="K762" s="336"/>
      <c r="L762" s="336"/>
      <c r="M762" s="336"/>
      <c r="N762" s="336"/>
      <c r="O762" s="336"/>
      <c r="P762" s="336"/>
      <c r="Q762" s="336"/>
      <c r="R762" s="336"/>
      <c r="S762" s="336"/>
      <c r="T762" s="336"/>
    </row>
    <row r="763" spans="1:20" x14ac:dyDescent="0.25">
      <c r="A763" s="336"/>
      <c r="B763" s="336"/>
      <c r="C763" s="336"/>
      <c r="D763" s="336"/>
      <c r="E763" s="336"/>
      <c r="F763" s="104" t="b">
        <f t="array" ref="F763">IF(_xlfn.NUMBERVALUE(RIGHT($E763,2))=MAX(IF(LEFT($E763:$E2761,11)=LEFT($E763,11),_xlfn.NUMBERVALUE(RIGHT($E763:$E2761,2)))),TRUE)</f>
        <v>1</v>
      </c>
      <c r="G763" s="336"/>
      <c r="H763" s="336"/>
      <c r="I763" s="336"/>
      <c r="J763" s="336"/>
      <c r="K763" s="336"/>
      <c r="L763" s="336"/>
      <c r="M763" s="336"/>
      <c r="N763" s="336"/>
      <c r="O763" s="336"/>
      <c r="P763" s="336"/>
      <c r="Q763" s="336"/>
      <c r="R763" s="336"/>
      <c r="S763" s="336"/>
      <c r="T763" s="336"/>
    </row>
    <row r="764" spans="1:20" x14ac:dyDescent="0.25">
      <c r="A764" s="336"/>
      <c r="B764" s="336"/>
      <c r="C764" s="336"/>
      <c r="D764" s="336"/>
      <c r="E764" s="336"/>
      <c r="F764" s="104" t="b">
        <f t="array" ref="F764">IF(_xlfn.NUMBERVALUE(RIGHT($E764,2))=MAX(IF(LEFT($E764:$E2762,11)=LEFT($E764,11),_xlfn.NUMBERVALUE(RIGHT($E764:$E2762,2)))),TRUE)</f>
        <v>1</v>
      </c>
      <c r="G764" s="336"/>
      <c r="H764" s="336"/>
      <c r="I764" s="336"/>
      <c r="J764" s="336"/>
      <c r="K764" s="336"/>
      <c r="L764" s="336"/>
      <c r="M764" s="336"/>
      <c r="N764" s="336"/>
      <c r="O764" s="336"/>
      <c r="P764" s="336"/>
      <c r="Q764" s="336"/>
      <c r="R764" s="336"/>
      <c r="S764" s="336"/>
      <c r="T764" s="336"/>
    </row>
    <row r="765" spans="1:20" x14ac:dyDescent="0.25">
      <c r="A765" s="336"/>
      <c r="B765" s="336"/>
      <c r="C765" s="336"/>
      <c r="D765" s="336"/>
      <c r="E765" s="336"/>
      <c r="F765" s="104" t="b">
        <f t="array" ref="F765">IF(_xlfn.NUMBERVALUE(RIGHT($E765,2))=MAX(IF(LEFT($E765:$E2763,11)=LEFT($E765,11),_xlfn.NUMBERVALUE(RIGHT($E765:$E2763,2)))),TRUE)</f>
        <v>1</v>
      </c>
      <c r="G765" s="336"/>
      <c r="H765" s="336"/>
      <c r="I765" s="336"/>
      <c r="J765" s="336"/>
      <c r="K765" s="336"/>
      <c r="L765" s="336"/>
      <c r="M765" s="336"/>
      <c r="N765" s="336"/>
      <c r="O765" s="336"/>
      <c r="P765" s="336"/>
      <c r="Q765" s="336"/>
      <c r="R765" s="336"/>
      <c r="S765" s="336"/>
      <c r="T765" s="336"/>
    </row>
    <row r="766" spans="1:20" x14ac:dyDescent="0.25">
      <c r="A766" s="336"/>
      <c r="B766" s="336"/>
      <c r="C766" s="336"/>
      <c r="D766" s="336"/>
      <c r="E766" s="336"/>
      <c r="F766" s="104" t="b">
        <f t="array" ref="F766">IF(_xlfn.NUMBERVALUE(RIGHT($E766,2))=MAX(IF(LEFT($E766:$E2764,11)=LEFT($E766,11),_xlfn.NUMBERVALUE(RIGHT($E766:$E2764,2)))),TRUE)</f>
        <v>1</v>
      </c>
      <c r="G766" s="336"/>
      <c r="H766" s="336"/>
      <c r="I766" s="336"/>
      <c r="J766" s="336"/>
      <c r="K766" s="336"/>
      <c r="L766" s="336"/>
      <c r="M766" s="336"/>
      <c r="N766" s="336"/>
      <c r="O766" s="336"/>
      <c r="P766" s="336"/>
      <c r="Q766" s="336"/>
      <c r="R766" s="336"/>
      <c r="S766" s="336"/>
      <c r="T766" s="336"/>
    </row>
    <row r="767" spans="1:20" x14ac:dyDescent="0.25">
      <c r="A767" s="336"/>
      <c r="B767" s="336"/>
      <c r="C767" s="336"/>
      <c r="D767" s="336"/>
      <c r="E767" s="336"/>
      <c r="F767" s="104" t="b">
        <f t="array" ref="F767">IF(_xlfn.NUMBERVALUE(RIGHT($E767,2))=MAX(IF(LEFT($E767:$E2765,11)=LEFT($E767,11),_xlfn.NUMBERVALUE(RIGHT($E767:$E2765,2)))),TRUE)</f>
        <v>1</v>
      </c>
      <c r="G767" s="336"/>
      <c r="H767" s="336"/>
      <c r="I767" s="336"/>
      <c r="J767" s="336"/>
      <c r="K767" s="336"/>
      <c r="L767" s="336"/>
      <c r="M767" s="336"/>
      <c r="N767" s="336"/>
      <c r="O767" s="336"/>
      <c r="P767" s="336"/>
      <c r="Q767" s="336"/>
      <c r="R767" s="336"/>
      <c r="S767" s="336"/>
      <c r="T767" s="336"/>
    </row>
    <row r="768" spans="1:20" x14ac:dyDescent="0.25">
      <c r="A768" s="336"/>
      <c r="B768" s="336"/>
      <c r="C768" s="336"/>
      <c r="D768" s="336"/>
      <c r="E768" s="336"/>
      <c r="F768" s="104" t="b">
        <f t="array" ref="F768">IF(_xlfn.NUMBERVALUE(RIGHT($E768,2))=MAX(IF(LEFT($E768:$E2766,11)=LEFT($E768,11),_xlfn.NUMBERVALUE(RIGHT($E768:$E2766,2)))),TRUE)</f>
        <v>1</v>
      </c>
      <c r="G768" s="336"/>
      <c r="H768" s="336"/>
      <c r="I768" s="336"/>
      <c r="J768" s="336"/>
      <c r="K768" s="336"/>
      <c r="L768" s="336"/>
      <c r="M768" s="336"/>
      <c r="N768" s="336"/>
      <c r="O768" s="336"/>
      <c r="P768" s="336"/>
      <c r="Q768" s="336"/>
      <c r="R768" s="336"/>
      <c r="S768" s="336"/>
      <c r="T768" s="336"/>
    </row>
    <row r="769" spans="1:20" x14ac:dyDescent="0.25">
      <c r="A769" s="336"/>
      <c r="B769" s="336"/>
      <c r="C769" s="336"/>
      <c r="D769" s="336"/>
      <c r="E769" s="336"/>
      <c r="F769" s="104" t="b">
        <f t="array" ref="F769">IF(_xlfn.NUMBERVALUE(RIGHT($E769,2))=MAX(IF(LEFT($E769:$E2767,11)=LEFT($E769,11),_xlfn.NUMBERVALUE(RIGHT($E769:$E2767,2)))),TRUE)</f>
        <v>1</v>
      </c>
      <c r="G769" s="336"/>
      <c r="H769" s="336"/>
      <c r="I769" s="336"/>
      <c r="J769" s="336"/>
      <c r="K769" s="336"/>
      <c r="L769" s="336"/>
      <c r="M769" s="336"/>
      <c r="N769" s="336"/>
      <c r="O769" s="336"/>
      <c r="P769" s="336"/>
      <c r="Q769" s="336"/>
      <c r="R769" s="336"/>
      <c r="S769" s="336"/>
      <c r="T769" s="336"/>
    </row>
    <row r="770" spans="1:20" x14ac:dyDescent="0.25">
      <c r="A770" s="336"/>
      <c r="B770" s="336"/>
      <c r="C770" s="336"/>
      <c r="D770" s="336"/>
      <c r="E770" s="336"/>
      <c r="F770" s="104" t="b">
        <f t="array" ref="F770">IF(_xlfn.NUMBERVALUE(RIGHT($E770,2))=MAX(IF(LEFT($E770:$E2768,11)=LEFT($E770,11),_xlfn.NUMBERVALUE(RIGHT($E770:$E2768,2)))),TRUE)</f>
        <v>1</v>
      </c>
      <c r="G770" s="336"/>
      <c r="H770" s="336"/>
      <c r="I770" s="336"/>
      <c r="J770" s="336"/>
      <c r="K770" s="336"/>
      <c r="L770" s="336"/>
      <c r="M770" s="336"/>
      <c r="N770" s="336"/>
      <c r="O770" s="336"/>
      <c r="P770" s="336"/>
      <c r="Q770" s="336"/>
      <c r="R770" s="336"/>
      <c r="S770" s="336"/>
      <c r="T770" s="336"/>
    </row>
    <row r="771" spans="1:20" x14ac:dyDescent="0.25">
      <c r="A771" s="336"/>
      <c r="B771" s="336"/>
      <c r="C771" s="336"/>
      <c r="D771" s="336"/>
      <c r="E771" s="336"/>
      <c r="F771" s="104" t="b">
        <f t="array" ref="F771">IF(_xlfn.NUMBERVALUE(RIGHT($E771,2))=MAX(IF(LEFT($E771:$E2769,11)=LEFT($E771,11),_xlfn.NUMBERVALUE(RIGHT($E771:$E2769,2)))),TRUE)</f>
        <v>1</v>
      </c>
      <c r="G771" s="336"/>
      <c r="H771" s="336"/>
      <c r="I771" s="336"/>
      <c r="J771" s="336"/>
      <c r="K771" s="336"/>
      <c r="L771" s="336"/>
      <c r="M771" s="336"/>
      <c r="N771" s="336"/>
      <c r="O771" s="336"/>
      <c r="P771" s="336"/>
      <c r="Q771" s="336"/>
      <c r="R771" s="336"/>
      <c r="S771" s="336"/>
      <c r="T771" s="336"/>
    </row>
    <row r="772" spans="1:20" x14ac:dyDescent="0.25">
      <c r="A772" s="336"/>
      <c r="B772" s="336"/>
      <c r="C772" s="336"/>
      <c r="D772" s="336"/>
      <c r="E772" s="336"/>
      <c r="F772" s="104" t="b">
        <f t="array" ref="F772">IF(_xlfn.NUMBERVALUE(RIGHT($E772,2))=MAX(IF(LEFT($E772:$E2770,11)=LEFT($E772,11),_xlfn.NUMBERVALUE(RIGHT($E772:$E2770,2)))),TRUE)</f>
        <v>1</v>
      </c>
      <c r="G772" s="336"/>
      <c r="H772" s="336"/>
      <c r="I772" s="336"/>
      <c r="J772" s="336"/>
      <c r="K772" s="336"/>
      <c r="L772" s="336"/>
      <c r="M772" s="336"/>
      <c r="N772" s="336"/>
      <c r="O772" s="336"/>
      <c r="P772" s="336"/>
      <c r="Q772" s="336"/>
      <c r="R772" s="336"/>
      <c r="S772" s="336"/>
      <c r="T772" s="336"/>
    </row>
    <row r="773" spans="1:20" x14ac:dyDescent="0.25">
      <c r="A773" s="336"/>
      <c r="B773" s="336"/>
      <c r="C773" s="336"/>
      <c r="D773" s="336"/>
      <c r="E773" s="336"/>
      <c r="F773" s="104" t="b">
        <f t="array" ref="F773">IF(_xlfn.NUMBERVALUE(RIGHT($E773,2))=MAX(IF(LEFT($E773:$E2771,11)=LEFT($E773,11),_xlfn.NUMBERVALUE(RIGHT($E773:$E2771,2)))),TRUE)</f>
        <v>1</v>
      </c>
      <c r="G773" s="336"/>
      <c r="H773" s="336"/>
      <c r="I773" s="336"/>
      <c r="J773" s="336"/>
      <c r="K773" s="336"/>
      <c r="L773" s="336"/>
      <c r="M773" s="336"/>
      <c r="N773" s="336"/>
      <c r="O773" s="336"/>
      <c r="P773" s="336"/>
      <c r="Q773" s="336"/>
      <c r="R773" s="336"/>
      <c r="S773" s="336"/>
      <c r="T773" s="336"/>
    </row>
    <row r="774" spans="1:20" x14ac:dyDescent="0.25">
      <c r="A774" s="336"/>
      <c r="B774" s="336"/>
      <c r="C774" s="336"/>
      <c r="D774" s="336"/>
      <c r="E774" s="336"/>
      <c r="F774" s="104" t="b">
        <f t="array" ref="F774">IF(_xlfn.NUMBERVALUE(RIGHT($E774,2))=MAX(IF(LEFT($E774:$E2772,11)=LEFT($E774,11),_xlfn.NUMBERVALUE(RIGHT($E774:$E2772,2)))),TRUE)</f>
        <v>1</v>
      </c>
      <c r="G774" s="336"/>
      <c r="H774" s="336"/>
      <c r="I774" s="336"/>
      <c r="J774" s="336"/>
      <c r="K774" s="336"/>
      <c r="L774" s="336"/>
      <c r="M774" s="336"/>
      <c r="N774" s="336"/>
      <c r="O774" s="336"/>
      <c r="P774" s="336"/>
      <c r="Q774" s="336"/>
      <c r="R774" s="336"/>
      <c r="S774" s="336"/>
      <c r="T774" s="336"/>
    </row>
    <row r="775" spans="1:20" x14ac:dyDescent="0.25">
      <c r="A775" s="336"/>
      <c r="B775" s="336"/>
      <c r="C775" s="336"/>
      <c r="D775" s="336"/>
      <c r="E775" s="336"/>
      <c r="F775" s="104" t="b">
        <f t="array" ref="F775">IF(_xlfn.NUMBERVALUE(RIGHT($E775,2))=MAX(IF(LEFT($E775:$E2773,11)=LEFT($E775,11),_xlfn.NUMBERVALUE(RIGHT($E775:$E2773,2)))),TRUE)</f>
        <v>1</v>
      </c>
      <c r="G775" s="336"/>
      <c r="H775" s="336"/>
      <c r="I775" s="336"/>
      <c r="J775" s="336"/>
      <c r="K775" s="336"/>
      <c r="L775" s="336"/>
      <c r="M775" s="336"/>
      <c r="N775" s="336"/>
      <c r="O775" s="336"/>
      <c r="P775" s="336"/>
      <c r="Q775" s="336"/>
      <c r="R775" s="336"/>
      <c r="S775" s="336"/>
      <c r="T775" s="336"/>
    </row>
    <row r="776" spans="1:20" x14ac:dyDescent="0.25">
      <c r="A776" s="336"/>
      <c r="B776" s="336"/>
      <c r="C776" s="336"/>
      <c r="D776" s="336"/>
      <c r="E776" s="336"/>
      <c r="F776" s="104" t="b">
        <f t="array" ref="F776">IF(_xlfn.NUMBERVALUE(RIGHT($E776,2))=MAX(IF(LEFT($E776:$E2774,11)=LEFT($E776,11),_xlfn.NUMBERVALUE(RIGHT($E776:$E2774,2)))),TRUE)</f>
        <v>1</v>
      </c>
      <c r="G776" s="336"/>
      <c r="H776" s="336"/>
      <c r="I776" s="336"/>
      <c r="J776" s="336"/>
      <c r="K776" s="336"/>
      <c r="L776" s="336"/>
      <c r="M776" s="336"/>
      <c r="N776" s="336"/>
      <c r="O776" s="336"/>
      <c r="P776" s="336"/>
      <c r="Q776" s="336"/>
      <c r="R776" s="336"/>
      <c r="S776" s="336"/>
      <c r="T776" s="336"/>
    </row>
    <row r="777" spans="1:20" x14ac:dyDescent="0.25">
      <c r="A777" s="336"/>
      <c r="B777" s="336"/>
      <c r="C777" s="336"/>
      <c r="D777" s="336"/>
      <c r="E777" s="336"/>
      <c r="F777" s="104" t="b">
        <f t="array" ref="F777">IF(_xlfn.NUMBERVALUE(RIGHT($E777,2))=MAX(IF(LEFT($E777:$E2775,11)=LEFT($E777,11),_xlfn.NUMBERVALUE(RIGHT($E777:$E2775,2)))),TRUE)</f>
        <v>1</v>
      </c>
      <c r="G777" s="336"/>
      <c r="H777" s="336"/>
      <c r="I777" s="336"/>
      <c r="J777" s="336"/>
      <c r="K777" s="336"/>
      <c r="L777" s="336"/>
      <c r="M777" s="336"/>
      <c r="N777" s="336"/>
      <c r="O777" s="336"/>
      <c r="P777" s="336"/>
      <c r="Q777" s="336"/>
      <c r="R777" s="336"/>
      <c r="S777" s="336"/>
      <c r="T777" s="336"/>
    </row>
    <row r="778" spans="1:20" x14ac:dyDescent="0.25">
      <c r="A778" s="336"/>
      <c r="B778" s="336"/>
      <c r="C778" s="336"/>
      <c r="D778" s="336"/>
      <c r="E778" s="336"/>
      <c r="F778" s="104" t="b">
        <f t="array" ref="F778">IF(_xlfn.NUMBERVALUE(RIGHT($E778,2))=MAX(IF(LEFT($E778:$E2776,11)=LEFT($E778,11),_xlfn.NUMBERVALUE(RIGHT($E778:$E2776,2)))),TRUE)</f>
        <v>1</v>
      </c>
      <c r="G778" s="336"/>
      <c r="H778" s="336"/>
      <c r="I778" s="336"/>
      <c r="J778" s="336"/>
      <c r="K778" s="336"/>
      <c r="L778" s="336"/>
      <c r="M778" s="336"/>
      <c r="N778" s="336"/>
      <c r="O778" s="336"/>
      <c r="P778" s="336"/>
      <c r="Q778" s="336"/>
      <c r="R778" s="336"/>
      <c r="S778" s="336"/>
      <c r="T778" s="336"/>
    </row>
    <row r="779" spans="1:20" x14ac:dyDescent="0.25">
      <c r="A779" s="336"/>
      <c r="B779" s="336"/>
      <c r="C779" s="336"/>
      <c r="D779" s="336"/>
      <c r="E779" s="336"/>
      <c r="F779" s="104" t="b">
        <f t="array" ref="F779">IF(_xlfn.NUMBERVALUE(RIGHT($E779,2))=MAX(IF(LEFT($E779:$E2777,11)=LEFT($E779,11),_xlfn.NUMBERVALUE(RIGHT($E779:$E2777,2)))),TRUE)</f>
        <v>1</v>
      </c>
      <c r="G779" s="336"/>
      <c r="H779" s="336"/>
      <c r="I779" s="336"/>
      <c r="J779" s="336"/>
      <c r="K779" s="336"/>
      <c r="L779" s="336"/>
      <c r="M779" s="336"/>
      <c r="N779" s="336"/>
      <c r="O779" s="336"/>
      <c r="P779" s="336"/>
      <c r="Q779" s="336"/>
      <c r="R779" s="336"/>
      <c r="S779" s="336"/>
      <c r="T779" s="336"/>
    </row>
    <row r="780" spans="1:20" x14ac:dyDescent="0.25">
      <c r="A780" s="336"/>
      <c r="B780" s="336"/>
      <c r="C780" s="336"/>
      <c r="D780" s="336"/>
      <c r="E780" s="336"/>
      <c r="F780" s="104" t="b">
        <f t="array" ref="F780">IF(_xlfn.NUMBERVALUE(RIGHT($E780,2))=MAX(IF(LEFT($E780:$E2778,11)=LEFT($E780,11),_xlfn.NUMBERVALUE(RIGHT($E780:$E2778,2)))),TRUE)</f>
        <v>1</v>
      </c>
      <c r="G780" s="336"/>
      <c r="H780" s="336"/>
      <c r="I780" s="336"/>
      <c r="J780" s="336"/>
      <c r="K780" s="336"/>
      <c r="L780" s="336"/>
      <c r="M780" s="336"/>
      <c r="N780" s="336"/>
      <c r="O780" s="336"/>
      <c r="P780" s="336"/>
      <c r="Q780" s="336"/>
      <c r="R780" s="336"/>
      <c r="S780" s="336"/>
      <c r="T780" s="336"/>
    </row>
    <row r="781" spans="1:20" x14ac:dyDescent="0.25">
      <c r="A781" s="336"/>
      <c r="B781" s="336"/>
      <c r="C781" s="336"/>
      <c r="D781" s="336"/>
      <c r="E781" s="336"/>
      <c r="F781" s="104" t="b">
        <f t="array" ref="F781">IF(_xlfn.NUMBERVALUE(RIGHT($E781,2))=MAX(IF(LEFT($E781:$E2779,11)=LEFT($E781,11),_xlfn.NUMBERVALUE(RIGHT($E781:$E2779,2)))),TRUE)</f>
        <v>1</v>
      </c>
      <c r="G781" s="336"/>
      <c r="H781" s="336"/>
      <c r="I781" s="336"/>
      <c r="J781" s="336"/>
      <c r="K781" s="336"/>
      <c r="L781" s="336"/>
      <c r="M781" s="336"/>
      <c r="N781" s="336"/>
      <c r="O781" s="336"/>
      <c r="P781" s="336"/>
      <c r="Q781" s="336"/>
      <c r="R781" s="336"/>
      <c r="S781" s="336"/>
      <c r="T781" s="336"/>
    </row>
    <row r="782" spans="1:20" x14ac:dyDescent="0.25">
      <c r="A782" s="336"/>
      <c r="B782" s="336"/>
      <c r="C782" s="336"/>
      <c r="D782" s="336"/>
      <c r="E782" s="336"/>
      <c r="F782" s="104" t="b">
        <f t="array" ref="F782">IF(_xlfn.NUMBERVALUE(RIGHT($E782,2))=MAX(IF(LEFT($E782:$E2780,11)=LEFT($E782,11),_xlfn.NUMBERVALUE(RIGHT($E782:$E2780,2)))),TRUE)</f>
        <v>1</v>
      </c>
      <c r="G782" s="336"/>
      <c r="H782" s="336"/>
      <c r="I782" s="336"/>
      <c r="J782" s="336"/>
      <c r="K782" s="336"/>
      <c r="L782" s="336"/>
      <c r="M782" s="336"/>
      <c r="N782" s="336"/>
      <c r="O782" s="336"/>
      <c r="P782" s="336"/>
      <c r="Q782" s="336"/>
      <c r="R782" s="336"/>
      <c r="S782" s="336"/>
      <c r="T782" s="336"/>
    </row>
    <row r="783" spans="1:20" x14ac:dyDescent="0.25">
      <c r="A783" s="336"/>
      <c r="B783" s="336"/>
      <c r="C783" s="336"/>
      <c r="D783" s="336"/>
      <c r="E783" s="336"/>
      <c r="F783" s="104" t="b">
        <f t="array" ref="F783">IF(_xlfn.NUMBERVALUE(RIGHT($E783,2))=MAX(IF(LEFT($E783:$E2781,11)=LEFT($E783,11),_xlfn.NUMBERVALUE(RIGHT($E783:$E2781,2)))),TRUE)</f>
        <v>1</v>
      </c>
      <c r="G783" s="336"/>
      <c r="H783" s="336"/>
      <c r="I783" s="336"/>
      <c r="J783" s="336"/>
      <c r="K783" s="336"/>
      <c r="L783" s="336"/>
      <c r="M783" s="336"/>
      <c r="N783" s="336"/>
      <c r="O783" s="336"/>
      <c r="P783" s="336"/>
      <c r="Q783" s="336"/>
      <c r="R783" s="336"/>
      <c r="S783" s="336"/>
      <c r="T783" s="336"/>
    </row>
    <row r="784" spans="1:20" x14ac:dyDescent="0.25">
      <c r="A784" s="336"/>
      <c r="B784" s="336"/>
      <c r="C784" s="336"/>
      <c r="D784" s="336"/>
      <c r="E784" s="336"/>
      <c r="F784" s="104" t="b">
        <f t="array" ref="F784">IF(_xlfn.NUMBERVALUE(RIGHT($E784,2))=MAX(IF(LEFT($E784:$E2782,11)=LEFT($E784,11),_xlfn.NUMBERVALUE(RIGHT($E784:$E2782,2)))),TRUE)</f>
        <v>1</v>
      </c>
      <c r="G784" s="336"/>
      <c r="H784" s="336"/>
      <c r="I784" s="336"/>
      <c r="J784" s="336"/>
      <c r="K784" s="336"/>
      <c r="L784" s="336"/>
      <c r="M784" s="336"/>
      <c r="N784" s="336"/>
      <c r="O784" s="336"/>
      <c r="P784" s="336"/>
      <c r="Q784" s="336"/>
      <c r="R784" s="336"/>
      <c r="S784" s="336"/>
      <c r="T784" s="336"/>
    </row>
    <row r="785" spans="1:20" x14ac:dyDescent="0.25">
      <c r="A785" s="336"/>
      <c r="B785" s="336"/>
      <c r="C785" s="336"/>
      <c r="D785" s="336"/>
      <c r="E785" s="336"/>
      <c r="F785" s="104" t="b">
        <f t="array" ref="F785">IF(_xlfn.NUMBERVALUE(RIGHT($E785,2))=MAX(IF(LEFT($E785:$E2783,11)=LEFT($E785,11),_xlfn.NUMBERVALUE(RIGHT($E785:$E2783,2)))),TRUE)</f>
        <v>1</v>
      </c>
      <c r="G785" s="336"/>
      <c r="H785" s="336"/>
      <c r="I785" s="336"/>
      <c r="J785" s="336"/>
      <c r="K785" s="336"/>
      <c r="L785" s="336"/>
      <c r="M785" s="336"/>
      <c r="N785" s="336"/>
      <c r="O785" s="336"/>
      <c r="P785" s="336"/>
      <c r="Q785" s="336"/>
      <c r="R785" s="336"/>
      <c r="S785" s="336"/>
      <c r="T785" s="336"/>
    </row>
    <row r="786" spans="1:20" x14ac:dyDescent="0.25">
      <c r="A786" s="336"/>
      <c r="B786" s="336"/>
      <c r="C786" s="336"/>
      <c r="D786" s="336"/>
      <c r="E786" s="336"/>
      <c r="F786" s="104" t="b">
        <f t="array" ref="F786">IF(_xlfn.NUMBERVALUE(RIGHT($E786,2))=MAX(IF(LEFT($E786:$E2784,11)=LEFT($E786,11),_xlfn.NUMBERVALUE(RIGHT($E786:$E2784,2)))),TRUE)</f>
        <v>1</v>
      </c>
      <c r="G786" s="336"/>
      <c r="H786" s="336"/>
      <c r="I786" s="336"/>
      <c r="J786" s="336"/>
      <c r="K786" s="336"/>
      <c r="L786" s="336"/>
      <c r="M786" s="336"/>
      <c r="N786" s="336"/>
      <c r="O786" s="336"/>
      <c r="P786" s="336"/>
      <c r="Q786" s="336"/>
      <c r="R786" s="336"/>
      <c r="S786" s="336"/>
      <c r="T786" s="336"/>
    </row>
    <row r="787" spans="1:20" x14ac:dyDescent="0.25">
      <c r="A787" s="336"/>
      <c r="B787" s="336"/>
      <c r="C787" s="336"/>
      <c r="D787" s="336"/>
      <c r="E787" s="336"/>
      <c r="F787" s="104" t="b">
        <f t="array" ref="F787">IF(_xlfn.NUMBERVALUE(RIGHT($E787,2))=MAX(IF(LEFT($E787:$E2785,11)=LEFT($E787,11),_xlfn.NUMBERVALUE(RIGHT($E787:$E2785,2)))),TRUE)</f>
        <v>1</v>
      </c>
      <c r="G787" s="336"/>
      <c r="H787" s="336"/>
      <c r="I787" s="336"/>
      <c r="J787" s="336"/>
      <c r="K787" s="336"/>
      <c r="L787" s="336"/>
      <c r="M787" s="336"/>
      <c r="N787" s="336"/>
      <c r="O787" s="336"/>
      <c r="P787" s="336"/>
      <c r="Q787" s="336"/>
      <c r="R787" s="336"/>
      <c r="S787" s="336"/>
      <c r="T787" s="336"/>
    </row>
    <row r="788" spans="1:20" x14ac:dyDescent="0.25">
      <c r="A788" s="336"/>
      <c r="B788" s="336"/>
      <c r="C788" s="336"/>
      <c r="D788" s="336"/>
      <c r="E788" s="336"/>
      <c r="F788" s="104" t="b">
        <f t="array" ref="F788">IF(_xlfn.NUMBERVALUE(RIGHT($E788,2))=MAX(IF(LEFT($E788:$E2786,11)=LEFT($E788,11),_xlfn.NUMBERVALUE(RIGHT($E788:$E2786,2)))),TRUE)</f>
        <v>1</v>
      </c>
      <c r="G788" s="336"/>
      <c r="H788" s="336"/>
      <c r="I788" s="336"/>
      <c r="J788" s="336"/>
      <c r="K788" s="336"/>
      <c r="L788" s="336"/>
      <c r="M788" s="336"/>
      <c r="N788" s="336"/>
      <c r="O788" s="336"/>
      <c r="P788" s="336"/>
      <c r="Q788" s="336"/>
      <c r="R788" s="336"/>
      <c r="S788" s="336"/>
      <c r="T788" s="336"/>
    </row>
    <row r="789" spans="1:20" x14ac:dyDescent="0.25">
      <c r="A789" s="336"/>
      <c r="B789" s="336"/>
      <c r="C789" s="336"/>
      <c r="D789" s="336"/>
      <c r="E789" s="336"/>
      <c r="F789" s="104" t="b">
        <f t="array" ref="F789">IF(_xlfn.NUMBERVALUE(RIGHT($E789,2))=MAX(IF(LEFT($E789:$E2787,11)=LEFT($E789,11),_xlfn.NUMBERVALUE(RIGHT($E789:$E2787,2)))),TRUE)</f>
        <v>1</v>
      </c>
      <c r="G789" s="336"/>
      <c r="H789" s="336"/>
      <c r="I789" s="336"/>
      <c r="J789" s="336"/>
      <c r="K789" s="336"/>
      <c r="L789" s="336"/>
      <c r="M789" s="336"/>
      <c r="N789" s="336"/>
      <c r="O789" s="336"/>
      <c r="P789" s="336"/>
      <c r="Q789" s="336"/>
      <c r="R789" s="336"/>
      <c r="S789" s="336"/>
      <c r="T789" s="336"/>
    </row>
    <row r="790" spans="1:20" x14ac:dyDescent="0.25">
      <c r="A790" s="336"/>
      <c r="B790" s="336"/>
      <c r="C790" s="336"/>
      <c r="D790" s="336"/>
      <c r="E790" s="336"/>
      <c r="F790" s="104" t="b">
        <f t="array" ref="F790">IF(_xlfn.NUMBERVALUE(RIGHT($E790,2))=MAX(IF(LEFT($E790:$E2788,11)=LEFT($E790,11),_xlfn.NUMBERVALUE(RIGHT($E790:$E2788,2)))),TRUE)</f>
        <v>1</v>
      </c>
      <c r="G790" s="336"/>
      <c r="H790" s="336"/>
      <c r="I790" s="336"/>
      <c r="J790" s="336"/>
      <c r="K790" s="336"/>
      <c r="L790" s="336"/>
      <c r="M790" s="336"/>
      <c r="N790" s="336"/>
      <c r="O790" s="336"/>
      <c r="P790" s="336"/>
      <c r="Q790" s="336"/>
      <c r="R790" s="336"/>
      <c r="S790" s="336"/>
      <c r="T790" s="336"/>
    </row>
    <row r="791" spans="1:20" x14ac:dyDescent="0.25">
      <c r="A791" s="336"/>
      <c r="B791" s="336"/>
      <c r="C791" s="336"/>
      <c r="D791" s="336"/>
      <c r="E791" s="336"/>
      <c r="F791" s="104" t="b">
        <f t="array" ref="F791">IF(_xlfn.NUMBERVALUE(RIGHT($E791,2))=MAX(IF(LEFT($E791:$E2789,11)=LEFT($E791,11),_xlfn.NUMBERVALUE(RIGHT($E791:$E2789,2)))),TRUE)</f>
        <v>1</v>
      </c>
      <c r="G791" s="336"/>
      <c r="H791" s="336"/>
      <c r="I791" s="336"/>
      <c r="J791" s="336"/>
      <c r="K791" s="336"/>
      <c r="L791" s="336"/>
      <c r="M791" s="336"/>
      <c r="N791" s="336"/>
      <c r="O791" s="336"/>
      <c r="P791" s="336"/>
      <c r="Q791" s="336"/>
      <c r="R791" s="336"/>
      <c r="S791" s="336"/>
      <c r="T791" s="336"/>
    </row>
    <row r="792" spans="1:20" x14ac:dyDescent="0.25">
      <c r="A792" s="336"/>
      <c r="B792" s="336"/>
      <c r="C792" s="336"/>
      <c r="D792" s="336"/>
      <c r="E792" s="336"/>
      <c r="F792" s="104" t="b">
        <f t="array" ref="F792">IF(_xlfn.NUMBERVALUE(RIGHT($E792,2))=MAX(IF(LEFT($E792:$E2790,11)=LEFT($E792,11),_xlfn.NUMBERVALUE(RIGHT($E792:$E2790,2)))),TRUE)</f>
        <v>1</v>
      </c>
      <c r="G792" s="336"/>
      <c r="H792" s="336"/>
      <c r="I792" s="336"/>
      <c r="J792" s="336"/>
      <c r="K792" s="336"/>
      <c r="L792" s="336"/>
      <c r="M792" s="336"/>
      <c r="N792" s="336"/>
      <c r="O792" s="336"/>
      <c r="P792" s="336"/>
      <c r="Q792" s="336"/>
      <c r="R792" s="336"/>
      <c r="S792" s="336"/>
      <c r="T792" s="336"/>
    </row>
    <row r="793" spans="1:20" x14ac:dyDescent="0.25">
      <c r="A793" s="336"/>
      <c r="B793" s="336"/>
      <c r="C793" s="336"/>
      <c r="D793" s="336"/>
      <c r="E793" s="336"/>
      <c r="F793" s="104" t="b">
        <f t="array" ref="F793">IF(_xlfn.NUMBERVALUE(RIGHT($E793,2))=MAX(IF(LEFT($E793:$E2791,11)=LEFT($E793,11),_xlfn.NUMBERVALUE(RIGHT($E793:$E2791,2)))),TRUE)</f>
        <v>1</v>
      </c>
      <c r="G793" s="336"/>
      <c r="H793" s="336"/>
      <c r="I793" s="336"/>
      <c r="J793" s="336"/>
      <c r="K793" s="336"/>
      <c r="L793" s="336"/>
      <c r="M793" s="336"/>
      <c r="N793" s="336"/>
      <c r="O793" s="336"/>
      <c r="P793" s="336"/>
      <c r="Q793" s="336"/>
      <c r="R793" s="336"/>
      <c r="S793" s="336"/>
      <c r="T793" s="336"/>
    </row>
    <row r="794" spans="1:20" x14ac:dyDescent="0.25">
      <c r="A794" s="336"/>
      <c r="B794" s="336"/>
      <c r="C794" s="336"/>
      <c r="D794" s="336"/>
      <c r="E794" s="336"/>
      <c r="F794" s="104" t="b">
        <f t="array" ref="F794">IF(_xlfn.NUMBERVALUE(RIGHT($E794,2))=MAX(IF(LEFT($E794:$E2792,11)=LEFT($E794,11),_xlfn.NUMBERVALUE(RIGHT($E794:$E2792,2)))),TRUE)</f>
        <v>1</v>
      </c>
      <c r="G794" s="336"/>
      <c r="H794" s="336"/>
      <c r="I794" s="336"/>
      <c r="J794" s="336"/>
      <c r="K794" s="336"/>
      <c r="L794" s="336"/>
      <c r="M794" s="336"/>
      <c r="N794" s="336"/>
      <c r="O794" s="336"/>
      <c r="P794" s="336"/>
      <c r="Q794" s="336"/>
      <c r="R794" s="336"/>
      <c r="S794" s="336"/>
      <c r="T794" s="336"/>
    </row>
    <row r="795" spans="1:20" x14ac:dyDescent="0.25">
      <c r="A795" s="336"/>
      <c r="B795" s="336"/>
      <c r="C795" s="336"/>
      <c r="D795" s="336"/>
      <c r="E795" s="336"/>
      <c r="F795" s="104" t="b">
        <f t="array" ref="F795">IF(_xlfn.NUMBERVALUE(RIGHT($E795,2))=MAX(IF(LEFT($E795:$E2793,11)=LEFT($E795,11),_xlfn.NUMBERVALUE(RIGHT($E795:$E2793,2)))),TRUE)</f>
        <v>1</v>
      </c>
      <c r="G795" s="336"/>
      <c r="H795" s="336"/>
      <c r="I795" s="336"/>
      <c r="J795" s="336"/>
      <c r="K795" s="336"/>
      <c r="L795" s="336"/>
      <c r="M795" s="336"/>
      <c r="N795" s="336"/>
      <c r="O795" s="336"/>
      <c r="P795" s="336"/>
      <c r="Q795" s="336"/>
      <c r="R795" s="336"/>
      <c r="S795" s="336"/>
      <c r="T795" s="336"/>
    </row>
    <row r="796" spans="1:20" x14ac:dyDescent="0.25">
      <c r="A796" s="336"/>
      <c r="B796" s="336"/>
      <c r="C796" s="336"/>
      <c r="D796" s="336"/>
      <c r="E796" s="336"/>
      <c r="F796" s="104" t="b">
        <f t="array" ref="F796">IF(_xlfn.NUMBERVALUE(RIGHT($E796,2))=MAX(IF(LEFT($E796:$E2794,11)=LEFT($E796,11),_xlfn.NUMBERVALUE(RIGHT($E796:$E2794,2)))),TRUE)</f>
        <v>1</v>
      </c>
      <c r="G796" s="336"/>
      <c r="H796" s="336"/>
      <c r="I796" s="336"/>
      <c r="J796" s="336"/>
      <c r="K796" s="336"/>
      <c r="L796" s="336"/>
      <c r="M796" s="336"/>
      <c r="N796" s="336"/>
      <c r="O796" s="336"/>
      <c r="P796" s="336"/>
      <c r="Q796" s="336"/>
      <c r="R796" s="336"/>
      <c r="S796" s="336"/>
      <c r="T796" s="336"/>
    </row>
    <row r="797" spans="1:20" x14ac:dyDescent="0.25">
      <c r="A797" s="336"/>
      <c r="B797" s="336"/>
      <c r="C797" s="336"/>
      <c r="D797" s="336"/>
      <c r="E797" s="336"/>
      <c r="F797" s="104" t="b">
        <f t="array" ref="F797">IF(_xlfn.NUMBERVALUE(RIGHT($E797,2))=MAX(IF(LEFT($E797:$E2795,11)=LEFT($E797,11),_xlfn.NUMBERVALUE(RIGHT($E797:$E2795,2)))),TRUE)</f>
        <v>1</v>
      </c>
      <c r="G797" s="336"/>
      <c r="H797" s="336"/>
      <c r="I797" s="336"/>
      <c r="J797" s="336"/>
      <c r="K797" s="336"/>
      <c r="L797" s="336"/>
      <c r="M797" s="336"/>
      <c r="N797" s="336"/>
      <c r="O797" s="336"/>
      <c r="P797" s="336"/>
      <c r="Q797" s="336"/>
      <c r="R797" s="336"/>
      <c r="S797" s="336"/>
      <c r="T797" s="336"/>
    </row>
    <row r="798" spans="1:20" x14ac:dyDescent="0.25">
      <c r="A798" s="336"/>
      <c r="B798" s="336"/>
      <c r="C798" s="336"/>
      <c r="D798" s="336"/>
      <c r="E798" s="336"/>
      <c r="F798" s="104" t="b">
        <f t="array" ref="F798">IF(_xlfn.NUMBERVALUE(RIGHT($E798,2))=MAX(IF(LEFT($E798:$E2796,11)=LEFT($E798,11),_xlfn.NUMBERVALUE(RIGHT($E798:$E2796,2)))),TRUE)</f>
        <v>1</v>
      </c>
      <c r="G798" s="336"/>
      <c r="H798" s="336"/>
      <c r="I798" s="336"/>
      <c r="J798" s="336"/>
      <c r="K798" s="336"/>
      <c r="L798" s="336"/>
      <c r="M798" s="336"/>
      <c r="N798" s="336"/>
      <c r="O798" s="336"/>
      <c r="P798" s="336"/>
      <c r="Q798" s="336"/>
      <c r="R798" s="336"/>
      <c r="S798" s="336"/>
      <c r="T798" s="336"/>
    </row>
    <row r="799" spans="1:20" x14ac:dyDescent="0.25">
      <c r="A799" s="336"/>
      <c r="B799" s="336"/>
      <c r="C799" s="336"/>
      <c r="D799" s="336"/>
      <c r="E799" s="336"/>
      <c r="F799" s="104" t="b">
        <f t="array" ref="F799">IF(_xlfn.NUMBERVALUE(RIGHT($E799,2))=MAX(IF(LEFT($E799:$E2797,11)=LEFT($E799,11),_xlfn.NUMBERVALUE(RIGHT($E799:$E2797,2)))),TRUE)</f>
        <v>1</v>
      </c>
      <c r="G799" s="336"/>
      <c r="H799" s="336"/>
      <c r="I799" s="336"/>
      <c r="J799" s="336"/>
      <c r="K799" s="336"/>
      <c r="L799" s="336"/>
      <c r="M799" s="336"/>
      <c r="N799" s="336"/>
      <c r="O799" s="336"/>
      <c r="P799" s="336"/>
      <c r="Q799" s="336"/>
      <c r="R799" s="336"/>
      <c r="S799" s="336"/>
      <c r="T799" s="336"/>
    </row>
    <row r="800" spans="1:20" x14ac:dyDescent="0.25">
      <c r="A800" s="336"/>
      <c r="B800" s="336"/>
      <c r="C800" s="336"/>
      <c r="D800" s="336"/>
      <c r="E800" s="336"/>
      <c r="F800" s="104" t="b">
        <f t="array" ref="F800">IF(_xlfn.NUMBERVALUE(RIGHT($E800,2))=MAX(IF(LEFT($E800:$E2798,11)=LEFT($E800,11),_xlfn.NUMBERVALUE(RIGHT($E800:$E2798,2)))),TRUE)</f>
        <v>1</v>
      </c>
      <c r="G800" s="336"/>
      <c r="H800" s="336"/>
      <c r="I800" s="336"/>
      <c r="J800" s="336"/>
      <c r="K800" s="336"/>
      <c r="L800" s="336"/>
      <c r="M800" s="336"/>
      <c r="N800" s="336"/>
      <c r="O800" s="336"/>
      <c r="P800" s="336"/>
      <c r="Q800" s="336"/>
      <c r="R800" s="336"/>
      <c r="S800" s="336"/>
      <c r="T800" s="336"/>
    </row>
    <row r="801" spans="1:20" x14ac:dyDescent="0.25">
      <c r="A801" s="336"/>
      <c r="B801" s="336"/>
      <c r="C801" s="336"/>
      <c r="D801" s="336"/>
      <c r="E801" s="336"/>
      <c r="F801" s="104" t="b">
        <f t="array" ref="F801">IF(_xlfn.NUMBERVALUE(RIGHT($E801,2))=MAX(IF(LEFT($E801:$E2799,11)=LEFT($E801,11),_xlfn.NUMBERVALUE(RIGHT($E801:$E2799,2)))),TRUE)</f>
        <v>1</v>
      </c>
      <c r="G801" s="336"/>
      <c r="H801" s="336"/>
      <c r="I801" s="336"/>
      <c r="J801" s="336"/>
      <c r="K801" s="336"/>
      <c r="L801" s="336"/>
      <c r="M801" s="336"/>
      <c r="N801" s="336"/>
      <c r="O801" s="336"/>
      <c r="P801" s="336"/>
      <c r="Q801" s="336"/>
      <c r="R801" s="336"/>
      <c r="S801" s="336"/>
      <c r="T801" s="336"/>
    </row>
    <row r="802" spans="1:20" x14ac:dyDescent="0.25">
      <c r="A802" s="336"/>
      <c r="B802" s="336"/>
      <c r="C802" s="336"/>
      <c r="D802" s="336"/>
      <c r="E802" s="336"/>
      <c r="F802" s="104" t="b">
        <f t="array" ref="F802">IF(_xlfn.NUMBERVALUE(RIGHT($E802,2))=MAX(IF(LEFT($E802:$E2800,11)=LEFT($E802,11),_xlfn.NUMBERVALUE(RIGHT($E802:$E2800,2)))),TRUE)</f>
        <v>1</v>
      </c>
      <c r="G802" s="336"/>
      <c r="H802" s="336"/>
      <c r="I802" s="336"/>
      <c r="J802" s="336"/>
      <c r="K802" s="336"/>
      <c r="L802" s="336"/>
      <c r="M802" s="336"/>
      <c r="N802" s="336"/>
      <c r="O802" s="336"/>
      <c r="P802" s="336"/>
      <c r="Q802" s="336"/>
      <c r="R802" s="336"/>
      <c r="S802" s="336"/>
      <c r="T802" s="336"/>
    </row>
    <row r="803" spans="1:20" x14ac:dyDescent="0.25">
      <c r="A803" s="336"/>
      <c r="B803" s="336"/>
      <c r="C803" s="336"/>
      <c r="D803" s="336"/>
      <c r="E803" s="336"/>
      <c r="F803" s="104" t="b">
        <f t="array" ref="F803">IF(_xlfn.NUMBERVALUE(RIGHT($E803,2))=MAX(IF(LEFT($E803:$E2801,11)=LEFT($E803,11),_xlfn.NUMBERVALUE(RIGHT($E803:$E2801,2)))),TRUE)</f>
        <v>1</v>
      </c>
      <c r="G803" s="336"/>
      <c r="H803" s="336"/>
      <c r="I803" s="336"/>
      <c r="J803" s="336"/>
      <c r="K803" s="336"/>
      <c r="L803" s="336"/>
      <c r="M803" s="336"/>
      <c r="N803" s="336"/>
      <c r="O803" s="336"/>
      <c r="P803" s="336"/>
      <c r="Q803" s="336"/>
      <c r="R803" s="336"/>
      <c r="S803" s="336"/>
      <c r="T803" s="336"/>
    </row>
    <row r="804" spans="1:20" x14ac:dyDescent="0.25">
      <c r="A804" s="336"/>
      <c r="B804" s="336"/>
      <c r="C804" s="336"/>
      <c r="D804" s="336"/>
      <c r="E804" s="336"/>
      <c r="F804" s="104" t="b">
        <f t="array" ref="F804">IF(_xlfn.NUMBERVALUE(RIGHT($E804,2))=MAX(IF(LEFT($E804:$E2802,11)=LEFT($E804,11),_xlfn.NUMBERVALUE(RIGHT($E804:$E2802,2)))),TRUE)</f>
        <v>1</v>
      </c>
      <c r="G804" s="336"/>
      <c r="H804" s="336"/>
      <c r="I804" s="336"/>
      <c r="J804" s="336"/>
      <c r="K804" s="336"/>
      <c r="L804" s="336"/>
      <c r="M804" s="336"/>
      <c r="N804" s="336"/>
      <c r="O804" s="336"/>
      <c r="P804" s="336"/>
      <c r="Q804" s="336"/>
      <c r="R804" s="336"/>
      <c r="S804" s="336"/>
      <c r="T804" s="336"/>
    </row>
    <row r="805" spans="1:20" x14ac:dyDescent="0.25">
      <c r="A805" s="336"/>
      <c r="B805" s="336"/>
      <c r="C805" s="336"/>
      <c r="D805" s="336"/>
      <c r="E805" s="336"/>
      <c r="F805" s="104" t="b">
        <f t="array" ref="F805">IF(_xlfn.NUMBERVALUE(RIGHT($E805,2))=MAX(IF(LEFT($E805:$E2803,11)=LEFT($E805,11),_xlfn.NUMBERVALUE(RIGHT($E805:$E2803,2)))),TRUE)</f>
        <v>1</v>
      </c>
      <c r="G805" s="336"/>
      <c r="H805" s="336"/>
      <c r="I805" s="336"/>
      <c r="J805" s="336"/>
      <c r="K805" s="336"/>
      <c r="L805" s="336"/>
      <c r="M805" s="336"/>
      <c r="N805" s="336"/>
      <c r="O805" s="336"/>
      <c r="P805" s="336"/>
      <c r="Q805" s="336"/>
      <c r="R805" s="336"/>
      <c r="S805" s="336"/>
      <c r="T805" s="336"/>
    </row>
    <row r="806" spans="1:20" x14ac:dyDescent="0.25">
      <c r="A806" s="336"/>
      <c r="B806" s="336"/>
      <c r="C806" s="336"/>
      <c r="D806" s="336"/>
      <c r="E806" s="336"/>
      <c r="F806" s="104" t="b">
        <f t="array" ref="F806">IF(_xlfn.NUMBERVALUE(RIGHT($E806,2))=MAX(IF(LEFT($E806:$E2804,11)=LEFT($E806,11),_xlfn.NUMBERVALUE(RIGHT($E806:$E2804,2)))),TRUE)</f>
        <v>1</v>
      </c>
      <c r="G806" s="336"/>
      <c r="H806" s="336"/>
      <c r="I806" s="336"/>
      <c r="J806" s="336"/>
      <c r="K806" s="336"/>
      <c r="L806" s="336"/>
      <c r="M806" s="336"/>
      <c r="N806" s="336"/>
      <c r="O806" s="336"/>
      <c r="P806" s="336"/>
      <c r="Q806" s="336"/>
      <c r="R806" s="336"/>
      <c r="S806" s="336"/>
      <c r="T806" s="336"/>
    </row>
    <row r="807" spans="1:20" x14ac:dyDescent="0.25">
      <c r="A807" s="336"/>
      <c r="B807" s="336"/>
      <c r="C807" s="336"/>
      <c r="D807" s="336"/>
      <c r="E807" s="336"/>
      <c r="F807" s="104" t="b">
        <f t="array" ref="F807">IF(_xlfn.NUMBERVALUE(RIGHT($E807,2))=MAX(IF(LEFT($E807:$E2805,11)=LEFT($E807,11),_xlfn.NUMBERVALUE(RIGHT($E807:$E2805,2)))),TRUE)</f>
        <v>1</v>
      </c>
      <c r="G807" s="336"/>
      <c r="H807" s="336"/>
      <c r="I807" s="336"/>
      <c r="J807" s="336"/>
      <c r="K807" s="336"/>
      <c r="L807" s="336"/>
      <c r="M807" s="336"/>
      <c r="N807" s="336"/>
      <c r="O807" s="336"/>
      <c r="P807" s="336"/>
      <c r="Q807" s="336"/>
      <c r="R807" s="336"/>
      <c r="S807" s="336"/>
      <c r="T807" s="336"/>
    </row>
    <row r="808" spans="1:20" x14ac:dyDescent="0.25">
      <c r="A808" s="336"/>
      <c r="B808" s="336"/>
      <c r="C808" s="336"/>
      <c r="D808" s="336"/>
      <c r="E808" s="336"/>
      <c r="F808" s="104" t="b">
        <f t="array" ref="F808">IF(_xlfn.NUMBERVALUE(RIGHT($E808,2))=MAX(IF(LEFT($E808:$E2806,11)=LEFT($E808,11),_xlfn.NUMBERVALUE(RIGHT($E808:$E2806,2)))),TRUE)</f>
        <v>1</v>
      </c>
      <c r="G808" s="336"/>
      <c r="H808" s="336"/>
      <c r="I808" s="336"/>
      <c r="J808" s="336"/>
      <c r="K808" s="336"/>
      <c r="L808" s="336"/>
      <c r="M808" s="336"/>
      <c r="N808" s="336"/>
      <c r="O808" s="336"/>
      <c r="P808" s="336"/>
      <c r="Q808" s="336"/>
      <c r="R808" s="336"/>
      <c r="S808" s="336"/>
      <c r="T808" s="336"/>
    </row>
    <row r="809" spans="1:20" x14ac:dyDescent="0.25">
      <c r="A809" s="336"/>
      <c r="B809" s="336"/>
      <c r="C809" s="336"/>
      <c r="D809" s="336"/>
      <c r="E809" s="336"/>
      <c r="F809" s="104" t="b">
        <f t="array" ref="F809">IF(_xlfn.NUMBERVALUE(RIGHT($E809,2))=MAX(IF(LEFT($E809:$E2807,11)=LEFT($E809,11),_xlfn.NUMBERVALUE(RIGHT($E809:$E2807,2)))),TRUE)</f>
        <v>1</v>
      </c>
      <c r="G809" s="336"/>
      <c r="H809" s="336"/>
      <c r="I809" s="336"/>
      <c r="J809" s="336"/>
      <c r="K809" s="336"/>
      <c r="L809" s="336"/>
      <c r="M809" s="336"/>
      <c r="N809" s="336"/>
      <c r="O809" s="336"/>
      <c r="P809" s="336"/>
      <c r="Q809" s="336"/>
      <c r="R809" s="336"/>
      <c r="S809" s="336"/>
      <c r="T809" s="336"/>
    </row>
    <row r="810" spans="1:20" x14ac:dyDescent="0.25">
      <c r="A810" s="336"/>
      <c r="B810" s="336"/>
      <c r="C810" s="336"/>
      <c r="D810" s="336"/>
      <c r="E810" s="336"/>
      <c r="F810" s="104" t="b">
        <f t="array" ref="F810">IF(_xlfn.NUMBERVALUE(RIGHT($E810,2))=MAX(IF(LEFT($E810:$E2808,11)=LEFT($E810,11),_xlfn.NUMBERVALUE(RIGHT($E810:$E2808,2)))),TRUE)</f>
        <v>1</v>
      </c>
      <c r="G810" s="336"/>
      <c r="H810" s="336"/>
      <c r="I810" s="336"/>
      <c r="J810" s="336"/>
      <c r="K810" s="336"/>
      <c r="L810" s="336"/>
      <c r="M810" s="336"/>
      <c r="N810" s="336"/>
      <c r="O810" s="336"/>
      <c r="P810" s="336"/>
      <c r="Q810" s="336"/>
      <c r="R810" s="336"/>
      <c r="S810" s="336"/>
      <c r="T810" s="336"/>
    </row>
    <row r="811" spans="1:20" x14ac:dyDescent="0.25">
      <c r="A811" s="336"/>
      <c r="B811" s="336"/>
      <c r="C811" s="336"/>
      <c r="D811" s="336"/>
      <c r="E811" s="336"/>
      <c r="F811" s="104" t="b">
        <f t="array" ref="F811">IF(_xlfn.NUMBERVALUE(RIGHT($E811,2))=MAX(IF(LEFT($E811:$E2809,11)=LEFT($E811,11),_xlfn.NUMBERVALUE(RIGHT($E811:$E2809,2)))),TRUE)</f>
        <v>1</v>
      </c>
      <c r="G811" s="336"/>
      <c r="H811" s="336"/>
      <c r="I811" s="336"/>
      <c r="J811" s="336"/>
      <c r="K811" s="336"/>
      <c r="L811" s="336"/>
      <c r="M811" s="336"/>
      <c r="N811" s="336"/>
      <c r="O811" s="336"/>
      <c r="P811" s="336"/>
      <c r="Q811" s="336"/>
      <c r="R811" s="336"/>
      <c r="S811" s="336"/>
      <c r="T811" s="336"/>
    </row>
    <row r="812" spans="1:20" x14ac:dyDescent="0.25">
      <c r="A812" s="336"/>
      <c r="B812" s="336"/>
      <c r="C812" s="336"/>
      <c r="D812" s="336"/>
      <c r="E812" s="336"/>
      <c r="F812" s="104" t="b">
        <f t="array" ref="F812">IF(_xlfn.NUMBERVALUE(RIGHT($E812,2))=MAX(IF(LEFT($E812:$E2810,11)=LEFT($E812,11),_xlfn.NUMBERVALUE(RIGHT($E812:$E2810,2)))),TRUE)</f>
        <v>1</v>
      </c>
      <c r="G812" s="336"/>
      <c r="H812" s="336"/>
      <c r="I812" s="336"/>
      <c r="J812" s="336"/>
      <c r="K812" s="336"/>
      <c r="L812" s="336"/>
      <c r="M812" s="336"/>
      <c r="N812" s="336"/>
      <c r="O812" s="336"/>
      <c r="P812" s="336"/>
      <c r="Q812" s="336"/>
      <c r="R812" s="336"/>
      <c r="S812" s="336"/>
      <c r="T812" s="336"/>
    </row>
    <row r="813" spans="1:20" x14ac:dyDescent="0.25">
      <c r="A813" s="336"/>
      <c r="B813" s="336"/>
      <c r="C813" s="336"/>
      <c r="D813" s="336"/>
      <c r="E813" s="336"/>
      <c r="F813" s="104" t="b">
        <f t="array" ref="F813">IF(_xlfn.NUMBERVALUE(RIGHT($E813,2))=MAX(IF(LEFT($E813:$E2811,11)=LEFT($E813,11),_xlfn.NUMBERVALUE(RIGHT($E813:$E2811,2)))),TRUE)</f>
        <v>1</v>
      </c>
      <c r="G813" s="336"/>
      <c r="H813" s="336"/>
      <c r="I813" s="336"/>
      <c r="J813" s="336"/>
      <c r="K813" s="336"/>
      <c r="L813" s="336"/>
      <c r="M813" s="336"/>
      <c r="N813" s="336"/>
      <c r="O813" s="336"/>
      <c r="P813" s="336"/>
      <c r="Q813" s="336"/>
      <c r="R813" s="336"/>
      <c r="S813" s="336"/>
      <c r="T813" s="336"/>
    </row>
    <row r="814" spans="1:20" x14ac:dyDescent="0.25">
      <c r="A814" s="336"/>
      <c r="B814" s="336"/>
      <c r="C814" s="336"/>
      <c r="D814" s="336"/>
      <c r="E814" s="336"/>
      <c r="F814" s="104" t="b">
        <f t="array" ref="F814">IF(_xlfn.NUMBERVALUE(RIGHT($E814,2))=MAX(IF(LEFT($E814:$E2812,11)=LEFT($E814,11),_xlfn.NUMBERVALUE(RIGHT($E814:$E2812,2)))),TRUE)</f>
        <v>1</v>
      </c>
      <c r="G814" s="336"/>
      <c r="H814" s="336"/>
      <c r="I814" s="336"/>
      <c r="J814" s="336"/>
      <c r="K814" s="336"/>
      <c r="L814" s="336"/>
      <c r="M814" s="336"/>
      <c r="N814" s="336"/>
      <c r="O814" s="336"/>
      <c r="P814" s="336"/>
      <c r="Q814" s="336"/>
      <c r="R814" s="336"/>
      <c r="S814" s="336"/>
      <c r="T814" s="336"/>
    </row>
    <row r="815" spans="1:20" x14ac:dyDescent="0.25">
      <c r="A815" s="336"/>
      <c r="B815" s="336"/>
      <c r="C815" s="336"/>
      <c r="D815" s="336"/>
      <c r="E815" s="336"/>
      <c r="F815" s="104" t="b">
        <f t="array" ref="F815">IF(_xlfn.NUMBERVALUE(RIGHT($E815,2))=MAX(IF(LEFT($E815:$E2813,11)=LEFT($E815,11),_xlfn.NUMBERVALUE(RIGHT($E815:$E2813,2)))),TRUE)</f>
        <v>1</v>
      </c>
      <c r="G815" s="336"/>
      <c r="H815" s="336"/>
      <c r="I815" s="336"/>
      <c r="J815" s="336"/>
      <c r="K815" s="336"/>
      <c r="L815" s="336"/>
      <c r="M815" s="336"/>
      <c r="N815" s="336"/>
      <c r="O815" s="336"/>
      <c r="P815" s="336"/>
      <c r="Q815" s="336"/>
      <c r="R815" s="336"/>
      <c r="S815" s="336"/>
      <c r="T815" s="336"/>
    </row>
    <row r="816" spans="1:20" x14ac:dyDescent="0.25">
      <c r="A816" s="336"/>
      <c r="B816" s="336"/>
      <c r="C816" s="336"/>
      <c r="D816" s="336"/>
      <c r="E816" s="336"/>
      <c r="F816" s="104" t="b">
        <f t="array" ref="F816">IF(_xlfn.NUMBERVALUE(RIGHT($E816,2))=MAX(IF(LEFT($E816:$E2814,11)=LEFT($E816,11),_xlfn.NUMBERVALUE(RIGHT($E816:$E2814,2)))),TRUE)</f>
        <v>1</v>
      </c>
      <c r="G816" s="336"/>
      <c r="H816" s="336"/>
      <c r="I816" s="336"/>
      <c r="J816" s="336"/>
      <c r="K816" s="336"/>
      <c r="L816" s="336"/>
      <c r="M816" s="336"/>
      <c r="N816" s="336"/>
      <c r="O816" s="336"/>
      <c r="P816" s="336"/>
      <c r="Q816" s="336"/>
      <c r="R816" s="336"/>
      <c r="S816" s="336"/>
      <c r="T816" s="336"/>
    </row>
    <row r="817" spans="1:20" x14ac:dyDescent="0.25">
      <c r="A817" s="336"/>
      <c r="B817" s="336"/>
      <c r="C817" s="336"/>
      <c r="D817" s="336"/>
      <c r="E817" s="336"/>
      <c r="F817" s="104" t="b">
        <f t="array" ref="F817">IF(_xlfn.NUMBERVALUE(RIGHT($E817,2))=MAX(IF(LEFT($E817:$E2815,11)=LEFT($E817,11),_xlfn.NUMBERVALUE(RIGHT($E817:$E2815,2)))),TRUE)</f>
        <v>1</v>
      </c>
      <c r="G817" s="336"/>
      <c r="H817" s="336"/>
      <c r="I817" s="336"/>
      <c r="J817" s="336"/>
      <c r="K817" s="336"/>
      <c r="L817" s="336"/>
      <c r="M817" s="336"/>
      <c r="N817" s="336"/>
      <c r="O817" s="336"/>
      <c r="P817" s="336"/>
      <c r="Q817" s="336"/>
      <c r="R817" s="336"/>
      <c r="S817" s="336"/>
      <c r="T817" s="336"/>
    </row>
    <row r="818" spans="1:20" x14ac:dyDescent="0.25">
      <c r="A818" s="336"/>
      <c r="B818" s="336"/>
      <c r="C818" s="336"/>
      <c r="D818" s="336"/>
      <c r="E818" s="336"/>
      <c r="F818" s="104" t="b">
        <f t="array" ref="F818">IF(_xlfn.NUMBERVALUE(RIGHT($E818,2))=MAX(IF(LEFT($E818:$E2816,11)=LEFT($E818,11),_xlfn.NUMBERVALUE(RIGHT($E818:$E2816,2)))),TRUE)</f>
        <v>1</v>
      </c>
      <c r="G818" s="336"/>
      <c r="H818" s="336"/>
      <c r="I818" s="336"/>
      <c r="J818" s="336"/>
      <c r="K818" s="336"/>
      <c r="L818" s="336"/>
      <c r="M818" s="336"/>
      <c r="N818" s="336"/>
      <c r="O818" s="336"/>
      <c r="P818" s="336"/>
      <c r="Q818" s="336"/>
      <c r="R818" s="336"/>
      <c r="S818" s="336"/>
      <c r="T818" s="336"/>
    </row>
    <row r="819" spans="1:20" x14ac:dyDescent="0.25">
      <c r="A819" s="336"/>
      <c r="B819" s="336"/>
      <c r="C819" s="336"/>
      <c r="D819" s="336"/>
      <c r="E819" s="336"/>
      <c r="F819" s="104" t="b">
        <f t="array" ref="F819">IF(_xlfn.NUMBERVALUE(RIGHT($E819,2))=MAX(IF(LEFT($E819:$E2817,11)=LEFT($E819,11),_xlfn.NUMBERVALUE(RIGHT($E819:$E2817,2)))),TRUE)</f>
        <v>1</v>
      </c>
      <c r="G819" s="336"/>
      <c r="H819" s="336"/>
      <c r="I819" s="336"/>
      <c r="J819" s="336"/>
      <c r="K819" s="336"/>
      <c r="L819" s="336"/>
      <c r="M819" s="336"/>
      <c r="N819" s="336"/>
      <c r="O819" s="336"/>
      <c r="P819" s="336"/>
      <c r="Q819" s="336"/>
      <c r="R819" s="336"/>
      <c r="S819" s="336"/>
      <c r="T819" s="336"/>
    </row>
    <row r="820" spans="1:20" x14ac:dyDescent="0.25">
      <c r="A820" s="336"/>
      <c r="B820" s="336"/>
      <c r="C820" s="336"/>
      <c r="D820" s="336"/>
      <c r="E820" s="336"/>
      <c r="F820" s="104" t="b">
        <f t="array" ref="F820">IF(_xlfn.NUMBERVALUE(RIGHT($E820,2))=MAX(IF(LEFT($E820:$E2818,11)=LEFT($E820,11),_xlfn.NUMBERVALUE(RIGHT($E820:$E2818,2)))),TRUE)</f>
        <v>1</v>
      </c>
      <c r="G820" s="336"/>
      <c r="H820" s="336"/>
      <c r="I820" s="336"/>
      <c r="J820" s="336"/>
      <c r="K820" s="336"/>
      <c r="L820" s="336"/>
      <c r="M820" s="336"/>
      <c r="N820" s="336"/>
      <c r="O820" s="336"/>
      <c r="P820" s="336"/>
      <c r="Q820" s="336"/>
      <c r="R820" s="336"/>
      <c r="S820" s="336"/>
      <c r="T820" s="336"/>
    </row>
    <row r="821" spans="1:20" x14ac:dyDescent="0.25">
      <c r="A821" s="336"/>
      <c r="B821" s="336"/>
      <c r="C821" s="336"/>
      <c r="D821" s="336"/>
      <c r="E821" s="336"/>
      <c r="F821" s="104" t="b">
        <f t="array" ref="F821">IF(_xlfn.NUMBERVALUE(RIGHT($E821,2))=MAX(IF(LEFT($E821:$E2819,11)=LEFT($E821,11),_xlfn.NUMBERVALUE(RIGHT($E821:$E2819,2)))),TRUE)</f>
        <v>1</v>
      </c>
      <c r="G821" s="336"/>
      <c r="H821" s="336"/>
      <c r="I821" s="336"/>
      <c r="J821" s="336"/>
      <c r="K821" s="336"/>
      <c r="L821" s="336"/>
      <c r="M821" s="336"/>
      <c r="N821" s="336"/>
      <c r="O821" s="336"/>
      <c r="P821" s="336"/>
      <c r="Q821" s="336"/>
      <c r="R821" s="336"/>
      <c r="S821" s="336"/>
      <c r="T821" s="336"/>
    </row>
    <row r="822" spans="1:20" x14ac:dyDescent="0.25">
      <c r="A822" s="336"/>
      <c r="B822" s="336"/>
      <c r="C822" s="336"/>
      <c r="D822" s="336"/>
      <c r="E822" s="336"/>
      <c r="F822" s="104" t="b">
        <f t="array" ref="F822">IF(_xlfn.NUMBERVALUE(RIGHT($E822,2))=MAX(IF(LEFT($E822:$E2820,11)=LEFT($E822,11),_xlfn.NUMBERVALUE(RIGHT($E822:$E2820,2)))),TRUE)</f>
        <v>1</v>
      </c>
      <c r="G822" s="336"/>
      <c r="H822" s="336"/>
      <c r="I822" s="336"/>
      <c r="J822" s="336"/>
      <c r="K822" s="336"/>
      <c r="L822" s="336"/>
      <c r="M822" s="336"/>
      <c r="N822" s="336"/>
      <c r="O822" s="336"/>
      <c r="P822" s="336"/>
      <c r="Q822" s="336"/>
      <c r="R822" s="336"/>
      <c r="S822" s="336"/>
      <c r="T822" s="336"/>
    </row>
    <row r="823" spans="1:20" x14ac:dyDescent="0.25">
      <c r="A823" s="336"/>
      <c r="B823" s="336"/>
      <c r="C823" s="336"/>
      <c r="D823" s="336"/>
      <c r="E823" s="336"/>
      <c r="F823" s="104" t="b">
        <f t="array" ref="F823">IF(_xlfn.NUMBERVALUE(RIGHT($E823,2))=MAX(IF(LEFT($E823:$E2821,11)=LEFT($E823,11),_xlfn.NUMBERVALUE(RIGHT($E823:$E2821,2)))),TRUE)</f>
        <v>1</v>
      </c>
      <c r="G823" s="336"/>
      <c r="H823" s="336"/>
      <c r="I823" s="336"/>
      <c r="J823" s="336"/>
      <c r="K823" s="336"/>
      <c r="L823" s="336"/>
      <c r="M823" s="336"/>
      <c r="N823" s="336"/>
      <c r="O823" s="336"/>
      <c r="P823" s="336"/>
      <c r="Q823" s="336"/>
      <c r="R823" s="336"/>
      <c r="S823" s="336"/>
      <c r="T823" s="336"/>
    </row>
    <row r="824" spans="1:20" x14ac:dyDescent="0.25">
      <c r="A824" s="336"/>
      <c r="B824" s="336"/>
      <c r="C824" s="336"/>
      <c r="D824" s="336"/>
      <c r="E824" s="336"/>
      <c r="F824" s="104" t="b">
        <f t="array" ref="F824">IF(_xlfn.NUMBERVALUE(RIGHT($E824,2))=MAX(IF(LEFT($E824:$E2822,11)=LEFT($E824,11),_xlfn.NUMBERVALUE(RIGHT($E824:$E2822,2)))),TRUE)</f>
        <v>1</v>
      </c>
      <c r="G824" s="336"/>
      <c r="H824" s="336"/>
      <c r="I824" s="336"/>
      <c r="J824" s="336"/>
      <c r="K824" s="336"/>
      <c r="L824" s="336"/>
      <c r="M824" s="336"/>
      <c r="N824" s="336"/>
      <c r="O824" s="336"/>
      <c r="P824" s="336"/>
      <c r="Q824" s="336"/>
      <c r="R824" s="336"/>
      <c r="S824" s="336"/>
      <c r="T824" s="336"/>
    </row>
    <row r="825" spans="1:20" x14ac:dyDescent="0.25">
      <c r="A825" s="336"/>
      <c r="B825" s="336"/>
      <c r="C825" s="336"/>
      <c r="D825" s="336"/>
      <c r="E825" s="336"/>
      <c r="F825" s="104" t="b">
        <f t="array" ref="F825">IF(_xlfn.NUMBERVALUE(RIGHT($E825,2))=MAX(IF(LEFT($E825:$E2823,11)=LEFT($E825,11),_xlfn.NUMBERVALUE(RIGHT($E825:$E2823,2)))),TRUE)</f>
        <v>1</v>
      </c>
      <c r="G825" s="336"/>
      <c r="H825" s="336"/>
      <c r="I825" s="336"/>
      <c r="J825" s="336"/>
      <c r="K825" s="336"/>
      <c r="L825" s="336"/>
      <c r="M825" s="336"/>
      <c r="N825" s="336"/>
      <c r="O825" s="336"/>
      <c r="P825" s="336"/>
      <c r="Q825" s="336"/>
      <c r="R825" s="336"/>
      <c r="S825" s="336"/>
      <c r="T825" s="336"/>
    </row>
    <row r="826" spans="1:20" x14ac:dyDescent="0.25">
      <c r="A826" s="336"/>
      <c r="B826" s="336"/>
      <c r="C826" s="336"/>
      <c r="D826" s="336"/>
      <c r="E826" s="336"/>
      <c r="F826" s="104" t="b">
        <f t="array" ref="F826">IF(_xlfn.NUMBERVALUE(RIGHT($E826,2))=MAX(IF(LEFT($E826:$E2824,11)=LEFT($E826,11),_xlfn.NUMBERVALUE(RIGHT($E826:$E2824,2)))),TRUE)</f>
        <v>1</v>
      </c>
      <c r="G826" s="336"/>
      <c r="H826" s="336"/>
      <c r="I826" s="336"/>
      <c r="J826" s="336"/>
      <c r="K826" s="336"/>
      <c r="L826" s="336"/>
      <c r="M826" s="336"/>
      <c r="N826" s="336"/>
      <c r="O826" s="336"/>
      <c r="P826" s="336"/>
      <c r="Q826" s="336"/>
      <c r="R826" s="336"/>
      <c r="S826" s="336"/>
      <c r="T826" s="336"/>
    </row>
    <row r="827" spans="1:20" x14ac:dyDescent="0.25">
      <c r="A827" s="336"/>
      <c r="B827" s="336"/>
      <c r="C827" s="336"/>
      <c r="D827" s="336"/>
      <c r="E827" s="336"/>
      <c r="F827" s="104" t="b">
        <f t="array" ref="F827">IF(_xlfn.NUMBERVALUE(RIGHT($E827,2))=MAX(IF(LEFT($E827:$E2825,11)=LEFT($E827,11),_xlfn.NUMBERVALUE(RIGHT($E827:$E2825,2)))),TRUE)</f>
        <v>1</v>
      </c>
      <c r="G827" s="336"/>
      <c r="H827" s="336"/>
      <c r="I827" s="336"/>
      <c r="J827" s="336"/>
      <c r="K827" s="336"/>
      <c r="L827" s="336"/>
      <c r="M827" s="336"/>
      <c r="N827" s="336"/>
      <c r="O827" s="336"/>
      <c r="P827" s="336"/>
      <c r="Q827" s="336"/>
      <c r="R827" s="336"/>
      <c r="S827" s="336"/>
      <c r="T827" s="336"/>
    </row>
    <row r="828" spans="1:20" x14ac:dyDescent="0.25">
      <c r="A828" s="336"/>
      <c r="B828" s="336"/>
      <c r="C828" s="336"/>
      <c r="D828" s="336"/>
      <c r="E828" s="336"/>
      <c r="F828" s="104" t="b">
        <f t="array" ref="F828">IF(_xlfn.NUMBERVALUE(RIGHT($E828,2))=MAX(IF(LEFT($E828:$E2826,11)=LEFT($E828,11),_xlfn.NUMBERVALUE(RIGHT($E828:$E2826,2)))),TRUE)</f>
        <v>1</v>
      </c>
      <c r="G828" s="336"/>
      <c r="H828" s="336"/>
      <c r="I828" s="336"/>
      <c r="J828" s="336"/>
      <c r="K828" s="336"/>
      <c r="L828" s="336"/>
      <c r="M828" s="336"/>
      <c r="N828" s="336"/>
      <c r="O828" s="336"/>
      <c r="P828" s="336"/>
      <c r="Q828" s="336"/>
      <c r="R828" s="336"/>
      <c r="S828" s="336"/>
      <c r="T828" s="336"/>
    </row>
    <row r="829" spans="1:20" x14ac:dyDescent="0.25">
      <c r="A829" s="336"/>
      <c r="B829" s="336"/>
      <c r="C829" s="336"/>
      <c r="D829" s="336"/>
      <c r="E829" s="336"/>
      <c r="F829" s="104" t="b">
        <f t="array" ref="F829">IF(_xlfn.NUMBERVALUE(RIGHT($E829,2))=MAX(IF(LEFT($E829:$E2827,11)=LEFT($E829,11),_xlfn.NUMBERVALUE(RIGHT($E829:$E2827,2)))),TRUE)</f>
        <v>1</v>
      </c>
      <c r="G829" s="336"/>
      <c r="H829" s="336"/>
      <c r="I829" s="336"/>
      <c r="J829" s="336"/>
      <c r="K829" s="336"/>
      <c r="L829" s="336"/>
      <c r="M829" s="336"/>
      <c r="N829" s="336"/>
      <c r="O829" s="336"/>
      <c r="P829" s="336"/>
      <c r="Q829" s="336"/>
      <c r="R829" s="336"/>
      <c r="S829" s="336"/>
      <c r="T829" s="336"/>
    </row>
    <row r="830" spans="1:20" x14ac:dyDescent="0.25">
      <c r="A830" s="336"/>
      <c r="B830" s="336"/>
      <c r="C830" s="336"/>
      <c r="D830" s="336"/>
      <c r="E830" s="336"/>
      <c r="F830" s="104" t="b">
        <f t="array" ref="F830">IF(_xlfn.NUMBERVALUE(RIGHT($E830,2))=MAX(IF(LEFT($E830:$E2828,11)=LEFT($E830,11),_xlfn.NUMBERVALUE(RIGHT($E830:$E2828,2)))),TRUE)</f>
        <v>1</v>
      </c>
      <c r="G830" s="336"/>
      <c r="H830" s="336"/>
      <c r="I830" s="336"/>
      <c r="J830" s="336"/>
      <c r="K830" s="336"/>
      <c r="L830" s="336"/>
      <c r="M830" s="336"/>
      <c r="N830" s="336"/>
      <c r="O830" s="336"/>
      <c r="P830" s="336"/>
      <c r="Q830" s="336"/>
      <c r="R830" s="336"/>
      <c r="S830" s="336"/>
      <c r="T830" s="336"/>
    </row>
    <row r="831" spans="1:20" x14ac:dyDescent="0.25">
      <c r="A831" s="336"/>
      <c r="B831" s="336"/>
      <c r="C831" s="336"/>
      <c r="D831" s="336"/>
      <c r="E831" s="336"/>
      <c r="F831" s="104" t="b">
        <f t="array" ref="F831">IF(_xlfn.NUMBERVALUE(RIGHT($E831,2))=MAX(IF(LEFT($E831:$E2829,11)=LEFT($E831,11),_xlfn.NUMBERVALUE(RIGHT($E831:$E2829,2)))),TRUE)</f>
        <v>1</v>
      </c>
      <c r="G831" s="336"/>
      <c r="H831" s="336"/>
      <c r="I831" s="336"/>
      <c r="J831" s="336"/>
      <c r="K831" s="336"/>
      <c r="L831" s="336"/>
      <c r="M831" s="336"/>
      <c r="N831" s="336"/>
      <c r="O831" s="336"/>
      <c r="P831" s="336"/>
      <c r="Q831" s="336"/>
      <c r="R831" s="336"/>
      <c r="S831" s="336"/>
      <c r="T831" s="336"/>
    </row>
    <row r="832" spans="1:20" x14ac:dyDescent="0.25">
      <c r="A832" s="336"/>
      <c r="B832" s="336"/>
      <c r="C832" s="336"/>
      <c r="D832" s="336"/>
      <c r="E832" s="336"/>
      <c r="F832" s="104" t="b">
        <f t="array" ref="F832">IF(_xlfn.NUMBERVALUE(RIGHT($E832,2))=MAX(IF(LEFT($E832:$E2830,11)=LEFT($E832,11),_xlfn.NUMBERVALUE(RIGHT($E832:$E2830,2)))),TRUE)</f>
        <v>1</v>
      </c>
      <c r="G832" s="336"/>
      <c r="H832" s="336"/>
      <c r="I832" s="336"/>
      <c r="J832" s="336"/>
      <c r="K832" s="336"/>
      <c r="L832" s="336"/>
      <c r="M832" s="336"/>
      <c r="N832" s="336"/>
      <c r="O832" s="336"/>
      <c r="P832" s="336"/>
      <c r="Q832" s="336"/>
      <c r="R832" s="336"/>
      <c r="S832" s="336"/>
      <c r="T832" s="336"/>
    </row>
    <row r="833" spans="1:20" x14ac:dyDescent="0.25">
      <c r="A833" s="336"/>
      <c r="B833" s="336"/>
      <c r="C833" s="336"/>
      <c r="D833" s="336"/>
      <c r="E833" s="336"/>
      <c r="F833" s="104" t="b">
        <f t="array" ref="F833">IF(_xlfn.NUMBERVALUE(RIGHT($E833,2))=MAX(IF(LEFT($E833:$E2831,11)=LEFT($E833,11),_xlfn.NUMBERVALUE(RIGHT($E833:$E2831,2)))),TRUE)</f>
        <v>1</v>
      </c>
      <c r="G833" s="336"/>
      <c r="H833" s="336"/>
      <c r="I833" s="336"/>
      <c r="J833" s="336"/>
      <c r="K833" s="336"/>
      <c r="L833" s="336"/>
      <c r="M833" s="336"/>
      <c r="N833" s="336"/>
      <c r="O833" s="336"/>
      <c r="P833" s="336"/>
      <c r="Q833" s="336"/>
      <c r="R833" s="336"/>
      <c r="S833" s="336"/>
      <c r="T833" s="336"/>
    </row>
    <row r="834" spans="1:20" x14ac:dyDescent="0.25">
      <c r="A834" s="336"/>
      <c r="B834" s="336"/>
      <c r="C834" s="336"/>
      <c r="D834" s="336"/>
      <c r="E834" s="336"/>
      <c r="F834" s="104" t="b">
        <f t="array" ref="F834">IF(_xlfn.NUMBERVALUE(RIGHT($E834,2))=MAX(IF(LEFT($E834:$E2832,11)=LEFT($E834,11),_xlfn.NUMBERVALUE(RIGHT($E834:$E2832,2)))),TRUE)</f>
        <v>1</v>
      </c>
      <c r="G834" s="336"/>
      <c r="H834" s="336"/>
      <c r="I834" s="336"/>
      <c r="J834" s="336"/>
      <c r="K834" s="336"/>
      <c r="L834" s="336"/>
      <c r="M834" s="336"/>
      <c r="N834" s="336"/>
      <c r="O834" s="336"/>
      <c r="P834" s="336"/>
      <c r="Q834" s="336"/>
      <c r="R834" s="336"/>
      <c r="S834" s="336"/>
      <c r="T834" s="336"/>
    </row>
    <row r="835" spans="1:20" x14ac:dyDescent="0.25">
      <c r="A835" s="336"/>
      <c r="B835" s="336"/>
      <c r="C835" s="336"/>
      <c r="D835" s="336"/>
      <c r="E835" s="336"/>
      <c r="F835" s="104" t="b">
        <f t="array" ref="F835">IF(_xlfn.NUMBERVALUE(RIGHT($E835,2))=MAX(IF(LEFT($E835:$E2833,11)=LEFT($E835,11),_xlfn.NUMBERVALUE(RIGHT($E835:$E2833,2)))),TRUE)</f>
        <v>1</v>
      </c>
      <c r="G835" s="336"/>
      <c r="H835" s="336"/>
      <c r="I835" s="336"/>
      <c r="J835" s="336"/>
      <c r="K835" s="336"/>
      <c r="L835" s="336"/>
      <c r="M835" s="336"/>
      <c r="N835" s="336"/>
      <c r="O835" s="336"/>
      <c r="P835" s="336"/>
      <c r="Q835" s="336"/>
      <c r="R835" s="336"/>
      <c r="S835" s="336"/>
      <c r="T835" s="336"/>
    </row>
    <row r="836" spans="1:20" x14ac:dyDescent="0.25">
      <c r="A836" s="336"/>
      <c r="B836" s="336"/>
      <c r="C836" s="336"/>
      <c r="D836" s="336"/>
      <c r="E836" s="336"/>
      <c r="F836" s="104" t="b">
        <f t="array" ref="F836">IF(_xlfn.NUMBERVALUE(RIGHT($E836,2))=MAX(IF(LEFT($E836:$E2834,11)=LEFT($E836,11),_xlfn.NUMBERVALUE(RIGHT($E836:$E2834,2)))),TRUE)</f>
        <v>1</v>
      </c>
      <c r="G836" s="336"/>
      <c r="H836" s="336"/>
      <c r="I836" s="336"/>
      <c r="J836" s="336"/>
      <c r="K836" s="336"/>
      <c r="L836" s="336"/>
      <c r="M836" s="336"/>
      <c r="N836" s="336"/>
      <c r="O836" s="336"/>
      <c r="P836" s="336"/>
      <c r="Q836" s="336"/>
      <c r="R836" s="336"/>
      <c r="S836" s="336"/>
      <c r="T836" s="336"/>
    </row>
    <row r="837" spans="1:20" x14ac:dyDescent="0.25">
      <c r="A837" s="336"/>
      <c r="B837" s="336"/>
      <c r="C837" s="336"/>
      <c r="D837" s="336"/>
      <c r="E837" s="336"/>
      <c r="F837" s="104" t="b">
        <f t="array" ref="F837">IF(_xlfn.NUMBERVALUE(RIGHT($E837,2))=MAX(IF(LEFT($E837:$E2835,11)=LEFT($E837,11),_xlfn.NUMBERVALUE(RIGHT($E837:$E2835,2)))),TRUE)</f>
        <v>1</v>
      </c>
      <c r="G837" s="336"/>
      <c r="H837" s="336"/>
      <c r="I837" s="336"/>
      <c r="J837" s="336"/>
      <c r="K837" s="336"/>
      <c r="L837" s="336"/>
      <c r="M837" s="336"/>
      <c r="N837" s="336"/>
      <c r="O837" s="336"/>
      <c r="P837" s="336"/>
      <c r="Q837" s="336"/>
      <c r="R837" s="336"/>
      <c r="S837" s="336"/>
      <c r="T837" s="336"/>
    </row>
    <row r="838" spans="1:20" x14ac:dyDescent="0.25">
      <c r="A838" s="336"/>
      <c r="B838" s="336"/>
      <c r="C838" s="336"/>
      <c r="D838" s="336"/>
      <c r="E838" s="336"/>
      <c r="F838" s="104" t="b">
        <f t="array" ref="F838">IF(_xlfn.NUMBERVALUE(RIGHT($E838,2))=MAX(IF(LEFT($E838:$E2836,11)=LEFT($E838,11),_xlfn.NUMBERVALUE(RIGHT($E838:$E2836,2)))),TRUE)</f>
        <v>1</v>
      </c>
      <c r="G838" s="336"/>
      <c r="H838" s="336"/>
      <c r="I838" s="336"/>
      <c r="J838" s="336"/>
      <c r="K838" s="336"/>
      <c r="L838" s="336"/>
      <c r="M838" s="336"/>
      <c r="N838" s="336"/>
      <c r="O838" s="336"/>
      <c r="P838" s="336"/>
      <c r="Q838" s="336"/>
      <c r="R838" s="336"/>
      <c r="S838" s="336"/>
      <c r="T838" s="336"/>
    </row>
    <row r="839" spans="1:20" x14ac:dyDescent="0.25">
      <c r="A839" s="336"/>
      <c r="B839" s="336"/>
      <c r="C839" s="336"/>
      <c r="D839" s="336"/>
      <c r="E839" s="336"/>
      <c r="F839" s="104" t="b">
        <f t="array" ref="F839">IF(_xlfn.NUMBERVALUE(RIGHT($E839,2))=MAX(IF(LEFT($E839:$E2837,11)=LEFT($E839,11),_xlfn.NUMBERVALUE(RIGHT($E839:$E2837,2)))),TRUE)</f>
        <v>1</v>
      </c>
      <c r="G839" s="336"/>
      <c r="H839" s="336"/>
      <c r="I839" s="336"/>
      <c r="J839" s="336"/>
      <c r="K839" s="336"/>
      <c r="L839" s="336"/>
      <c r="M839" s="336"/>
      <c r="N839" s="336"/>
      <c r="O839" s="336"/>
      <c r="P839" s="336"/>
      <c r="Q839" s="336"/>
      <c r="R839" s="336"/>
      <c r="S839" s="336"/>
      <c r="T839" s="336"/>
    </row>
    <row r="840" spans="1:20" x14ac:dyDescent="0.25">
      <c r="A840" s="336"/>
      <c r="B840" s="336"/>
      <c r="C840" s="336"/>
      <c r="D840" s="336"/>
      <c r="E840" s="336"/>
      <c r="F840" s="104" t="b">
        <f t="array" ref="F840">IF(_xlfn.NUMBERVALUE(RIGHT($E840,2))=MAX(IF(LEFT($E840:$E2838,11)=LEFT($E840,11),_xlfn.NUMBERVALUE(RIGHT($E840:$E2838,2)))),TRUE)</f>
        <v>1</v>
      </c>
      <c r="G840" s="336"/>
      <c r="H840" s="336"/>
      <c r="I840" s="336"/>
      <c r="J840" s="336"/>
      <c r="K840" s="336"/>
      <c r="L840" s="336"/>
      <c r="M840" s="336"/>
      <c r="N840" s="336"/>
      <c r="O840" s="336"/>
      <c r="P840" s="336"/>
      <c r="Q840" s="336"/>
      <c r="R840" s="336"/>
      <c r="S840" s="336"/>
      <c r="T840" s="336"/>
    </row>
    <row r="841" spans="1:20" x14ac:dyDescent="0.25">
      <c r="A841" s="336"/>
      <c r="B841" s="336"/>
      <c r="C841" s="336"/>
      <c r="D841" s="336"/>
      <c r="E841" s="336"/>
      <c r="F841" s="104" t="b">
        <f t="array" ref="F841">IF(_xlfn.NUMBERVALUE(RIGHT($E841,2))=MAX(IF(LEFT($E841:$E2839,11)=LEFT($E841,11),_xlfn.NUMBERVALUE(RIGHT($E841:$E2839,2)))),TRUE)</f>
        <v>1</v>
      </c>
      <c r="G841" s="336"/>
      <c r="H841" s="336"/>
      <c r="I841" s="336"/>
      <c r="J841" s="336"/>
      <c r="K841" s="336"/>
      <c r="L841" s="336"/>
      <c r="M841" s="336"/>
      <c r="N841" s="336"/>
      <c r="O841" s="336"/>
      <c r="P841" s="336"/>
      <c r="Q841" s="336"/>
      <c r="R841" s="336"/>
      <c r="S841" s="336"/>
      <c r="T841" s="336"/>
    </row>
    <row r="842" spans="1:20" x14ac:dyDescent="0.25">
      <c r="A842" s="336"/>
      <c r="B842" s="336"/>
      <c r="C842" s="336"/>
      <c r="D842" s="336"/>
      <c r="E842" s="336"/>
      <c r="F842" s="104" t="b">
        <f t="array" ref="F842">IF(_xlfn.NUMBERVALUE(RIGHT($E842,2))=MAX(IF(LEFT($E842:$E2840,11)=LEFT($E842,11),_xlfn.NUMBERVALUE(RIGHT($E842:$E2840,2)))),TRUE)</f>
        <v>1</v>
      </c>
      <c r="G842" s="336"/>
      <c r="H842" s="336"/>
      <c r="I842" s="336"/>
      <c r="J842" s="336"/>
      <c r="K842" s="336"/>
      <c r="L842" s="336"/>
      <c r="M842" s="336"/>
      <c r="N842" s="336"/>
      <c r="O842" s="336"/>
      <c r="P842" s="336"/>
      <c r="Q842" s="336"/>
      <c r="R842" s="336"/>
      <c r="S842" s="336"/>
      <c r="T842" s="336"/>
    </row>
    <row r="843" spans="1:20" x14ac:dyDescent="0.25">
      <c r="A843" s="336"/>
      <c r="B843" s="336"/>
      <c r="C843" s="336"/>
      <c r="D843" s="336"/>
      <c r="E843" s="336"/>
      <c r="F843" s="104" t="b">
        <f t="array" ref="F843">IF(_xlfn.NUMBERVALUE(RIGHT($E843,2))=MAX(IF(LEFT($E843:$E2841,11)=LEFT($E843,11),_xlfn.NUMBERVALUE(RIGHT($E843:$E2841,2)))),TRUE)</f>
        <v>1</v>
      </c>
      <c r="G843" s="336"/>
      <c r="H843" s="336"/>
      <c r="I843" s="336"/>
      <c r="J843" s="336"/>
      <c r="K843" s="336"/>
      <c r="L843" s="336"/>
      <c r="M843" s="336"/>
      <c r="N843" s="336"/>
      <c r="O843" s="336"/>
      <c r="P843" s="336"/>
      <c r="Q843" s="336"/>
      <c r="R843" s="336"/>
      <c r="S843" s="336"/>
      <c r="T843" s="336"/>
    </row>
    <row r="844" spans="1:20" x14ac:dyDescent="0.25">
      <c r="A844" s="336"/>
      <c r="B844" s="336"/>
      <c r="C844" s="336"/>
      <c r="D844" s="336"/>
      <c r="E844" s="336"/>
      <c r="F844" s="104" t="b">
        <f t="array" ref="F844">IF(_xlfn.NUMBERVALUE(RIGHT($E844,2))=MAX(IF(LEFT($E844:$E2842,11)=LEFT($E844,11),_xlfn.NUMBERVALUE(RIGHT($E844:$E2842,2)))),TRUE)</f>
        <v>1</v>
      </c>
      <c r="G844" s="336"/>
      <c r="H844" s="336"/>
      <c r="I844" s="336"/>
      <c r="J844" s="336"/>
      <c r="K844" s="336"/>
      <c r="L844" s="336"/>
      <c r="M844" s="336"/>
      <c r="N844" s="336"/>
      <c r="O844" s="336"/>
      <c r="P844" s="336"/>
      <c r="Q844" s="336"/>
      <c r="R844" s="336"/>
      <c r="S844" s="336"/>
      <c r="T844" s="336"/>
    </row>
    <row r="845" spans="1:20" x14ac:dyDescent="0.25">
      <c r="A845" s="336"/>
      <c r="B845" s="336"/>
      <c r="C845" s="336"/>
      <c r="D845" s="336"/>
      <c r="E845" s="336"/>
      <c r="F845" s="104" t="b">
        <f t="array" ref="F845">IF(_xlfn.NUMBERVALUE(RIGHT($E845,2))=MAX(IF(LEFT($E845:$E2843,11)=LEFT($E845,11),_xlfn.NUMBERVALUE(RIGHT($E845:$E2843,2)))),TRUE)</f>
        <v>1</v>
      </c>
      <c r="G845" s="336"/>
      <c r="H845" s="336"/>
      <c r="I845" s="336"/>
      <c r="J845" s="336"/>
      <c r="K845" s="336"/>
      <c r="L845" s="336"/>
      <c r="M845" s="336"/>
      <c r="N845" s="336"/>
      <c r="O845" s="336"/>
      <c r="P845" s="336"/>
      <c r="Q845" s="336"/>
      <c r="R845" s="336"/>
      <c r="S845" s="336"/>
      <c r="T845" s="336"/>
    </row>
    <row r="846" spans="1:20" x14ac:dyDescent="0.25">
      <c r="A846" s="336"/>
      <c r="B846" s="336"/>
      <c r="C846" s="336"/>
      <c r="D846" s="336"/>
      <c r="E846" s="336"/>
      <c r="F846" s="104" t="b">
        <f t="array" ref="F846">IF(_xlfn.NUMBERVALUE(RIGHT($E846,2))=MAX(IF(LEFT($E846:$E2844,11)=LEFT($E846,11),_xlfn.NUMBERVALUE(RIGHT($E846:$E2844,2)))),TRUE)</f>
        <v>1</v>
      </c>
      <c r="G846" s="336"/>
      <c r="H846" s="336"/>
      <c r="I846" s="336"/>
      <c r="J846" s="336"/>
      <c r="K846" s="336"/>
      <c r="L846" s="336"/>
      <c r="M846" s="336"/>
      <c r="N846" s="336"/>
      <c r="O846" s="336"/>
      <c r="P846" s="336"/>
      <c r="Q846" s="336"/>
      <c r="R846" s="336"/>
      <c r="S846" s="336"/>
      <c r="T846" s="336"/>
    </row>
    <row r="847" spans="1:20" x14ac:dyDescent="0.25">
      <c r="A847" s="336"/>
      <c r="B847" s="336"/>
      <c r="C847" s="336"/>
      <c r="D847" s="336"/>
      <c r="E847" s="336"/>
      <c r="F847" s="104" t="b">
        <f t="array" ref="F847">IF(_xlfn.NUMBERVALUE(RIGHT($E847,2))=MAX(IF(LEFT($E847:$E2845,11)=LEFT($E847,11),_xlfn.NUMBERVALUE(RIGHT($E847:$E2845,2)))),TRUE)</f>
        <v>1</v>
      </c>
      <c r="G847" s="336"/>
      <c r="H847" s="336"/>
      <c r="I847" s="336"/>
      <c r="J847" s="336"/>
      <c r="K847" s="336"/>
      <c r="L847" s="336"/>
      <c r="M847" s="336"/>
      <c r="N847" s="336"/>
      <c r="O847" s="336"/>
      <c r="P847" s="336"/>
      <c r="Q847" s="336"/>
      <c r="R847" s="336"/>
      <c r="S847" s="336"/>
      <c r="T847" s="336"/>
    </row>
    <row r="848" spans="1:20" x14ac:dyDescent="0.25">
      <c r="A848" s="336"/>
      <c r="B848" s="336"/>
      <c r="C848" s="336"/>
      <c r="D848" s="336"/>
      <c r="E848" s="336"/>
      <c r="F848" s="104" t="b">
        <f t="array" ref="F848">IF(_xlfn.NUMBERVALUE(RIGHT($E848,2))=MAX(IF(LEFT($E848:$E2846,11)=LEFT($E848,11),_xlfn.NUMBERVALUE(RIGHT($E848:$E2846,2)))),TRUE)</f>
        <v>1</v>
      </c>
      <c r="G848" s="336"/>
      <c r="H848" s="336"/>
      <c r="I848" s="336"/>
      <c r="J848" s="336"/>
      <c r="K848" s="336"/>
      <c r="L848" s="336"/>
      <c r="M848" s="336"/>
      <c r="N848" s="336"/>
      <c r="O848" s="336"/>
      <c r="P848" s="336"/>
      <c r="Q848" s="336"/>
      <c r="R848" s="336"/>
      <c r="S848" s="336"/>
      <c r="T848" s="336"/>
    </row>
    <row r="849" spans="1:20" x14ac:dyDescent="0.25">
      <c r="A849" s="336"/>
      <c r="B849" s="336"/>
      <c r="C849" s="336"/>
      <c r="D849" s="336"/>
      <c r="E849" s="336"/>
      <c r="F849" s="104" t="b">
        <f t="array" ref="F849">IF(_xlfn.NUMBERVALUE(RIGHT($E849,2))=MAX(IF(LEFT($E849:$E2847,11)=LEFT($E849,11),_xlfn.NUMBERVALUE(RIGHT($E849:$E2847,2)))),TRUE)</f>
        <v>1</v>
      </c>
      <c r="G849" s="336"/>
      <c r="H849" s="336"/>
      <c r="I849" s="336"/>
      <c r="J849" s="336"/>
      <c r="K849" s="336"/>
      <c r="L849" s="336"/>
      <c r="M849" s="336"/>
      <c r="N849" s="336"/>
      <c r="O849" s="336"/>
      <c r="P849" s="336"/>
      <c r="Q849" s="336"/>
      <c r="R849" s="336"/>
      <c r="S849" s="336"/>
      <c r="T849" s="336"/>
    </row>
    <row r="850" spans="1:20" x14ac:dyDescent="0.25">
      <c r="A850" s="336"/>
      <c r="B850" s="336"/>
      <c r="C850" s="336"/>
      <c r="D850" s="336"/>
      <c r="E850" s="336"/>
      <c r="F850" s="104" t="b">
        <f t="array" ref="F850">IF(_xlfn.NUMBERVALUE(RIGHT($E850,2))=MAX(IF(LEFT($E850:$E2848,11)=LEFT($E850,11),_xlfn.NUMBERVALUE(RIGHT($E850:$E2848,2)))),TRUE)</f>
        <v>1</v>
      </c>
      <c r="G850" s="336"/>
      <c r="H850" s="336"/>
      <c r="I850" s="336"/>
      <c r="J850" s="336"/>
      <c r="K850" s="336"/>
      <c r="L850" s="336"/>
      <c r="M850" s="336"/>
      <c r="N850" s="336"/>
      <c r="O850" s="336"/>
      <c r="P850" s="336"/>
      <c r="Q850" s="336"/>
      <c r="R850" s="336"/>
      <c r="S850" s="336"/>
      <c r="T850" s="336"/>
    </row>
    <row r="851" spans="1:20" x14ac:dyDescent="0.25">
      <c r="A851" s="336"/>
      <c r="B851" s="336"/>
      <c r="C851" s="336"/>
      <c r="D851" s="336"/>
      <c r="E851" s="336"/>
      <c r="F851" s="104" t="b">
        <f t="array" ref="F851">IF(_xlfn.NUMBERVALUE(RIGHT($E851,2))=MAX(IF(LEFT($E851:$E2849,11)=LEFT($E851,11),_xlfn.NUMBERVALUE(RIGHT($E851:$E2849,2)))),TRUE)</f>
        <v>1</v>
      </c>
      <c r="G851" s="336"/>
      <c r="H851" s="336"/>
      <c r="I851" s="336"/>
      <c r="J851" s="336"/>
      <c r="K851" s="336"/>
      <c r="L851" s="336"/>
      <c r="M851" s="336"/>
      <c r="N851" s="336"/>
      <c r="O851" s="336"/>
      <c r="P851" s="336"/>
      <c r="Q851" s="336"/>
      <c r="R851" s="336"/>
      <c r="S851" s="336"/>
      <c r="T851" s="336"/>
    </row>
    <row r="852" spans="1:20" x14ac:dyDescent="0.25">
      <c r="A852" s="336"/>
      <c r="B852" s="336"/>
      <c r="C852" s="336"/>
      <c r="D852" s="336"/>
      <c r="E852" s="336"/>
      <c r="F852" s="104" t="b">
        <f t="array" ref="F852">IF(_xlfn.NUMBERVALUE(RIGHT($E852,2))=MAX(IF(LEFT($E852:$E2850,11)=LEFT($E852,11),_xlfn.NUMBERVALUE(RIGHT($E852:$E2850,2)))),TRUE)</f>
        <v>1</v>
      </c>
      <c r="G852" s="336"/>
      <c r="H852" s="336"/>
      <c r="I852" s="336"/>
      <c r="J852" s="336"/>
      <c r="K852" s="336"/>
      <c r="L852" s="336"/>
      <c r="M852" s="336"/>
      <c r="N852" s="336"/>
      <c r="O852" s="336"/>
      <c r="P852" s="336"/>
      <c r="Q852" s="336"/>
      <c r="R852" s="336"/>
      <c r="S852" s="336"/>
      <c r="T852" s="336"/>
    </row>
    <row r="853" spans="1:20" x14ac:dyDescent="0.25">
      <c r="A853" s="336"/>
      <c r="B853" s="336"/>
      <c r="C853" s="336"/>
      <c r="D853" s="336"/>
      <c r="E853" s="336"/>
      <c r="F853" s="104" t="b">
        <f t="array" ref="F853">IF(_xlfn.NUMBERVALUE(RIGHT($E853,2))=MAX(IF(LEFT($E853:$E2851,11)=LEFT($E853,11),_xlfn.NUMBERVALUE(RIGHT($E853:$E2851,2)))),TRUE)</f>
        <v>1</v>
      </c>
      <c r="G853" s="336"/>
      <c r="H853" s="336"/>
      <c r="I853" s="336"/>
      <c r="J853" s="336"/>
      <c r="K853" s="336"/>
      <c r="L853" s="336"/>
      <c r="M853" s="336"/>
      <c r="N853" s="336"/>
      <c r="O853" s="336"/>
      <c r="P853" s="336"/>
      <c r="Q853" s="336"/>
      <c r="R853" s="336"/>
      <c r="S853" s="336"/>
      <c r="T853" s="336"/>
    </row>
    <row r="854" spans="1:20" x14ac:dyDescent="0.25">
      <c r="A854" s="336"/>
      <c r="B854" s="336"/>
      <c r="C854" s="336"/>
      <c r="D854" s="336"/>
      <c r="E854" s="336"/>
      <c r="F854" s="104" t="b">
        <f t="array" ref="F854">IF(_xlfn.NUMBERVALUE(RIGHT($E854,2))=MAX(IF(LEFT($E854:$E2852,11)=LEFT($E854,11),_xlfn.NUMBERVALUE(RIGHT($E854:$E2852,2)))),TRUE)</f>
        <v>1</v>
      </c>
      <c r="G854" s="336"/>
      <c r="H854" s="336"/>
      <c r="I854" s="336"/>
      <c r="J854" s="336"/>
      <c r="K854" s="336"/>
      <c r="L854" s="336"/>
      <c r="M854" s="336"/>
      <c r="N854" s="336"/>
      <c r="O854" s="336"/>
      <c r="P854" s="336"/>
      <c r="Q854" s="336"/>
      <c r="R854" s="336"/>
      <c r="S854" s="336"/>
      <c r="T854" s="336"/>
    </row>
    <row r="855" spans="1:20" x14ac:dyDescent="0.25">
      <c r="A855" s="336"/>
      <c r="B855" s="336"/>
      <c r="C855" s="336"/>
      <c r="D855" s="336"/>
      <c r="E855" s="336"/>
      <c r="F855" s="104" t="b">
        <f t="array" ref="F855">IF(_xlfn.NUMBERVALUE(RIGHT($E855,2))=MAX(IF(LEFT($E855:$E2853,11)=LEFT($E855,11),_xlfn.NUMBERVALUE(RIGHT($E855:$E2853,2)))),TRUE)</f>
        <v>1</v>
      </c>
      <c r="G855" s="336"/>
      <c r="H855" s="336"/>
      <c r="I855" s="336"/>
      <c r="J855" s="336"/>
      <c r="K855" s="336"/>
      <c r="L855" s="336"/>
      <c r="M855" s="336"/>
      <c r="N855" s="336"/>
      <c r="O855" s="336"/>
      <c r="P855" s="336"/>
      <c r="Q855" s="336"/>
      <c r="R855" s="336"/>
      <c r="S855" s="336"/>
      <c r="T855" s="336"/>
    </row>
    <row r="856" spans="1:20" x14ac:dyDescent="0.25">
      <c r="A856" s="336"/>
      <c r="B856" s="336"/>
      <c r="C856" s="336"/>
      <c r="D856" s="336"/>
      <c r="E856" s="336"/>
      <c r="F856" s="104" t="b">
        <f t="array" ref="F856">IF(_xlfn.NUMBERVALUE(RIGHT($E856,2))=MAX(IF(LEFT($E856:$E2854,11)=LEFT($E856,11),_xlfn.NUMBERVALUE(RIGHT($E856:$E2854,2)))),TRUE)</f>
        <v>1</v>
      </c>
      <c r="G856" s="336"/>
      <c r="H856" s="336"/>
      <c r="I856" s="336"/>
      <c r="J856" s="336"/>
      <c r="K856" s="336"/>
      <c r="L856" s="336"/>
      <c r="M856" s="336"/>
      <c r="N856" s="336"/>
      <c r="O856" s="336"/>
      <c r="P856" s="336"/>
      <c r="Q856" s="336"/>
      <c r="R856" s="336"/>
      <c r="S856" s="336"/>
      <c r="T856" s="336"/>
    </row>
    <row r="857" spans="1:20" x14ac:dyDescent="0.25">
      <c r="A857" s="336"/>
      <c r="B857" s="336"/>
      <c r="C857" s="336"/>
      <c r="D857" s="336"/>
      <c r="E857" s="336"/>
      <c r="F857" s="104" t="b">
        <f t="array" ref="F857">IF(_xlfn.NUMBERVALUE(RIGHT($E857,2))=MAX(IF(LEFT($E857:$E2855,11)=LEFT($E857,11),_xlfn.NUMBERVALUE(RIGHT($E857:$E2855,2)))),TRUE)</f>
        <v>1</v>
      </c>
      <c r="G857" s="336"/>
      <c r="H857" s="336"/>
      <c r="I857" s="336"/>
      <c r="J857" s="336"/>
      <c r="K857" s="336"/>
      <c r="L857" s="336"/>
      <c r="M857" s="336"/>
      <c r="N857" s="336"/>
      <c r="O857" s="336"/>
      <c r="P857" s="336"/>
      <c r="Q857" s="336"/>
      <c r="R857" s="336"/>
      <c r="S857" s="336"/>
      <c r="T857" s="336"/>
    </row>
    <row r="858" spans="1:20" x14ac:dyDescent="0.25">
      <c r="A858" s="336"/>
      <c r="B858" s="336"/>
      <c r="C858" s="336"/>
      <c r="D858" s="336"/>
      <c r="E858" s="336"/>
      <c r="F858" s="104" t="b">
        <f t="array" ref="F858">IF(_xlfn.NUMBERVALUE(RIGHT($E858,2))=MAX(IF(LEFT($E858:$E2856,11)=LEFT($E858,11),_xlfn.NUMBERVALUE(RIGHT($E858:$E2856,2)))),TRUE)</f>
        <v>1</v>
      </c>
      <c r="G858" s="336"/>
      <c r="H858" s="336"/>
      <c r="I858" s="336"/>
      <c r="J858" s="336"/>
      <c r="K858" s="336"/>
      <c r="L858" s="336"/>
      <c r="M858" s="336"/>
      <c r="N858" s="336"/>
      <c r="O858" s="336"/>
      <c r="P858" s="336"/>
      <c r="Q858" s="336"/>
      <c r="R858" s="336"/>
      <c r="S858" s="336"/>
      <c r="T858" s="336"/>
    </row>
    <row r="859" spans="1:20" x14ac:dyDescent="0.25">
      <c r="A859" s="336"/>
      <c r="B859" s="336"/>
      <c r="C859" s="336"/>
      <c r="D859" s="336"/>
      <c r="E859" s="336"/>
      <c r="F859" s="104" t="b">
        <f t="array" ref="F859">IF(_xlfn.NUMBERVALUE(RIGHT($E859,2))=MAX(IF(LEFT($E859:$E2857,11)=LEFT($E859,11),_xlfn.NUMBERVALUE(RIGHT($E859:$E2857,2)))),TRUE)</f>
        <v>1</v>
      </c>
      <c r="G859" s="336"/>
      <c r="H859" s="336"/>
      <c r="I859" s="336"/>
      <c r="J859" s="336"/>
      <c r="K859" s="336"/>
      <c r="L859" s="336"/>
      <c r="M859" s="336"/>
      <c r="N859" s="336"/>
      <c r="O859" s="336"/>
      <c r="P859" s="336"/>
      <c r="Q859" s="336"/>
      <c r="R859" s="336"/>
      <c r="S859" s="336"/>
      <c r="T859" s="336"/>
    </row>
    <row r="860" spans="1:20" x14ac:dyDescent="0.25">
      <c r="A860" s="336"/>
      <c r="B860" s="336"/>
      <c r="C860" s="336"/>
      <c r="D860" s="336"/>
      <c r="E860" s="336"/>
      <c r="F860" s="104" t="b">
        <f t="array" ref="F860">IF(_xlfn.NUMBERVALUE(RIGHT($E860,2))=MAX(IF(LEFT($E860:$E2858,11)=LEFT($E860,11),_xlfn.NUMBERVALUE(RIGHT($E860:$E2858,2)))),TRUE)</f>
        <v>1</v>
      </c>
      <c r="G860" s="336"/>
      <c r="H860" s="336"/>
      <c r="I860" s="336"/>
      <c r="J860" s="336"/>
      <c r="K860" s="336"/>
      <c r="L860" s="336"/>
      <c r="M860" s="336"/>
      <c r="N860" s="336"/>
      <c r="O860" s="336"/>
      <c r="P860" s="336"/>
      <c r="Q860" s="336"/>
      <c r="R860" s="336"/>
      <c r="S860" s="336"/>
      <c r="T860" s="336"/>
    </row>
    <row r="861" spans="1:20" x14ac:dyDescent="0.25">
      <c r="A861" s="336"/>
      <c r="B861" s="336"/>
      <c r="C861" s="336"/>
      <c r="D861" s="336"/>
      <c r="E861" s="336"/>
      <c r="F861" s="104" t="b">
        <f t="array" ref="F861">IF(_xlfn.NUMBERVALUE(RIGHT($E861,2))=MAX(IF(LEFT($E861:$E2859,11)=LEFT($E861,11),_xlfn.NUMBERVALUE(RIGHT($E861:$E2859,2)))),TRUE)</f>
        <v>1</v>
      </c>
      <c r="G861" s="336"/>
      <c r="H861" s="336"/>
      <c r="I861" s="336"/>
      <c r="J861" s="336"/>
      <c r="K861" s="336"/>
      <c r="L861" s="336"/>
      <c r="M861" s="336"/>
      <c r="N861" s="336"/>
      <c r="O861" s="336"/>
      <c r="P861" s="336"/>
      <c r="Q861" s="336"/>
      <c r="R861" s="336"/>
      <c r="S861" s="336"/>
      <c r="T861" s="336"/>
    </row>
    <row r="862" spans="1:20" x14ac:dyDescent="0.25">
      <c r="A862" s="336"/>
      <c r="B862" s="336"/>
      <c r="C862" s="336"/>
      <c r="D862" s="336"/>
      <c r="E862" s="336"/>
      <c r="F862" s="104" t="b">
        <f t="array" ref="F862">IF(_xlfn.NUMBERVALUE(RIGHT($E862,2))=MAX(IF(LEFT($E862:$E2860,11)=LEFT($E862,11),_xlfn.NUMBERVALUE(RIGHT($E862:$E2860,2)))),TRUE)</f>
        <v>1</v>
      </c>
      <c r="G862" s="336"/>
      <c r="H862" s="336"/>
      <c r="I862" s="336"/>
      <c r="J862" s="336"/>
      <c r="K862" s="336"/>
      <c r="L862" s="336"/>
      <c r="M862" s="336"/>
      <c r="N862" s="336"/>
      <c r="O862" s="336"/>
      <c r="P862" s="336"/>
      <c r="Q862" s="336"/>
      <c r="R862" s="336"/>
      <c r="S862" s="336"/>
      <c r="T862" s="336"/>
    </row>
    <row r="863" spans="1:20" x14ac:dyDescent="0.25">
      <c r="A863" s="336"/>
      <c r="B863" s="336"/>
      <c r="C863" s="336"/>
      <c r="D863" s="336"/>
      <c r="E863" s="336"/>
      <c r="F863" s="104" t="b">
        <f t="array" ref="F863">IF(_xlfn.NUMBERVALUE(RIGHT($E863,2))=MAX(IF(LEFT($E863:$E2861,11)=LEFT($E863,11),_xlfn.NUMBERVALUE(RIGHT($E863:$E2861,2)))),TRUE)</f>
        <v>1</v>
      </c>
      <c r="G863" s="336"/>
      <c r="H863" s="336"/>
      <c r="I863" s="336"/>
      <c r="J863" s="336"/>
      <c r="K863" s="336"/>
      <c r="L863" s="336"/>
      <c r="M863" s="336"/>
      <c r="N863" s="336"/>
      <c r="O863" s="336"/>
      <c r="P863" s="336"/>
      <c r="Q863" s="336"/>
      <c r="R863" s="336"/>
      <c r="S863" s="336"/>
      <c r="T863" s="336"/>
    </row>
    <row r="864" spans="1:20" x14ac:dyDescent="0.25">
      <c r="A864" s="336"/>
      <c r="B864" s="336"/>
      <c r="C864" s="336"/>
      <c r="D864" s="336"/>
      <c r="E864" s="336"/>
      <c r="F864" s="104" t="b">
        <f t="array" ref="F864">IF(_xlfn.NUMBERVALUE(RIGHT($E864,2))=MAX(IF(LEFT($E864:$E2862,11)=LEFT($E864,11),_xlfn.NUMBERVALUE(RIGHT($E864:$E2862,2)))),TRUE)</f>
        <v>1</v>
      </c>
      <c r="G864" s="336"/>
      <c r="H864" s="336"/>
      <c r="I864" s="336"/>
      <c r="J864" s="336"/>
      <c r="K864" s="336"/>
      <c r="L864" s="336"/>
      <c r="M864" s="336"/>
      <c r="N864" s="336"/>
      <c r="O864" s="336"/>
      <c r="P864" s="336"/>
      <c r="Q864" s="336"/>
      <c r="R864" s="336"/>
      <c r="S864" s="336"/>
      <c r="T864" s="336"/>
    </row>
    <row r="865" spans="1:20" x14ac:dyDescent="0.25">
      <c r="A865" s="336"/>
      <c r="B865" s="336"/>
      <c r="C865" s="336"/>
      <c r="D865" s="336"/>
      <c r="E865" s="336"/>
      <c r="F865" s="104" t="b">
        <f t="array" ref="F865">IF(_xlfn.NUMBERVALUE(RIGHT($E865,2))=MAX(IF(LEFT($E865:$E2863,11)=LEFT($E865,11),_xlfn.NUMBERVALUE(RIGHT($E865:$E2863,2)))),TRUE)</f>
        <v>1</v>
      </c>
      <c r="G865" s="336"/>
      <c r="H865" s="336"/>
      <c r="I865" s="336"/>
      <c r="J865" s="336"/>
      <c r="K865" s="336"/>
      <c r="L865" s="336"/>
      <c r="M865" s="336"/>
      <c r="N865" s="336"/>
      <c r="O865" s="336"/>
      <c r="P865" s="336"/>
      <c r="Q865" s="336"/>
      <c r="R865" s="336"/>
      <c r="S865" s="336"/>
      <c r="T865" s="336"/>
    </row>
    <row r="866" spans="1:20" x14ac:dyDescent="0.25">
      <c r="A866" s="336"/>
      <c r="B866" s="336"/>
      <c r="C866" s="336"/>
      <c r="D866" s="336"/>
      <c r="E866" s="336"/>
      <c r="F866" s="104" t="b">
        <f t="array" ref="F866">IF(_xlfn.NUMBERVALUE(RIGHT($E866,2))=MAX(IF(LEFT($E866:$E2864,11)=LEFT($E866,11),_xlfn.NUMBERVALUE(RIGHT($E866:$E2864,2)))),TRUE)</f>
        <v>1</v>
      </c>
      <c r="G866" s="336"/>
      <c r="H866" s="336"/>
      <c r="I866" s="336"/>
      <c r="J866" s="336"/>
      <c r="K866" s="336"/>
      <c r="L866" s="336"/>
      <c r="M866" s="336"/>
      <c r="N866" s="336"/>
      <c r="O866" s="336"/>
      <c r="P866" s="336"/>
      <c r="Q866" s="336"/>
      <c r="R866" s="336"/>
      <c r="S866" s="336"/>
      <c r="T866" s="336"/>
    </row>
    <row r="867" spans="1:20" x14ac:dyDescent="0.25">
      <c r="A867" s="336"/>
      <c r="B867" s="336"/>
      <c r="C867" s="336"/>
      <c r="D867" s="336"/>
      <c r="E867" s="336"/>
      <c r="F867" s="104" t="b">
        <f t="array" ref="F867">IF(_xlfn.NUMBERVALUE(RIGHT($E867,2))=MAX(IF(LEFT($E867:$E2865,11)=LEFT($E867,11),_xlfn.NUMBERVALUE(RIGHT($E867:$E2865,2)))),TRUE)</f>
        <v>1</v>
      </c>
      <c r="G867" s="336"/>
      <c r="H867" s="336"/>
      <c r="I867" s="336"/>
      <c r="J867" s="336"/>
      <c r="K867" s="336"/>
      <c r="L867" s="336"/>
      <c r="M867" s="336"/>
      <c r="N867" s="336"/>
      <c r="O867" s="336"/>
      <c r="P867" s="336"/>
      <c r="Q867" s="336"/>
      <c r="R867" s="336"/>
      <c r="S867" s="336"/>
      <c r="T867" s="336"/>
    </row>
    <row r="868" spans="1:20" x14ac:dyDescent="0.25">
      <c r="A868" s="336"/>
      <c r="B868" s="336"/>
      <c r="C868" s="336"/>
      <c r="D868" s="336"/>
      <c r="E868" s="336"/>
      <c r="F868" s="104" t="b">
        <f t="array" ref="F868">IF(_xlfn.NUMBERVALUE(RIGHT($E868,2))=MAX(IF(LEFT($E868:$E2866,11)=LEFT($E868,11),_xlfn.NUMBERVALUE(RIGHT($E868:$E2866,2)))),TRUE)</f>
        <v>1</v>
      </c>
      <c r="G868" s="336"/>
      <c r="H868" s="336"/>
      <c r="I868" s="336"/>
      <c r="J868" s="336"/>
      <c r="K868" s="336"/>
      <c r="L868" s="336"/>
      <c r="M868" s="336"/>
      <c r="N868" s="336"/>
      <c r="O868" s="336"/>
      <c r="P868" s="336"/>
      <c r="Q868" s="336"/>
      <c r="R868" s="336"/>
      <c r="S868" s="336"/>
      <c r="T868" s="336"/>
    </row>
    <row r="869" spans="1:20" x14ac:dyDescent="0.25">
      <c r="A869" s="336"/>
      <c r="B869" s="336"/>
      <c r="C869" s="336"/>
      <c r="D869" s="336"/>
      <c r="E869" s="336"/>
      <c r="F869" s="104" t="b">
        <f t="array" ref="F869">IF(_xlfn.NUMBERVALUE(RIGHT($E869,2))=MAX(IF(LEFT($E869:$E2867,11)=LEFT($E869,11),_xlfn.NUMBERVALUE(RIGHT($E869:$E2867,2)))),TRUE)</f>
        <v>1</v>
      </c>
      <c r="G869" s="336"/>
      <c r="H869" s="336"/>
      <c r="I869" s="336"/>
      <c r="J869" s="336"/>
      <c r="K869" s="336"/>
      <c r="L869" s="336"/>
      <c r="M869" s="336"/>
      <c r="N869" s="336"/>
      <c r="O869" s="336"/>
      <c r="P869" s="336"/>
      <c r="Q869" s="336"/>
      <c r="R869" s="336"/>
      <c r="S869" s="336"/>
      <c r="T869" s="336"/>
    </row>
    <row r="870" spans="1:20" x14ac:dyDescent="0.25">
      <c r="A870" s="336"/>
      <c r="B870" s="336"/>
      <c r="C870" s="336"/>
      <c r="D870" s="336"/>
      <c r="E870" s="336"/>
      <c r="F870" s="104" t="b">
        <f t="array" ref="F870">IF(_xlfn.NUMBERVALUE(RIGHT($E870,2))=MAX(IF(LEFT($E870:$E2868,11)=LEFT($E870,11),_xlfn.NUMBERVALUE(RIGHT($E870:$E2868,2)))),TRUE)</f>
        <v>1</v>
      </c>
      <c r="G870" s="336"/>
      <c r="H870" s="336"/>
      <c r="I870" s="336"/>
      <c r="J870" s="336"/>
      <c r="K870" s="336"/>
      <c r="L870" s="336"/>
      <c r="M870" s="336"/>
      <c r="N870" s="336"/>
      <c r="O870" s="336"/>
      <c r="P870" s="336"/>
      <c r="Q870" s="336"/>
      <c r="R870" s="336"/>
      <c r="S870" s="336"/>
      <c r="T870" s="336"/>
    </row>
    <row r="871" spans="1:20" x14ac:dyDescent="0.25">
      <c r="A871" s="336"/>
      <c r="B871" s="336"/>
      <c r="C871" s="336"/>
      <c r="D871" s="336"/>
      <c r="E871" s="336"/>
      <c r="F871" s="104" t="b">
        <f t="array" ref="F871">IF(_xlfn.NUMBERVALUE(RIGHT($E871,2))=MAX(IF(LEFT($E871:$E2869,11)=LEFT($E871,11),_xlfn.NUMBERVALUE(RIGHT($E871:$E2869,2)))),TRUE)</f>
        <v>1</v>
      </c>
      <c r="G871" s="336"/>
      <c r="H871" s="336"/>
      <c r="I871" s="336"/>
      <c r="J871" s="336"/>
      <c r="K871" s="336"/>
      <c r="L871" s="336"/>
      <c r="M871" s="336"/>
      <c r="N871" s="336"/>
      <c r="O871" s="336"/>
      <c r="P871" s="336"/>
      <c r="Q871" s="336"/>
      <c r="R871" s="336"/>
      <c r="S871" s="336"/>
      <c r="T871" s="336"/>
    </row>
    <row r="872" spans="1:20" x14ac:dyDescent="0.25">
      <c r="A872" s="336"/>
      <c r="B872" s="336"/>
      <c r="C872" s="336"/>
      <c r="D872" s="336"/>
      <c r="E872" s="336"/>
      <c r="F872" s="104" t="b">
        <f t="array" ref="F872">IF(_xlfn.NUMBERVALUE(RIGHT($E872,2))=MAX(IF(LEFT($E872:$E2870,11)=LEFT($E872,11),_xlfn.NUMBERVALUE(RIGHT($E872:$E2870,2)))),TRUE)</f>
        <v>1</v>
      </c>
      <c r="G872" s="336"/>
      <c r="H872" s="336"/>
      <c r="I872" s="336"/>
      <c r="J872" s="336"/>
      <c r="K872" s="336"/>
      <c r="L872" s="336"/>
      <c r="M872" s="336"/>
      <c r="N872" s="336"/>
      <c r="O872" s="336"/>
      <c r="P872" s="336"/>
      <c r="Q872" s="336"/>
      <c r="R872" s="336"/>
      <c r="S872" s="336"/>
      <c r="T872" s="336"/>
    </row>
    <row r="873" spans="1:20" x14ac:dyDescent="0.25">
      <c r="A873" s="336"/>
      <c r="B873" s="336"/>
      <c r="C873" s="336"/>
      <c r="D873" s="336"/>
      <c r="E873" s="336"/>
      <c r="F873" s="104" t="b">
        <f t="array" ref="F873">IF(_xlfn.NUMBERVALUE(RIGHT($E873,2))=MAX(IF(LEFT($E873:$E2871,11)=LEFT($E873,11),_xlfn.NUMBERVALUE(RIGHT($E873:$E2871,2)))),TRUE)</f>
        <v>1</v>
      </c>
      <c r="G873" s="336"/>
      <c r="H873" s="336"/>
      <c r="I873" s="336"/>
      <c r="J873" s="336"/>
      <c r="K873" s="336"/>
      <c r="L873" s="336"/>
      <c r="M873" s="336"/>
      <c r="N873" s="336"/>
      <c r="O873" s="336"/>
      <c r="P873" s="336"/>
      <c r="Q873" s="336"/>
      <c r="R873" s="336"/>
      <c r="S873" s="336"/>
      <c r="T873" s="336"/>
    </row>
    <row r="874" spans="1:20" x14ac:dyDescent="0.25">
      <c r="A874" s="336"/>
      <c r="B874" s="336"/>
      <c r="C874" s="336"/>
      <c r="D874" s="336"/>
      <c r="E874" s="336"/>
      <c r="F874" s="104" t="b">
        <f t="array" ref="F874">IF(_xlfn.NUMBERVALUE(RIGHT($E874,2))=MAX(IF(LEFT($E874:$E2872,11)=LEFT($E874,11),_xlfn.NUMBERVALUE(RIGHT($E874:$E2872,2)))),TRUE)</f>
        <v>1</v>
      </c>
      <c r="G874" s="336"/>
      <c r="H874" s="336"/>
      <c r="I874" s="336"/>
      <c r="J874" s="336"/>
      <c r="K874" s="336"/>
      <c r="L874" s="336"/>
      <c r="M874" s="336"/>
      <c r="N874" s="336"/>
      <c r="O874" s="336"/>
      <c r="P874" s="336"/>
      <c r="Q874" s="336"/>
      <c r="R874" s="336"/>
      <c r="S874" s="336"/>
      <c r="T874" s="336"/>
    </row>
    <row r="875" spans="1:20" x14ac:dyDescent="0.25">
      <c r="A875" s="336"/>
      <c r="B875" s="336"/>
      <c r="C875" s="336"/>
      <c r="D875" s="336"/>
      <c r="E875" s="336"/>
      <c r="F875" s="104" t="b">
        <f t="array" ref="F875">IF(_xlfn.NUMBERVALUE(RIGHT($E875,2))=MAX(IF(LEFT($E875:$E2873,11)=LEFT($E875,11),_xlfn.NUMBERVALUE(RIGHT($E875:$E2873,2)))),TRUE)</f>
        <v>1</v>
      </c>
      <c r="G875" s="336"/>
      <c r="H875" s="336"/>
      <c r="I875" s="336"/>
      <c r="J875" s="336"/>
      <c r="K875" s="336"/>
      <c r="L875" s="336"/>
      <c r="M875" s="336"/>
      <c r="N875" s="336"/>
      <c r="O875" s="336"/>
      <c r="P875" s="336"/>
      <c r="Q875" s="336"/>
      <c r="R875" s="336"/>
      <c r="S875" s="336"/>
      <c r="T875" s="336"/>
    </row>
    <row r="876" spans="1:20" x14ac:dyDescent="0.25">
      <c r="A876" s="336"/>
      <c r="B876" s="336"/>
      <c r="C876" s="336"/>
      <c r="D876" s="336"/>
      <c r="E876" s="336"/>
      <c r="F876" s="104" t="b">
        <f t="array" ref="F876">IF(_xlfn.NUMBERVALUE(RIGHT($E876,2))=MAX(IF(LEFT($E876:$E2874,11)=LEFT($E876,11),_xlfn.NUMBERVALUE(RIGHT($E876:$E2874,2)))),TRUE)</f>
        <v>1</v>
      </c>
      <c r="G876" s="336"/>
      <c r="H876" s="336"/>
      <c r="I876" s="336"/>
      <c r="J876" s="336"/>
      <c r="K876" s="336"/>
      <c r="L876" s="336"/>
      <c r="M876" s="336"/>
      <c r="N876" s="336"/>
      <c r="O876" s="336"/>
      <c r="P876" s="336"/>
      <c r="Q876" s="336"/>
      <c r="R876" s="336"/>
      <c r="S876" s="336"/>
      <c r="T876" s="336"/>
    </row>
    <row r="877" spans="1:20" x14ac:dyDescent="0.25">
      <c r="A877" s="336"/>
      <c r="B877" s="336"/>
      <c r="C877" s="336"/>
      <c r="D877" s="336"/>
      <c r="E877" s="336"/>
      <c r="F877" s="104" t="b">
        <f t="array" ref="F877">IF(_xlfn.NUMBERVALUE(RIGHT($E877,2))=MAX(IF(LEFT($E877:$E2875,11)=LEFT($E877,11),_xlfn.NUMBERVALUE(RIGHT($E877:$E2875,2)))),TRUE)</f>
        <v>1</v>
      </c>
      <c r="G877" s="336"/>
      <c r="H877" s="336"/>
      <c r="I877" s="336"/>
      <c r="J877" s="336"/>
      <c r="K877" s="336"/>
      <c r="L877" s="336"/>
      <c r="M877" s="336"/>
      <c r="N877" s="336"/>
      <c r="O877" s="336"/>
      <c r="P877" s="336"/>
      <c r="Q877" s="336"/>
      <c r="R877" s="336"/>
      <c r="S877" s="336"/>
      <c r="T877" s="336"/>
    </row>
    <row r="878" spans="1:20" x14ac:dyDescent="0.25">
      <c r="A878" s="336"/>
      <c r="B878" s="336"/>
      <c r="C878" s="336"/>
      <c r="D878" s="336"/>
      <c r="E878" s="336"/>
      <c r="F878" s="104" t="b">
        <f t="array" ref="F878">IF(_xlfn.NUMBERVALUE(RIGHT($E878,2))=MAX(IF(LEFT($E878:$E2876,11)=LEFT($E878,11),_xlfn.NUMBERVALUE(RIGHT($E878:$E2876,2)))),TRUE)</f>
        <v>1</v>
      </c>
      <c r="G878" s="336"/>
      <c r="H878" s="336"/>
      <c r="I878" s="336"/>
      <c r="J878" s="336"/>
      <c r="K878" s="336"/>
      <c r="L878" s="336"/>
      <c r="M878" s="336"/>
      <c r="N878" s="336"/>
      <c r="O878" s="336"/>
      <c r="P878" s="336"/>
      <c r="Q878" s="336"/>
      <c r="R878" s="336"/>
      <c r="S878" s="336"/>
      <c r="T878" s="336"/>
    </row>
    <row r="879" spans="1:20" x14ac:dyDescent="0.25">
      <c r="A879" s="336"/>
      <c r="B879" s="336"/>
      <c r="C879" s="336"/>
      <c r="D879" s="336"/>
      <c r="E879" s="336"/>
      <c r="F879" s="104" t="b">
        <f t="array" ref="F879">IF(_xlfn.NUMBERVALUE(RIGHT($E879,2))=MAX(IF(LEFT($E879:$E2877,11)=LEFT($E879,11),_xlfn.NUMBERVALUE(RIGHT($E879:$E2877,2)))),TRUE)</f>
        <v>1</v>
      </c>
      <c r="G879" s="336"/>
      <c r="H879" s="336"/>
      <c r="I879" s="336"/>
      <c r="J879" s="336"/>
      <c r="K879" s="336"/>
      <c r="L879" s="336"/>
      <c r="M879" s="336"/>
      <c r="N879" s="336"/>
      <c r="O879" s="336"/>
      <c r="P879" s="336"/>
      <c r="Q879" s="336"/>
      <c r="R879" s="336"/>
      <c r="S879" s="336"/>
      <c r="T879" s="336"/>
    </row>
    <row r="880" spans="1:20" x14ac:dyDescent="0.25">
      <c r="A880" s="336"/>
      <c r="B880" s="336"/>
      <c r="C880" s="336"/>
      <c r="D880" s="336"/>
      <c r="E880" s="336"/>
      <c r="F880" s="104" t="b">
        <f t="array" ref="F880">IF(_xlfn.NUMBERVALUE(RIGHT($E880,2))=MAX(IF(LEFT($E880:$E2878,11)=LEFT($E880,11),_xlfn.NUMBERVALUE(RIGHT($E880:$E2878,2)))),TRUE)</f>
        <v>1</v>
      </c>
      <c r="G880" s="336"/>
      <c r="H880" s="336"/>
      <c r="I880" s="336"/>
      <c r="J880" s="336"/>
      <c r="K880" s="336"/>
      <c r="L880" s="336"/>
      <c r="M880" s="336"/>
      <c r="N880" s="336"/>
      <c r="O880" s="336"/>
      <c r="P880" s="336"/>
      <c r="Q880" s="336"/>
      <c r="R880" s="336"/>
      <c r="S880" s="336"/>
      <c r="T880" s="336"/>
    </row>
    <row r="881" spans="1:20" x14ac:dyDescent="0.25">
      <c r="A881" s="336"/>
      <c r="B881" s="336"/>
      <c r="C881" s="336"/>
      <c r="D881" s="336"/>
      <c r="E881" s="336"/>
      <c r="F881" s="104" t="b">
        <f t="array" ref="F881">IF(_xlfn.NUMBERVALUE(RIGHT($E881,2))=MAX(IF(LEFT($E881:$E2879,11)=LEFT($E881,11),_xlfn.NUMBERVALUE(RIGHT($E881:$E2879,2)))),TRUE)</f>
        <v>1</v>
      </c>
      <c r="G881" s="336"/>
      <c r="H881" s="336"/>
      <c r="I881" s="336"/>
      <c r="J881" s="336"/>
      <c r="K881" s="336"/>
      <c r="L881" s="336"/>
      <c r="M881" s="336"/>
      <c r="N881" s="336"/>
      <c r="O881" s="336"/>
      <c r="P881" s="336"/>
      <c r="Q881" s="336"/>
      <c r="R881" s="336"/>
      <c r="S881" s="336"/>
      <c r="T881" s="336"/>
    </row>
    <row r="882" spans="1:20" x14ac:dyDescent="0.25">
      <c r="A882" s="336"/>
      <c r="B882" s="336"/>
      <c r="C882" s="336"/>
      <c r="D882" s="336"/>
      <c r="E882" s="336"/>
      <c r="F882" s="104" t="b">
        <f t="array" ref="F882">IF(_xlfn.NUMBERVALUE(RIGHT($E882,2))=MAX(IF(LEFT($E882:$E2880,11)=LEFT($E882,11),_xlfn.NUMBERVALUE(RIGHT($E882:$E2880,2)))),TRUE)</f>
        <v>1</v>
      </c>
      <c r="G882" s="336"/>
      <c r="H882" s="336"/>
      <c r="I882" s="336"/>
      <c r="J882" s="336"/>
      <c r="K882" s="336"/>
      <c r="L882" s="336"/>
      <c r="M882" s="336"/>
      <c r="N882" s="336"/>
      <c r="O882" s="336"/>
      <c r="P882" s="336"/>
      <c r="Q882" s="336"/>
      <c r="R882" s="336"/>
      <c r="S882" s="336"/>
      <c r="T882" s="336"/>
    </row>
    <row r="883" spans="1:20" x14ac:dyDescent="0.25">
      <c r="A883" s="336"/>
      <c r="B883" s="336"/>
      <c r="C883" s="336"/>
      <c r="D883" s="336"/>
      <c r="E883" s="336"/>
      <c r="F883" s="104" t="b">
        <f t="array" ref="F883">IF(_xlfn.NUMBERVALUE(RIGHT($E883,2))=MAX(IF(LEFT($E883:$E2881,11)=LEFT($E883,11),_xlfn.NUMBERVALUE(RIGHT($E883:$E2881,2)))),TRUE)</f>
        <v>1</v>
      </c>
      <c r="G883" s="336"/>
      <c r="H883" s="336"/>
      <c r="I883" s="336"/>
      <c r="J883" s="336"/>
      <c r="K883" s="336"/>
      <c r="L883" s="336"/>
      <c r="M883" s="336"/>
      <c r="N883" s="336"/>
      <c r="O883" s="336"/>
      <c r="P883" s="336"/>
      <c r="Q883" s="336"/>
      <c r="R883" s="336"/>
      <c r="S883" s="336"/>
      <c r="T883" s="336"/>
    </row>
    <row r="884" spans="1:20" x14ac:dyDescent="0.25">
      <c r="A884" s="336"/>
      <c r="B884" s="336"/>
      <c r="C884" s="336"/>
      <c r="D884" s="336"/>
      <c r="E884" s="336"/>
      <c r="F884" s="104" t="b">
        <f t="array" ref="F884">IF(_xlfn.NUMBERVALUE(RIGHT($E884,2))=MAX(IF(LEFT($E884:$E2882,11)=LEFT($E884,11),_xlfn.NUMBERVALUE(RIGHT($E884:$E2882,2)))),TRUE)</f>
        <v>1</v>
      </c>
      <c r="G884" s="336"/>
      <c r="H884" s="336"/>
      <c r="I884" s="336"/>
      <c r="J884" s="336"/>
      <c r="K884" s="336"/>
      <c r="L884" s="336"/>
      <c r="M884" s="336"/>
      <c r="N884" s="336"/>
      <c r="O884" s="336"/>
      <c r="P884" s="336"/>
      <c r="Q884" s="336"/>
      <c r="R884" s="336"/>
      <c r="S884" s="336"/>
      <c r="T884" s="336"/>
    </row>
    <row r="885" spans="1:20" x14ac:dyDescent="0.25">
      <c r="A885" s="336"/>
      <c r="B885" s="336"/>
      <c r="C885" s="336"/>
      <c r="D885" s="336"/>
      <c r="E885" s="336"/>
      <c r="F885" s="104" t="b">
        <f t="array" ref="F885">IF(_xlfn.NUMBERVALUE(RIGHT($E885,2))=MAX(IF(LEFT($E885:$E2883,11)=LEFT($E885,11),_xlfn.NUMBERVALUE(RIGHT($E885:$E2883,2)))),TRUE)</f>
        <v>1</v>
      </c>
      <c r="G885" s="336"/>
      <c r="H885" s="336"/>
      <c r="I885" s="336"/>
      <c r="J885" s="336"/>
      <c r="K885" s="336"/>
      <c r="L885" s="336"/>
      <c r="M885" s="336"/>
      <c r="N885" s="336"/>
      <c r="O885" s="336"/>
      <c r="P885" s="336"/>
      <c r="Q885" s="336"/>
      <c r="R885" s="336"/>
      <c r="S885" s="336"/>
      <c r="T885" s="336"/>
    </row>
    <row r="886" spans="1:20" x14ac:dyDescent="0.25">
      <c r="A886" s="336"/>
      <c r="B886" s="336"/>
      <c r="C886" s="336"/>
      <c r="D886" s="336"/>
      <c r="E886" s="336"/>
      <c r="F886" s="104" t="b">
        <f t="array" ref="F886">IF(_xlfn.NUMBERVALUE(RIGHT($E886,2))=MAX(IF(LEFT($E886:$E2884,11)=LEFT($E886,11),_xlfn.NUMBERVALUE(RIGHT($E886:$E2884,2)))),TRUE)</f>
        <v>1</v>
      </c>
      <c r="G886" s="336"/>
      <c r="H886" s="336"/>
      <c r="I886" s="336"/>
      <c r="J886" s="336"/>
      <c r="K886" s="336"/>
      <c r="L886" s="336"/>
      <c r="M886" s="336"/>
      <c r="N886" s="336"/>
      <c r="O886" s="336"/>
      <c r="P886" s="336"/>
      <c r="Q886" s="336"/>
      <c r="R886" s="336"/>
      <c r="S886" s="336"/>
      <c r="T886" s="336"/>
    </row>
    <row r="887" spans="1:20" x14ac:dyDescent="0.25">
      <c r="A887" s="336"/>
      <c r="B887" s="336"/>
      <c r="C887" s="336"/>
      <c r="D887" s="336"/>
      <c r="E887" s="336"/>
      <c r="F887" s="104" t="b">
        <f t="array" ref="F887">IF(_xlfn.NUMBERVALUE(RIGHT($E887,2))=MAX(IF(LEFT($E887:$E2885,11)=LEFT($E887,11),_xlfn.NUMBERVALUE(RIGHT($E887:$E2885,2)))),TRUE)</f>
        <v>1</v>
      </c>
      <c r="G887" s="336"/>
      <c r="H887" s="336"/>
      <c r="I887" s="336"/>
      <c r="J887" s="336"/>
      <c r="K887" s="336"/>
      <c r="L887" s="336"/>
      <c r="M887" s="336"/>
      <c r="N887" s="336"/>
      <c r="O887" s="336"/>
      <c r="P887" s="336"/>
      <c r="Q887" s="336"/>
      <c r="R887" s="336"/>
      <c r="S887" s="336"/>
      <c r="T887" s="336"/>
    </row>
    <row r="888" spans="1:20" x14ac:dyDescent="0.25">
      <c r="A888" s="336"/>
      <c r="B888" s="336"/>
      <c r="C888" s="336"/>
      <c r="D888" s="336"/>
      <c r="E888" s="336"/>
      <c r="F888" s="104" t="b">
        <f t="array" ref="F888">IF(_xlfn.NUMBERVALUE(RIGHT($E888,2))=MAX(IF(LEFT($E888:$E2886,11)=LEFT($E888,11),_xlfn.NUMBERVALUE(RIGHT($E888:$E2886,2)))),TRUE)</f>
        <v>1</v>
      </c>
      <c r="G888" s="336"/>
      <c r="H888" s="336"/>
      <c r="I888" s="336"/>
      <c r="J888" s="336"/>
      <c r="K888" s="336"/>
      <c r="L888" s="336"/>
      <c r="M888" s="336"/>
      <c r="N888" s="336"/>
      <c r="O888" s="336"/>
      <c r="P888" s="336"/>
      <c r="Q888" s="336"/>
      <c r="R888" s="336"/>
      <c r="S888" s="336"/>
      <c r="T888" s="336"/>
    </row>
    <row r="889" spans="1:20" x14ac:dyDescent="0.25">
      <c r="A889" s="336"/>
      <c r="B889" s="336"/>
      <c r="C889" s="336"/>
      <c r="D889" s="336"/>
      <c r="E889" s="336"/>
      <c r="F889" s="104" t="b">
        <f t="array" ref="F889">IF(_xlfn.NUMBERVALUE(RIGHT($E889,2))=MAX(IF(LEFT($E889:$E2887,11)=LEFT($E889,11),_xlfn.NUMBERVALUE(RIGHT($E889:$E2887,2)))),TRUE)</f>
        <v>1</v>
      </c>
      <c r="G889" s="336"/>
      <c r="H889" s="336"/>
      <c r="I889" s="336"/>
      <c r="J889" s="336"/>
      <c r="K889" s="336"/>
      <c r="L889" s="336"/>
      <c r="M889" s="336"/>
      <c r="N889" s="336"/>
      <c r="O889" s="336"/>
      <c r="P889" s="336"/>
      <c r="Q889" s="336"/>
      <c r="R889" s="336"/>
      <c r="S889" s="336"/>
      <c r="T889" s="336"/>
    </row>
    <row r="890" spans="1:20" x14ac:dyDescent="0.25">
      <c r="A890" s="336"/>
      <c r="B890" s="336"/>
      <c r="C890" s="336"/>
      <c r="D890" s="336"/>
      <c r="E890" s="336"/>
      <c r="F890" s="104" t="b">
        <f t="array" ref="F890">IF(_xlfn.NUMBERVALUE(RIGHT($E890,2))=MAX(IF(LEFT($E890:$E2888,11)=LEFT($E890,11),_xlfn.NUMBERVALUE(RIGHT($E890:$E2888,2)))),TRUE)</f>
        <v>1</v>
      </c>
      <c r="G890" s="336"/>
      <c r="H890" s="336"/>
      <c r="I890" s="336"/>
      <c r="J890" s="336"/>
      <c r="K890" s="336"/>
      <c r="L890" s="336"/>
      <c r="M890" s="336"/>
      <c r="N890" s="336"/>
      <c r="O890" s="336"/>
      <c r="P890" s="336"/>
      <c r="Q890" s="336"/>
      <c r="R890" s="336"/>
      <c r="S890" s="336"/>
      <c r="T890" s="336"/>
    </row>
    <row r="891" spans="1:20" x14ac:dyDescent="0.25">
      <c r="A891" s="336"/>
      <c r="B891" s="336"/>
      <c r="C891" s="336"/>
      <c r="D891" s="336"/>
      <c r="E891" s="336"/>
      <c r="F891" s="104" t="b">
        <f t="array" ref="F891">IF(_xlfn.NUMBERVALUE(RIGHT($E891,2))=MAX(IF(LEFT($E891:$E2889,11)=LEFT($E891,11),_xlfn.NUMBERVALUE(RIGHT($E891:$E2889,2)))),TRUE)</f>
        <v>1</v>
      </c>
      <c r="G891" s="336"/>
      <c r="H891" s="336"/>
      <c r="I891" s="336"/>
      <c r="J891" s="336"/>
      <c r="K891" s="336"/>
      <c r="L891" s="336"/>
      <c r="M891" s="336"/>
      <c r="N891" s="336"/>
      <c r="O891" s="336"/>
      <c r="P891" s="336"/>
      <c r="Q891" s="336"/>
      <c r="R891" s="336"/>
      <c r="S891" s="336"/>
      <c r="T891" s="336"/>
    </row>
    <row r="892" spans="1:20" x14ac:dyDescent="0.25">
      <c r="A892" s="336"/>
      <c r="B892" s="336"/>
      <c r="C892" s="336"/>
      <c r="D892" s="336"/>
      <c r="E892" s="336"/>
      <c r="F892" s="104" t="b">
        <f t="array" ref="F892">IF(_xlfn.NUMBERVALUE(RIGHT($E892,2))=MAX(IF(LEFT($E892:$E2890,11)=LEFT($E892,11),_xlfn.NUMBERVALUE(RIGHT($E892:$E2890,2)))),TRUE)</f>
        <v>1</v>
      </c>
      <c r="G892" s="336"/>
      <c r="H892" s="336"/>
      <c r="I892" s="336"/>
      <c r="J892" s="336"/>
      <c r="K892" s="336"/>
      <c r="L892" s="336"/>
      <c r="M892" s="336"/>
      <c r="N892" s="336"/>
      <c r="O892" s="336"/>
      <c r="P892" s="336"/>
      <c r="Q892" s="336"/>
      <c r="R892" s="336"/>
      <c r="S892" s="336"/>
      <c r="T892" s="336"/>
    </row>
    <row r="893" spans="1:20" x14ac:dyDescent="0.25">
      <c r="A893" s="336"/>
      <c r="B893" s="336"/>
      <c r="C893" s="336"/>
      <c r="D893" s="336"/>
      <c r="E893" s="336"/>
      <c r="F893" s="104" t="b">
        <f t="array" ref="F893">IF(_xlfn.NUMBERVALUE(RIGHT($E893,2))=MAX(IF(LEFT($E893:$E2891,11)=LEFT($E893,11),_xlfn.NUMBERVALUE(RIGHT($E893:$E2891,2)))),TRUE)</f>
        <v>1</v>
      </c>
      <c r="G893" s="336"/>
      <c r="H893" s="336"/>
      <c r="I893" s="336"/>
      <c r="J893" s="336"/>
      <c r="K893" s="336"/>
      <c r="L893" s="336"/>
      <c r="M893" s="336"/>
      <c r="N893" s="336"/>
      <c r="O893" s="336"/>
      <c r="P893" s="336"/>
      <c r="Q893" s="336"/>
      <c r="R893" s="336"/>
      <c r="S893" s="336"/>
      <c r="T893" s="336"/>
    </row>
    <row r="894" spans="1:20" x14ac:dyDescent="0.25">
      <c r="A894" s="336"/>
      <c r="B894" s="336"/>
      <c r="C894" s="336"/>
      <c r="D894" s="336"/>
      <c r="E894" s="336"/>
      <c r="F894" s="104" t="b">
        <f t="array" ref="F894">IF(_xlfn.NUMBERVALUE(RIGHT($E894,2))=MAX(IF(LEFT($E894:$E2892,11)=LEFT($E894,11),_xlfn.NUMBERVALUE(RIGHT($E894:$E2892,2)))),TRUE)</f>
        <v>1</v>
      </c>
      <c r="G894" s="336"/>
      <c r="H894" s="336"/>
      <c r="I894" s="336"/>
      <c r="J894" s="336"/>
      <c r="K894" s="336"/>
      <c r="L894" s="336"/>
      <c r="M894" s="336"/>
      <c r="N894" s="336"/>
      <c r="O894" s="336"/>
      <c r="P894" s="336"/>
      <c r="Q894" s="336"/>
      <c r="R894" s="336"/>
      <c r="S894" s="336"/>
      <c r="T894" s="336"/>
    </row>
    <row r="895" spans="1:20" x14ac:dyDescent="0.25">
      <c r="A895" s="336"/>
      <c r="B895" s="336"/>
      <c r="C895" s="336"/>
      <c r="D895" s="336"/>
      <c r="E895" s="336"/>
      <c r="F895" s="104" t="b">
        <f t="array" ref="F895">IF(_xlfn.NUMBERVALUE(RIGHT($E895,2))=MAX(IF(LEFT($E895:$E2893,11)=LEFT($E895,11),_xlfn.NUMBERVALUE(RIGHT($E895:$E2893,2)))),TRUE)</f>
        <v>1</v>
      </c>
      <c r="G895" s="336"/>
      <c r="H895" s="336"/>
      <c r="I895" s="336"/>
      <c r="J895" s="336"/>
      <c r="K895" s="336"/>
      <c r="L895" s="336"/>
      <c r="M895" s="336"/>
      <c r="N895" s="336"/>
      <c r="O895" s="336"/>
      <c r="P895" s="336"/>
      <c r="Q895" s="336"/>
      <c r="R895" s="336"/>
      <c r="S895" s="336"/>
      <c r="T895" s="336"/>
    </row>
    <row r="896" spans="1:20" x14ac:dyDescent="0.25">
      <c r="A896" s="336"/>
      <c r="B896" s="336"/>
      <c r="C896" s="336"/>
      <c r="D896" s="336"/>
      <c r="E896" s="336"/>
      <c r="F896" s="104" t="b">
        <f t="array" ref="F896">IF(_xlfn.NUMBERVALUE(RIGHT($E896,2))=MAX(IF(LEFT($E896:$E2894,11)=LEFT($E896,11),_xlfn.NUMBERVALUE(RIGHT($E896:$E2894,2)))),TRUE)</f>
        <v>1</v>
      </c>
      <c r="G896" s="336"/>
      <c r="H896" s="336"/>
      <c r="I896" s="336"/>
      <c r="J896" s="336"/>
      <c r="K896" s="336"/>
      <c r="L896" s="336"/>
      <c r="M896" s="336"/>
      <c r="N896" s="336"/>
      <c r="O896" s="336"/>
      <c r="P896" s="336"/>
      <c r="Q896" s="336"/>
      <c r="R896" s="336"/>
      <c r="S896" s="336"/>
      <c r="T896" s="336"/>
    </row>
    <row r="897" spans="1:20" x14ac:dyDescent="0.25">
      <c r="A897" s="336"/>
      <c r="B897" s="336"/>
      <c r="C897" s="336"/>
      <c r="D897" s="336"/>
      <c r="E897" s="336"/>
      <c r="F897" s="104" t="b">
        <f t="array" ref="F897">IF(_xlfn.NUMBERVALUE(RIGHT($E897,2))=MAX(IF(LEFT($E897:$E2895,11)=LEFT($E897,11),_xlfn.NUMBERVALUE(RIGHT($E897:$E2895,2)))),TRUE)</f>
        <v>1</v>
      </c>
      <c r="G897" s="336"/>
      <c r="H897" s="336"/>
      <c r="I897" s="336"/>
      <c r="J897" s="336"/>
      <c r="K897" s="336"/>
      <c r="L897" s="336"/>
      <c r="M897" s="336"/>
      <c r="N897" s="336"/>
      <c r="O897" s="336"/>
      <c r="P897" s="336"/>
      <c r="Q897" s="336"/>
      <c r="R897" s="336"/>
      <c r="S897" s="336"/>
      <c r="T897" s="336"/>
    </row>
    <row r="898" spans="1:20" x14ac:dyDescent="0.25">
      <c r="A898" s="336"/>
      <c r="B898" s="336"/>
      <c r="C898" s="336"/>
      <c r="D898" s="336"/>
      <c r="E898" s="336"/>
      <c r="F898" s="104" t="b">
        <f t="array" ref="F898">IF(_xlfn.NUMBERVALUE(RIGHT($E898,2))=MAX(IF(LEFT($E898:$E2896,11)=LEFT($E898,11),_xlfn.NUMBERVALUE(RIGHT($E898:$E2896,2)))),TRUE)</f>
        <v>1</v>
      </c>
      <c r="G898" s="336"/>
      <c r="H898" s="336"/>
      <c r="I898" s="336"/>
      <c r="J898" s="336"/>
      <c r="K898" s="336"/>
      <c r="L898" s="336"/>
      <c r="M898" s="336"/>
      <c r="N898" s="336"/>
      <c r="O898" s="336"/>
      <c r="P898" s="336"/>
      <c r="Q898" s="336"/>
      <c r="R898" s="336"/>
      <c r="S898" s="336"/>
      <c r="T898" s="336"/>
    </row>
    <row r="899" spans="1:20" x14ac:dyDescent="0.25">
      <c r="A899" s="336"/>
      <c r="B899" s="336"/>
      <c r="C899" s="336"/>
      <c r="D899" s="336"/>
      <c r="E899" s="336"/>
      <c r="F899" s="104" t="b">
        <f t="array" ref="F899">IF(_xlfn.NUMBERVALUE(RIGHT($E899,2))=MAX(IF(LEFT($E899:$E2897,11)=LEFT($E899,11),_xlfn.NUMBERVALUE(RIGHT($E899:$E2897,2)))),TRUE)</f>
        <v>1</v>
      </c>
      <c r="G899" s="336"/>
      <c r="H899" s="336"/>
      <c r="I899" s="336"/>
      <c r="J899" s="336"/>
      <c r="K899" s="336"/>
      <c r="L899" s="336"/>
      <c r="M899" s="336"/>
      <c r="N899" s="336"/>
      <c r="O899" s="336"/>
      <c r="P899" s="336"/>
      <c r="Q899" s="336"/>
      <c r="R899" s="336"/>
      <c r="S899" s="336"/>
      <c r="T899" s="336"/>
    </row>
    <row r="900" spans="1:20" x14ac:dyDescent="0.25">
      <c r="A900" s="336"/>
      <c r="B900" s="336"/>
      <c r="C900" s="336"/>
      <c r="D900" s="336"/>
      <c r="E900" s="336"/>
      <c r="F900" s="104" t="b">
        <f t="array" ref="F900">IF(_xlfn.NUMBERVALUE(RIGHT($E900,2))=MAX(IF(LEFT($E900:$E2898,11)=LEFT($E900,11),_xlfn.NUMBERVALUE(RIGHT($E900:$E2898,2)))),TRUE)</f>
        <v>1</v>
      </c>
      <c r="G900" s="336"/>
      <c r="H900" s="336"/>
      <c r="I900" s="336"/>
      <c r="J900" s="336"/>
      <c r="K900" s="336"/>
      <c r="L900" s="336"/>
      <c r="M900" s="336"/>
      <c r="N900" s="336"/>
      <c r="O900" s="336"/>
      <c r="P900" s="336"/>
      <c r="Q900" s="336"/>
      <c r="R900" s="336"/>
      <c r="S900" s="336"/>
      <c r="T900" s="336"/>
    </row>
    <row r="901" spans="1:20" x14ac:dyDescent="0.25">
      <c r="A901" s="336"/>
      <c r="B901" s="336"/>
      <c r="C901" s="336"/>
      <c r="D901" s="336"/>
      <c r="E901" s="336"/>
      <c r="F901" s="104" t="b">
        <f t="array" ref="F901">IF(_xlfn.NUMBERVALUE(RIGHT($E901,2))=MAX(IF(LEFT($E901:$E2899,11)=LEFT($E901,11),_xlfn.NUMBERVALUE(RIGHT($E901:$E2899,2)))),TRUE)</f>
        <v>1</v>
      </c>
      <c r="G901" s="336"/>
      <c r="H901" s="336"/>
      <c r="I901" s="336"/>
      <c r="J901" s="336"/>
      <c r="K901" s="336"/>
      <c r="L901" s="336"/>
      <c r="M901" s="336"/>
      <c r="N901" s="336"/>
      <c r="O901" s="336"/>
      <c r="P901" s="336"/>
      <c r="Q901" s="336"/>
      <c r="R901" s="336"/>
      <c r="S901" s="336"/>
      <c r="T901" s="336"/>
    </row>
    <row r="902" spans="1:20" x14ac:dyDescent="0.25">
      <c r="A902" s="336"/>
      <c r="B902" s="336"/>
      <c r="C902" s="336"/>
      <c r="D902" s="336"/>
      <c r="E902" s="336"/>
      <c r="F902" s="104" t="b">
        <f t="array" ref="F902">IF(_xlfn.NUMBERVALUE(RIGHT($E902,2))=MAX(IF(LEFT($E902:$E2900,11)=LEFT($E902,11),_xlfn.NUMBERVALUE(RIGHT($E902:$E2900,2)))),TRUE)</f>
        <v>1</v>
      </c>
      <c r="G902" s="336"/>
      <c r="H902" s="336"/>
      <c r="I902" s="336"/>
      <c r="J902" s="336"/>
      <c r="K902" s="336"/>
      <c r="L902" s="336"/>
      <c r="M902" s="336"/>
      <c r="N902" s="336"/>
      <c r="O902" s="336"/>
      <c r="P902" s="336"/>
      <c r="Q902" s="336"/>
      <c r="R902" s="336"/>
      <c r="S902" s="336"/>
      <c r="T902" s="336"/>
    </row>
    <row r="903" spans="1:20" x14ac:dyDescent="0.25">
      <c r="A903" s="336"/>
      <c r="B903" s="336"/>
      <c r="C903" s="336"/>
      <c r="D903" s="336"/>
      <c r="E903" s="336"/>
      <c r="F903" s="104" t="b">
        <f t="array" ref="F903">IF(_xlfn.NUMBERVALUE(RIGHT($E903,2))=MAX(IF(LEFT($E903:$E2901,11)=LEFT($E903,11),_xlfn.NUMBERVALUE(RIGHT($E903:$E2901,2)))),TRUE)</f>
        <v>1</v>
      </c>
      <c r="G903" s="336"/>
      <c r="H903" s="336"/>
      <c r="I903" s="336"/>
      <c r="J903" s="336"/>
      <c r="K903" s="336"/>
      <c r="L903" s="336"/>
      <c r="M903" s="336"/>
      <c r="N903" s="336"/>
      <c r="O903" s="336"/>
      <c r="P903" s="336"/>
      <c r="Q903" s="336"/>
      <c r="R903" s="336"/>
      <c r="S903" s="336"/>
      <c r="T903" s="336"/>
    </row>
    <row r="904" spans="1:20" x14ac:dyDescent="0.25">
      <c r="A904" s="336"/>
      <c r="B904" s="336"/>
      <c r="C904" s="336"/>
      <c r="D904" s="336"/>
      <c r="E904" s="336"/>
      <c r="F904" s="104" t="b">
        <f t="array" ref="F904">IF(_xlfn.NUMBERVALUE(RIGHT($E904,2))=MAX(IF(LEFT($E904:$E2902,11)=LEFT($E904,11),_xlfn.NUMBERVALUE(RIGHT($E904:$E2902,2)))),TRUE)</f>
        <v>1</v>
      </c>
      <c r="G904" s="336"/>
      <c r="H904" s="336"/>
      <c r="I904" s="336"/>
      <c r="J904" s="336"/>
      <c r="K904" s="336"/>
      <c r="L904" s="336"/>
      <c r="M904" s="336"/>
      <c r="N904" s="336"/>
      <c r="O904" s="336"/>
      <c r="P904" s="336"/>
      <c r="Q904" s="336"/>
      <c r="R904" s="336"/>
      <c r="S904" s="336"/>
      <c r="T904" s="336"/>
    </row>
    <row r="905" spans="1:20" x14ac:dyDescent="0.25">
      <c r="A905" s="336"/>
      <c r="B905" s="336"/>
      <c r="C905" s="336"/>
      <c r="D905" s="336"/>
      <c r="E905" s="336"/>
      <c r="F905" s="104" t="b">
        <f t="array" ref="F905">IF(_xlfn.NUMBERVALUE(RIGHT($E905,2))=MAX(IF(LEFT($E905:$E2903,11)=LEFT($E905,11),_xlfn.NUMBERVALUE(RIGHT($E905:$E2903,2)))),TRUE)</f>
        <v>1</v>
      </c>
      <c r="G905" s="336"/>
      <c r="H905" s="336"/>
      <c r="I905" s="336"/>
      <c r="J905" s="336"/>
      <c r="K905" s="336"/>
      <c r="L905" s="336"/>
      <c r="M905" s="336"/>
      <c r="N905" s="336"/>
      <c r="O905" s="336"/>
      <c r="P905" s="336"/>
      <c r="Q905" s="336"/>
      <c r="R905" s="336"/>
      <c r="S905" s="336"/>
      <c r="T905" s="336"/>
    </row>
    <row r="906" spans="1:20" x14ac:dyDescent="0.25">
      <c r="A906" s="336"/>
      <c r="B906" s="336"/>
      <c r="C906" s="336"/>
      <c r="D906" s="336"/>
      <c r="E906" s="336"/>
      <c r="F906" s="104" t="b">
        <f t="array" ref="F906">IF(_xlfn.NUMBERVALUE(RIGHT($E906,2))=MAX(IF(LEFT($E906:$E2904,11)=LEFT($E906,11),_xlfn.NUMBERVALUE(RIGHT($E906:$E2904,2)))),TRUE)</f>
        <v>1</v>
      </c>
      <c r="G906" s="336"/>
      <c r="H906" s="336"/>
      <c r="I906" s="336"/>
      <c r="J906" s="336"/>
      <c r="K906" s="336"/>
      <c r="L906" s="336"/>
      <c r="M906" s="336"/>
      <c r="N906" s="336"/>
      <c r="O906" s="336"/>
      <c r="P906" s="336"/>
      <c r="Q906" s="336"/>
      <c r="R906" s="336"/>
      <c r="S906" s="336"/>
      <c r="T906" s="336"/>
    </row>
    <row r="907" spans="1:20" x14ac:dyDescent="0.25">
      <c r="A907" s="336"/>
      <c r="B907" s="336"/>
      <c r="C907" s="336"/>
      <c r="D907" s="336"/>
      <c r="E907" s="336"/>
      <c r="F907" s="104" t="b">
        <f t="array" ref="F907">IF(_xlfn.NUMBERVALUE(RIGHT($E907,2))=MAX(IF(LEFT($E907:$E2905,11)=LEFT($E907,11),_xlfn.NUMBERVALUE(RIGHT($E907:$E2905,2)))),TRUE)</f>
        <v>1</v>
      </c>
      <c r="G907" s="336"/>
      <c r="H907" s="336"/>
      <c r="I907" s="336"/>
      <c r="J907" s="336"/>
      <c r="K907" s="336"/>
      <c r="L907" s="336"/>
      <c r="M907" s="336"/>
      <c r="N907" s="336"/>
      <c r="O907" s="336"/>
      <c r="P907" s="336"/>
      <c r="Q907" s="336"/>
      <c r="R907" s="336"/>
      <c r="S907" s="336"/>
      <c r="T907" s="336"/>
    </row>
    <row r="908" spans="1:20" x14ac:dyDescent="0.25">
      <c r="A908" s="336"/>
      <c r="B908" s="336"/>
      <c r="C908" s="336"/>
      <c r="D908" s="336"/>
      <c r="E908" s="336"/>
      <c r="F908" s="104" t="b">
        <f t="array" ref="F908">IF(_xlfn.NUMBERVALUE(RIGHT($E908,2))=MAX(IF(LEFT($E908:$E2906,11)=LEFT($E908,11),_xlfn.NUMBERVALUE(RIGHT($E908:$E2906,2)))),TRUE)</f>
        <v>1</v>
      </c>
      <c r="G908" s="336"/>
      <c r="H908" s="336"/>
      <c r="I908" s="336"/>
      <c r="J908" s="336"/>
      <c r="K908" s="336"/>
      <c r="L908" s="336"/>
      <c r="M908" s="336"/>
      <c r="N908" s="336"/>
      <c r="O908" s="336"/>
      <c r="P908" s="336"/>
      <c r="Q908" s="336"/>
      <c r="R908" s="336"/>
      <c r="S908" s="336"/>
      <c r="T908" s="336"/>
    </row>
    <row r="909" spans="1:20" x14ac:dyDescent="0.25">
      <c r="A909" s="336"/>
      <c r="B909" s="336"/>
      <c r="C909" s="336"/>
      <c r="D909" s="336"/>
      <c r="E909" s="336"/>
      <c r="F909" s="104" t="b">
        <f t="array" ref="F909">IF(_xlfn.NUMBERVALUE(RIGHT($E909,2))=MAX(IF(LEFT($E909:$E2907,11)=LEFT($E909,11),_xlfn.NUMBERVALUE(RIGHT($E909:$E2907,2)))),TRUE)</f>
        <v>1</v>
      </c>
      <c r="G909" s="336"/>
      <c r="H909" s="336"/>
      <c r="I909" s="336"/>
      <c r="J909" s="336"/>
      <c r="K909" s="336"/>
      <c r="L909" s="336"/>
      <c r="M909" s="336"/>
      <c r="N909" s="336"/>
      <c r="O909" s="336"/>
      <c r="P909" s="336"/>
      <c r="Q909" s="336"/>
      <c r="R909" s="336"/>
      <c r="S909" s="336"/>
      <c r="T909" s="336"/>
    </row>
    <row r="910" spans="1:20" x14ac:dyDescent="0.25">
      <c r="A910" s="336"/>
      <c r="B910" s="336"/>
      <c r="C910" s="336"/>
      <c r="D910" s="336"/>
      <c r="E910" s="336"/>
      <c r="F910" s="104" t="b">
        <f t="array" ref="F910">IF(_xlfn.NUMBERVALUE(RIGHT($E910,2))=MAX(IF(LEFT($E910:$E2908,11)=LEFT($E910,11),_xlfn.NUMBERVALUE(RIGHT($E910:$E2908,2)))),TRUE)</f>
        <v>1</v>
      </c>
      <c r="G910" s="336"/>
      <c r="H910" s="336"/>
      <c r="I910" s="336"/>
      <c r="J910" s="336"/>
      <c r="K910" s="336"/>
      <c r="L910" s="336"/>
      <c r="M910" s="336"/>
      <c r="N910" s="336"/>
      <c r="O910" s="336"/>
      <c r="P910" s="336"/>
      <c r="Q910" s="336"/>
      <c r="R910" s="336"/>
      <c r="S910" s="336"/>
      <c r="T910" s="336"/>
    </row>
    <row r="911" spans="1:20" x14ac:dyDescent="0.25">
      <c r="A911" s="336"/>
      <c r="B911" s="336"/>
      <c r="C911" s="336"/>
      <c r="D911" s="336"/>
      <c r="E911" s="336"/>
      <c r="F911" s="104" t="b">
        <f t="array" ref="F911">IF(_xlfn.NUMBERVALUE(RIGHT($E911,2))=MAX(IF(LEFT($E911:$E2909,11)=LEFT($E911,11),_xlfn.NUMBERVALUE(RIGHT($E911:$E2909,2)))),TRUE)</f>
        <v>1</v>
      </c>
      <c r="G911" s="336"/>
      <c r="H911" s="336"/>
      <c r="I911" s="336"/>
      <c r="J911" s="336"/>
      <c r="K911" s="336"/>
      <c r="L911" s="336"/>
      <c r="M911" s="336"/>
      <c r="N911" s="336"/>
      <c r="O911" s="336"/>
      <c r="P911" s="336"/>
      <c r="Q911" s="336"/>
      <c r="R911" s="336"/>
      <c r="S911" s="336"/>
      <c r="T911" s="336"/>
    </row>
    <row r="912" spans="1:20" x14ac:dyDescent="0.25">
      <c r="A912" s="336"/>
      <c r="B912" s="336"/>
      <c r="C912" s="336"/>
      <c r="D912" s="336"/>
      <c r="E912" s="336"/>
      <c r="F912" s="104" t="b">
        <f t="array" ref="F912">IF(_xlfn.NUMBERVALUE(RIGHT($E912,2))=MAX(IF(LEFT($E912:$E2910,11)=LEFT($E912,11),_xlfn.NUMBERVALUE(RIGHT($E912:$E2910,2)))),TRUE)</f>
        <v>1</v>
      </c>
      <c r="G912" s="336"/>
      <c r="H912" s="336"/>
      <c r="I912" s="336"/>
      <c r="J912" s="336"/>
      <c r="K912" s="336"/>
      <c r="L912" s="336"/>
      <c r="M912" s="336"/>
      <c r="N912" s="336"/>
      <c r="O912" s="336"/>
      <c r="P912" s="336"/>
      <c r="Q912" s="336"/>
      <c r="R912" s="336"/>
      <c r="S912" s="336"/>
      <c r="T912" s="336"/>
    </row>
    <row r="913" spans="1:20" x14ac:dyDescent="0.25">
      <c r="A913" s="336"/>
      <c r="B913" s="336"/>
      <c r="C913" s="336"/>
      <c r="D913" s="336"/>
      <c r="E913" s="336"/>
      <c r="F913" s="104" t="b">
        <f t="array" ref="F913">IF(_xlfn.NUMBERVALUE(RIGHT($E913,2))=MAX(IF(LEFT($E913:$E2911,11)=LEFT($E913,11),_xlfn.NUMBERVALUE(RIGHT($E913:$E2911,2)))),TRUE)</f>
        <v>1</v>
      </c>
      <c r="G913" s="336"/>
      <c r="H913" s="336"/>
      <c r="I913" s="336"/>
      <c r="J913" s="336"/>
      <c r="K913" s="336"/>
      <c r="L913" s="336"/>
      <c r="M913" s="336"/>
      <c r="N913" s="336"/>
      <c r="O913" s="336"/>
      <c r="P913" s="336"/>
      <c r="Q913" s="336"/>
      <c r="R913" s="336"/>
      <c r="S913" s="336"/>
      <c r="T913" s="336"/>
    </row>
    <row r="914" spans="1:20" x14ac:dyDescent="0.25">
      <c r="A914" s="336"/>
      <c r="B914" s="336"/>
      <c r="C914" s="336"/>
      <c r="D914" s="336"/>
      <c r="E914" s="336"/>
      <c r="F914" s="104" t="b">
        <f t="array" ref="F914">IF(_xlfn.NUMBERVALUE(RIGHT($E914,2))=MAX(IF(LEFT($E914:$E2912,11)=LEFT($E914,11),_xlfn.NUMBERVALUE(RIGHT($E914:$E2912,2)))),TRUE)</f>
        <v>1</v>
      </c>
      <c r="G914" s="336"/>
      <c r="H914" s="336"/>
      <c r="I914" s="336"/>
      <c r="J914" s="336"/>
      <c r="K914" s="336"/>
      <c r="L914" s="336"/>
      <c r="M914" s="336"/>
      <c r="N914" s="336"/>
      <c r="O914" s="336"/>
      <c r="P914" s="336"/>
      <c r="Q914" s="336"/>
      <c r="R914" s="336"/>
      <c r="S914" s="336"/>
      <c r="T914" s="336"/>
    </row>
    <row r="915" spans="1:20" x14ac:dyDescent="0.25">
      <c r="A915" s="336"/>
      <c r="B915" s="336"/>
      <c r="C915" s="336"/>
      <c r="D915" s="336"/>
      <c r="E915" s="336"/>
      <c r="F915" s="104" t="b">
        <f t="array" ref="F915">IF(_xlfn.NUMBERVALUE(RIGHT($E915,2))=MAX(IF(LEFT($E915:$E2913,11)=LEFT($E915,11),_xlfn.NUMBERVALUE(RIGHT($E915:$E2913,2)))),TRUE)</f>
        <v>1</v>
      </c>
      <c r="G915" s="336"/>
      <c r="H915" s="336"/>
      <c r="I915" s="336"/>
      <c r="J915" s="336"/>
      <c r="K915" s="336"/>
      <c r="L915" s="336"/>
      <c r="M915" s="336"/>
      <c r="N915" s="336"/>
      <c r="O915" s="336"/>
      <c r="P915" s="336"/>
      <c r="Q915" s="336"/>
      <c r="R915" s="336"/>
      <c r="S915" s="336"/>
      <c r="T915" s="336"/>
    </row>
    <row r="916" spans="1:20" x14ac:dyDescent="0.25">
      <c r="A916" s="336"/>
      <c r="B916" s="336"/>
      <c r="C916" s="336"/>
      <c r="D916" s="336"/>
      <c r="E916" s="336"/>
      <c r="F916" s="104" t="b">
        <f t="array" ref="F916">IF(_xlfn.NUMBERVALUE(RIGHT($E916,2))=MAX(IF(LEFT($E916:$E2914,11)=LEFT($E916,11),_xlfn.NUMBERVALUE(RIGHT($E916:$E2914,2)))),TRUE)</f>
        <v>1</v>
      </c>
      <c r="G916" s="336"/>
      <c r="H916" s="336"/>
      <c r="I916" s="336"/>
      <c r="J916" s="336"/>
      <c r="K916" s="336"/>
      <c r="L916" s="336"/>
      <c r="M916" s="336"/>
      <c r="N916" s="336"/>
      <c r="O916" s="336"/>
      <c r="P916" s="336"/>
      <c r="Q916" s="336"/>
      <c r="R916" s="336"/>
      <c r="S916" s="336"/>
      <c r="T916" s="336"/>
    </row>
    <row r="917" spans="1:20" x14ac:dyDescent="0.25">
      <c r="A917" s="336"/>
      <c r="B917" s="336"/>
      <c r="C917" s="336"/>
      <c r="D917" s="336"/>
      <c r="E917" s="336"/>
      <c r="F917" s="104" t="b">
        <f t="array" ref="F917">IF(_xlfn.NUMBERVALUE(RIGHT($E917,2))=MAX(IF(LEFT($E917:$E2915,11)=LEFT($E917,11),_xlfn.NUMBERVALUE(RIGHT($E917:$E2915,2)))),TRUE)</f>
        <v>1</v>
      </c>
      <c r="G917" s="336"/>
      <c r="H917" s="336"/>
      <c r="I917" s="336"/>
      <c r="J917" s="336"/>
      <c r="K917" s="336"/>
      <c r="L917" s="336"/>
      <c r="M917" s="336"/>
      <c r="N917" s="336"/>
      <c r="O917" s="336"/>
      <c r="P917" s="336"/>
      <c r="Q917" s="336"/>
      <c r="R917" s="336"/>
      <c r="S917" s="336"/>
      <c r="T917" s="336"/>
    </row>
    <row r="918" spans="1:20" x14ac:dyDescent="0.25">
      <c r="A918" s="336"/>
      <c r="B918" s="336"/>
      <c r="C918" s="336"/>
      <c r="D918" s="336"/>
      <c r="E918" s="336"/>
      <c r="F918" s="104" t="b">
        <f t="array" ref="F918">IF(_xlfn.NUMBERVALUE(RIGHT($E918,2))=MAX(IF(LEFT($E918:$E2916,11)=LEFT($E918,11),_xlfn.NUMBERVALUE(RIGHT($E918:$E2916,2)))),TRUE)</f>
        <v>1</v>
      </c>
      <c r="G918" s="336"/>
      <c r="H918" s="336"/>
      <c r="I918" s="336"/>
      <c r="J918" s="336"/>
      <c r="K918" s="336"/>
      <c r="L918" s="336"/>
      <c r="M918" s="336"/>
      <c r="N918" s="336"/>
      <c r="O918" s="336"/>
      <c r="P918" s="336"/>
      <c r="Q918" s="336"/>
      <c r="R918" s="336"/>
      <c r="S918" s="336"/>
      <c r="T918" s="336"/>
    </row>
    <row r="919" spans="1:20" x14ac:dyDescent="0.25">
      <c r="A919" s="336"/>
      <c r="B919" s="336"/>
      <c r="C919" s="336"/>
      <c r="D919" s="336"/>
      <c r="E919" s="336"/>
      <c r="F919" s="104" t="b">
        <f t="array" ref="F919">IF(_xlfn.NUMBERVALUE(RIGHT($E919,2))=MAX(IF(LEFT($E919:$E2917,11)=LEFT($E919,11),_xlfn.NUMBERVALUE(RIGHT($E919:$E2917,2)))),TRUE)</f>
        <v>1</v>
      </c>
      <c r="G919" s="336"/>
      <c r="H919" s="336"/>
      <c r="I919" s="336"/>
      <c r="J919" s="336"/>
      <c r="K919" s="336"/>
      <c r="L919" s="336"/>
      <c r="M919" s="336"/>
      <c r="N919" s="336"/>
      <c r="O919" s="336"/>
      <c r="P919" s="336"/>
      <c r="Q919" s="336"/>
      <c r="R919" s="336"/>
      <c r="S919" s="336"/>
      <c r="T919" s="336"/>
    </row>
    <row r="920" spans="1:20" x14ac:dyDescent="0.25">
      <c r="A920" s="336"/>
      <c r="B920" s="336"/>
      <c r="C920" s="336"/>
      <c r="D920" s="336"/>
      <c r="E920" s="336"/>
      <c r="F920" s="104" t="b">
        <f t="array" ref="F920">IF(_xlfn.NUMBERVALUE(RIGHT($E920,2))=MAX(IF(LEFT($E920:$E2918,11)=LEFT($E920,11),_xlfn.NUMBERVALUE(RIGHT($E920:$E2918,2)))),TRUE)</f>
        <v>1</v>
      </c>
      <c r="G920" s="336"/>
      <c r="H920" s="336"/>
      <c r="I920" s="336"/>
      <c r="J920" s="336"/>
      <c r="K920" s="336"/>
      <c r="L920" s="336"/>
      <c r="M920" s="336"/>
      <c r="N920" s="336"/>
      <c r="O920" s="336"/>
      <c r="P920" s="336"/>
      <c r="Q920" s="336"/>
      <c r="R920" s="336"/>
      <c r="S920" s="336"/>
      <c r="T920" s="336"/>
    </row>
    <row r="921" spans="1:20" x14ac:dyDescent="0.25">
      <c r="A921" s="336"/>
      <c r="B921" s="336"/>
      <c r="C921" s="336"/>
      <c r="D921" s="336"/>
      <c r="E921" s="336"/>
      <c r="F921" s="104" t="b">
        <f t="array" ref="F921">IF(_xlfn.NUMBERVALUE(RIGHT($E921,2))=MAX(IF(LEFT($E921:$E2919,11)=LEFT($E921,11),_xlfn.NUMBERVALUE(RIGHT($E921:$E2919,2)))),TRUE)</f>
        <v>1</v>
      </c>
      <c r="G921" s="336"/>
      <c r="H921" s="336"/>
      <c r="I921" s="336"/>
      <c r="J921" s="336"/>
      <c r="K921" s="336"/>
      <c r="L921" s="336"/>
      <c r="M921" s="336"/>
      <c r="N921" s="336"/>
      <c r="O921" s="336"/>
      <c r="P921" s="336"/>
      <c r="Q921" s="336"/>
      <c r="R921" s="336"/>
      <c r="S921" s="336"/>
      <c r="T921" s="336"/>
    </row>
    <row r="922" spans="1:20" x14ac:dyDescent="0.25">
      <c r="A922" s="336"/>
      <c r="B922" s="336"/>
      <c r="C922" s="336"/>
      <c r="D922" s="336"/>
      <c r="E922" s="336"/>
      <c r="F922" s="104" t="b">
        <f t="array" ref="F922">IF(_xlfn.NUMBERVALUE(RIGHT($E922,2))=MAX(IF(LEFT($E922:$E2920,11)=LEFT($E922,11),_xlfn.NUMBERVALUE(RIGHT($E922:$E2920,2)))),TRUE)</f>
        <v>1</v>
      </c>
      <c r="G922" s="336"/>
      <c r="H922" s="336"/>
      <c r="I922" s="336"/>
      <c r="J922" s="336"/>
      <c r="K922" s="336"/>
      <c r="L922" s="336"/>
      <c r="M922" s="336"/>
      <c r="N922" s="336"/>
      <c r="O922" s="336"/>
      <c r="P922" s="336"/>
      <c r="Q922" s="336"/>
      <c r="R922" s="336"/>
      <c r="S922" s="336"/>
      <c r="T922" s="336"/>
    </row>
    <row r="923" spans="1:20" x14ac:dyDescent="0.25">
      <c r="A923" s="336"/>
      <c r="B923" s="336"/>
      <c r="C923" s="336"/>
      <c r="D923" s="336"/>
      <c r="E923" s="336"/>
      <c r="F923" s="104" t="b">
        <f t="array" ref="F923">IF(_xlfn.NUMBERVALUE(RIGHT($E923,2))=MAX(IF(LEFT($E923:$E2921,11)=LEFT($E923,11),_xlfn.NUMBERVALUE(RIGHT($E923:$E2921,2)))),TRUE)</f>
        <v>1</v>
      </c>
      <c r="G923" s="336"/>
      <c r="H923" s="336"/>
      <c r="I923" s="336"/>
      <c r="J923" s="336"/>
      <c r="K923" s="336"/>
      <c r="L923" s="336"/>
      <c r="M923" s="336"/>
      <c r="N923" s="336"/>
      <c r="O923" s="336"/>
      <c r="P923" s="336"/>
      <c r="Q923" s="336"/>
      <c r="R923" s="336"/>
      <c r="S923" s="336"/>
      <c r="T923" s="336"/>
    </row>
    <row r="924" spans="1:20" x14ac:dyDescent="0.25">
      <c r="A924" s="336"/>
      <c r="B924" s="336"/>
      <c r="C924" s="336"/>
      <c r="D924" s="336"/>
      <c r="E924" s="336"/>
      <c r="F924" s="104" t="b">
        <f t="array" ref="F924">IF(_xlfn.NUMBERVALUE(RIGHT($E924,2))=MAX(IF(LEFT($E924:$E2922,11)=LEFT($E924,11),_xlfn.NUMBERVALUE(RIGHT($E924:$E2922,2)))),TRUE)</f>
        <v>1</v>
      </c>
      <c r="G924" s="336"/>
      <c r="H924" s="336"/>
      <c r="I924" s="336"/>
      <c r="J924" s="336"/>
      <c r="K924" s="336"/>
      <c r="L924" s="336"/>
      <c r="M924" s="336"/>
      <c r="N924" s="336"/>
      <c r="O924" s="336"/>
      <c r="P924" s="336"/>
      <c r="Q924" s="336"/>
      <c r="R924" s="336"/>
      <c r="S924" s="336"/>
      <c r="T924" s="336"/>
    </row>
    <row r="925" spans="1:20" x14ac:dyDescent="0.25">
      <c r="A925" s="336"/>
      <c r="B925" s="336"/>
      <c r="C925" s="336"/>
      <c r="D925" s="336"/>
      <c r="E925" s="336"/>
      <c r="F925" s="104" t="b">
        <f t="array" ref="F925">IF(_xlfn.NUMBERVALUE(RIGHT($E925,2))=MAX(IF(LEFT($E925:$E2923,11)=LEFT($E925,11),_xlfn.NUMBERVALUE(RIGHT($E925:$E2923,2)))),TRUE)</f>
        <v>1</v>
      </c>
      <c r="G925" s="336"/>
      <c r="H925" s="336"/>
      <c r="I925" s="336"/>
      <c r="J925" s="336"/>
      <c r="K925" s="336"/>
      <c r="L925" s="336"/>
      <c r="M925" s="336"/>
      <c r="N925" s="336"/>
      <c r="O925" s="336"/>
      <c r="P925" s="336"/>
      <c r="Q925" s="336"/>
      <c r="R925" s="336"/>
      <c r="S925" s="336"/>
      <c r="T925" s="336"/>
    </row>
    <row r="926" spans="1:20" x14ac:dyDescent="0.25">
      <c r="A926" s="336"/>
      <c r="B926" s="336"/>
      <c r="C926" s="336"/>
      <c r="D926" s="336"/>
      <c r="E926" s="336"/>
      <c r="F926" s="104" t="b">
        <f t="array" ref="F926">IF(_xlfn.NUMBERVALUE(RIGHT($E926,2))=MAX(IF(LEFT($E926:$E2924,11)=LEFT($E926,11),_xlfn.NUMBERVALUE(RIGHT($E926:$E2924,2)))),TRUE)</f>
        <v>1</v>
      </c>
      <c r="G926" s="336"/>
      <c r="H926" s="336"/>
      <c r="I926" s="336"/>
      <c r="J926" s="336"/>
      <c r="K926" s="336"/>
      <c r="L926" s="336"/>
      <c r="M926" s="336"/>
      <c r="N926" s="336"/>
      <c r="O926" s="336"/>
      <c r="P926" s="336"/>
      <c r="Q926" s="336"/>
      <c r="R926" s="336"/>
      <c r="S926" s="336"/>
      <c r="T926" s="336"/>
    </row>
    <row r="927" spans="1:20" x14ac:dyDescent="0.25">
      <c r="A927" s="336"/>
      <c r="B927" s="336"/>
      <c r="C927" s="336"/>
      <c r="D927" s="336"/>
      <c r="E927" s="336"/>
      <c r="F927" s="104" t="b">
        <f t="array" ref="F927">IF(_xlfn.NUMBERVALUE(RIGHT($E927,2))=MAX(IF(LEFT($E927:$E2925,11)=LEFT($E927,11),_xlfn.NUMBERVALUE(RIGHT($E927:$E2925,2)))),TRUE)</f>
        <v>1</v>
      </c>
      <c r="G927" s="336"/>
      <c r="H927" s="336"/>
      <c r="I927" s="336"/>
      <c r="J927" s="336"/>
      <c r="K927" s="336"/>
      <c r="L927" s="336"/>
      <c r="M927" s="336"/>
      <c r="N927" s="336"/>
      <c r="O927" s="336"/>
      <c r="P927" s="336"/>
      <c r="Q927" s="336"/>
      <c r="R927" s="336"/>
      <c r="S927" s="336"/>
      <c r="T927" s="336"/>
    </row>
    <row r="928" spans="1:20" x14ac:dyDescent="0.25">
      <c r="A928" s="336"/>
      <c r="B928" s="336"/>
      <c r="C928" s="336"/>
      <c r="D928" s="336"/>
      <c r="E928" s="336"/>
      <c r="F928" s="104" t="b">
        <f t="array" ref="F928">IF(_xlfn.NUMBERVALUE(RIGHT($E928,2))=MAX(IF(LEFT($E928:$E2926,11)=LEFT($E928,11),_xlfn.NUMBERVALUE(RIGHT($E928:$E2926,2)))),TRUE)</f>
        <v>1</v>
      </c>
      <c r="G928" s="336"/>
      <c r="H928" s="336"/>
      <c r="I928" s="336"/>
      <c r="J928" s="336"/>
      <c r="K928" s="336"/>
      <c r="L928" s="336"/>
      <c r="M928" s="336"/>
      <c r="N928" s="336"/>
      <c r="O928" s="336"/>
      <c r="P928" s="336"/>
      <c r="Q928" s="336"/>
      <c r="R928" s="336"/>
      <c r="S928" s="336"/>
      <c r="T928" s="336"/>
    </row>
    <row r="929" spans="1:20" x14ac:dyDescent="0.25">
      <c r="A929" s="336"/>
      <c r="B929" s="336"/>
      <c r="C929" s="336"/>
      <c r="D929" s="336"/>
      <c r="E929" s="336"/>
      <c r="F929" s="104" t="b">
        <f t="array" ref="F929">IF(_xlfn.NUMBERVALUE(RIGHT($E929,2))=MAX(IF(LEFT($E929:$E2927,11)=LEFT($E929,11),_xlfn.NUMBERVALUE(RIGHT($E929:$E2927,2)))),TRUE)</f>
        <v>1</v>
      </c>
      <c r="G929" s="336"/>
      <c r="H929" s="336"/>
      <c r="I929" s="336"/>
      <c r="J929" s="336"/>
      <c r="K929" s="336"/>
      <c r="L929" s="336"/>
      <c r="M929" s="336"/>
      <c r="N929" s="336"/>
      <c r="O929" s="336"/>
      <c r="P929" s="336"/>
      <c r="Q929" s="336"/>
      <c r="R929" s="336"/>
      <c r="S929" s="336"/>
      <c r="T929" s="336"/>
    </row>
    <row r="930" spans="1:20" x14ac:dyDescent="0.25">
      <c r="A930" s="336"/>
      <c r="B930" s="336"/>
      <c r="C930" s="336"/>
      <c r="D930" s="336"/>
      <c r="E930" s="336"/>
      <c r="F930" s="104" t="b">
        <f t="array" ref="F930">IF(_xlfn.NUMBERVALUE(RIGHT($E930,2))=MAX(IF(LEFT($E930:$E2928,11)=LEFT($E930,11),_xlfn.NUMBERVALUE(RIGHT($E930:$E2928,2)))),TRUE)</f>
        <v>1</v>
      </c>
      <c r="G930" s="336"/>
      <c r="H930" s="336"/>
      <c r="I930" s="336"/>
      <c r="J930" s="336"/>
      <c r="K930" s="336"/>
      <c r="L930" s="336"/>
      <c r="M930" s="336"/>
      <c r="N930" s="336"/>
      <c r="O930" s="336"/>
      <c r="P930" s="336"/>
      <c r="Q930" s="336"/>
      <c r="R930" s="336"/>
      <c r="S930" s="336"/>
      <c r="T930" s="336"/>
    </row>
    <row r="931" spans="1:20" x14ac:dyDescent="0.25">
      <c r="A931" s="336"/>
      <c r="B931" s="336"/>
      <c r="C931" s="336"/>
      <c r="D931" s="336"/>
      <c r="E931" s="336"/>
      <c r="F931" s="104" t="b">
        <f t="array" ref="F931">IF(_xlfn.NUMBERVALUE(RIGHT($E931,2))=MAX(IF(LEFT($E931:$E2929,11)=LEFT($E931,11),_xlfn.NUMBERVALUE(RIGHT($E931:$E2929,2)))),TRUE)</f>
        <v>1</v>
      </c>
      <c r="G931" s="336"/>
      <c r="H931" s="336"/>
      <c r="I931" s="336"/>
      <c r="J931" s="336"/>
      <c r="K931" s="336"/>
      <c r="L931" s="336"/>
      <c r="M931" s="336"/>
      <c r="N931" s="336"/>
      <c r="O931" s="336"/>
      <c r="P931" s="336"/>
      <c r="Q931" s="336"/>
      <c r="R931" s="336"/>
      <c r="S931" s="336"/>
      <c r="T931" s="336"/>
    </row>
    <row r="932" spans="1:20" x14ac:dyDescent="0.25">
      <c r="A932" s="336"/>
      <c r="B932" s="336"/>
      <c r="C932" s="336"/>
      <c r="D932" s="336"/>
      <c r="E932" s="336"/>
      <c r="F932" s="104" t="b">
        <f t="array" ref="F932">IF(_xlfn.NUMBERVALUE(RIGHT($E932,2))=MAX(IF(LEFT($E932:$E2930,11)=LEFT($E932,11),_xlfn.NUMBERVALUE(RIGHT($E932:$E2930,2)))),TRUE)</f>
        <v>1</v>
      </c>
      <c r="G932" s="336"/>
      <c r="H932" s="336"/>
      <c r="I932" s="336"/>
      <c r="J932" s="336"/>
      <c r="K932" s="336"/>
      <c r="L932" s="336"/>
      <c r="M932" s="336"/>
      <c r="N932" s="336"/>
      <c r="O932" s="336"/>
      <c r="P932" s="336"/>
      <c r="Q932" s="336"/>
      <c r="R932" s="336"/>
      <c r="S932" s="336"/>
      <c r="T932" s="336"/>
    </row>
    <row r="933" spans="1:20" x14ac:dyDescent="0.25">
      <c r="A933" s="336"/>
      <c r="B933" s="336"/>
      <c r="C933" s="336"/>
      <c r="D933" s="336"/>
      <c r="E933" s="336"/>
      <c r="F933" s="104" t="b">
        <f t="array" ref="F933">IF(_xlfn.NUMBERVALUE(RIGHT($E933,2))=MAX(IF(LEFT($E933:$E2931,11)=LEFT($E933,11),_xlfn.NUMBERVALUE(RIGHT($E933:$E2931,2)))),TRUE)</f>
        <v>1</v>
      </c>
      <c r="G933" s="336"/>
      <c r="H933" s="336"/>
      <c r="I933" s="336"/>
      <c r="J933" s="336"/>
      <c r="K933" s="336"/>
      <c r="L933" s="336"/>
      <c r="M933" s="336"/>
      <c r="N933" s="336"/>
      <c r="O933" s="336"/>
      <c r="P933" s="336"/>
      <c r="Q933" s="336"/>
      <c r="R933" s="336"/>
      <c r="S933" s="336"/>
      <c r="T933" s="336"/>
    </row>
    <row r="934" spans="1:20" x14ac:dyDescent="0.25">
      <c r="A934" s="336"/>
      <c r="B934" s="336"/>
      <c r="C934" s="336"/>
      <c r="D934" s="336"/>
      <c r="E934" s="336"/>
      <c r="F934" s="104" t="b">
        <f t="array" ref="F934">IF(_xlfn.NUMBERVALUE(RIGHT($E934,2))=MAX(IF(LEFT($E934:$E2932,11)=LEFT($E934,11),_xlfn.NUMBERVALUE(RIGHT($E934:$E2932,2)))),TRUE)</f>
        <v>1</v>
      </c>
      <c r="G934" s="336"/>
      <c r="H934" s="336"/>
      <c r="I934" s="336"/>
      <c r="J934" s="336"/>
      <c r="K934" s="336"/>
      <c r="L934" s="336"/>
      <c r="M934" s="336"/>
      <c r="N934" s="336"/>
      <c r="O934" s="336"/>
      <c r="P934" s="336"/>
      <c r="Q934" s="336"/>
      <c r="R934" s="336"/>
      <c r="S934" s="336"/>
      <c r="T934" s="336"/>
    </row>
    <row r="935" spans="1:20" x14ac:dyDescent="0.25">
      <c r="A935" s="336"/>
      <c r="B935" s="336"/>
      <c r="C935" s="336"/>
      <c r="D935" s="336"/>
      <c r="E935" s="336"/>
      <c r="F935" s="104" t="b">
        <f t="array" ref="F935">IF(_xlfn.NUMBERVALUE(RIGHT($E935,2))=MAX(IF(LEFT($E935:$E2933,11)=LEFT($E935,11),_xlfn.NUMBERVALUE(RIGHT($E935:$E2933,2)))),TRUE)</f>
        <v>1</v>
      </c>
      <c r="G935" s="336"/>
      <c r="H935" s="336"/>
      <c r="I935" s="336"/>
      <c r="J935" s="336"/>
      <c r="K935" s="336"/>
      <c r="L935" s="336"/>
      <c r="M935" s="336"/>
      <c r="N935" s="336"/>
      <c r="O935" s="336"/>
      <c r="P935" s="336"/>
      <c r="Q935" s="336"/>
      <c r="R935" s="336"/>
      <c r="S935" s="336"/>
      <c r="T935" s="336"/>
    </row>
    <row r="936" spans="1:20" x14ac:dyDescent="0.25">
      <c r="A936" s="336"/>
      <c r="B936" s="336"/>
      <c r="C936" s="336"/>
      <c r="D936" s="336"/>
      <c r="E936" s="336"/>
      <c r="F936" s="104" t="b">
        <f t="array" ref="F936">IF(_xlfn.NUMBERVALUE(RIGHT($E936,2))=MAX(IF(LEFT($E936:$E2934,11)=LEFT($E936,11),_xlfn.NUMBERVALUE(RIGHT($E936:$E2934,2)))),TRUE)</f>
        <v>1</v>
      </c>
      <c r="G936" s="336"/>
      <c r="H936" s="336"/>
      <c r="I936" s="336"/>
      <c r="J936" s="336"/>
      <c r="K936" s="336"/>
      <c r="L936" s="336"/>
      <c r="M936" s="336"/>
      <c r="N936" s="336"/>
      <c r="O936" s="336"/>
      <c r="P936" s="336"/>
      <c r="Q936" s="336"/>
      <c r="R936" s="336"/>
      <c r="S936" s="336"/>
      <c r="T936" s="336"/>
    </row>
    <row r="937" spans="1:20" x14ac:dyDescent="0.25">
      <c r="A937" s="336"/>
      <c r="B937" s="336"/>
      <c r="C937" s="336"/>
      <c r="D937" s="336"/>
      <c r="E937" s="336"/>
      <c r="F937" s="104" t="b">
        <f t="array" ref="F937">IF(_xlfn.NUMBERVALUE(RIGHT($E937,2))=MAX(IF(LEFT($E937:$E2935,11)=LEFT($E937,11),_xlfn.NUMBERVALUE(RIGHT($E937:$E2935,2)))),TRUE)</f>
        <v>1</v>
      </c>
      <c r="G937" s="336"/>
      <c r="H937" s="336"/>
      <c r="I937" s="336"/>
      <c r="J937" s="336"/>
      <c r="K937" s="336"/>
      <c r="L937" s="336"/>
      <c r="M937" s="336"/>
      <c r="N937" s="336"/>
      <c r="O937" s="336"/>
      <c r="P937" s="336"/>
      <c r="Q937" s="336"/>
      <c r="R937" s="336"/>
      <c r="S937" s="336"/>
      <c r="T937" s="336"/>
    </row>
    <row r="938" spans="1:20" x14ac:dyDescent="0.25">
      <c r="A938" s="336"/>
      <c r="B938" s="336"/>
      <c r="C938" s="336"/>
      <c r="D938" s="336"/>
      <c r="E938" s="336"/>
      <c r="F938" s="104" t="b">
        <f t="array" ref="F938">IF(_xlfn.NUMBERVALUE(RIGHT($E938,2))=MAX(IF(LEFT($E938:$E2936,11)=LEFT($E938,11),_xlfn.NUMBERVALUE(RIGHT($E938:$E2936,2)))),TRUE)</f>
        <v>1</v>
      </c>
      <c r="G938" s="336"/>
      <c r="H938" s="336"/>
      <c r="I938" s="336"/>
      <c r="J938" s="336"/>
      <c r="K938" s="336"/>
      <c r="L938" s="336"/>
      <c r="M938" s="336"/>
      <c r="N938" s="336"/>
      <c r="O938" s="336"/>
      <c r="P938" s="336"/>
      <c r="Q938" s="336"/>
      <c r="R938" s="336"/>
      <c r="S938" s="336"/>
      <c r="T938" s="336"/>
    </row>
    <row r="939" spans="1:20" x14ac:dyDescent="0.25">
      <c r="A939" s="336"/>
      <c r="B939" s="336"/>
      <c r="C939" s="336"/>
      <c r="D939" s="336"/>
      <c r="E939" s="336"/>
      <c r="F939" s="104" t="b">
        <f t="array" ref="F939">IF(_xlfn.NUMBERVALUE(RIGHT($E939,2))=MAX(IF(LEFT($E939:$E2937,11)=LEFT($E939,11),_xlfn.NUMBERVALUE(RIGHT($E939:$E2937,2)))),TRUE)</f>
        <v>1</v>
      </c>
      <c r="G939" s="336"/>
      <c r="H939" s="336"/>
      <c r="I939" s="336"/>
      <c r="J939" s="336"/>
      <c r="K939" s="336"/>
      <c r="L939" s="336"/>
      <c r="M939" s="336"/>
      <c r="N939" s="336"/>
      <c r="O939" s="336"/>
      <c r="P939" s="336"/>
      <c r="Q939" s="336"/>
      <c r="R939" s="336"/>
      <c r="S939" s="336"/>
      <c r="T939" s="336"/>
    </row>
    <row r="940" spans="1:20" x14ac:dyDescent="0.25">
      <c r="A940" s="336"/>
      <c r="B940" s="336"/>
      <c r="C940" s="336"/>
      <c r="D940" s="336"/>
      <c r="E940" s="336"/>
      <c r="F940" s="104" t="b">
        <f t="array" ref="F940">IF(_xlfn.NUMBERVALUE(RIGHT($E940,2))=MAX(IF(LEFT($E940:$E2938,11)=LEFT($E940,11),_xlfn.NUMBERVALUE(RIGHT($E940:$E2938,2)))),TRUE)</f>
        <v>1</v>
      </c>
      <c r="G940" s="336"/>
      <c r="H940" s="336"/>
      <c r="I940" s="336"/>
      <c r="J940" s="336"/>
      <c r="K940" s="336"/>
      <c r="L940" s="336"/>
      <c r="M940" s="336"/>
      <c r="N940" s="336"/>
      <c r="O940" s="336"/>
      <c r="P940" s="336"/>
      <c r="Q940" s="336"/>
      <c r="R940" s="336"/>
      <c r="S940" s="336"/>
      <c r="T940" s="336"/>
    </row>
    <row r="941" spans="1:20" x14ac:dyDescent="0.25">
      <c r="A941" s="336"/>
      <c r="B941" s="336"/>
      <c r="C941" s="336"/>
      <c r="D941" s="336"/>
      <c r="E941" s="336"/>
      <c r="F941" s="104" t="b">
        <f t="array" ref="F941">IF(_xlfn.NUMBERVALUE(RIGHT($E941,2))=MAX(IF(LEFT($E941:$E2939,11)=LEFT($E941,11),_xlfn.NUMBERVALUE(RIGHT($E941:$E2939,2)))),TRUE)</f>
        <v>1</v>
      </c>
      <c r="G941" s="336"/>
      <c r="H941" s="336"/>
      <c r="I941" s="336"/>
      <c r="J941" s="336"/>
      <c r="K941" s="336"/>
      <c r="L941" s="336"/>
      <c r="M941" s="336"/>
      <c r="N941" s="336"/>
      <c r="O941" s="336"/>
      <c r="P941" s="336"/>
      <c r="Q941" s="336"/>
      <c r="R941" s="336"/>
      <c r="S941" s="336"/>
      <c r="T941" s="336"/>
    </row>
    <row r="942" spans="1:20" x14ac:dyDescent="0.25">
      <c r="A942" s="336"/>
      <c r="B942" s="336"/>
      <c r="C942" s="336"/>
      <c r="D942" s="336"/>
      <c r="E942" s="336"/>
      <c r="F942" s="104" t="b">
        <f t="array" ref="F942">IF(_xlfn.NUMBERVALUE(RIGHT($E942,2))=MAX(IF(LEFT($E942:$E2940,11)=LEFT($E942,11),_xlfn.NUMBERVALUE(RIGHT($E942:$E2940,2)))),TRUE)</f>
        <v>1</v>
      </c>
      <c r="G942" s="336"/>
      <c r="H942" s="336"/>
      <c r="I942" s="336"/>
      <c r="J942" s="336"/>
      <c r="K942" s="336"/>
      <c r="L942" s="336"/>
      <c r="M942" s="336"/>
      <c r="N942" s="336"/>
      <c r="O942" s="336"/>
      <c r="P942" s="336"/>
      <c r="Q942" s="336"/>
      <c r="R942" s="336"/>
      <c r="S942" s="336"/>
      <c r="T942" s="336"/>
    </row>
    <row r="943" spans="1:20" x14ac:dyDescent="0.25">
      <c r="A943" s="336"/>
      <c r="B943" s="336"/>
      <c r="C943" s="336"/>
      <c r="D943" s="336"/>
      <c r="E943" s="336"/>
      <c r="F943" s="104" t="b">
        <f t="array" ref="F943">IF(_xlfn.NUMBERVALUE(RIGHT($E943,2))=MAX(IF(LEFT($E943:$E2941,11)=LEFT($E943,11),_xlfn.NUMBERVALUE(RIGHT($E943:$E2941,2)))),TRUE)</f>
        <v>1</v>
      </c>
      <c r="G943" s="336"/>
      <c r="H943" s="336"/>
      <c r="I943" s="336"/>
      <c r="J943" s="336"/>
      <c r="K943" s="336"/>
      <c r="L943" s="336"/>
      <c r="M943" s="336"/>
      <c r="N943" s="336"/>
      <c r="O943" s="336"/>
      <c r="P943" s="336"/>
      <c r="Q943" s="336"/>
      <c r="R943" s="336"/>
      <c r="S943" s="336"/>
      <c r="T943" s="336"/>
    </row>
    <row r="944" spans="1:20" x14ac:dyDescent="0.25">
      <c r="A944" s="336"/>
      <c r="B944" s="336"/>
      <c r="C944" s="336"/>
      <c r="D944" s="336"/>
      <c r="E944" s="336"/>
      <c r="F944" s="104" t="b">
        <f t="array" ref="F944">IF(_xlfn.NUMBERVALUE(RIGHT($E944,2))=MAX(IF(LEFT($E944:$E2942,11)=LEFT($E944,11),_xlfn.NUMBERVALUE(RIGHT($E944:$E2942,2)))),TRUE)</f>
        <v>1</v>
      </c>
      <c r="G944" s="336"/>
      <c r="H944" s="336"/>
      <c r="I944" s="336"/>
      <c r="J944" s="336"/>
      <c r="K944" s="336"/>
      <c r="L944" s="336"/>
      <c r="M944" s="336"/>
      <c r="N944" s="336"/>
      <c r="O944" s="336"/>
      <c r="P944" s="336"/>
      <c r="Q944" s="336"/>
      <c r="R944" s="336"/>
      <c r="S944" s="336"/>
      <c r="T944" s="336"/>
    </row>
    <row r="945" spans="1:20" x14ac:dyDescent="0.25">
      <c r="A945" s="336"/>
      <c r="B945" s="336"/>
      <c r="C945" s="336"/>
      <c r="D945" s="336"/>
      <c r="E945" s="336"/>
      <c r="F945" s="104" t="b">
        <f t="array" ref="F945">IF(_xlfn.NUMBERVALUE(RIGHT($E945,2))=MAX(IF(LEFT($E945:$E2943,11)=LEFT($E945,11),_xlfn.NUMBERVALUE(RIGHT($E945:$E2943,2)))),TRUE)</f>
        <v>1</v>
      </c>
      <c r="G945" s="336"/>
      <c r="H945" s="336"/>
      <c r="I945" s="336"/>
      <c r="J945" s="336"/>
      <c r="K945" s="336"/>
      <c r="L945" s="336"/>
      <c r="M945" s="336"/>
      <c r="N945" s="336"/>
      <c r="O945" s="336"/>
      <c r="P945" s="336"/>
      <c r="Q945" s="336"/>
      <c r="R945" s="336"/>
      <c r="S945" s="336"/>
      <c r="T945" s="336"/>
    </row>
    <row r="946" spans="1:20" x14ac:dyDescent="0.25">
      <c r="A946" s="336"/>
      <c r="B946" s="336"/>
      <c r="C946" s="336"/>
      <c r="D946" s="336"/>
      <c r="E946" s="336"/>
      <c r="F946" s="104" t="b">
        <f t="array" ref="F946">IF(_xlfn.NUMBERVALUE(RIGHT($E946,2))=MAX(IF(LEFT($E946:$E2944,11)=LEFT($E946,11),_xlfn.NUMBERVALUE(RIGHT($E946:$E2944,2)))),TRUE)</f>
        <v>1</v>
      </c>
      <c r="G946" s="336"/>
      <c r="H946" s="336"/>
      <c r="I946" s="336"/>
      <c r="J946" s="336"/>
      <c r="K946" s="336"/>
      <c r="L946" s="336"/>
      <c r="M946" s="336"/>
      <c r="N946" s="336"/>
      <c r="O946" s="336"/>
      <c r="P946" s="336"/>
      <c r="Q946" s="336"/>
      <c r="R946" s="336"/>
      <c r="S946" s="336"/>
      <c r="T946" s="336"/>
    </row>
    <row r="947" spans="1:20" x14ac:dyDescent="0.25">
      <c r="A947" s="336"/>
      <c r="B947" s="336"/>
      <c r="C947" s="336"/>
      <c r="D947" s="336"/>
      <c r="E947" s="336"/>
      <c r="F947" s="104" t="b">
        <f t="array" ref="F947">IF(_xlfn.NUMBERVALUE(RIGHT($E947,2))=MAX(IF(LEFT($E947:$E2945,11)=LEFT($E947,11),_xlfn.NUMBERVALUE(RIGHT($E947:$E2945,2)))),TRUE)</f>
        <v>1</v>
      </c>
      <c r="G947" s="336"/>
      <c r="H947" s="336"/>
      <c r="I947" s="336"/>
      <c r="J947" s="336"/>
      <c r="K947" s="336"/>
      <c r="L947" s="336"/>
      <c r="M947" s="336"/>
      <c r="N947" s="336"/>
      <c r="O947" s="336"/>
      <c r="P947" s="336"/>
      <c r="Q947" s="336"/>
      <c r="R947" s="336"/>
      <c r="S947" s="336"/>
      <c r="T947" s="336"/>
    </row>
    <row r="948" spans="1:20" x14ac:dyDescent="0.25">
      <c r="A948" s="336"/>
      <c r="B948" s="336"/>
      <c r="C948" s="336"/>
      <c r="D948" s="336"/>
      <c r="E948" s="336"/>
      <c r="F948" s="104" t="b">
        <f t="array" ref="F948">IF(_xlfn.NUMBERVALUE(RIGHT($E948,2))=MAX(IF(LEFT($E948:$E2946,11)=LEFT($E948,11),_xlfn.NUMBERVALUE(RIGHT($E948:$E2946,2)))),TRUE)</f>
        <v>1</v>
      </c>
      <c r="G948" s="336"/>
      <c r="H948" s="336"/>
      <c r="I948" s="336"/>
      <c r="J948" s="336"/>
      <c r="K948" s="336"/>
      <c r="L948" s="336"/>
      <c r="M948" s="336"/>
      <c r="N948" s="336"/>
      <c r="O948" s="336"/>
      <c r="P948" s="336"/>
      <c r="Q948" s="336"/>
      <c r="R948" s="336"/>
      <c r="S948" s="336"/>
      <c r="T948" s="336"/>
    </row>
    <row r="949" spans="1:20" x14ac:dyDescent="0.25">
      <c r="A949" s="336"/>
      <c r="B949" s="336"/>
      <c r="C949" s="336"/>
      <c r="D949" s="336"/>
      <c r="E949" s="336"/>
      <c r="F949" s="104" t="b">
        <f t="array" ref="F949">IF(_xlfn.NUMBERVALUE(RIGHT($E949,2))=MAX(IF(LEFT($E949:$E2947,11)=LEFT($E949,11),_xlfn.NUMBERVALUE(RIGHT($E949:$E2947,2)))),TRUE)</f>
        <v>1</v>
      </c>
      <c r="G949" s="336"/>
      <c r="H949" s="336"/>
      <c r="I949" s="336"/>
      <c r="J949" s="336"/>
      <c r="K949" s="336"/>
      <c r="L949" s="336"/>
      <c r="M949" s="336"/>
      <c r="N949" s="336"/>
      <c r="O949" s="336"/>
      <c r="P949" s="336"/>
      <c r="Q949" s="336"/>
      <c r="R949" s="336"/>
      <c r="S949" s="336"/>
      <c r="T949" s="336"/>
    </row>
    <row r="950" spans="1:20" x14ac:dyDescent="0.25">
      <c r="A950" s="336"/>
      <c r="B950" s="336"/>
      <c r="C950" s="336"/>
      <c r="D950" s="336"/>
      <c r="E950" s="336"/>
      <c r="F950" s="104" t="b">
        <f t="array" ref="F950">IF(_xlfn.NUMBERVALUE(RIGHT($E950,2))=MAX(IF(LEFT($E950:$E2948,11)=LEFT($E950,11),_xlfn.NUMBERVALUE(RIGHT($E950:$E2948,2)))),TRUE)</f>
        <v>1</v>
      </c>
      <c r="G950" s="336"/>
      <c r="H950" s="336"/>
      <c r="I950" s="336"/>
      <c r="J950" s="336"/>
      <c r="K950" s="336"/>
      <c r="L950" s="336"/>
      <c r="M950" s="336"/>
      <c r="N950" s="336"/>
      <c r="O950" s="336"/>
      <c r="P950" s="336"/>
      <c r="Q950" s="336"/>
      <c r="R950" s="336"/>
      <c r="S950" s="336"/>
      <c r="T950" s="336"/>
    </row>
    <row r="951" spans="1:20" x14ac:dyDescent="0.25">
      <c r="A951" s="336"/>
      <c r="B951" s="336"/>
      <c r="C951" s="336"/>
      <c r="D951" s="336"/>
      <c r="E951" s="336"/>
      <c r="F951" s="104" t="b">
        <f t="array" ref="F951">IF(_xlfn.NUMBERVALUE(RIGHT($E951,2))=MAX(IF(LEFT($E951:$E2949,11)=LEFT($E951,11),_xlfn.NUMBERVALUE(RIGHT($E951:$E2949,2)))),TRUE)</f>
        <v>1</v>
      </c>
      <c r="G951" s="336"/>
      <c r="H951" s="336"/>
      <c r="I951" s="336"/>
      <c r="J951" s="336"/>
      <c r="K951" s="336"/>
      <c r="L951" s="336"/>
      <c r="M951" s="336"/>
      <c r="N951" s="336"/>
      <c r="O951" s="336"/>
      <c r="P951" s="336"/>
      <c r="Q951" s="336"/>
      <c r="R951" s="336"/>
      <c r="S951" s="336"/>
      <c r="T951" s="336"/>
    </row>
    <row r="952" spans="1:20" x14ac:dyDescent="0.25">
      <c r="A952" s="336"/>
      <c r="B952" s="336"/>
      <c r="C952" s="336"/>
      <c r="D952" s="336"/>
      <c r="E952" s="336"/>
      <c r="F952" s="104" t="b">
        <f t="array" ref="F952">IF(_xlfn.NUMBERVALUE(RIGHT($E952,2))=MAX(IF(LEFT($E952:$E2950,11)=LEFT($E952,11),_xlfn.NUMBERVALUE(RIGHT($E952:$E2950,2)))),TRUE)</f>
        <v>1</v>
      </c>
      <c r="G952" s="336"/>
      <c r="H952" s="336"/>
      <c r="I952" s="336"/>
      <c r="J952" s="336"/>
      <c r="K952" s="336"/>
      <c r="L952" s="336"/>
      <c r="M952" s="336"/>
      <c r="N952" s="336"/>
      <c r="O952" s="336"/>
      <c r="P952" s="336"/>
      <c r="Q952" s="336"/>
      <c r="R952" s="336"/>
      <c r="S952" s="336"/>
      <c r="T952" s="336"/>
    </row>
    <row r="953" spans="1:20" x14ac:dyDescent="0.25">
      <c r="A953" s="336"/>
      <c r="B953" s="336"/>
      <c r="C953" s="336"/>
      <c r="D953" s="336"/>
      <c r="E953" s="336"/>
      <c r="F953" s="104" t="b">
        <f t="array" ref="F953">IF(_xlfn.NUMBERVALUE(RIGHT($E953,2))=MAX(IF(LEFT($E953:$E2951,11)=LEFT($E953,11),_xlfn.NUMBERVALUE(RIGHT($E953:$E2951,2)))),TRUE)</f>
        <v>1</v>
      </c>
      <c r="G953" s="336"/>
      <c r="H953" s="336"/>
      <c r="I953" s="336"/>
      <c r="J953" s="336"/>
      <c r="K953" s="336"/>
      <c r="L953" s="336"/>
      <c r="M953" s="336"/>
      <c r="N953" s="336"/>
      <c r="O953" s="336"/>
      <c r="P953" s="336"/>
      <c r="Q953" s="336"/>
      <c r="R953" s="336"/>
      <c r="S953" s="336"/>
      <c r="T953" s="336"/>
    </row>
    <row r="954" spans="1:20" x14ac:dyDescent="0.25">
      <c r="A954" s="336"/>
      <c r="B954" s="336"/>
      <c r="C954" s="336"/>
      <c r="D954" s="336"/>
      <c r="E954" s="336"/>
      <c r="F954" s="104" t="b">
        <f t="array" ref="F954">IF(_xlfn.NUMBERVALUE(RIGHT($E954,2))=MAX(IF(LEFT($E954:$E2952,11)=LEFT($E954,11),_xlfn.NUMBERVALUE(RIGHT($E954:$E2952,2)))),TRUE)</f>
        <v>1</v>
      </c>
      <c r="G954" s="336"/>
      <c r="H954" s="336"/>
      <c r="I954" s="336"/>
      <c r="J954" s="336"/>
      <c r="K954" s="336"/>
      <c r="L954" s="336"/>
      <c r="M954" s="336"/>
      <c r="N954" s="336"/>
      <c r="O954" s="336"/>
      <c r="P954" s="336"/>
      <c r="Q954" s="336"/>
      <c r="R954" s="336"/>
      <c r="S954" s="336"/>
      <c r="T954" s="336"/>
    </row>
    <row r="955" spans="1:20" x14ac:dyDescent="0.25">
      <c r="A955" s="336"/>
      <c r="B955" s="336"/>
      <c r="C955" s="336"/>
      <c r="D955" s="336"/>
      <c r="E955" s="336"/>
      <c r="F955" s="104" t="b">
        <f t="array" ref="F955">IF(_xlfn.NUMBERVALUE(RIGHT($E955,2))=MAX(IF(LEFT($E955:$E2953,11)=LEFT($E955,11),_xlfn.NUMBERVALUE(RIGHT($E955:$E2953,2)))),TRUE)</f>
        <v>1</v>
      </c>
      <c r="G955" s="336"/>
      <c r="H955" s="336"/>
      <c r="I955" s="336"/>
      <c r="J955" s="336"/>
      <c r="K955" s="336"/>
      <c r="L955" s="336"/>
      <c r="M955" s="336"/>
      <c r="N955" s="336"/>
      <c r="O955" s="336"/>
      <c r="P955" s="336"/>
      <c r="Q955" s="336"/>
      <c r="R955" s="336"/>
      <c r="S955" s="336"/>
      <c r="T955" s="336"/>
    </row>
    <row r="956" spans="1:20" x14ac:dyDescent="0.25">
      <c r="A956" s="336"/>
      <c r="B956" s="336"/>
      <c r="C956" s="336"/>
      <c r="D956" s="336"/>
      <c r="E956" s="336"/>
      <c r="F956" s="104" t="b">
        <f t="array" ref="F956">IF(_xlfn.NUMBERVALUE(RIGHT($E956,2))=MAX(IF(LEFT($E956:$E2954,11)=LEFT($E956,11),_xlfn.NUMBERVALUE(RIGHT($E956:$E2954,2)))),TRUE)</f>
        <v>1</v>
      </c>
      <c r="G956" s="336"/>
      <c r="H956" s="336"/>
      <c r="I956" s="336"/>
      <c r="J956" s="336"/>
      <c r="K956" s="336"/>
      <c r="L956" s="336"/>
      <c r="M956" s="336"/>
      <c r="N956" s="336"/>
      <c r="O956" s="336"/>
      <c r="P956" s="336"/>
      <c r="Q956" s="336"/>
      <c r="R956" s="336"/>
      <c r="S956" s="336"/>
      <c r="T956" s="336"/>
    </row>
    <row r="957" spans="1:20" x14ac:dyDescent="0.25">
      <c r="A957" s="336"/>
      <c r="B957" s="336"/>
      <c r="C957" s="336"/>
      <c r="D957" s="336"/>
      <c r="E957" s="336"/>
      <c r="F957" s="104" t="b">
        <f t="array" ref="F957">IF(_xlfn.NUMBERVALUE(RIGHT($E957,2))=MAX(IF(LEFT($E957:$E2955,11)=LEFT($E957,11),_xlfn.NUMBERVALUE(RIGHT($E957:$E2955,2)))),TRUE)</f>
        <v>1</v>
      </c>
      <c r="G957" s="336"/>
      <c r="H957" s="336"/>
      <c r="I957" s="336"/>
      <c r="J957" s="336"/>
      <c r="K957" s="336"/>
      <c r="L957" s="336"/>
      <c r="M957" s="336"/>
      <c r="N957" s="336"/>
      <c r="O957" s="336"/>
      <c r="P957" s="336"/>
      <c r="Q957" s="336"/>
      <c r="R957" s="336"/>
      <c r="S957" s="336"/>
      <c r="T957" s="336"/>
    </row>
    <row r="958" spans="1:20" x14ac:dyDescent="0.25">
      <c r="A958" s="336"/>
      <c r="B958" s="336"/>
      <c r="C958" s="336"/>
      <c r="D958" s="336"/>
      <c r="E958" s="336"/>
      <c r="F958" s="104" t="b">
        <f t="array" ref="F958">IF(_xlfn.NUMBERVALUE(RIGHT($E958,2))=MAX(IF(LEFT($E958:$E2956,11)=LEFT($E958,11),_xlfn.NUMBERVALUE(RIGHT($E958:$E2956,2)))),TRUE)</f>
        <v>1</v>
      </c>
      <c r="G958" s="336"/>
      <c r="H958" s="336"/>
      <c r="I958" s="336"/>
      <c r="J958" s="336"/>
      <c r="K958" s="336"/>
      <c r="L958" s="336"/>
      <c r="M958" s="336"/>
      <c r="N958" s="336"/>
      <c r="O958" s="336"/>
      <c r="P958" s="336"/>
      <c r="Q958" s="336"/>
      <c r="R958" s="336"/>
      <c r="S958" s="336"/>
      <c r="T958" s="336"/>
    </row>
    <row r="959" spans="1:20" x14ac:dyDescent="0.25">
      <c r="A959" s="336"/>
      <c r="B959" s="336"/>
      <c r="C959" s="336"/>
      <c r="D959" s="336"/>
      <c r="E959" s="336"/>
      <c r="F959" s="104" t="b">
        <f t="array" ref="F959">IF(_xlfn.NUMBERVALUE(RIGHT($E959,2))=MAX(IF(LEFT($E959:$E2957,11)=LEFT($E959,11),_xlfn.NUMBERVALUE(RIGHT($E959:$E2957,2)))),TRUE)</f>
        <v>1</v>
      </c>
      <c r="G959" s="336"/>
      <c r="H959" s="336"/>
      <c r="I959" s="336"/>
      <c r="J959" s="336"/>
      <c r="K959" s="336"/>
      <c r="L959" s="336"/>
      <c r="M959" s="336"/>
      <c r="N959" s="336"/>
      <c r="O959" s="336"/>
      <c r="P959" s="336"/>
      <c r="Q959" s="336"/>
      <c r="R959" s="336"/>
      <c r="S959" s="336"/>
      <c r="T959" s="336"/>
    </row>
    <row r="960" spans="1:20" x14ac:dyDescent="0.25">
      <c r="A960" s="336"/>
      <c r="B960" s="336"/>
      <c r="C960" s="336"/>
      <c r="D960" s="336"/>
      <c r="E960" s="336"/>
      <c r="F960" s="104" t="b">
        <f t="array" ref="F960">IF(_xlfn.NUMBERVALUE(RIGHT($E960,2))=MAX(IF(LEFT($E960:$E2958,11)=LEFT($E960,11),_xlfn.NUMBERVALUE(RIGHT($E960:$E2958,2)))),TRUE)</f>
        <v>1</v>
      </c>
      <c r="G960" s="336"/>
      <c r="H960" s="336"/>
      <c r="I960" s="336"/>
      <c r="J960" s="336"/>
      <c r="K960" s="336"/>
      <c r="L960" s="336"/>
      <c r="M960" s="336"/>
      <c r="N960" s="336"/>
      <c r="O960" s="336"/>
      <c r="P960" s="336"/>
      <c r="Q960" s="336"/>
      <c r="R960" s="336"/>
      <c r="S960" s="336"/>
      <c r="T960" s="336"/>
    </row>
    <row r="961" spans="1:20" x14ac:dyDescent="0.25">
      <c r="A961" s="336"/>
      <c r="B961" s="336"/>
      <c r="C961" s="336"/>
      <c r="D961" s="336"/>
      <c r="E961" s="336"/>
      <c r="F961" s="104" t="b">
        <f t="array" ref="F961">IF(_xlfn.NUMBERVALUE(RIGHT($E961,2))=MAX(IF(LEFT($E961:$E2959,11)=LEFT($E961,11),_xlfn.NUMBERVALUE(RIGHT($E961:$E2959,2)))),TRUE)</f>
        <v>1</v>
      </c>
      <c r="G961" s="336"/>
      <c r="H961" s="336"/>
      <c r="I961" s="336"/>
      <c r="J961" s="336"/>
      <c r="K961" s="336"/>
      <c r="L961" s="336"/>
      <c r="M961" s="336"/>
      <c r="N961" s="336"/>
      <c r="O961" s="336"/>
      <c r="P961" s="336"/>
      <c r="Q961" s="336"/>
      <c r="R961" s="336"/>
      <c r="S961" s="336"/>
      <c r="T961" s="336"/>
    </row>
    <row r="962" spans="1:20" x14ac:dyDescent="0.25">
      <c r="A962" s="336"/>
      <c r="B962" s="336"/>
      <c r="C962" s="336"/>
      <c r="D962" s="336"/>
      <c r="E962" s="336"/>
      <c r="F962" s="104" t="b">
        <f t="array" ref="F962">IF(_xlfn.NUMBERVALUE(RIGHT($E962,2))=MAX(IF(LEFT($E962:$E2960,11)=LEFT($E962,11),_xlfn.NUMBERVALUE(RIGHT($E962:$E2960,2)))),TRUE)</f>
        <v>1</v>
      </c>
      <c r="G962" s="336"/>
      <c r="H962" s="336"/>
      <c r="I962" s="336"/>
      <c r="J962" s="336"/>
      <c r="K962" s="336"/>
      <c r="L962" s="336"/>
      <c r="M962" s="336"/>
      <c r="N962" s="336"/>
      <c r="O962" s="336"/>
      <c r="P962" s="336"/>
      <c r="Q962" s="336"/>
      <c r="R962" s="336"/>
      <c r="S962" s="336"/>
      <c r="T962" s="336"/>
    </row>
    <row r="963" spans="1:20" x14ac:dyDescent="0.25">
      <c r="A963" s="336"/>
      <c r="B963" s="336"/>
      <c r="C963" s="336"/>
      <c r="D963" s="336"/>
      <c r="E963" s="336"/>
      <c r="F963" s="104" t="b">
        <f t="array" ref="F963">IF(_xlfn.NUMBERVALUE(RIGHT($E963,2))=MAX(IF(LEFT($E963:$E2961,11)=LEFT($E963,11),_xlfn.NUMBERVALUE(RIGHT($E963:$E2961,2)))),TRUE)</f>
        <v>1</v>
      </c>
      <c r="G963" s="336"/>
      <c r="H963" s="336"/>
      <c r="I963" s="336"/>
      <c r="J963" s="336"/>
      <c r="K963" s="336"/>
      <c r="L963" s="336"/>
      <c r="M963" s="336"/>
      <c r="N963" s="336"/>
      <c r="O963" s="336"/>
      <c r="P963" s="336"/>
      <c r="Q963" s="336"/>
      <c r="R963" s="336"/>
      <c r="S963" s="336"/>
      <c r="T963" s="336"/>
    </row>
    <row r="964" spans="1:20" x14ac:dyDescent="0.25">
      <c r="A964" s="336"/>
      <c r="B964" s="336"/>
      <c r="C964" s="336"/>
      <c r="D964" s="336"/>
      <c r="E964" s="336"/>
      <c r="F964" s="104" t="b">
        <f t="array" ref="F964">IF(_xlfn.NUMBERVALUE(RIGHT($E964,2))=MAX(IF(LEFT($E964:$E2962,11)=LEFT($E964,11),_xlfn.NUMBERVALUE(RIGHT($E964:$E2962,2)))),TRUE)</f>
        <v>1</v>
      </c>
      <c r="G964" s="336"/>
      <c r="H964" s="336"/>
      <c r="I964" s="336"/>
      <c r="J964" s="336"/>
      <c r="K964" s="336"/>
      <c r="L964" s="336"/>
      <c r="M964" s="336"/>
      <c r="N964" s="336"/>
      <c r="O964" s="336"/>
      <c r="P964" s="336"/>
      <c r="Q964" s="336"/>
      <c r="R964" s="336"/>
      <c r="S964" s="336"/>
      <c r="T964" s="336"/>
    </row>
    <row r="965" spans="1:20" x14ac:dyDescent="0.25">
      <c r="A965" s="336"/>
      <c r="B965" s="336"/>
      <c r="C965" s="336"/>
      <c r="D965" s="336"/>
      <c r="E965" s="336"/>
      <c r="F965" s="104" t="b">
        <f t="array" ref="F965">IF(_xlfn.NUMBERVALUE(RIGHT($E965,2))=MAX(IF(LEFT($E965:$E2963,11)=LEFT($E965,11),_xlfn.NUMBERVALUE(RIGHT($E965:$E2963,2)))),TRUE)</f>
        <v>1</v>
      </c>
      <c r="G965" s="336"/>
      <c r="H965" s="336"/>
      <c r="I965" s="336"/>
      <c r="J965" s="336"/>
      <c r="K965" s="336"/>
      <c r="L965" s="336"/>
      <c r="M965" s="336"/>
      <c r="N965" s="336"/>
      <c r="O965" s="336"/>
      <c r="P965" s="336"/>
      <c r="Q965" s="336"/>
      <c r="R965" s="336"/>
      <c r="S965" s="336"/>
      <c r="T965" s="336"/>
    </row>
    <row r="966" spans="1:20" x14ac:dyDescent="0.25">
      <c r="A966" s="336"/>
      <c r="B966" s="336"/>
      <c r="C966" s="336"/>
      <c r="D966" s="336"/>
      <c r="E966" s="336"/>
      <c r="F966" s="104" t="b">
        <f t="array" ref="F966">IF(_xlfn.NUMBERVALUE(RIGHT($E966,2))=MAX(IF(LEFT($E966:$E2964,11)=LEFT($E966,11),_xlfn.NUMBERVALUE(RIGHT($E966:$E2964,2)))),TRUE)</f>
        <v>1</v>
      </c>
      <c r="G966" s="336"/>
      <c r="H966" s="336"/>
      <c r="I966" s="336"/>
      <c r="J966" s="336"/>
      <c r="K966" s="336"/>
      <c r="L966" s="336"/>
      <c r="M966" s="336"/>
      <c r="N966" s="336"/>
      <c r="O966" s="336"/>
      <c r="P966" s="336"/>
      <c r="Q966" s="336"/>
      <c r="R966" s="336"/>
      <c r="S966" s="336"/>
      <c r="T966" s="336"/>
    </row>
    <row r="967" spans="1:20" x14ac:dyDescent="0.25">
      <c r="A967" s="336"/>
      <c r="B967" s="336"/>
      <c r="C967" s="336"/>
      <c r="D967" s="336"/>
      <c r="E967" s="336"/>
      <c r="F967" s="104" t="b">
        <f t="array" ref="F967">IF(_xlfn.NUMBERVALUE(RIGHT($E967,2))=MAX(IF(LEFT($E967:$E2965,11)=LEFT($E967,11),_xlfn.NUMBERVALUE(RIGHT($E967:$E2965,2)))),TRUE)</f>
        <v>1</v>
      </c>
      <c r="G967" s="336"/>
      <c r="H967" s="336"/>
      <c r="I967" s="336"/>
      <c r="J967" s="336"/>
      <c r="K967" s="336"/>
      <c r="L967" s="336"/>
      <c r="M967" s="336"/>
      <c r="N967" s="336"/>
      <c r="O967" s="336"/>
      <c r="P967" s="336"/>
      <c r="Q967" s="336"/>
      <c r="R967" s="336"/>
      <c r="S967" s="336"/>
      <c r="T967" s="336"/>
    </row>
    <row r="968" spans="1:20" x14ac:dyDescent="0.25">
      <c r="A968" s="336"/>
      <c r="B968" s="336"/>
      <c r="C968" s="336"/>
      <c r="D968" s="336"/>
      <c r="E968" s="336"/>
      <c r="F968" s="104" t="b">
        <f t="array" ref="F968">IF(_xlfn.NUMBERVALUE(RIGHT($E968,2))=MAX(IF(LEFT($E968:$E2966,11)=LEFT($E968,11),_xlfn.NUMBERVALUE(RIGHT($E968:$E2966,2)))),TRUE)</f>
        <v>1</v>
      </c>
      <c r="G968" s="336"/>
      <c r="H968" s="336"/>
      <c r="I968" s="336"/>
      <c r="J968" s="336"/>
      <c r="K968" s="336"/>
      <c r="L968" s="336"/>
      <c r="M968" s="336"/>
      <c r="N968" s="336"/>
      <c r="O968" s="336"/>
      <c r="P968" s="336"/>
      <c r="Q968" s="336"/>
      <c r="R968" s="336"/>
      <c r="S968" s="336"/>
      <c r="T968" s="336"/>
    </row>
    <row r="969" spans="1:20" x14ac:dyDescent="0.25">
      <c r="A969" s="336"/>
      <c r="B969" s="336"/>
      <c r="C969" s="336"/>
      <c r="D969" s="336"/>
      <c r="E969" s="336"/>
      <c r="F969" s="104" t="b">
        <f t="array" ref="F969">IF(_xlfn.NUMBERVALUE(RIGHT($E969,2))=MAX(IF(LEFT($E969:$E2967,11)=LEFT($E969,11),_xlfn.NUMBERVALUE(RIGHT($E969:$E2967,2)))),TRUE)</f>
        <v>1</v>
      </c>
      <c r="G969" s="336"/>
      <c r="H969" s="336"/>
      <c r="I969" s="336"/>
      <c r="J969" s="336"/>
      <c r="K969" s="336"/>
      <c r="L969" s="336"/>
      <c r="M969" s="336"/>
      <c r="N969" s="336"/>
      <c r="O969" s="336"/>
      <c r="P969" s="336"/>
      <c r="Q969" s="336"/>
      <c r="R969" s="336"/>
      <c r="S969" s="336"/>
      <c r="T969" s="336"/>
    </row>
    <row r="970" spans="1:20" x14ac:dyDescent="0.25">
      <c r="A970" s="336"/>
      <c r="B970" s="336"/>
      <c r="C970" s="336"/>
      <c r="D970" s="336"/>
      <c r="E970" s="336"/>
      <c r="F970" s="104" t="b">
        <f t="array" ref="F970">IF(_xlfn.NUMBERVALUE(RIGHT($E970,2))=MAX(IF(LEFT($E970:$E2968,11)=LEFT($E970,11),_xlfn.NUMBERVALUE(RIGHT($E970:$E2968,2)))),TRUE)</f>
        <v>1</v>
      </c>
      <c r="G970" s="336"/>
      <c r="H970" s="336"/>
      <c r="I970" s="336"/>
      <c r="J970" s="336"/>
      <c r="K970" s="336"/>
      <c r="L970" s="336"/>
      <c r="M970" s="336"/>
      <c r="N970" s="336"/>
      <c r="O970" s="336"/>
      <c r="P970" s="336"/>
      <c r="Q970" s="336"/>
      <c r="R970" s="336"/>
      <c r="S970" s="336"/>
      <c r="T970" s="336"/>
    </row>
    <row r="971" spans="1:20" x14ac:dyDescent="0.25">
      <c r="A971" s="336"/>
      <c r="B971" s="336"/>
      <c r="C971" s="336"/>
      <c r="D971" s="336"/>
      <c r="E971" s="336"/>
      <c r="F971" s="104" t="b">
        <f t="array" ref="F971">IF(_xlfn.NUMBERVALUE(RIGHT($E971,2))=MAX(IF(LEFT($E971:$E2969,11)=LEFT($E971,11),_xlfn.NUMBERVALUE(RIGHT($E971:$E2969,2)))),TRUE)</f>
        <v>1</v>
      </c>
      <c r="G971" s="336"/>
      <c r="H971" s="336"/>
      <c r="I971" s="336"/>
      <c r="J971" s="336"/>
      <c r="K971" s="336"/>
      <c r="L971" s="336"/>
      <c r="M971" s="336"/>
      <c r="N971" s="336"/>
      <c r="O971" s="336"/>
      <c r="P971" s="336"/>
      <c r="Q971" s="336"/>
      <c r="R971" s="336"/>
      <c r="S971" s="336"/>
      <c r="T971" s="336"/>
    </row>
    <row r="972" spans="1:20" x14ac:dyDescent="0.25">
      <c r="A972" s="336"/>
      <c r="B972" s="336"/>
      <c r="C972" s="336"/>
      <c r="D972" s="336"/>
      <c r="E972" s="336"/>
      <c r="F972" s="104" t="b">
        <f t="array" ref="F972">IF(_xlfn.NUMBERVALUE(RIGHT($E972,2))=MAX(IF(LEFT($E972:$E2970,11)=LEFT($E972,11),_xlfn.NUMBERVALUE(RIGHT($E972:$E2970,2)))),TRUE)</f>
        <v>1</v>
      </c>
      <c r="G972" s="336"/>
      <c r="H972" s="336"/>
      <c r="I972" s="336"/>
      <c r="J972" s="336"/>
      <c r="K972" s="336"/>
      <c r="L972" s="336"/>
      <c r="M972" s="336"/>
      <c r="N972" s="336"/>
      <c r="O972" s="336"/>
      <c r="P972" s="336"/>
      <c r="Q972" s="336"/>
      <c r="R972" s="336"/>
      <c r="S972" s="336"/>
      <c r="T972" s="336"/>
    </row>
    <row r="973" spans="1:20" x14ac:dyDescent="0.25">
      <c r="A973" s="336"/>
      <c r="B973" s="336"/>
      <c r="C973" s="336"/>
      <c r="D973" s="336"/>
      <c r="E973" s="336"/>
      <c r="F973" s="104" t="b">
        <f t="array" ref="F973">IF(_xlfn.NUMBERVALUE(RIGHT($E973,2))=MAX(IF(LEFT($E973:$E2971,11)=LEFT($E973,11),_xlfn.NUMBERVALUE(RIGHT($E973:$E2971,2)))),TRUE)</f>
        <v>1</v>
      </c>
      <c r="G973" s="336"/>
      <c r="H973" s="336"/>
      <c r="I973" s="336"/>
      <c r="J973" s="336"/>
      <c r="K973" s="336"/>
      <c r="L973" s="336"/>
      <c r="M973" s="336"/>
      <c r="N973" s="336"/>
      <c r="O973" s="336"/>
      <c r="P973" s="336"/>
      <c r="Q973" s="336"/>
      <c r="R973" s="336"/>
      <c r="S973" s="336"/>
      <c r="T973" s="336"/>
    </row>
    <row r="974" spans="1:20" x14ac:dyDescent="0.25">
      <c r="A974" s="336"/>
      <c r="B974" s="336"/>
      <c r="C974" s="336"/>
      <c r="D974" s="336"/>
      <c r="E974" s="336"/>
      <c r="F974" s="104" t="b">
        <f t="array" ref="F974">IF(_xlfn.NUMBERVALUE(RIGHT($E974,2))=MAX(IF(LEFT($E974:$E2972,11)=LEFT($E974,11),_xlfn.NUMBERVALUE(RIGHT($E974:$E2972,2)))),TRUE)</f>
        <v>1</v>
      </c>
      <c r="G974" s="336"/>
      <c r="H974" s="336"/>
      <c r="I974" s="336"/>
      <c r="J974" s="336"/>
      <c r="K974" s="336"/>
      <c r="L974" s="336"/>
      <c r="M974" s="336"/>
      <c r="N974" s="336"/>
      <c r="O974" s="336"/>
      <c r="P974" s="336"/>
      <c r="Q974" s="336"/>
      <c r="R974" s="336"/>
      <c r="S974" s="336"/>
      <c r="T974" s="336"/>
    </row>
    <row r="975" spans="1:20" x14ac:dyDescent="0.25">
      <c r="A975" s="336"/>
      <c r="B975" s="336"/>
      <c r="C975" s="336"/>
      <c r="D975" s="336"/>
      <c r="E975" s="336"/>
      <c r="F975" s="104" t="b">
        <f t="array" ref="F975">IF(_xlfn.NUMBERVALUE(RIGHT($E975,2))=MAX(IF(LEFT($E975:$E2973,11)=LEFT($E975,11),_xlfn.NUMBERVALUE(RIGHT($E975:$E2973,2)))),TRUE)</f>
        <v>1</v>
      </c>
      <c r="G975" s="336"/>
      <c r="H975" s="336"/>
      <c r="I975" s="336"/>
      <c r="J975" s="336"/>
      <c r="K975" s="336"/>
      <c r="L975" s="336"/>
      <c r="M975" s="336"/>
      <c r="N975" s="336"/>
      <c r="O975" s="336"/>
      <c r="P975" s="336"/>
      <c r="Q975" s="336"/>
      <c r="R975" s="336"/>
      <c r="S975" s="336"/>
      <c r="T975" s="336"/>
    </row>
    <row r="976" spans="1:20" x14ac:dyDescent="0.25">
      <c r="A976" s="336"/>
      <c r="B976" s="336"/>
      <c r="C976" s="336"/>
      <c r="D976" s="336"/>
      <c r="E976" s="336"/>
      <c r="F976" s="104" t="b">
        <f t="array" ref="F976">IF(_xlfn.NUMBERVALUE(RIGHT($E976,2))=MAX(IF(LEFT($E976:$E2974,11)=LEFT($E976,11),_xlfn.NUMBERVALUE(RIGHT($E976:$E2974,2)))),TRUE)</f>
        <v>1</v>
      </c>
      <c r="G976" s="336"/>
      <c r="H976" s="336"/>
      <c r="I976" s="336"/>
      <c r="J976" s="336"/>
      <c r="K976" s="336"/>
      <c r="L976" s="336"/>
      <c r="M976" s="336"/>
      <c r="N976" s="336"/>
      <c r="O976" s="336"/>
      <c r="P976" s="336"/>
      <c r="Q976" s="336"/>
      <c r="R976" s="336"/>
      <c r="S976" s="336"/>
      <c r="T976" s="336"/>
    </row>
    <row r="977" spans="1:20" x14ac:dyDescent="0.25">
      <c r="A977" s="336"/>
      <c r="B977" s="336"/>
      <c r="C977" s="336"/>
      <c r="D977" s="336"/>
      <c r="E977" s="336"/>
      <c r="F977" s="104" t="b">
        <f t="array" ref="F977">IF(_xlfn.NUMBERVALUE(RIGHT($E977,2))=MAX(IF(LEFT($E977:$E2975,11)=LEFT($E977,11),_xlfn.NUMBERVALUE(RIGHT($E977:$E2975,2)))),TRUE)</f>
        <v>1</v>
      </c>
      <c r="G977" s="336"/>
      <c r="H977" s="336"/>
      <c r="I977" s="336"/>
      <c r="J977" s="336"/>
      <c r="K977" s="336"/>
      <c r="L977" s="336"/>
      <c r="M977" s="336"/>
      <c r="N977" s="336"/>
      <c r="O977" s="336"/>
      <c r="P977" s="336"/>
      <c r="Q977" s="336"/>
      <c r="R977" s="336"/>
      <c r="S977" s="336"/>
      <c r="T977" s="336"/>
    </row>
    <row r="978" spans="1:20" x14ac:dyDescent="0.25">
      <c r="A978" s="336"/>
      <c r="B978" s="336"/>
      <c r="C978" s="336"/>
      <c r="D978" s="336"/>
      <c r="E978" s="336"/>
      <c r="F978" s="104" t="b">
        <f t="array" ref="F978">IF(_xlfn.NUMBERVALUE(RIGHT($E978,2))=MAX(IF(LEFT($E978:$E2976,11)=LEFT($E978,11),_xlfn.NUMBERVALUE(RIGHT($E978:$E2976,2)))),TRUE)</f>
        <v>1</v>
      </c>
      <c r="G978" s="336"/>
      <c r="H978" s="336"/>
      <c r="I978" s="336"/>
      <c r="J978" s="336"/>
      <c r="K978" s="336"/>
      <c r="L978" s="336"/>
      <c r="M978" s="336"/>
      <c r="N978" s="336"/>
      <c r="O978" s="336"/>
      <c r="P978" s="336"/>
      <c r="Q978" s="336"/>
      <c r="R978" s="336"/>
      <c r="S978" s="336"/>
      <c r="T978" s="336"/>
    </row>
    <row r="979" spans="1:20" x14ac:dyDescent="0.25">
      <c r="A979" s="336"/>
      <c r="B979" s="336"/>
      <c r="C979" s="336"/>
      <c r="D979" s="336"/>
      <c r="E979" s="336"/>
      <c r="F979" s="104" t="b">
        <f t="array" ref="F979">IF(_xlfn.NUMBERVALUE(RIGHT($E979,2))=MAX(IF(LEFT($E979:$E2977,11)=LEFT($E979,11),_xlfn.NUMBERVALUE(RIGHT($E979:$E2977,2)))),TRUE)</f>
        <v>1</v>
      </c>
      <c r="G979" s="336"/>
      <c r="H979" s="336"/>
      <c r="I979" s="336"/>
      <c r="J979" s="336"/>
      <c r="K979" s="336"/>
      <c r="L979" s="336"/>
      <c r="M979" s="336"/>
      <c r="N979" s="336"/>
      <c r="O979" s="336"/>
      <c r="P979" s="336"/>
      <c r="Q979" s="336"/>
      <c r="R979" s="336"/>
      <c r="S979" s="336"/>
      <c r="T979" s="336"/>
    </row>
    <row r="980" spans="1:20" x14ac:dyDescent="0.25">
      <c r="A980" s="336"/>
      <c r="B980" s="336"/>
      <c r="C980" s="336"/>
      <c r="D980" s="336"/>
      <c r="E980" s="336"/>
      <c r="F980" s="104" t="b">
        <f t="array" ref="F980">IF(_xlfn.NUMBERVALUE(RIGHT($E980,2))=MAX(IF(LEFT($E980:$E2978,11)=LEFT($E980,11),_xlfn.NUMBERVALUE(RIGHT($E980:$E2978,2)))),TRUE)</f>
        <v>1</v>
      </c>
      <c r="G980" s="336"/>
      <c r="H980" s="336"/>
      <c r="I980" s="336"/>
      <c r="J980" s="336"/>
      <c r="K980" s="336"/>
      <c r="L980" s="336"/>
      <c r="M980" s="336"/>
      <c r="N980" s="336"/>
      <c r="O980" s="336"/>
      <c r="P980" s="336"/>
      <c r="Q980" s="336"/>
      <c r="R980" s="336"/>
      <c r="S980" s="336"/>
      <c r="T980" s="336"/>
    </row>
    <row r="981" spans="1:20" x14ac:dyDescent="0.25">
      <c r="A981" s="336"/>
      <c r="B981" s="336"/>
      <c r="C981" s="336"/>
      <c r="D981" s="336"/>
      <c r="E981" s="336"/>
      <c r="F981" s="104" t="b">
        <f t="array" ref="F981">IF(_xlfn.NUMBERVALUE(RIGHT($E981,2))=MAX(IF(LEFT($E981:$E2979,11)=LEFT($E981,11),_xlfn.NUMBERVALUE(RIGHT($E981:$E2979,2)))),TRUE)</f>
        <v>1</v>
      </c>
      <c r="G981" s="336"/>
      <c r="H981" s="336"/>
      <c r="I981" s="336"/>
      <c r="J981" s="336"/>
      <c r="K981" s="336"/>
      <c r="L981" s="336"/>
      <c r="M981" s="336"/>
      <c r="N981" s="336"/>
      <c r="O981" s="336"/>
      <c r="P981" s="336"/>
      <c r="Q981" s="336"/>
      <c r="R981" s="336"/>
      <c r="S981" s="336"/>
      <c r="T981" s="336"/>
    </row>
    <row r="982" spans="1:20" x14ac:dyDescent="0.25">
      <c r="A982" s="336"/>
      <c r="B982" s="336"/>
      <c r="C982" s="336"/>
      <c r="D982" s="336"/>
      <c r="E982" s="336"/>
      <c r="F982" s="104" t="b">
        <f t="array" ref="F982">IF(_xlfn.NUMBERVALUE(RIGHT($E982,2))=MAX(IF(LEFT($E982:$E2980,11)=LEFT($E982,11),_xlfn.NUMBERVALUE(RIGHT($E982:$E2980,2)))),TRUE)</f>
        <v>1</v>
      </c>
      <c r="G982" s="336"/>
      <c r="H982" s="336"/>
      <c r="I982" s="336"/>
      <c r="J982" s="336"/>
      <c r="K982" s="336"/>
      <c r="L982" s="336"/>
      <c r="M982" s="336"/>
      <c r="N982" s="336"/>
      <c r="O982" s="336"/>
      <c r="P982" s="336"/>
      <c r="Q982" s="336"/>
      <c r="R982" s="336"/>
      <c r="S982" s="336"/>
      <c r="T982" s="336"/>
    </row>
    <row r="983" spans="1:20" x14ac:dyDescent="0.25">
      <c r="A983" s="336"/>
      <c r="B983" s="336"/>
      <c r="C983" s="336"/>
      <c r="D983" s="336"/>
      <c r="E983" s="336"/>
      <c r="F983" s="104" t="b">
        <f t="array" ref="F983">IF(_xlfn.NUMBERVALUE(RIGHT($E983,2))=MAX(IF(LEFT($E983:$E2981,11)=LEFT($E983,11),_xlfn.NUMBERVALUE(RIGHT($E983:$E2981,2)))),TRUE)</f>
        <v>1</v>
      </c>
      <c r="G983" s="336"/>
      <c r="H983" s="336"/>
      <c r="I983" s="336"/>
      <c r="J983" s="336"/>
      <c r="K983" s="336"/>
      <c r="L983" s="336"/>
      <c r="M983" s="336"/>
      <c r="N983" s="336"/>
      <c r="O983" s="336"/>
      <c r="P983" s="336"/>
      <c r="Q983" s="336"/>
      <c r="R983" s="336"/>
      <c r="S983" s="336"/>
      <c r="T983" s="336"/>
    </row>
    <row r="984" spans="1:20" x14ac:dyDescent="0.25">
      <c r="A984" s="336"/>
      <c r="B984" s="336"/>
      <c r="C984" s="336"/>
      <c r="D984" s="336"/>
      <c r="E984" s="336"/>
      <c r="F984" s="104" t="b">
        <f t="array" ref="F984">IF(_xlfn.NUMBERVALUE(RIGHT($E984,2))=MAX(IF(LEFT($E984:$E2982,11)=LEFT($E984,11),_xlfn.NUMBERVALUE(RIGHT($E984:$E2982,2)))),TRUE)</f>
        <v>1</v>
      </c>
      <c r="G984" s="336"/>
      <c r="H984" s="336"/>
      <c r="I984" s="336"/>
      <c r="J984" s="336"/>
      <c r="K984" s="336"/>
      <c r="L984" s="336"/>
      <c r="M984" s="336"/>
      <c r="N984" s="336"/>
      <c r="O984" s="336"/>
      <c r="P984" s="336"/>
      <c r="Q984" s="336"/>
      <c r="R984" s="336"/>
      <c r="S984" s="336"/>
      <c r="T984" s="336"/>
    </row>
    <row r="985" spans="1:20" x14ac:dyDescent="0.25">
      <c r="A985" s="336"/>
      <c r="B985" s="336"/>
      <c r="C985" s="336"/>
      <c r="D985" s="336"/>
      <c r="E985" s="336"/>
      <c r="F985" s="104" t="b">
        <f t="array" ref="F985">IF(_xlfn.NUMBERVALUE(RIGHT($E985,2))=MAX(IF(LEFT($E985:$E2983,11)=LEFT($E985,11),_xlfn.NUMBERVALUE(RIGHT($E985:$E2983,2)))),TRUE)</f>
        <v>1</v>
      </c>
      <c r="G985" s="336"/>
      <c r="H985" s="336"/>
      <c r="I985" s="336"/>
      <c r="J985" s="336"/>
      <c r="K985" s="336"/>
      <c r="L985" s="336"/>
      <c r="M985" s="336"/>
      <c r="N985" s="336"/>
      <c r="O985" s="336"/>
      <c r="P985" s="336"/>
      <c r="Q985" s="336"/>
      <c r="R985" s="336"/>
      <c r="S985" s="336"/>
      <c r="T985" s="336"/>
    </row>
    <row r="986" spans="1:20" x14ac:dyDescent="0.25">
      <c r="A986" s="336"/>
      <c r="B986" s="336"/>
      <c r="C986" s="336"/>
      <c r="D986" s="336"/>
      <c r="E986" s="336"/>
      <c r="F986" s="104" t="b">
        <f t="array" ref="F986">IF(_xlfn.NUMBERVALUE(RIGHT($E986,2))=MAX(IF(LEFT($E986:$E2984,11)=LEFT($E986,11),_xlfn.NUMBERVALUE(RIGHT($E986:$E2984,2)))),TRUE)</f>
        <v>1</v>
      </c>
      <c r="G986" s="336"/>
      <c r="H986" s="336"/>
      <c r="I986" s="336"/>
      <c r="J986" s="336"/>
      <c r="K986" s="336"/>
      <c r="L986" s="336"/>
      <c r="M986" s="336"/>
      <c r="N986" s="336"/>
      <c r="O986" s="336"/>
      <c r="P986" s="336"/>
      <c r="Q986" s="336"/>
      <c r="R986" s="336"/>
      <c r="S986" s="336"/>
      <c r="T986" s="336"/>
    </row>
    <row r="987" spans="1:20" x14ac:dyDescent="0.25">
      <c r="A987" s="336"/>
      <c r="B987" s="336"/>
      <c r="C987" s="336"/>
      <c r="D987" s="336"/>
      <c r="E987" s="336"/>
      <c r="F987" s="104" t="b">
        <f t="array" ref="F987">IF(_xlfn.NUMBERVALUE(RIGHT($E987,2))=MAX(IF(LEFT($E987:$E2985,11)=LEFT($E987,11),_xlfn.NUMBERVALUE(RIGHT($E987:$E2985,2)))),TRUE)</f>
        <v>1</v>
      </c>
      <c r="G987" s="336"/>
      <c r="H987" s="336"/>
      <c r="I987" s="336"/>
      <c r="J987" s="336"/>
      <c r="K987" s="336"/>
      <c r="L987" s="336"/>
      <c r="M987" s="336"/>
      <c r="N987" s="336"/>
      <c r="O987" s="336"/>
      <c r="P987" s="336"/>
      <c r="Q987" s="336"/>
      <c r="R987" s="336"/>
      <c r="S987" s="336"/>
      <c r="T987" s="336"/>
    </row>
    <row r="988" spans="1:20" x14ac:dyDescent="0.25">
      <c r="A988" s="336"/>
      <c r="B988" s="336"/>
      <c r="C988" s="336"/>
      <c r="D988" s="336"/>
      <c r="E988" s="336"/>
      <c r="F988" s="104" t="b">
        <f t="array" ref="F988">IF(_xlfn.NUMBERVALUE(RIGHT($E988,2))=MAX(IF(LEFT($E988:$E2986,11)=LEFT($E988,11),_xlfn.NUMBERVALUE(RIGHT($E988:$E2986,2)))),TRUE)</f>
        <v>1</v>
      </c>
      <c r="G988" s="336"/>
      <c r="H988" s="336"/>
      <c r="I988" s="336"/>
      <c r="J988" s="336"/>
      <c r="K988" s="336"/>
      <c r="L988" s="336"/>
      <c r="M988" s="336"/>
      <c r="N988" s="336"/>
      <c r="O988" s="336"/>
      <c r="P988" s="336"/>
      <c r="Q988" s="336"/>
      <c r="R988" s="336"/>
      <c r="S988" s="336"/>
      <c r="T988" s="336"/>
    </row>
    <row r="989" spans="1:20" x14ac:dyDescent="0.25">
      <c r="A989" s="336"/>
      <c r="B989" s="336"/>
      <c r="C989" s="336"/>
      <c r="D989" s="336"/>
      <c r="E989" s="336"/>
      <c r="F989" s="104" t="b">
        <f t="array" ref="F989">IF(_xlfn.NUMBERVALUE(RIGHT($E989,2))=MAX(IF(LEFT($E989:$E2987,11)=LEFT($E989,11),_xlfn.NUMBERVALUE(RIGHT($E989:$E2987,2)))),TRUE)</f>
        <v>1</v>
      </c>
      <c r="G989" s="336"/>
      <c r="H989" s="336"/>
      <c r="I989" s="336"/>
      <c r="J989" s="336"/>
      <c r="K989" s="336"/>
      <c r="L989" s="336"/>
      <c r="M989" s="336"/>
      <c r="N989" s="336"/>
      <c r="O989" s="336"/>
      <c r="P989" s="336"/>
      <c r="Q989" s="336"/>
      <c r="R989" s="336"/>
      <c r="S989" s="336"/>
      <c r="T989" s="336"/>
    </row>
    <row r="990" spans="1:20" x14ac:dyDescent="0.25">
      <c r="A990" s="336"/>
      <c r="B990" s="336"/>
      <c r="C990" s="336"/>
      <c r="D990" s="336"/>
      <c r="E990" s="336"/>
      <c r="F990" s="104" t="b">
        <f t="array" ref="F990">IF(_xlfn.NUMBERVALUE(RIGHT($E990,2))=MAX(IF(LEFT($E990:$E2988,11)=LEFT($E990,11),_xlfn.NUMBERVALUE(RIGHT($E990:$E2988,2)))),TRUE)</f>
        <v>1</v>
      </c>
      <c r="G990" s="336"/>
      <c r="H990" s="336"/>
      <c r="I990" s="336"/>
      <c r="J990" s="336"/>
      <c r="K990" s="336"/>
      <c r="L990" s="336"/>
      <c r="M990" s="336"/>
      <c r="N990" s="336"/>
      <c r="O990" s="336"/>
      <c r="P990" s="336"/>
      <c r="Q990" s="336"/>
      <c r="R990" s="336"/>
      <c r="S990" s="336"/>
      <c r="T990" s="336"/>
    </row>
    <row r="991" spans="1:20" x14ac:dyDescent="0.25">
      <c r="A991" s="336"/>
      <c r="B991" s="336"/>
      <c r="C991" s="336"/>
      <c r="D991" s="336"/>
      <c r="E991" s="336"/>
      <c r="F991" s="104" t="b">
        <f t="array" ref="F991">IF(_xlfn.NUMBERVALUE(RIGHT($E991,2))=MAX(IF(LEFT($E991:$E2989,11)=LEFT($E991,11),_xlfn.NUMBERVALUE(RIGHT($E991:$E2989,2)))),TRUE)</f>
        <v>1</v>
      </c>
      <c r="G991" s="336"/>
      <c r="H991" s="336"/>
      <c r="I991" s="336"/>
      <c r="J991" s="336"/>
      <c r="K991" s="336"/>
      <c r="L991" s="336"/>
      <c r="M991" s="336"/>
      <c r="N991" s="336"/>
      <c r="O991" s="336"/>
      <c r="P991" s="336"/>
      <c r="Q991" s="336"/>
      <c r="R991" s="336"/>
      <c r="S991" s="336"/>
      <c r="T991" s="336"/>
    </row>
    <row r="992" spans="1:20" x14ac:dyDescent="0.25">
      <c r="A992" s="336"/>
      <c r="B992" s="336"/>
      <c r="C992" s="336"/>
      <c r="D992" s="336"/>
      <c r="E992" s="336"/>
      <c r="F992" s="104" t="b">
        <f t="array" ref="F992">IF(_xlfn.NUMBERVALUE(RIGHT($E992,2))=MAX(IF(LEFT($E992:$E2990,11)=LEFT($E992,11),_xlfn.NUMBERVALUE(RIGHT($E992:$E2990,2)))),TRUE)</f>
        <v>1</v>
      </c>
      <c r="G992" s="336"/>
      <c r="H992" s="336"/>
      <c r="I992" s="336"/>
      <c r="J992" s="336"/>
      <c r="K992" s="336"/>
      <c r="L992" s="336"/>
      <c r="M992" s="336"/>
      <c r="N992" s="336"/>
      <c r="O992" s="336"/>
      <c r="P992" s="336"/>
      <c r="Q992" s="336"/>
      <c r="R992" s="336"/>
      <c r="S992" s="336"/>
      <c r="T992" s="336"/>
    </row>
    <row r="993" spans="1:20" x14ac:dyDescent="0.25">
      <c r="A993" s="336"/>
      <c r="B993" s="336"/>
      <c r="C993" s="336"/>
      <c r="D993" s="336"/>
      <c r="E993" s="336"/>
      <c r="F993" s="104" t="b">
        <f t="array" ref="F993">IF(_xlfn.NUMBERVALUE(RIGHT($E993,2))=MAX(IF(LEFT($E993:$E2991,11)=LEFT($E993,11),_xlfn.NUMBERVALUE(RIGHT($E993:$E2991,2)))),TRUE)</f>
        <v>1</v>
      </c>
      <c r="G993" s="336"/>
      <c r="H993" s="336"/>
      <c r="I993" s="336"/>
      <c r="J993" s="336"/>
      <c r="K993" s="336"/>
      <c r="L993" s="336"/>
      <c r="M993" s="336"/>
      <c r="N993" s="336"/>
      <c r="O993" s="336"/>
      <c r="P993" s="336"/>
      <c r="Q993" s="336"/>
      <c r="R993" s="336"/>
      <c r="S993" s="336"/>
      <c r="T993" s="336"/>
    </row>
    <row r="994" spans="1:20" x14ac:dyDescent="0.25">
      <c r="A994" s="336"/>
      <c r="B994" s="336"/>
      <c r="C994" s="336"/>
      <c r="D994" s="336"/>
      <c r="E994" s="336"/>
      <c r="F994" s="104" t="b">
        <f t="array" ref="F994">IF(_xlfn.NUMBERVALUE(RIGHT($E994,2))=MAX(IF(LEFT($E994:$E2992,11)=LEFT($E994,11),_xlfn.NUMBERVALUE(RIGHT($E994:$E2992,2)))),TRUE)</f>
        <v>1</v>
      </c>
      <c r="G994" s="336"/>
      <c r="H994" s="336"/>
      <c r="I994" s="336"/>
      <c r="J994" s="336"/>
      <c r="K994" s="336"/>
      <c r="L994" s="336"/>
      <c r="M994" s="336"/>
      <c r="N994" s="336"/>
      <c r="O994" s="336"/>
      <c r="P994" s="336"/>
      <c r="Q994" s="336"/>
      <c r="R994" s="336"/>
      <c r="S994" s="336"/>
      <c r="T994" s="336"/>
    </row>
    <row r="995" spans="1:20" x14ac:dyDescent="0.25">
      <c r="A995" s="336"/>
      <c r="B995" s="336"/>
      <c r="C995" s="336"/>
      <c r="D995" s="336"/>
      <c r="E995" s="336"/>
      <c r="F995" s="104" t="b">
        <f t="array" ref="F995">IF(_xlfn.NUMBERVALUE(RIGHT($E995,2))=MAX(IF(LEFT($E995:$E2993,11)=LEFT($E995,11),_xlfn.NUMBERVALUE(RIGHT($E995:$E2993,2)))),TRUE)</f>
        <v>1</v>
      </c>
      <c r="G995" s="336"/>
      <c r="H995" s="336"/>
      <c r="I995" s="336"/>
      <c r="J995" s="336"/>
      <c r="K995" s="336"/>
      <c r="L995" s="336"/>
      <c r="M995" s="336"/>
      <c r="N995" s="336"/>
      <c r="O995" s="336"/>
      <c r="P995" s="336"/>
      <c r="Q995" s="336"/>
      <c r="R995" s="336"/>
      <c r="S995" s="336"/>
      <c r="T995" s="336"/>
    </row>
    <row r="996" spans="1:20" x14ac:dyDescent="0.25">
      <c r="A996" s="336"/>
      <c r="B996" s="336"/>
      <c r="C996" s="336"/>
      <c r="D996" s="336"/>
      <c r="E996" s="336"/>
      <c r="F996" s="104" t="b">
        <f t="array" ref="F996">IF(_xlfn.NUMBERVALUE(RIGHT($E996,2))=MAX(IF(LEFT($E996:$E2994,11)=LEFT($E996,11),_xlfn.NUMBERVALUE(RIGHT($E996:$E2994,2)))),TRUE)</f>
        <v>1</v>
      </c>
      <c r="G996" s="336"/>
      <c r="H996" s="336"/>
      <c r="I996" s="336"/>
      <c r="J996" s="336"/>
      <c r="K996" s="336"/>
      <c r="L996" s="336"/>
      <c r="M996" s="336"/>
      <c r="N996" s="336"/>
      <c r="O996" s="336"/>
      <c r="P996" s="336"/>
      <c r="Q996" s="336"/>
      <c r="R996" s="336"/>
      <c r="S996" s="336"/>
      <c r="T996" s="336"/>
    </row>
    <row r="997" spans="1:20" x14ac:dyDescent="0.25">
      <c r="A997" s="336"/>
      <c r="B997" s="336"/>
      <c r="C997" s="336"/>
      <c r="D997" s="336"/>
      <c r="E997" s="336"/>
      <c r="F997" s="104" t="b">
        <f t="array" ref="F997">IF(_xlfn.NUMBERVALUE(RIGHT($E997,2))=MAX(IF(LEFT($E997:$E2995,11)=LEFT($E997,11),_xlfn.NUMBERVALUE(RIGHT($E997:$E2995,2)))),TRUE)</f>
        <v>1</v>
      </c>
      <c r="G997" s="336"/>
      <c r="H997" s="336"/>
      <c r="I997" s="336"/>
      <c r="J997" s="336"/>
      <c r="K997" s="336"/>
      <c r="L997" s="336"/>
      <c r="M997" s="336"/>
      <c r="N997" s="336"/>
      <c r="O997" s="336"/>
      <c r="P997" s="336"/>
      <c r="Q997" s="336"/>
      <c r="R997" s="336"/>
      <c r="S997" s="336"/>
      <c r="T997" s="336"/>
    </row>
    <row r="998" spans="1:20" x14ac:dyDescent="0.25">
      <c r="A998" s="336"/>
      <c r="B998" s="336"/>
      <c r="C998" s="336"/>
      <c r="D998" s="336"/>
      <c r="E998" s="336"/>
      <c r="F998" s="104" t="b">
        <f t="array" ref="F998">IF(_xlfn.NUMBERVALUE(RIGHT($E998,2))=MAX(IF(LEFT($E998:$E2996,11)=LEFT($E998,11),_xlfn.NUMBERVALUE(RIGHT($E998:$E2996,2)))),TRUE)</f>
        <v>1</v>
      </c>
      <c r="G998" s="336"/>
      <c r="H998" s="336"/>
      <c r="I998" s="336"/>
      <c r="J998" s="336"/>
      <c r="K998" s="336"/>
      <c r="L998" s="336"/>
      <c r="M998" s="336"/>
      <c r="N998" s="336"/>
      <c r="O998" s="336"/>
      <c r="P998" s="336"/>
      <c r="Q998" s="336"/>
      <c r="R998" s="336"/>
      <c r="S998" s="336"/>
      <c r="T998" s="336"/>
    </row>
    <row r="999" spans="1:20" x14ac:dyDescent="0.25">
      <c r="A999" s="336"/>
      <c r="B999" s="336"/>
      <c r="C999" s="336"/>
      <c r="D999" s="336"/>
      <c r="E999" s="336"/>
      <c r="F999" s="104" t="b">
        <f t="array" ref="F999">IF(_xlfn.NUMBERVALUE(RIGHT($E999,2))=MAX(IF(LEFT($E999:$E2997,11)=LEFT($E999,11),_xlfn.NUMBERVALUE(RIGHT($E999:$E2997,2)))),TRUE)</f>
        <v>1</v>
      </c>
      <c r="G999" s="336"/>
      <c r="H999" s="336"/>
      <c r="I999" s="336"/>
      <c r="J999" s="336"/>
      <c r="K999" s="336"/>
      <c r="L999" s="336"/>
      <c r="M999" s="336"/>
      <c r="N999" s="336"/>
      <c r="O999" s="336"/>
      <c r="P999" s="336"/>
      <c r="Q999" s="336"/>
      <c r="R999" s="336"/>
      <c r="S999" s="336"/>
      <c r="T999" s="336"/>
    </row>
    <row r="1000" spans="1:20" x14ac:dyDescent="0.25">
      <c r="A1000" s="336"/>
      <c r="B1000" s="336"/>
      <c r="C1000" s="336"/>
      <c r="D1000" s="336"/>
      <c r="E1000" s="336"/>
      <c r="F1000" s="104" t="b">
        <f t="array" ref="F1000">IF(_xlfn.NUMBERVALUE(RIGHT($E1000,2))=MAX(IF(LEFT($E1000:$E2998,11)=LEFT($E1000,11),_xlfn.NUMBERVALUE(RIGHT($E1000:$E2998,2)))),TRUE)</f>
        <v>1</v>
      </c>
      <c r="G1000" s="336"/>
      <c r="H1000" s="336"/>
      <c r="I1000" s="336"/>
      <c r="J1000" s="336"/>
      <c r="K1000" s="336"/>
      <c r="L1000" s="336"/>
      <c r="M1000" s="336"/>
      <c r="N1000" s="336"/>
      <c r="O1000" s="336"/>
      <c r="P1000" s="336"/>
      <c r="Q1000" s="336"/>
      <c r="R1000" s="336"/>
      <c r="S1000" s="336"/>
      <c r="T1000" s="336"/>
    </row>
    <row r="1001" spans="1:20" x14ac:dyDescent="0.25">
      <c r="A1001" s="336"/>
      <c r="B1001" s="336"/>
      <c r="C1001" s="336"/>
      <c r="D1001" s="336"/>
      <c r="E1001" s="336"/>
      <c r="F1001" s="104" t="b">
        <f t="array" ref="F1001">IF(_xlfn.NUMBERVALUE(RIGHT($E1001,2))=MAX(IF(LEFT($E1001:$E2999,11)=LEFT($E1001,11),_xlfn.NUMBERVALUE(RIGHT($E1001:$E2999,2)))),TRUE)</f>
        <v>1</v>
      </c>
      <c r="G1001" s="336"/>
      <c r="H1001" s="336"/>
      <c r="I1001" s="336"/>
      <c r="J1001" s="336"/>
      <c r="K1001" s="336"/>
      <c r="L1001" s="336"/>
      <c r="M1001" s="336"/>
      <c r="N1001" s="336"/>
      <c r="O1001" s="336"/>
      <c r="P1001" s="336"/>
      <c r="Q1001" s="336"/>
      <c r="R1001" s="336"/>
      <c r="S1001" s="336"/>
      <c r="T1001" s="336"/>
    </row>
    <row r="1002" spans="1:20" x14ac:dyDescent="0.25">
      <c r="A1002" s="336"/>
      <c r="B1002" s="336"/>
      <c r="C1002" s="336"/>
      <c r="D1002" s="336"/>
      <c r="E1002" s="336"/>
      <c r="F1002" s="104" t="b">
        <f t="array" ref="F1002">IF(_xlfn.NUMBERVALUE(RIGHT($E1002,2))=MAX(IF(LEFT($E1002:$E3000,11)=LEFT($E1002,11),_xlfn.NUMBERVALUE(RIGHT($E1002:$E3000,2)))),TRUE)</f>
        <v>1</v>
      </c>
      <c r="G1002" s="336"/>
      <c r="H1002" s="336"/>
      <c r="I1002" s="336"/>
      <c r="J1002" s="336"/>
      <c r="K1002" s="336"/>
      <c r="L1002" s="336"/>
      <c r="M1002" s="336"/>
      <c r="N1002" s="336"/>
      <c r="O1002" s="336"/>
      <c r="P1002" s="336"/>
      <c r="Q1002" s="336"/>
      <c r="R1002" s="336"/>
      <c r="S1002" s="336"/>
      <c r="T1002" s="336"/>
    </row>
    <row r="1003" spans="1:20" x14ac:dyDescent="0.25">
      <c r="A1003" s="336"/>
      <c r="B1003" s="336"/>
      <c r="C1003" s="336"/>
      <c r="D1003" s="336"/>
      <c r="E1003" s="336"/>
      <c r="F1003" s="104" t="b">
        <f t="array" ref="F1003">IF(_xlfn.NUMBERVALUE(RIGHT($E1003,2))=MAX(IF(LEFT($E1003:$E3001,11)=LEFT($E1003,11),_xlfn.NUMBERVALUE(RIGHT($E1003:$E3001,2)))),TRUE)</f>
        <v>1</v>
      </c>
      <c r="G1003" s="336"/>
      <c r="H1003" s="336"/>
      <c r="I1003" s="336"/>
      <c r="J1003" s="336"/>
      <c r="K1003" s="336"/>
      <c r="L1003" s="336"/>
      <c r="M1003" s="336"/>
      <c r="N1003" s="336"/>
      <c r="O1003" s="336"/>
      <c r="P1003" s="336"/>
      <c r="Q1003" s="336"/>
      <c r="R1003" s="336"/>
      <c r="S1003" s="336"/>
      <c r="T1003" s="336"/>
    </row>
    <row r="1004" spans="1:20" x14ac:dyDescent="0.25">
      <c r="A1004" s="336"/>
      <c r="B1004" s="336"/>
      <c r="C1004" s="336"/>
      <c r="D1004" s="336"/>
      <c r="E1004" s="336"/>
      <c r="F1004" s="104" t="b">
        <f t="array" ref="F1004">IF(_xlfn.NUMBERVALUE(RIGHT($E1004,2))=MAX(IF(LEFT($E1004:$E3002,11)=LEFT($E1004,11),_xlfn.NUMBERVALUE(RIGHT($E1004:$E3002,2)))),TRUE)</f>
        <v>1</v>
      </c>
      <c r="G1004" s="336"/>
      <c r="H1004" s="336"/>
      <c r="I1004" s="336"/>
      <c r="J1004" s="336"/>
      <c r="K1004" s="336"/>
      <c r="L1004" s="336"/>
      <c r="M1004" s="336"/>
      <c r="N1004" s="336"/>
      <c r="O1004" s="336"/>
      <c r="P1004" s="336"/>
      <c r="Q1004" s="336"/>
      <c r="R1004" s="336"/>
      <c r="S1004" s="336"/>
      <c r="T1004" s="336"/>
    </row>
    <row r="1005" spans="1:20" x14ac:dyDescent="0.25">
      <c r="A1005" s="336"/>
      <c r="B1005" s="336"/>
      <c r="C1005" s="336"/>
      <c r="D1005" s="336"/>
      <c r="E1005" s="336"/>
      <c r="F1005" s="104" t="b">
        <f t="array" ref="F1005">IF(_xlfn.NUMBERVALUE(RIGHT($E1005,2))=MAX(IF(LEFT($E1005:$E3003,11)=LEFT($E1005,11),_xlfn.NUMBERVALUE(RIGHT($E1005:$E3003,2)))),TRUE)</f>
        <v>1</v>
      </c>
      <c r="G1005" s="336"/>
      <c r="H1005" s="336"/>
      <c r="I1005" s="336"/>
      <c r="J1005" s="336"/>
      <c r="K1005" s="336"/>
      <c r="L1005" s="336"/>
      <c r="M1005" s="336"/>
      <c r="N1005" s="336"/>
      <c r="O1005" s="336"/>
      <c r="P1005" s="336"/>
      <c r="Q1005" s="336"/>
      <c r="R1005" s="336"/>
      <c r="S1005" s="336"/>
      <c r="T1005" s="336"/>
    </row>
    <row r="1006" spans="1:20" x14ac:dyDescent="0.25">
      <c r="A1006" s="336"/>
      <c r="B1006" s="336"/>
      <c r="C1006" s="336"/>
      <c r="D1006" s="336"/>
      <c r="E1006" s="336"/>
      <c r="F1006" s="104" t="b">
        <f t="array" ref="F1006">IF(_xlfn.NUMBERVALUE(RIGHT($E1006,2))=MAX(IF(LEFT($E1006:$E3004,11)=LEFT($E1006,11),_xlfn.NUMBERVALUE(RIGHT($E1006:$E3004,2)))),TRUE)</f>
        <v>1</v>
      </c>
      <c r="G1006" s="336"/>
      <c r="H1006" s="336"/>
      <c r="I1006" s="336"/>
      <c r="J1006" s="336"/>
      <c r="K1006" s="336"/>
      <c r="L1006" s="336"/>
      <c r="M1006" s="336"/>
      <c r="N1006" s="336"/>
      <c r="O1006" s="336"/>
      <c r="P1006" s="336"/>
      <c r="Q1006" s="336"/>
      <c r="R1006" s="336"/>
      <c r="S1006" s="336"/>
      <c r="T1006" s="336"/>
    </row>
    <row r="1007" spans="1:20" x14ac:dyDescent="0.25">
      <c r="A1007" s="336"/>
      <c r="B1007" s="336"/>
      <c r="C1007" s="336"/>
      <c r="D1007" s="336"/>
      <c r="E1007" s="336"/>
      <c r="F1007" s="104" t="b">
        <f t="array" ref="F1007">IF(_xlfn.NUMBERVALUE(RIGHT($E1007,2))=MAX(IF(LEFT($E1007:$E3005,11)=LEFT($E1007,11),_xlfn.NUMBERVALUE(RIGHT($E1007:$E3005,2)))),TRUE)</f>
        <v>1</v>
      </c>
      <c r="G1007" s="336"/>
      <c r="H1007" s="336"/>
      <c r="I1007" s="336"/>
      <c r="J1007" s="336"/>
      <c r="K1007" s="336"/>
      <c r="L1007" s="336"/>
      <c r="M1007" s="336"/>
      <c r="N1007" s="336"/>
      <c r="O1007" s="336"/>
      <c r="P1007" s="336"/>
      <c r="Q1007" s="336"/>
      <c r="R1007" s="336"/>
      <c r="S1007" s="336"/>
      <c r="T1007" s="336"/>
    </row>
    <row r="1008" spans="1:20" x14ac:dyDescent="0.25">
      <c r="A1008" s="336"/>
      <c r="B1008" s="336"/>
      <c r="C1008" s="336"/>
      <c r="D1008" s="336"/>
      <c r="E1008" s="336"/>
      <c r="F1008" s="104" t="b">
        <f t="array" ref="F1008">IF(_xlfn.NUMBERVALUE(RIGHT($E1008,2))=MAX(IF(LEFT($E1008:$E3006,11)=LEFT($E1008,11),_xlfn.NUMBERVALUE(RIGHT($E1008:$E3006,2)))),TRUE)</f>
        <v>1</v>
      </c>
      <c r="G1008" s="336"/>
      <c r="H1008" s="336"/>
      <c r="I1008" s="336"/>
      <c r="J1008" s="336"/>
      <c r="K1008" s="336"/>
      <c r="L1008" s="336"/>
      <c r="M1008" s="336"/>
      <c r="N1008" s="336"/>
      <c r="O1008" s="336"/>
      <c r="P1008" s="336"/>
      <c r="Q1008" s="336"/>
      <c r="R1008" s="336"/>
      <c r="S1008" s="336"/>
      <c r="T1008" s="336"/>
    </row>
    <row r="1009" spans="1:20" x14ac:dyDescent="0.25">
      <c r="A1009" s="336"/>
      <c r="B1009" s="336"/>
      <c r="C1009" s="336"/>
      <c r="D1009" s="336"/>
      <c r="E1009" s="336"/>
      <c r="F1009" s="104" t="b">
        <f t="array" ref="F1009">IF(_xlfn.NUMBERVALUE(RIGHT($E1009,2))=MAX(IF(LEFT($E1009:$E3007,11)=LEFT($E1009,11),_xlfn.NUMBERVALUE(RIGHT($E1009:$E3007,2)))),TRUE)</f>
        <v>1</v>
      </c>
      <c r="G1009" s="336"/>
      <c r="H1009" s="336"/>
      <c r="I1009" s="336"/>
      <c r="J1009" s="336"/>
      <c r="K1009" s="336"/>
      <c r="L1009" s="336"/>
      <c r="M1009" s="336"/>
      <c r="N1009" s="336"/>
      <c r="O1009" s="336"/>
      <c r="P1009" s="336"/>
      <c r="Q1009" s="336"/>
      <c r="R1009" s="336"/>
      <c r="S1009" s="336"/>
      <c r="T1009" s="336"/>
    </row>
    <row r="1010" spans="1:20" x14ac:dyDescent="0.25">
      <c r="A1010" s="336"/>
      <c r="B1010" s="336"/>
      <c r="C1010" s="336"/>
      <c r="D1010" s="336"/>
      <c r="E1010" s="336"/>
      <c r="F1010" s="104" t="b">
        <f t="array" ref="F1010">IF(_xlfn.NUMBERVALUE(RIGHT($E1010,2))=MAX(IF(LEFT($E1010:$E3008,11)=LEFT($E1010,11),_xlfn.NUMBERVALUE(RIGHT($E1010:$E3008,2)))),TRUE)</f>
        <v>1</v>
      </c>
      <c r="G1010" s="336"/>
      <c r="H1010" s="336"/>
      <c r="I1010" s="336"/>
      <c r="J1010" s="336"/>
      <c r="K1010" s="336"/>
      <c r="L1010" s="336"/>
      <c r="M1010" s="336"/>
      <c r="N1010" s="336"/>
      <c r="O1010" s="336"/>
      <c r="P1010" s="336"/>
      <c r="Q1010" s="336"/>
      <c r="R1010" s="336"/>
      <c r="S1010" s="336"/>
      <c r="T1010" s="336"/>
    </row>
    <row r="1011" spans="1:20" x14ac:dyDescent="0.25">
      <c r="A1011" s="336"/>
      <c r="B1011" s="336"/>
      <c r="C1011" s="336"/>
      <c r="D1011" s="336"/>
      <c r="E1011" s="336"/>
      <c r="F1011" s="104" t="b">
        <f t="array" ref="F1011">IF(_xlfn.NUMBERVALUE(RIGHT($E1011,2))=MAX(IF(LEFT($E1011:$E3009,11)=LEFT($E1011,11),_xlfn.NUMBERVALUE(RIGHT($E1011:$E3009,2)))),TRUE)</f>
        <v>1</v>
      </c>
      <c r="G1011" s="336"/>
      <c r="H1011" s="336"/>
      <c r="I1011" s="336"/>
      <c r="J1011" s="336"/>
      <c r="K1011" s="336"/>
      <c r="L1011" s="336"/>
      <c r="M1011" s="336"/>
      <c r="N1011" s="336"/>
      <c r="O1011" s="336"/>
      <c r="P1011" s="336"/>
      <c r="Q1011" s="336"/>
      <c r="R1011" s="336"/>
      <c r="S1011" s="336"/>
      <c r="T1011" s="336"/>
    </row>
    <row r="1012" spans="1:20" x14ac:dyDescent="0.25">
      <c r="A1012" s="336"/>
      <c r="B1012" s="336"/>
      <c r="C1012" s="336"/>
      <c r="D1012" s="336"/>
      <c r="E1012" s="336"/>
      <c r="F1012" s="104" t="b">
        <f t="array" ref="F1012">IF(_xlfn.NUMBERVALUE(RIGHT($E1012,2))=MAX(IF(LEFT($E1012:$E3010,11)=LEFT($E1012,11),_xlfn.NUMBERVALUE(RIGHT($E1012:$E3010,2)))),TRUE)</f>
        <v>1</v>
      </c>
      <c r="G1012" s="336"/>
      <c r="H1012" s="336"/>
      <c r="I1012" s="336"/>
      <c r="J1012" s="336"/>
      <c r="K1012" s="336"/>
      <c r="L1012" s="336"/>
      <c r="M1012" s="336"/>
      <c r="N1012" s="336"/>
      <c r="O1012" s="336"/>
      <c r="P1012" s="336"/>
      <c r="Q1012" s="336"/>
      <c r="R1012" s="336"/>
      <c r="S1012" s="336"/>
      <c r="T1012" s="336"/>
    </row>
    <row r="1013" spans="1:20" x14ac:dyDescent="0.25">
      <c r="A1013" s="336"/>
      <c r="B1013" s="336"/>
      <c r="C1013" s="336"/>
      <c r="D1013" s="336"/>
      <c r="E1013" s="336"/>
      <c r="F1013" s="104" t="b">
        <f t="array" ref="F1013">IF(_xlfn.NUMBERVALUE(RIGHT($E1013,2))=MAX(IF(LEFT($E1013:$E3011,11)=LEFT($E1013,11),_xlfn.NUMBERVALUE(RIGHT($E1013:$E3011,2)))),TRUE)</f>
        <v>1</v>
      </c>
      <c r="G1013" s="336"/>
      <c r="H1013" s="336"/>
      <c r="I1013" s="336"/>
      <c r="J1013" s="336"/>
      <c r="K1013" s="336"/>
      <c r="L1013" s="336"/>
      <c r="M1013" s="336"/>
      <c r="N1013" s="336"/>
      <c r="O1013" s="336"/>
      <c r="P1013" s="336"/>
      <c r="Q1013" s="336"/>
      <c r="R1013" s="336"/>
      <c r="S1013" s="336"/>
      <c r="T1013" s="336"/>
    </row>
    <row r="1014" spans="1:20" x14ac:dyDescent="0.25">
      <c r="A1014" s="336"/>
      <c r="B1014" s="336"/>
      <c r="C1014" s="336"/>
      <c r="D1014" s="336"/>
      <c r="E1014" s="336"/>
      <c r="F1014" s="104" t="b">
        <f t="array" ref="F1014">IF(_xlfn.NUMBERVALUE(RIGHT($E1014,2))=MAX(IF(LEFT($E1014:$E3012,11)=LEFT($E1014,11),_xlfn.NUMBERVALUE(RIGHT($E1014:$E3012,2)))),TRUE)</f>
        <v>1</v>
      </c>
      <c r="G1014" s="336"/>
      <c r="H1014" s="336"/>
      <c r="I1014" s="336"/>
      <c r="J1014" s="336"/>
      <c r="K1014" s="336"/>
      <c r="L1014" s="336"/>
      <c r="M1014" s="336"/>
      <c r="N1014" s="336"/>
      <c r="O1014" s="336"/>
      <c r="P1014" s="336"/>
      <c r="Q1014" s="336"/>
      <c r="R1014" s="336"/>
      <c r="S1014" s="336"/>
      <c r="T1014" s="336"/>
    </row>
    <row r="1015" spans="1:20" x14ac:dyDescent="0.25">
      <c r="A1015" s="336"/>
      <c r="B1015" s="336"/>
      <c r="C1015" s="336"/>
      <c r="D1015" s="336"/>
      <c r="E1015" s="336"/>
      <c r="F1015" s="104" t="b">
        <f t="array" ref="F1015">IF(_xlfn.NUMBERVALUE(RIGHT($E1015,2))=MAX(IF(LEFT($E1015:$E3013,11)=LEFT($E1015,11),_xlfn.NUMBERVALUE(RIGHT($E1015:$E3013,2)))),TRUE)</f>
        <v>1</v>
      </c>
      <c r="G1015" s="336"/>
      <c r="H1015" s="336"/>
      <c r="I1015" s="336"/>
      <c r="J1015" s="336"/>
      <c r="K1015" s="336"/>
      <c r="L1015" s="336"/>
      <c r="M1015" s="336"/>
      <c r="N1015" s="336"/>
      <c r="O1015" s="336"/>
      <c r="P1015" s="336"/>
      <c r="Q1015" s="336"/>
      <c r="R1015" s="336"/>
      <c r="S1015" s="336"/>
      <c r="T1015" s="336"/>
    </row>
    <row r="1016" spans="1:20" x14ac:dyDescent="0.25">
      <c r="A1016" s="336"/>
      <c r="B1016" s="336"/>
      <c r="C1016" s="336"/>
      <c r="D1016" s="336"/>
      <c r="E1016" s="336"/>
      <c r="F1016" s="104" t="b">
        <f t="array" ref="F1016">IF(_xlfn.NUMBERVALUE(RIGHT($E1016,2))=MAX(IF(LEFT($E1016:$E3014,11)=LEFT($E1016,11),_xlfn.NUMBERVALUE(RIGHT($E1016:$E3014,2)))),TRUE)</f>
        <v>1</v>
      </c>
      <c r="G1016" s="336"/>
      <c r="H1016" s="336"/>
      <c r="I1016" s="336"/>
      <c r="J1016" s="336"/>
      <c r="K1016" s="336"/>
      <c r="L1016" s="336"/>
      <c r="M1016" s="336"/>
      <c r="N1016" s="336"/>
      <c r="O1016" s="336"/>
      <c r="P1016" s="336"/>
      <c r="Q1016" s="336"/>
      <c r="R1016" s="336"/>
      <c r="S1016" s="336"/>
      <c r="T1016" s="336"/>
    </row>
    <row r="1017" spans="1:20" x14ac:dyDescent="0.25">
      <c r="A1017" s="336"/>
      <c r="B1017" s="336"/>
      <c r="C1017" s="336"/>
      <c r="D1017" s="336"/>
      <c r="E1017" s="336"/>
      <c r="F1017" s="104" t="b">
        <f t="array" ref="F1017">IF(_xlfn.NUMBERVALUE(RIGHT($E1017,2))=MAX(IF(LEFT($E1017:$E3015,11)=LEFT($E1017,11),_xlfn.NUMBERVALUE(RIGHT($E1017:$E3015,2)))),TRUE)</f>
        <v>1</v>
      </c>
      <c r="G1017" s="336"/>
      <c r="H1017" s="336"/>
      <c r="I1017" s="336"/>
      <c r="J1017" s="336"/>
      <c r="K1017" s="336"/>
      <c r="L1017" s="336"/>
      <c r="M1017" s="336"/>
      <c r="N1017" s="336"/>
      <c r="O1017" s="336"/>
      <c r="P1017" s="336"/>
      <c r="Q1017" s="336"/>
      <c r="R1017" s="336"/>
      <c r="S1017" s="336"/>
      <c r="T1017" s="336"/>
    </row>
    <row r="1018" spans="1:20" x14ac:dyDescent="0.25">
      <c r="A1018" s="336"/>
      <c r="B1018" s="336"/>
      <c r="C1018" s="336"/>
      <c r="D1018" s="336"/>
      <c r="E1018" s="336"/>
      <c r="F1018" s="104" t="b">
        <f t="array" ref="F1018">IF(_xlfn.NUMBERVALUE(RIGHT($E1018,2))=MAX(IF(LEFT($E1018:$E3016,11)=LEFT($E1018,11),_xlfn.NUMBERVALUE(RIGHT($E1018:$E3016,2)))),TRUE)</f>
        <v>1</v>
      </c>
      <c r="G1018" s="336"/>
      <c r="H1018" s="336"/>
      <c r="I1018" s="336"/>
      <c r="J1018" s="336"/>
      <c r="K1018" s="336"/>
      <c r="L1018" s="336"/>
      <c r="M1018" s="336"/>
      <c r="N1018" s="336"/>
      <c r="O1018" s="336"/>
      <c r="P1018" s="336"/>
      <c r="Q1018" s="336"/>
      <c r="R1018" s="336"/>
      <c r="S1018" s="336"/>
      <c r="T1018" s="336"/>
    </row>
    <row r="1019" spans="1:20" x14ac:dyDescent="0.25">
      <c r="A1019" s="336"/>
      <c r="B1019" s="336"/>
      <c r="C1019" s="336"/>
      <c r="D1019" s="336"/>
      <c r="E1019" s="336"/>
      <c r="F1019" s="104" t="b">
        <f t="array" ref="F1019">IF(_xlfn.NUMBERVALUE(RIGHT($E1019,2))=MAX(IF(LEFT($E1019:$E3017,11)=LEFT($E1019,11),_xlfn.NUMBERVALUE(RIGHT($E1019:$E3017,2)))),TRUE)</f>
        <v>1</v>
      </c>
      <c r="G1019" s="336"/>
      <c r="H1019" s="336"/>
      <c r="I1019" s="336"/>
      <c r="J1019" s="336"/>
      <c r="K1019" s="336"/>
      <c r="L1019" s="336"/>
      <c r="M1019" s="336"/>
      <c r="N1019" s="336"/>
      <c r="O1019" s="336"/>
      <c r="P1019" s="336"/>
      <c r="Q1019" s="336"/>
      <c r="R1019" s="336"/>
      <c r="S1019" s="336"/>
      <c r="T1019" s="336"/>
    </row>
    <row r="1020" spans="1:20" x14ac:dyDescent="0.25">
      <c r="A1020" s="336"/>
      <c r="B1020" s="336"/>
      <c r="C1020" s="336"/>
      <c r="D1020" s="336"/>
      <c r="E1020" s="336"/>
      <c r="F1020" s="104" t="b">
        <f t="array" ref="F1020">IF(_xlfn.NUMBERVALUE(RIGHT($E1020,2))=MAX(IF(LEFT($E1020:$E3018,11)=LEFT($E1020,11),_xlfn.NUMBERVALUE(RIGHT($E1020:$E3018,2)))),TRUE)</f>
        <v>1</v>
      </c>
      <c r="G1020" s="336"/>
      <c r="H1020" s="336"/>
      <c r="I1020" s="336"/>
      <c r="J1020" s="336"/>
      <c r="K1020" s="336"/>
      <c r="L1020" s="336"/>
      <c r="M1020" s="336"/>
      <c r="N1020" s="336"/>
      <c r="O1020" s="336"/>
      <c r="P1020" s="336"/>
      <c r="Q1020" s="336"/>
      <c r="R1020" s="336"/>
      <c r="S1020" s="336"/>
      <c r="T1020" s="336"/>
    </row>
    <row r="1021" spans="1:20" x14ac:dyDescent="0.25">
      <c r="A1021" s="336"/>
      <c r="B1021" s="336"/>
      <c r="C1021" s="336"/>
      <c r="D1021" s="336"/>
      <c r="E1021" s="336"/>
      <c r="F1021" s="104" t="b">
        <f t="array" ref="F1021">IF(_xlfn.NUMBERVALUE(RIGHT($E1021,2))=MAX(IF(LEFT($E1021:$E3019,11)=LEFT($E1021,11),_xlfn.NUMBERVALUE(RIGHT($E1021:$E3019,2)))),TRUE)</f>
        <v>1</v>
      </c>
      <c r="G1021" s="336"/>
      <c r="H1021" s="336"/>
      <c r="I1021" s="336"/>
      <c r="J1021" s="336"/>
      <c r="K1021" s="336"/>
      <c r="L1021" s="336"/>
      <c r="M1021" s="336"/>
      <c r="N1021" s="336"/>
      <c r="O1021" s="336"/>
      <c r="P1021" s="336"/>
      <c r="Q1021" s="336"/>
      <c r="R1021" s="336"/>
      <c r="S1021" s="336"/>
      <c r="T1021" s="336"/>
    </row>
    <row r="1022" spans="1:20" x14ac:dyDescent="0.25">
      <c r="A1022" s="336"/>
      <c r="B1022" s="336"/>
      <c r="C1022" s="336"/>
      <c r="D1022" s="336"/>
      <c r="E1022" s="336"/>
      <c r="F1022" s="104" t="b">
        <f t="array" ref="F1022">IF(_xlfn.NUMBERVALUE(RIGHT($E1022,2))=MAX(IF(LEFT($E1022:$E3020,11)=LEFT($E1022,11),_xlfn.NUMBERVALUE(RIGHT($E1022:$E3020,2)))),TRUE)</f>
        <v>1</v>
      </c>
      <c r="G1022" s="336"/>
      <c r="H1022" s="336"/>
      <c r="I1022" s="336"/>
      <c r="J1022" s="336"/>
      <c r="K1022" s="336"/>
      <c r="L1022" s="336"/>
      <c r="M1022" s="336"/>
      <c r="N1022" s="336"/>
      <c r="O1022" s="336"/>
      <c r="P1022" s="336"/>
      <c r="Q1022" s="336"/>
      <c r="R1022" s="336"/>
      <c r="S1022" s="336"/>
      <c r="T1022" s="336"/>
    </row>
    <row r="1023" spans="1:20" x14ac:dyDescent="0.25">
      <c r="A1023" s="336"/>
      <c r="B1023" s="336"/>
      <c r="C1023" s="336"/>
      <c r="D1023" s="336"/>
      <c r="E1023" s="336"/>
      <c r="F1023" s="104" t="b">
        <f t="array" ref="F1023">IF(_xlfn.NUMBERVALUE(RIGHT($E1023,2))=MAX(IF(LEFT($E1023:$E3021,11)=LEFT($E1023,11),_xlfn.NUMBERVALUE(RIGHT($E1023:$E3021,2)))),TRUE)</f>
        <v>1</v>
      </c>
      <c r="G1023" s="336"/>
      <c r="H1023" s="336"/>
      <c r="I1023" s="336"/>
      <c r="J1023" s="336"/>
      <c r="K1023" s="336"/>
      <c r="L1023" s="336"/>
      <c r="M1023" s="336"/>
      <c r="N1023" s="336"/>
      <c r="O1023" s="336"/>
      <c r="P1023" s="336"/>
      <c r="Q1023" s="336"/>
      <c r="R1023" s="336"/>
      <c r="S1023" s="336"/>
      <c r="T1023" s="336"/>
    </row>
    <row r="1024" spans="1:20" x14ac:dyDescent="0.25">
      <c r="A1024" s="336"/>
      <c r="B1024" s="336"/>
      <c r="C1024" s="336"/>
      <c r="D1024" s="336"/>
      <c r="E1024" s="336"/>
      <c r="F1024" s="104" t="b">
        <f t="array" ref="F1024">IF(_xlfn.NUMBERVALUE(RIGHT($E1024,2))=MAX(IF(LEFT($E1024:$E3022,11)=LEFT($E1024,11),_xlfn.NUMBERVALUE(RIGHT($E1024:$E3022,2)))),TRUE)</f>
        <v>1</v>
      </c>
      <c r="G1024" s="336"/>
      <c r="H1024" s="336"/>
      <c r="I1024" s="336"/>
      <c r="J1024" s="336"/>
      <c r="K1024" s="336"/>
      <c r="L1024" s="336"/>
      <c r="M1024" s="336"/>
      <c r="N1024" s="336"/>
      <c r="O1024" s="336"/>
      <c r="P1024" s="336"/>
      <c r="Q1024" s="336"/>
      <c r="R1024" s="336"/>
      <c r="S1024" s="336"/>
      <c r="T1024" s="336"/>
    </row>
    <row r="1025" spans="1:20" x14ac:dyDescent="0.25">
      <c r="A1025" s="336"/>
      <c r="B1025" s="336"/>
      <c r="C1025" s="336"/>
      <c r="D1025" s="336"/>
      <c r="E1025" s="336"/>
      <c r="F1025" s="104" t="b">
        <f t="array" ref="F1025">IF(_xlfn.NUMBERVALUE(RIGHT($E1025,2))=MAX(IF(LEFT($E1025:$E3023,11)=LEFT($E1025,11),_xlfn.NUMBERVALUE(RIGHT($E1025:$E3023,2)))),TRUE)</f>
        <v>1</v>
      </c>
      <c r="G1025" s="336"/>
      <c r="H1025" s="336"/>
      <c r="I1025" s="336"/>
      <c r="J1025" s="336"/>
      <c r="K1025" s="336"/>
      <c r="L1025" s="336"/>
      <c r="M1025" s="336"/>
      <c r="N1025" s="336"/>
      <c r="O1025" s="336"/>
      <c r="P1025" s="336"/>
      <c r="Q1025" s="336"/>
      <c r="R1025" s="336"/>
      <c r="S1025" s="336"/>
      <c r="T1025" s="336"/>
    </row>
    <row r="1026" spans="1:20" x14ac:dyDescent="0.25">
      <c r="A1026" s="336"/>
      <c r="B1026" s="336"/>
      <c r="C1026" s="336"/>
      <c r="D1026" s="336"/>
      <c r="E1026" s="336"/>
      <c r="F1026" s="104" t="b">
        <f t="array" ref="F1026">IF(_xlfn.NUMBERVALUE(RIGHT($E1026,2))=MAX(IF(LEFT($E1026:$E3024,11)=LEFT($E1026,11),_xlfn.NUMBERVALUE(RIGHT($E1026:$E3024,2)))),TRUE)</f>
        <v>1</v>
      </c>
      <c r="G1026" s="336"/>
      <c r="H1026" s="336"/>
      <c r="I1026" s="336"/>
      <c r="J1026" s="336"/>
      <c r="K1026" s="336"/>
      <c r="L1026" s="336"/>
      <c r="M1026" s="336"/>
      <c r="N1026" s="336"/>
      <c r="O1026" s="336"/>
      <c r="P1026" s="336"/>
      <c r="Q1026" s="336"/>
      <c r="R1026" s="336"/>
      <c r="S1026" s="336"/>
      <c r="T1026" s="336"/>
    </row>
    <row r="1027" spans="1:20" x14ac:dyDescent="0.25">
      <c r="A1027" s="336"/>
      <c r="B1027" s="336"/>
      <c r="C1027" s="336"/>
      <c r="D1027" s="336"/>
      <c r="E1027" s="336"/>
      <c r="F1027" s="104" t="b">
        <f t="array" ref="F1027">IF(_xlfn.NUMBERVALUE(RIGHT($E1027,2))=MAX(IF(LEFT($E1027:$E3025,11)=LEFT($E1027,11),_xlfn.NUMBERVALUE(RIGHT($E1027:$E3025,2)))),TRUE)</f>
        <v>1</v>
      </c>
      <c r="G1027" s="336"/>
      <c r="H1027" s="336"/>
      <c r="I1027" s="336"/>
      <c r="J1027" s="336"/>
      <c r="K1027" s="336"/>
      <c r="L1027" s="336"/>
      <c r="M1027" s="336"/>
      <c r="N1027" s="336"/>
      <c r="O1027" s="336"/>
      <c r="P1027" s="336"/>
      <c r="Q1027" s="336"/>
      <c r="R1027" s="336"/>
      <c r="S1027" s="336"/>
      <c r="T1027" s="336"/>
    </row>
    <row r="1028" spans="1:20" x14ac:dyDescent="0.25">
      <c r="A1028" s="336"/>
      <c r="B1028" s="336"/>
      <c r="C1028" s="336"/>
      <c r="D1028" s="336"/>
      <c r="E1028" s="336"/>
      <c r="F1028" s="104" t="b">
        <f t="array" ref="F1028">IF(_xlfn.NUMBERVALUE(RIGHT($E1028,2))=MAX(IF(LEFT($E1028:$E3026,11)=LEFT($E1028,11),_xlfn.NUMBERVALUE(RIGHT($E1028:$E3026,2)))),TRUE)</f>
        <v>1</v>
      </c>
      <c r="G1028" s="336"/>
      <c r="H1028" s="336"/>
      <c r="I1028" s="336"/>
      <c r="J1028" s="336"/>
      <c r="K1028" s="336"/>
      <c r="L1028" s="336"/>
      <c r="M1028" s="336"/>
      <c r="N1028" s="336"/>
      <c r="O1028" s="336"/>
      <c r="P1028" s="336"/>
      <c r="Q1028" s="336"/>
      <c r="R1028" s="336"/>
      <c r="S1028" s="336"/>
      <c r="T1028" s="336"/>
    </row>
    <row r="1029" spans="1:20" x14ac:dyDescent="0.25">
      <c r="A1029" s="336"/>
      <c r="B1029" s="336"/>
      <c r="C1029" s="336"/>
      <c r="D1029" s="336"/>
      <c r="E1029" s="336"/>
      <c r="F1029" s="104" t="b">
        <f t="array" ref="F1029">IF(_xlfn.NUMBERVALUE(RIGHT($E1029,2))=MAX(IF(LEFT($E1029:$E3027,11)=LEFT($E1029,11),_xlfn.NUMBERVALUE(RIGHT($E1029:$E3027,2)))),TRUE)</f>
        <v>1</v>
      </c>
      <c r="G1029" s="336"/>
      <c r="H1029" s="336"/>
      <c r="I1029" s="336"/>
      <c r="J1029" s="336"/>
      <c r="K1029" s="336"/>
      <c r="L1029" s="336"/>
      <c r="M1029" s="336"/>
      <c r="N1029" s="336"/>
      <c r="O1029" s="336"/>
      <c r="P1029" s="336"/>
      <c r="Q1029" s="336"/>
      <c r="R1029" s="336"/>
      <c r="S1029" s="336"/>
      <c r="T1029" s="336"/>
    </row>
    <row r="1030" spans="1:20" x14ac:dyDescent="0.25">
      <c r="A1030" s="336"/>
      <c r="B1030" s="336"/>
      <c r="C1030" s="336"/>
      <c r="D1030" s="336"/>
      <c r="E1030" s="336"/>
      <c r="F1030" s="104" t="b">
        <f t="array" ref="F1030">IF(_xlfn.NUMBERVALUE(RIGHT($E1030,2))=MAX(IF(LEFT($E1030:$E3028,11)=LEFT($E1030,11),_xlfn.NUMBERVALUE(RIGHT($E1030:$E3028,2)))),TRUE)</f>
        <v>1</v>
      </c>
      <c r="G1030" s="336"/>
      <c r="H1030" s="336"/>
      <c r="I1030" s="336"/>
      <c r="J1030" s="336"/>
      <c r="K1030" s="336"/>
      <c r="L1030" s="336"/>
      <c r="M1030" s="336"/>
      <c r="N1030" s="336"/>
      <c r="O1030" s="336"/>
      <c r="P1030" s="336"/>
      <c r="Q1030" s="336"/>
      <c r="R1030" s="336"/>
      <c r="S1030" s="336"/>
      <c r="T1030" s="336"/>
    </row>
    <row r="1031" spans="1:20" x14ac:dyDescent="0.25">
      <c r="A1031" s="336"/>
      <c r="B1031" s="336"/>
      <c r="C1031" s="336"/>
      <c r="D1031" s="336"/>
      <c r="E1031" s="336"/>
      <c r="F1031" s="104" t="b">
        <f t="array" ref="F1031">IF(_xlfn.NUMBERVALUE(RIGHT($E1031,2))=MAX(IF(LEFT($E1031:$E3029,11)=LEFT($E1031,11),_xlfn.NUMBERVALUE(RIGHT($E1031:$E3029,2)))),TRUE)</f>
        <v>1</v>
      </c>
      <c r="G1031" s="336"/>
      <c r="H1031" s="336"/>
      <c r="I1031" s="336"/>
      <c r="J1031" s="336"/>
      <c r="K1031" s="336"/>
      <c r="L1031" s="336"/>
      <c r="M1031" s="336"/>
      <c r="N1031" s="336"/>
      <c r="O1031" s="336"/>
      <c r="P1031" s="336"/>
      <c r="Q1031" s="336"/>
      <c r="R1031" s="336"/>
      <c r="S1031" s="336"/>
      <c r="T1031" s="336"/>
    </row>
    <row r="1032" spans="1:20" x14ac:dyDescent="0.25">
      <c r="A1032" s="336"/>
      <c r="B1032" s="336"/>
      <c r="C1032" s="336"/>
      <c r="D1032" s="336"/>
      <c r="E1032" s="336"/>
      <c r="F1032" s="104" t="b">
        <f t="array" ref="F1032">IF(_xlfn.NUMBERVALUE(RIGHT($E1032,2))=MAX(IF(LEFT($E1032:$E3030,11)=LEFT($E1032,11),_xlfn.NUMBERVALUE(RIGHT($E1032:$E3030,2)))),TRUE)</f>
        <v>1</v>
      </c>
      <c r="G1032" s="336"/>
      <c r="H1032" s="336"/>
      <c r="I1032" s="336"/>
      <c r="J1032" s="336"/>
      <c r="K1032" s="336"/>
      <c r="L1032" s="336"/>
      <c r="M1032" s="336"/>
      <c r="N1032" s="336"/>
      <c r="O1032" s="336"/>
      <c r="P1032" s="336"/>
      <c r="Q1032" s="336"/>
      <c r="R1032" s="336"/>
      <c r="S1032" s="336"/>
      <c r="T1032" s="336"/>
    </row>
    <row r="1033" spans="1:20" x14ac:dyDescent="0.25">
      <c r="A1033" s="336"/>
      <c r="B1033" s="336"/>
      <c r="C1033" s="336"/>
      <c r="D1033" s="336"/>
      <c r="E1033" s="336"/>
      <c r="F1033" s="104" t="b">
        <f t="array" ref="F1033">IF(_xlfn.NUMBERVALUE(RIGHT($E1033,2))=MAX(IF(LEFT($E1033:$E3031,11)=LEFT($E1033,11),_xlfn.NUMBERVALUE(RIGHT($E1033:$E3031,2)))),TRUE)</f>
        <v>1</v>
      </c>
      <c r="G1033" s="336"/>
      <c r="H1033" s="336"/>
      <c r="I1033" s="336"/>
      <c r="J1033" s="336"/>
      <c r="K1033" s="336"/>
      <c r="L1033" s="336"/>
      <c r="M1033" s="336"/>
      <c r="N1033" s="336"/>
      <c r="O1033" s="336"/>
      <c r="P1033" s="336"/>
      <c r="Q1033" s="336"/>
      <c r="R1033" s="336"/>
      <c r="S1033" s="336"/>
      <c r="T1033" s="336"/>
    </row>
    <row r="1034" spans="1:20" x14ac:dyDescent="0.25">
      <c r="A1034" s="336"/>
      <c r="B1034" s="336"/>
      <c r="C1034" s="336"/>
      <c r="D1034" s="336"/>
      <c r="E1034" s="336"/>
      <c r="F1034" s="104" t="b">
        <f t="array" ref="F1034">IF(_xlfn.NUMBERVALUE(RIGHT($E1034,2))=MAX(IF(LEFT($E1034:$E3032,11)=LEFT($E1034,11),_xlfn.NUMBERVALUE(RIGHT($E1034:$E3032,2)))),TRUE)</f>
        <v>1</v>
      </c>
      <c r="G1034" s="336"/>
      <c r="H1034" s="336"/>
      <c r="I1034" s="336"/>
      <c r="J1034" s="336"/>
      <c r="K1034" s="336"/>
      <c r="L1034" s="336"/>
      <c r="M1034" s="336"/>
      <c r="N1034" s="336"/>
      <c r="O1034" s="336"/>
      <c r="P1034" s="336"/>
      <c r="Q1034" s="336"/>
      <c r="R1034" s="336"/>
      <c r="S1034" s="336"/>
      <c r="T1034" s="336"/>
    </row>
    <row r="1035" spans="1:20" x14ac:dyDescent="0.25">
      <c r="A1035" s="336"/>
      <c r="B1035" s="336"/>
      <c r="C1035" s="336"/>
      <c r="D1035" s="336"/>
      <c r="E1035" s="336"/>
      <c r="F1035" s="104" t="b">
        <f t="array" ref="F1035">IF(_xlfn.NUMBERVALUE(RIGHT($E1035,2))=MAX(IF(LEFT($E1035:$E3033,11)=LEFT($E1035,11),_xlfn.NUMBERVALUE(RIGHT($E1035:$E3033,2)))),TRUE)</f>
        <v>1</v>
      </c>
      <c r="G1035" s="336"/>
      <c r="H1035" s="336"/>
      <c r="I1035" s="336"/>
      <c r="J1035" s="336"/>
      <c r="K1035" s="336"/>
      <c r="L1035" s="336"/>
      <c r="M1035" s="336"/>
      <c r="N1035" s="336"/>
      <c r="O1035" s="336"/>
      <c r="P1035" s="336"/>
      <c r="Q1035" s="336"/>
      <c r="R1035" s="336"/>
      <c r="S1035" s="336"/>
      <c r="T1035" s="336"/>
    </row>
    <row r="1036" spans="1:20" x14ac:dyDescent="0.25">
      <c r="A1036" s="336"/>
      <c r="B1036" s="336"/>
      <c r="C1036" s="336"/>
      <c r="D1036" s="336"/>
      <c r="E1036" s="336"/>
      <c r="F1036" s="104" t="b">
        <f t="array" ref="F1036">IF(_xlfn.NUMBERVALUE(RIGHT($E1036,2))=MAX(IF(LEFT($E1036:$E3034,11)=LEFT($E1036,11),_xlfn.NUMBERVALUE(RIGHT($E1036:$E3034,2)))),TRUE)</f>
        <v>1</v>
      </c>
      <c r="G1036" s="336"/>
      <c r="H1036" s="336"/>
      <c r="I1036" s="336"/>
      <c r="J1036" s="336"/>
      <c r="K1036" s="336"/>
      <c r="L1036" s="336"/>
      <c r="M1036" s="336"/>
      <c r="N1036" s="336"/>
      <c r="O1036" s="336"/>
      <c r="P1036" s="336"/>
      <c r="Q1036" s="336"/>
      <c r="R1036" s="336"/>
      <c r="S1036" s="336"/>
      <c r="T1036" s="336"/>
    </row>
    <row r="1037" spans="1:20" x14ac:dyDescent="0.25">
      <c r="A1037" s="336"/>
      <c r="B1037" s="336"/>
      <c r="C1037" s="336"/>
      <c r="D1037" s="336"/>
      <c r="E1037" s="336"/>
      <c r="F1037" s="104" t="b">
        <f t="array" ref="F1037">IF(_xlfn.NUMBERVALUE(RIGHT($E1037,2))=MAX(IF(LEFT($E1037:$E3035,11)=LEFT($E1037,11),_xlfn.NUMBERVALUE(RIGHT($E1037:$E3035,2)))),TRUE)</f>
        <v>1</v>
      </c>
      <c r="G1037" s="336"/>
      <c r="H1037" s="336"/>
      <c r="I1037" s="336"/>
      <c r="J1037" s="336"/>
      <c r="K1037" s="336"/>
      <c r="L1037" s="336"/>
      <c r="M1037" s="336"/>
      <c r="N1037" s="336"/>
      <c r="O1037" s="336"/>
      <c r="P1037" s="336"/>
      <c r="Q1037" s="336"/>
      <c r="R1037" s="336"/>
      <c r="S1037" s="336"/>
      <c r="T1037" s="336"/>
    </row>
    <row r="1038" spans="1:20" x14ac:dyDescent="0.25">
      <c r="A1038" s="336"/>
      <c r="B1038" s="336"/>
      <c r="C1038" s="336"/>
      <c r="D1038" s="336"/>
      <c r="E1038" s="336"/>
      <c r="F1038" s="104" t="b">
        <f t="array" ref="F1038">IF(_xlfn.NUMBERVALUE(RIGHT($E1038,2))=MAX(IF(LEFT($E1038:$E3036,11)=LEFT($E1038,11),_xlfn.NUMBERVALUE(RIGHT($E1038:$E3036,2)))),TRUE)</f>
        <v>1</v>
      </c>
      <c r="G1038" s="336"/>
      <c r="H1038" s="336"/>
      <c r="I1038" s="336"/>
      <c r="J1038" s="336"/>
      <c r="K1038" s="336"/>
      <c r="L1038" s="336"/>
      <c r="M1038" s="336"/>
      <c r="N1038" s="336"/>
      <c r="O1038" s="336"/>
      <c r="P1038" s="336"/>
      <c r="Q1038" s="336"/>
      <c r="R1038" s="336"/>
      <c r="S1038" s="336"/>
      <c r="T1038" s="336"/>
    </row>
    <row r="1039" spans="1:20" x14ac:dyDescent="0.25">
      <c r="A1039" s="336"/>
      <c r="B1039" s="336"/>
      <c r="C1039" s="336"/>
      <c r="D1039" s="336"/>
      <c r="E1039" s="336"/>
      <c r="F1039" s="104" t="b">
        <f t="array" ref="F1039">IF(_xlfn.NUMBERVALUE(RIGHT($E1039,2))=MAX(IF(LEFT($E1039:$E3037,11)=LEFT($E1039,11),_xlfn.NUMBERVALUE(RIGHT($E1039:$E3037,2)))),TRUE)</f>
        <v>1</v>
      </c>
      <c r="G1039" s="336"/>
      <c r="H1039" s="336"/>
      <c r="I1039" s="336"/>
      <c r="J1039" s="336"/>
      <c r="K1039" s="336"/>
      <c r="L1039" s="336"/>
      <c r="M1039" s="336"/>
      <c r="N1039" s="336"/>
      <c r="O1039" s="336"/>
      <c r="P1039" s="336"/>
      <c r="Q1039" s="336"/>
      <c r="R1039" s="336"/>
      <c r="S1039" s="336"/>
      <c r="T1039" s="336"/>
    </row>
    <row r="1040" spans="1:20" x14ac:dyDescent="0.25">
      <c r="A1040" s="336"/>
      <c r="B1040" s="336"/>
      <c r="C1040" s="336"/>
      <c r="D1040" s="336"/>
      <c r="E1040" s="336"/>
      <c r="F1040" s="104" t="b">
        <f t="array" ref="F1040">IF(_xlfn.NUMBERVALUE(RIGHT($E1040,2))=MAX(IF(LEFT($E1040:$E3038,11)=LEFT($E1040,11),_xlfn.NUMBERVALUE(RIGHT($E1040:$E3038,2)))),TRUE)</f>
        <v>1</v>
      </c>
      <c r="G1040" s="336"/>
      <c r="H1040" s="336"/>
      <c r="I1040" s="336"/>
      <c r="J1040" s="336"/>
      <c r="K1040" s="336"/>
      <c r="L1040" s="336"/>
      <c r="M1040" s="336"/>
      <c r="N1040" s="336"/>
      <c r="O1040" s="336"/>
      <c r="P1040" s="336"/>
      <c r="Q1040" s="336"/>
      <c r="R1040" s="336"/>
      <c r="S1040" s="336"/>
      <c r="T1040" s="336"/>
    </row>
    <row r="1041" spans="1:20" x14ac:dyDescent="0.25">
      <c r="A1041" s="336"/>
      <c r="B1041" s="336"/>
      <c r="C1041" s="336"/>
      <c r="D1041" s="336"/>
      <c r="E1041" s="336"/>
      <c r="F1041" s="104" t="b">
        <f t="array" ref="F1041">IF(_xlfn.NUMBERVALUE(RIGHT($E1041,2))=MAX(IF(LEFT($E1041:$E3039,11)=LEFT($E1041,11),_xlfn.NUMBERVALUE(RIGHT($E1041:$E3039,2)))),TRUE)</f>
        <v>1</v>
      </c>
      <c r="G1041" s="336"/>
      <c r="H1041" s="336"/>
      <c r="I1041" s="336"/>
      <c r="J1041" s="336"/>
      <c r="K1041" s="336"/>
      <c r="L1041" s="336"/>
      <c r="M1041" s="336"/>
      <c r="N1041" s="336"/>
      <c r="O1041" s="336"/>
      <c r="P1041" s="336"/>
      <c r="Q1041" s="336"/>
      <c r="R1041" s="336"/>
      <c r="S1041" s="336"/>
      <c r="T1041" s="336"/>
    </row>
    <row r="1042" spans="1:20" x14ac:dyDescent="0.25">
      <c r="A1042" s="336"/>
      <c r="B1042" s="336"/>
      <c r="C1042" s="336"/>
      <c r="D1042" s="336"/>
      <c r="E1042" s="336"/>
      <c r="F1042" s="104" t="b">
        <f t="array" ref="F1042">IF(_xlfn.NUMBERVALUE(RIGHT($E1042,2))=MAX(IF(LEFT($E1042:$E3040,11)=LEFT($E1042,11),_xlfn.NUMBERVALUE(RIGHT($E1042:$E3040,2)))),TRUE)</f>
        <v>1</v>
      </c>
      <c r="G1042" s="336"/>
      <c r="H1042" s="336"/>
      <c r="I1042" s="336"/>
      <c r="J1042" s="336"/>
      <c r="K1042" s="336"/>
      <c r="L1042" s="336"/>
      <c r="M1042" s="336"/>
      <c r="N1042" s="336"/>
      <c r="O1042" s="336"/>
      <c r="P1042" s="336"/>
      <c r="Q1042" s="336"/>
      <c r="R1042" s="336"/>
      <c r="S1042" s="336"/>
      <c r="T1042" s="336"/>
    </row>
    <row r="1043" spans="1:20" x14ac:dyDescent="0.25">
      <c r="A1043" s="336"/>
      <c r="B1043" s="336"/>
      <c r="C1043" s="336"/>
      <c r="D1043" s="336"/>
      <c r="E1043" s="336"/>
      <c r="F1043" s="104" t="b">
        <f t="array" ref="F1043">IF(_xlfn.NUMBERVALUE(RIGHT($E1043,2))=MAX(IF(LEFT($E1043:$E3041,11)=LEFT($E1043,11),_xlfn.NUMBERVALUE(RIGHT($E1043:$E3041,2)))),TRUE)</f>
        <v>1</v>
      </c>
      <c r="G1043" s="336"/>
      <c r="H1043" s="336"/>
      <c r="I1043" s="336"/>
      <c r="J1043" s="336"/>
      <c r="K1043" s="336"/>
      <c r="L1043" s="336"/>
      <c r="M1043" s="336"/>
      <c r="N1043" s="336"/>
      <c r="O1043" s="336"/>
      <c r="P1043" s="336"/>
      <c r="Q1043" s="336"/>
      <c r="R1043" s="336"/>
      <c r="S1043" s="336"/>
      <c r="T1043" s="336"/>
    </row>
    <row r="1044" spans="1:20" x14ac:dyDescent="0.25">
      <c r="A1044" s="336"/>
      <c r="B1044" s="336"/>
      <c r="C1044" s="336"/>
      <c r="D1044" s="336"/>
      <c r="E1044" s="336"/>
      <c r="F1044" s="104" t="b">
        <f t="array" ref="F1044">IF(_xlfn.NUMBERVALUE(RIGHT($E1044,2))=MAX(IF(LEFT($E1044:$E3042,11)=LEFT($E1044,11),_xlfn.NUMBERVALUE(RIGHT($E1044:$E3042,2)))),TRUE)</f>
        <v>1</v>
      </c>
      <c r="G1044" s="336"/>
      <c r="H1044" s="336"/>
      <c r="I1044" s="336"/>
      <c r="J1044" s="336"/>
      <c r="K1044" s="336"/>
      <c r="L1044" s="336"/>
      <c r="M1044" s="336"/>
      <c r="N1044" s="336"/>
      <c r="O1044" s="336"/>
      <c r="P1044" s="336"/>
      <c r="Q1044" s="336"/>
      <c r="R1044" s="336"/>
      <c r="S1044" s="336"/>
      <c r="T1044" s="336"/>
    </row>
    <row r="1045" spans="1:20" x14ac:dyDescent="0.25">
      <c r="A1045" s="336"/>
      <c r="B1045" s="336"/>
      <c r="C1045" s="336"/>
      <c r="D1045" s="336"/>
      <c r="E1045" s="336"/>
      <c r="F1045" s="104" t="b">
        <f t="array" ref="F1045">IF(_xlfn.NUMBERVALUE(RIGHT($E1045,2))=MAX(IF(LEFT($E1045:$E3043,11)=LEFT($E1045,11),_xlfn.NUMBERVALUE(RIGHT($E1045:$E3043,2)))),TRUE)</f>
        <v>1</v>
      </c>
      <c r="G1045" s="336"/>
      <c r="H1045" s="336"/>
      <c r="I1045" s="336"/>
      <c r="J1045" s="336"/>
      <c r="K1045" s="336"/>
      <c r="L1045" s="336"/>
      <c r="M1045" s="336"/>
      <c r="N1045" s="336"/>
      <c r="O1045" s="336"/>
      <c r="P1045" s="336"/>
      <c r="Q1045" s="336"/>
      <c r="R1045" s="336"/>
      <c r="S1045" s="336"/>
      <c r="T1045" s="336"/>
    </row>
    <row r="1046" spans="1:20" x14ac:dyDescent="0.25">
      <c r="A1046" s="336"/>
      <c r="B1046" s="336"/>
      <c r="C1046" s="336"/>
      <c r="D1046" s="336"/>
      <c r="E1046" s="336"/>
      <c r="F1046" s="104" t="b">
        <f t="array" ref="F1046">IF(_xlfn.NUMBERVALUE(RIGHT($E1046,2))=MAX(IF(LEFT($E1046:$E3044,11)=LEFT($E1046,11),_xlfn.NUMBERVALUE(RIGHT($E1046:$E3044,2)))),TRUE)</f>
        <v>1</v>
      </c>
      <c r="G1046" s="336"/>
      <c r="H1046" s="336"/>
      <c r="I1046" s="336"/>
      <c r="J1046" s="336"/>
      <c r="K1046" s="336"/>
      <c r="L1046" s="336"/>
      <c r="M1046" s="336"/>
      <c r="N1046" s="336"/>
      <c r="O1046" s="336"/>
      <c r="P1046" s="336"/>
      <c r="Q1046" s="336"/>
      <c r="R1046" s="336"/>
      <c r="S1046" s="336"/>
      <c r="T1046" s="336"/>
    </row>
    <row r="1047" spans="1:20" x14ac:dyDescent="0.25">
      <c r="A1047" s="336"/>
      <c r="B1047" s="336"/>
      <c r="C1047" s="336"/>
      <c r="D1047" s="336"/>
      <c r="E1047" s="336"/>
      <c r="F1047" s="104" t="b">
        <f t="array" ref="F1047">IF(_xlfn.NUMBERVALUE(RIGHT($E1047,2))=MAX(IF(LEFT($E1047:$E3045,11)=LEFT($E1047,11),_xlfn.NUMBERVALUE(RIGHT($E1047:$E3045,2)))),TRUE)</f>
        <v>1</v>
      </c>
      <c r="G1047" s="336"/>
      <c r="H1047" s="336"/>
      <c r="I1047" s="336"/>
      <c r="J1047" s="336"/>
      <c r="K1047" s="336"/>
      <c r="L1047" s="336"/>
      <c r="M1047" s="336"/>
      <c r="N1047" s="336"/>
      <c r="O1047" s="336"/>
      <c r="P1047" s="336"/>
      <c r="Q1047" s="336"/>
      <c r="R1047" s="336"/>
      <c r="S1047" s="336"/>
      <c r="T1047" s="336"/>
    </row>
    <row r="1048" spans="1:20" x14ac:dyDescent="0.25">
      <c r="A1048" s="336"/>
      <c r="B1048" s="336"/>
      <c r="C1048" s="336"/>
      <c r="D1048" s="336"/>
      <c r="E1048" s="336"/>
      <c r="F1048" s="104" t="b">
        <f t="array" ref="F1048">IF(_xlfn.NUMBERVALUE(RIGHT($E1048,2))=MAX(IF(LEFT($E1048:$E3046,11)=LEFT($E1048,11),_xlfn.NUMBERVALUE(RIGHT($E1048:$E3046,2)))),TRUE)</f>
        <v>1</v>
      </c>
      <c r="G1048" s="336"/>
      <c r="H1048" s="336"/>
      <c r="I1048" s="336"/>
      <c r="J1048" s="336"/>
      <c r="K1048" s="336"/>
      <c r="L1048" s="336"/>
      <c r="M1048" s="336"/>
      <c r="N1048" s="336"/>
      <c r="O1048" s="336"/>
      <c r="P1048" s="336"/>
      <c r="Q1048" s="336"/>
      <c r="R1048" s="336"/>
      <c r="S1048" s="336"/>
      <c r="T1048" s="336"/>
    </row>
    <row r="1049" spans="1:20" x14ac:dyDescent="0.25">
      <c r="A1049" s="336"/>
      <c r="B1049" s="336"/>
      <c r="C1049" s="336"/>
      <c r="D1049" s="336"/>
      <c r="E1049" s="336"/>
      <c r="F1049" s="104" t="b">
        <f t="array" ref="F1049">IF(_xlfn.NUMBERVALUE(RIGHT($E1049,2))=MAX(IF(LEFT($E1049:$E3047,11)=LEFT($E1049,11),_xlfn.NUMBERVALUE(RIGHT($E1049:$E3047,2)))),TRUE)</f>
        <v>1</v>
      </c>
      <c r="G1049" s="336"/>
      <c r="H1049" s="336"/>
      <c r="I1049" s="336"/>
      <c r="J1049" s="336"/>
      <c r="K1049" s="336"/>
      <c r="L1049" s="336"/>
      <c r="M1049" s="336"/>
      <c r="N1049" s="336"/>
      <c r="O1049" s="336"/>
      <c r="P1049" s="336"/>
      <c r="Q1049" s="336"/>
      <c r="R1049" s="336"/>
      <c r="S1049" s="336"/>
      <c r="T1049" s="336"/>
    </row>
    <row r="1050" spans="1:20" x14ac:dyDescent="0.25">
      <c r="A1050" s="336"/>
      <c r="B1050" s="336"/>
      <c r="C1050" s="336"/>
      <c r="D1050" s="336"/>
      <c r="E1050" s="336"/>
      <c r="F1050" s="104" t="b">
        <f t="array" ref="F1050">IF(_xlfn.NUMBERVALUE(RIGHT($E1050,2))=MAX(IF(LEFT($E1050:$E3048,11)=LEFT($E1050,11),_xlfn.NUMBERVALUE(RIGHT($E1050:$E3048,2)))),TRUE)</f>
        <v>1</v>
      </c>
      <c r="G1050" s="336"/>
      <c r="H1050" s="336"/>
      <c r="I1050" s="336"/>
      <c r="J1050" s="336"/>
      <c r="K1050" s="336"/>
      <c r="L1050" s="336"/>
      <c r="M1050" s="336"/>
      <c r="N1050" s="336"/>
      <c r="O1050" s="336"/>
      <c r="P1050" s="336"/>
      <c r="Q1050" s="336"/>
      <c r="R1050" s="336"/>
      <c r="S1050" s="336"/>
      <c r="T1050" s="336"/>
    </row>
    <row r="1051" spans="1:20" x14ac:dyDescent="0.25">
      <c r="A1051" s="336"/>
      <c r="B1051" s="336"/>
      <c r="C1051" s="336"/>
      <c r="D1051" s="336"/>
      <c r="E1051" s="336"/>
      <c r="F1051" s="104" t="b">
        <f t="array" ref="F1051">IF(_xlfn.NUMBERVALUE(RIGHT($E1051,2))=MAX(IF(LEFT($E1051:$E3049,11)=LEFT($E1051,11),_xlfn.NUMBERVALUE(RIGHT($E1051:$E3049,2)))),TRUE)</f>
        <v>1</v>
      </c>
      <c r="G1051" s="336"/>
      <c r="H1051" s="336"/>
      <c r="I1051" s="336"/>
      <c r="J1051" s="336"/>
      <c r="K1051" s="336"/>
      <c r="L1051" s="336"/>
      <c r="M1051" s="336"/>
      <c r="N1051" s="336"/>
      <c r="O1051" s="336"/>
      <c r="P1051" s="336"/>
      <c r="Q1051" s="336"/>
      <c r="R1051" s="336"/>
      <c r="S1051" s="336"/>
      <c r="T1051" s="336"/>
    </row>
    <row r="1052" spans="1:20" x14ac:dyDescent="0.25">
      <c r="A1052" s="336"/>
      <c r="B1052" s="336"/>
      <c r="C1052" s="336"/>
      <c r="D1052" s="336"/>
      <c r="E1052" s="336"/>
      <c r="F1052" s="104" t="b">
        <f t="array" ref="F1052">IF(_xlfn.NUMBERVALUE(RIGHT($E1052,2))=MAX(IF(LEFT($E1052:$E3050,11)=LEFT($E1052,11),_xlfn.NUMBERVALUE(RIGHT($E1052:$E3050,2)))),TRUE)</f>
        <v>1</v>
      </c>
      <c r="G1052" s="336"/>
      <c r="H1052" s="336"/>
      <c r="I1052" s="336"/>
      <c r="J1052" s="336"/>
      <c r="K1052" s="336"/>
      <c r="L1052" s="336"/>
      <c r="M1052" s="336"/>
      <c r="N1052" s="336"/>
      <c r="O1052" s="336"/>
      <c r="P1052" s="336"/>
      <c r="Q1052" s="336"/>
      <c r="R1052" s="336"/>
      <c r="S1052" s="336"/>
      <c r="T1052" s="336"/>
    </row>
    <row r="1053" spans="1:20" x14ac:dyDescent="0.25">
      <c r="A1053" s="336"/>
      <c r="B1053" s="336"/>
      <c r="C1053" s="336"/>
      <c r="D1053" s="336"/>
      <c r="E1053" s="336"/>
      <c r="F1053" s="104" t="b">
        <f t="array" ref="F1053">IF(_xlfn.NUMBERVALUE(RIGHT($E1053,2))=MAX(IF(LEFT($E1053:$E3051,11)=LEFT($E1053,11),_xlfn.NUMBERVALUE(RIGHT($E1053:$E3051,2)))),TRUE)</f>
        <v>1</v>
      </c>
      <c r="G1053" s="336"/>
      <c r="H1053" s="336"/>
      <c r="I1053" s="336"/>
      <c r="J1053" s="336"/>
      <c r="K1053" s="336"/>
      <c r="L1053" s="336"/>
      <c r="M1053" s="336"/>
      <c r="N1053" s="336"/>
      <c r="O1053" s="336"/>
      <c r="P1053" s="336"/>
      <c r="Q1053" s="336"/>
      <c r="R1053" s="336"/>
      <c r="S1053" s="336"/>
      <c r="T1053" s="336"/>
    </row>
    <row r="1054" spans="1:20" x14ac:dyDescent="0.25">
      <c r="A1054" s="336"/>
      <c r="B1054" s="336"/>
      <c r="C1054" s="336"/>
      <c r="D1054" s="336"/>
      <c r="E1054" s="336"/>
      <c r="F1054" s="104" t="b">
        <f t="array" ref="F1054">IF(_xlfn.NUMBERVALUE(RIGHT($E1054,2))=MAX(IF(LEFT($E1054:$E3052,11)=LEFT($E1054,11),_xlfn.NUMBERVALUE(RIGHT($E1054:$E3052,2)))),TRUE)</f>
        <v>1</v>
      </c>
      <c r="G1054" s="336"/>
      <c r="H1054" s="336"/>
      <c r="I1054" s="336"/>
      <c r="J1054" s="336"/>
      <c r="K1054" s="336"/>
      <c r="L1054" s="336"/>
      <c r="M1054" s="336"/>
      <c r="N1054" s="336"/>
      <c r="O1054" s="336"/>
      <c r="P1054" s="336"/>
      <c r="Q1054" s="336"/>
      <c r="R1054" s="336"/>
      <c r="S1054" s="336"/>
      <c r="T1054" s="336"/>
    </row>
    <row r="1055" spans="1:20" x14ac:dyDescent="0.25">
      <c r="A1055" s="336"/>
      <c r="B1055" s="336"/>
      <c r="C1055" s="336"/>
      <c r="D1055" s="336"/>
      <c r="E1055" s="336"/>
      <c r="F1055" s="104" t="b">
        <f t="array" ref="F1055">IF(_xlfn.NUMBERVALUE(RIGHT($E1055,2))=MAX(IF(LEFT($E1055:$E3053,11)=LEFT($E1055,11),_xlfn.NUMBERVALUE(RIGHT($E1055:$E3053,2)))),TRUE)</f>
        <v>1</v>
      </c>
      <c r="G1055" s="336"/>
      <c r="H1055" s="336"/>
      <c r="I1055" s="336"/>
      <c r="J1055" s="336"/>
      <c r="K1055" s="336"/>
      <c r="L1055" s="336"/>
      <c r="M1055" s="336"/>
      <c r="N1055" s="336"/>
      <c r="O1055" s="336"/>
      <c r="P1055" s="336"/>
      <c r="Q1055" s="336"/>
      <c r="R1055" s="336"/>
      <c r="S1055" s="336"/>
      <c r="T1055" s="336"/>
    </row>
    <row r="1056" spans="1:20" x14ac:dyDescent="0.25">
      <c r="A1056" s="336"/>
      <c r="B1056" s="336"/>
      <c r="C1056" s="336"/>
      <c r="D1056" s="336"/>
      <c r="E1056" s="336"/>
      <c r="F1056" s="104" t="b">
        <f t="array" ref="F1056">IF(_xlfn.NUMBERVALUE(RIGHT($E1056,2))=MAX(IF(LEFT($E1056:$E3054,11)=LEFT($E1056,11),_xlfn.NUMBERVALUE(RIGHT($E1056:$E3054,2)))),TRUE)</f>
        <v>1</v>
      </c>
      <c r="G1056" s="336"/>
      <c r="H1056" s="336"/>
      <c r="I1056" s="336"/>
      <c r="J1056" s="336"/>
      <c r="K1056" s="336"/>
      <c r="L1056" s="336"/>
      <c r="M1056" s="336"/>
      <c r="N1056" s="336"/>
      <c r="O1056" s="336"/>
      <c r="P1056" s="336"/>
      <c r="Q1056" s="336"/>
      <c r="R1056" s="336"/>
      <c r="S1056" s="336"/>
      <c r="T1056" s="336"/>
    </row>
    <row r="1057" spans="1:20" x14ac:dyDescent="0.25">
      <c r="A1057" s="336"/>
      <c r="B1057" s="336"/>
      <c r="C1057" s="336"/>
      <c r="D1057" s="336"/>
      <c r="E1057" s="336"/>
      <c r="F1057" s="104" t="b">
        <f t="array" ref="F1057">IF(_xlfn.NUMBERVALUE(RIGHT($E1057,2))=MAX(IF(LEFT($E1057:$E3055,11)=LEFT($E1057,11),_xlfn.NUMBERVALUE(RIGHT($E1057:$E3055,2)))),TRUE)</f>
        <v>1</v>
      </c>
      <c r="G1057" s="336"/>
      <c r="H1057" s="336"/>
      <c r="I1057" s="336"/>
      <c r="J1057" s="336"/>
      <c r="K1057" s="336"/>
      <c r="L1057" s="336"/>
      <c r="M1057" s="336"/>
      <c r="N1057" s="336"/>
      <c r="O1057" s="336"/>
      <c r="P1057" s="336"/>
      <c r="Q1057" s="336"/>
      <c r="R1057" s="336"/>
      <c r="S1057" s="336"/>
      <c r="T1057" s="336"/>
    </row>
    <row r="1058" spans="1:20" x14ac:dyDescent="0.25">
      <c r="A1058" s="336"/>
      <c r="B1058" s="336"/>
      <c r="C1058" s="336"/>
      <c r="D1058" s="336"/>
      <c r="E1058" s="336"/>
      <c r="F1058" s="104" t="b">
        <f t="array" ref="F1058">IF(_xlfn.NUMBERVALUE(RIGHT($E1058,2))=MAX(IF(LEFT($E1058:$E3056,11)=LEFT($E1058,11),_xlfn.NUMBERVALUE(RIGHT($E1058:$E3056,2)))),TRUE)</f>
        <v>1</v>
      </c>
      <c r="G1058" s="336"/>
      <c r="H1058" s="336"/>
      <c r="I1058" s="336"/>
      <c r="J1058" s="336"/>
      <c r="K1058" s="336"/>
      <c r="L1058" s="336"/>
      <c r="M1058" s="336"/>
      <c r="N1058" s="336"/>
      <c r="O1058" s="336"/>
      <c r="P1058" s="336"/>
      <c r="Q1058" s="336"/>
      <c r="R1058" s="336"/>
      <c r="S1058" s="336"/>
      <c r="T1058" s="336"/>
    </row>
    <row r="1059" spans="1:20" x14ac:dyDescent="0.25">
      <c r="A1059" s="336"/>
      <c r="B1059" s="336"/>
      <c r="C1059" s="336"/>
      <c r="D1059" s="336"/>
      <c r="E1059" s="336"/>
      <c r="F1059" s="104" t="b">
        <f t="array" ref="F1059">IF(_xlfn.NUMBERVALUE(RIGHT($E1059,2))=MAX(IF(LEFT($E1059:$E3057,11)=LEFT($E1059,11),_xlfn.NUMBERVALUE(RIGHT($E1059:$E3057,2)))),TRUE)</f>
        <v>1</v>
      </c>
      <c r="G1059" s="336"/>
      <c r="H1059" s="336"/>
      <c r="I1059" s="336"/>
      <c r="J1059" s="336"/>
      <c r="K1059" s="336"/>
      <c r="L1059" s="336"/>
      <c r="M1059" s="336"/>
      <c r="N1059" s="336"/>
      <c r="O1059" s="336"/>
      <c r="P1059" s="336"/>
      <c r="Q1059" s="336"/>
      <c r="R1059" s="336"/>
      <c r="S1059" s="336"/>
      <c r="T1059" s="336"/>
    </row>
    <row r="1060" spans="1:20" x14ac:dyDescent="0.25">
      <c r="A1060" s="336"/>
      <c r="B1060" s="336"/>
      <c r="C1060" s="336"/>
      <c r="D1060" s="336"/>
      <c r="E1060" s="336"/>
      <c r="F1060" s="104" t="b">
        <f t="array" ref="F1060">IF(_xlfn.NUMBERVALUE(RIGHT($E1060,2))=MAX(IF(LEFT($E1060:$E3058,11)=LEFT($E1060,11),_xlfn.NUMBERVALUE(RIGHT($E1060:$E3058,2)))),TRUE)</f>
        <v>1</v>
      </c>
      <c r="G1060" s="336"/>
      <c r="H1060" s="336"/>
      <c r="I1060" s="336"/>
      <c r="J1060" s="336"/>
      <c r="K1060" s="336"/>
      <c r="L1060" s="336"/>
      <c r="M1060" s="336"/>
      <c r="N1060" s="336"/>
      <c r="O1060" s="336"/>
      <c r="P1060" s="336"/>
      <c r="Q1060" s="336"/>
      <c r="R1060" s="336"/>
      <c r="S1060" s="336"/>
      <c r="T1060" s="336"/>
    </row>
    <row r="1061" spans="1:20" x14ac:dyDescent="0.25">
      <c r="A1061" s="336"/>
      <c r="B1061" s="336"/>
      <c r="C1061" s="336"/>
      <c r="D1061" s="336"/>
      <c r="E1061" s="336"/>
      <c r="F1061" s="104" t="b">
        <f t="array" ref="F1061">IF(_xlfn.NUMBERVALUE(RIGHT($E1061,2))=MAX(IF(LEFT($E1061:$E3059,11)=LEFT($E1061,11),_xlfn.NUMBERVALUE(RIGHT($E1061:$E3059,2)))),TRUE)</f>
        <v>1</v>
      </c>
      <c r="G1061" s="336"/>
      <c r="H1061" s="336"/>
      <c r="I1061" s="336"/>
      <c r="J1061" s="336"/>
      <c r="K1061" s="336"/>
      <c r="L1061" s="336"/>
      <c r="M1061" s="336"/>
      <c r="N1061" s="336"/>
      <c r="O1061" s="336"/>
      <c r="P1061" s="336"/>
      <c r="Q1061" s="336"/>
      <c r="R1061" s="336"/>
      <c r="S1061" s="336"/>
      <c r="T1061" s="336"/>
    </row>
    <row r="1062" spans="1:20" x14ac:dyDescent="0.25">
      <c r="A1062" s="336"/>
      <c r="B1062" s="336"/>
      <c r="C1062" s="336"/>
      <c r="D1062" s="336"/>
      <c r="E1062" s="336"/>
      <c r="F1062" s="104" t="b">
        <f t="array" ref="F1062">IF(_xlfn.NUMBERVALUE(RIGHT($E1062,2))=MAX(IF(LEFT($E1062:$E3060,11)=LEFT($E1062,11),_xlfn.NUMBERVALUE(RIGHT($E1062:$E3060,2)))),TRUE)</f>
        <v>1</v>
      </c>
      <c r="G1062" s="336"/>
      <c r="H1062" s="336"/>
      <c r="I1062" s="336"/>
      <c r="J1062" s="336"/>
      <c r="K1062" s="336"/>
      <c r="L1062" s="336"/>
      <c r="M1062" s="336"/>
      <c r="N1062" s="336"/>
      <c r="O1062" s="336"/>
      <c r="P1062" s="336"/>
      <c r="Q1062" s="336"/>
      <c r="R1062" s="336"/>
      <c r="S1062" s="336"/>
      <c r="T1062" s="336"/>
    </row>
    <row r="1063" spans="1:20" x14ac:dyDescent="0.25">
      <c r="A1063" s="336"/>
      <c r="B1063" s="336"/>
      <c r="C1063" s="336"/>
      <c r="D1063" s="336"/>
      <c r="E1063" s="336"/>
      <c r="F1063" s="104" t="b">
        <f t="array" ref="F1063">IF(_xlfn.NUMBERVALUE(RIGHT($E1063,2))=MAX(IF(LEFT($E1063:$E3061,11)=LEFT($E1063,11),_xlfn.NUMBERVALUE(RIGHT($E1063:$E3061,2)))),TRUE)</f>
        <v>1</v>
      </c>
      <c r="G1063" s="336"/>
      <c r="H1063" s="336"/>
      <c r="I1063" s="336"/>
      <c r="J1063" s="336"/>
      <c r="K1063" s="336"/>
      <c r="L1063" s="336"/>
      <c r="M1063" s="336"/>
      <c r="N1063" s="336"/>
      <c r="O1063" s="336"/>
      <c r="P1063" s="336"/>
      <c r="Q1063" s="336"/>
      <c r="R1063" s="336"/>
      <c r="S1063" s="336"/>
      <c r="T1063" s="336"/>
    </row>
    <row r="1064" spans="1:20" x14ac:dyDescent="0.25">
      <c r="A1064" s="336"/>
      <c r="B1064" s="336"/>
      <c r="C1064" s="336"/>
      <c r="D1064" s="336"/>
      <c r="E1064" s="336"/>
      <c r="F1064" s="104" t="b">
        <f t="array" ref="F1064">IF(_xlfn.NUMBERVALUE(RIGHT($E1064,2))=MAX(IF(LEFT($E1064:$E3062,11)=LEFT($E1064,11),_xlfn.NUMBERVALUE(RIGHT($E1064:$E3062,2)))),TRUE)</f>
        <v>1</v>
      </c>
      <c r="G1064" s="336"/>
      <c r="H1064" s="336"/>
      <c r="I1064" s="336"/>
      <c r="J1064" s="336"/>
      <c r="K1064" s="336"/>
      <c r="L1064" s="336"/>
      <c r="M1064" s="336"/>
      <c r="N1064" s="336"/>
      <c r="O1064" s="336"/>
      <c r="P1064" s="336"/>
      <c r="Q1064" s="336"/>
      <c r="R1064" s="336"/>
      <c r="S1064" s="336"/>
      <c r="T1064" s="336"/>
    </row>
    <row r="1065" spans="1:20" x14ac:dyDescent="0.25">
      <c r="A1065" s="336"/>
      <c r="B1065" s="336"/>
      <c r="C1065" s="336"/>
      <c r="D1065" s="336"/>
      <c r="E1065" s="336"/>
      <c r="F1065" s="104" t="b">
        <f t="array" ref="F1065">IF(_xlfn.NUMBERVALUE(RIGHT($E1065,2))=MAX(IF(LEFT($E1065:$E3063,11)=LEFT($E1065,11),_xlfn.NUMBERVALUE(RIGHT($E1065:$E3063,2)))),TRUE)</f>
        <v>1</v>
      </c>
      <c r="G1065" s="336"/>
      <c r="H1065" s="336"/>
      <c r="I1065" s="336"/>
      <c r="J1065" s="336"/>
      <c r="K1065" s="336"/>
      <c r="L1065" s="336"/>
      <c r="M1065" s="336"/>
      <c r="N1065" s="336"/>
      <c r="O1065" s="336"/>
      <c r="P1065" s="336"/>
      <c r="Q1065" s="336"/>
      <c r="R1065" s="336"/>
      <c r="S1065" s="336"/>
      <c r="T1065" s="336"/>
    </row>
    <row r="1066" spans="1:20" x14ac:dyDescent="0.25">
      <c r="A1066" s="336"/>
      <c r="B1066" s="336"/>
      <c r="C1066" s="336"/>
      <c r="D1066" s="336"/>
      <c r="E1066" s="336"/>
      <c r="F1066" s="104" t="b">
        <f t="array" ref="F1066">IF(_xlfn.NUMBERVALUE(RIGHT($E1066,2))=MAX(IF(LEFT($E1066:$E3064,11)=LEFT($E1066,11),_xlfn.NUMBERVALUE(RIGHT($E1066:$E3064,2)))),TRUE)</f>
        <v>1</v>
      </c>
      <c r="G1066" s="336"/>
      <c r="H1066" s="336"/>
      <c r="I1066" s="336"/>
      <c r="J1066" s="336"/>
      <c r="K1066" s="336"/>
      <c r="L1066" s="336"/>
      <c r="M1066" s="336"/>
      <c r="N1066" s="336"/>
      <c r="O1066" s="336"/>
      <c r="P1066" s="336"/>
      <c r="Q1066" s="336"/>
      <c r="R1066" s="336"/>
      <c r="S1066" s="336"/>
      <c r="T1066" s="336"/>
    </row>
    <row r="1067" spans="1:20" x14ac:dyDescent="0.25">
      <c r="A1067" s="336"/>
      <c r="B1067" s="336"/>
      <c r="C1067" s="336"/>
      <c r="D1067" s="336"/>
      <c r="E1067" s="336"/>
      <c r="F1067" s="104" t="b">
        <f t="array" ref="F1067">IF(_xlfn.NUMBERVALUE(RIGHT($E1067,2))=MAX(IF(LEFT($E1067:$E3065,11)=LEFT($E1067,11),_xlfn.NUMBERVALUE(RIGHT($E1067:$E3065,2)))),TRUE)</f>
        <v>1</v>
      </c>
      <c r="G1067" s="336"/>
      <c r="H1067" s="336"/>
      <c r="I1067" s="336"/>
      <c r="J1067" s="336"/>
      <c r="K1067" s="336"/>
      <c r="L1067" s="336"/>
      <c r="M1067" s="336"/>
      <c r="N1067" s="336"/>
      <c r="O1067" s="336"/>
      <c r="P1067" s="336"/>
      <c r="Q1067" s="336"/>
      <c r="R1067" s="336"/>
      <c r="S1067" s="336"/>
      <c r="T1067" s="336"/>
    </row>
    <row r="1068" spans="1:20" x14ac:dyDescent="0.25">
      <c r="A1068" s="336"/>
      <c r="B1068" s="336"/>
      <c r="C1068" s="336"/>
      <c r="D1068" s="336"/>
      <c r="E1068" s="336"/>
      <c r="F1068" s="104" t="b">
        <f t="array" ref="F1068">IF(_xlfn.NUMBERVALUE(RIGHT($E1068,2))=MAX(IF(LEFT($E1068:$E3066,11)=LEFT($E1068,11),_xlfn.NUMBERVALUE(RIGHT($E1068:$E3066,2)))),TRUE)</f>
        <v>1</v>
      </c>
      <c r="G1068" s="336"/>
      <c r="H1068" s="336"/>
      <c r="I1068" s="336"/>
      <c r="J1068" s="336"/>
      <c r="K1068" s="336"/>
      <c r="L1068" s="336"/>
      <c r="M1068" s="336"/>
      <c r="N1068" s="336"/>
      <c r="O1068" s="336"/>
      <c r="P1068" s="336"/>
      <c r="Q1068" s="336"/>
      <c r="R1068" s="336"/>
      <c r="S1068" s="336"/>
      <c r="T1068" s="336"/>
    </row>
    <row r="1069" spans="1:20" x14ac:dyDescent="0.25">
      <c r="A1069" s="336"/>
      <c r="B1069" s="336"/>
      <c r="C1069" s="336"/>
      <c r="D1069" s="336"/>
      <c r="E1069" s="336"/>
      <c r="F1069" s="104" t="b">
        <f t="array" ref="F1069">IF(_xlfn.NUMBERVALUE(RIGHT($E1069,2))=MAX(IF(LEFT($E1069:$E3067,11)=LEFT($E1069,11),_xlfn.NUMBERVALUE(RIGHT($E1069:$E3067,2)))),TRUE)</f>
        <v>1</v>
      </c>
      <c r="G1069" s="336"/>
      <c r="H1069" s="336"/>
      <c r="I1069" s="336"/>
      <c r="J1069" s="336"/>
      <c r="K1069" s="336"/>
      <c r="L1069" s="336"/>
      <c r="M1069" s="336"/>
      <c r="N1069" s="336"/>
      <c r="O1069" s="336"/>
      <c r="P1069" s="336"/>
      <c r="Q1069" s="336"/>
      <c r="R1069" s="336"/>
      <c r="S1069" s="336"/>
      <c r="T1069" s="336"/>
    </row>
    <row r="1070" spans="1:20" x14ac:dyDescent="0.25">
      <c r="A1070" s="336"/>
      <c r="B1070" s="336"/>
      <c r="C1070" s="336"/>
      <c r="D1070" s="336"/>
      <c r="E1070" s="336"/>
      <c r="F1070" s="104" t="b">
        <f t="array" ref="F1070">IF(_xlfn.NUMBERVALUE(RIGHT($E1070,2))=MAX(IF(LEFT($E1070:$E3068,11)=LEFT($E1070,11),_xlfn.NUMBERVALUE(RIGHT($E1070:$E3068,2)))),TRUE)</f>
        <v>1</v>
      </c>
      <c r="G1070" s="336"/>
      <c r="H1070" s="336"/>
      <c r="I1070" s="336"/>
      <c r="J1070" s="336"/>
      <c r="K1070" s="336"/>
      <c r="L1070" s="336"/>
      <c r="M1070" s="336"/>
      <c r="N1070" s="336"/>
      <c r="O1070" s="336"/>
      <c r="P1070" s="336"/>
      <c r="Q1070" s="336"/>
      <c r="R1070" s="336"/>
      <c r="S1070" s="336"/>
      <c r="T1070" s="336"/>
    </row>
    <row r="1071" spans="1:20" x14ac:dyDescent="0.25">
      <c r="A1071" s="336"/>
      <c r="B1071" s="336"/>
      <c r="C1071" s="336"/>
      <c r="D1071" s="336"/>
      <c r="E1071" s="336"/>
      <c r="F1071" s="104" t="b">
        <f t="array" ref="F1071">IF(_xlfn.NUMBERVALUE(RIGHT($E1071,2))=MAX(IF(LEFT($E1071:$E3069,11)=LEFT($E1071,11),_xlfn.NUMBERVALUE(RIGHT($E1071:$E3069,2)))),TRUE)</f>
        <v>1</v>
      </c>
      <c r="G1071" s="336"/>
      <c r="H1071" s="336"/>
      <c r="I1071" s="336"/>
      <c r="J1071" s="336"/>
      <c r="K1071" s="336"/>
      <c r="L1071" s="336"/>
      <c r="M1071" s="336"/>
      <c r="N1071" s="336"/>
      <c r="O1071" s="336"/>
      <c r="P1071" s="336"/>
      <c r="Q1071" s="336"/>
      <c r="R1071" s="336"/>
      <c r="S1071" s="336"/>
      <c r="T1071" s="336"/>
    </row>
    <row r="1072" spans="1:20" x14ac:dyDescent="0.25">
      <c r="A1072" s="336"/>
      <c r="B1072" s="336"/>
      <c r="C1072" s="336"/>
      <c r="D1072" s="336"/>
      <c r="E1072" s="336"/>
      <c r="F1072" s="104" t="b">
        <f t="array" ref="F1072">IF(_xlfn.NUMBERVALUE(RIGHT($E1072,2))=MAX(IF(LEFT($E1072:$E3070,11)=LEFT($E1072,11),_xlfn.NUMBERVALUE(RIGHT($E1072:$E3070,2)))),TRUE)</f>
        <v>1</v>
      </c>
      <c r="G1072" s="336"/>
      <c r="H1072" s="336"/>
      <c r="I1072" s="336"/>
      <c r="J1072" s="336"/>
      <c r="K1072" s="336"/>
      <c r="L1072" s="336"/>
      <c r="M1072" s="336"/>
      <c r="N1072" s="336"/>
      <c r="O1072" s="336"/>
      <c r="P1072" s="336"/>
      <c r="Q1072" s="336"/>
      <c r="R1072" s="336"/>
      <c r="S1072" s="336"/>
      <c r="T1072" s="336"/>
    </row>
    <row r="1073" spans="1:20" x14ac:dyDescent="0.25">
      <c r="A1073" s="336"/>
      <c r="B1073" s="336"/>
      <c r="C1073" s="336"/>
      <c r="D1073" s="336"/>
      <c r="E1073" s="336"/>
      <c r="F1073" s="104" t="b">
        <f t="array" ref="F1073">IF(_xlfn.NUMBERVALUE(RIGHT($E1073,2))=MAX(IF(LEFT($E1073:$E3071,11)=LEFT($E1073,11),_xlfn.NUMBERVALUE(RIGHT($E1073:$E3071,2)))),TRUE)</f>
        <v>1</v>
      </c>
      <c r="G1073" s="336"/>
      <c r="H1073" s="336"/>
      <c r="I1073" s="336"/>
      <c r="J1073" s="336"/>
      <c r="K1073" s="336"/>
      <c r="L1073" s="336"/>
      <c r="M1073" s="336"/>
      <c r="N1073" s="336"/>
      <c r="O1073" s="336"/>
      <c r="P1073" s="336"/>
      <c r="Q1073" s="336"/>
      <c r="R1073" s="336"/>
      <c r="S1073" s="336"/>
      <c r="T1073" s="336"/>
    </row>
    <row r="1074" spans="1:20" x14ac:dyDescent="0.25">
      <c r="A1074" s="336"/>
      <c r="B1074" s="336"/>
      <c r="C1074" s="336"/>
      <c r="D1074" s="336"/>
      <c r="E1074" s="336"/>
      <c r="F1074" s="104" t="b">
        <f t="array" ref="F1074">IF(_xlfn.NUMBERVALUE(RIGHT($E1074,2))=MAX(IF(LEFT($E1074:$E3072,11)=LEFT($E1074,11),_xlfn.NUMBERVALUE(RIGHT($E1074:$E3072,2)))),TRUE)</f>
        <v>1</v>
      </c>
      <c r="G1074" s="336"/>
      <c r="H1074" s="336"/>
      <c r="I1074" s="336"/>
      <c r="J1074" s="336"/>
      <c r="K1074" s="336"/>
      <c r="L1074" s="336"/>
      <c r="M1074" s="336"/>
      <c r="N1074" s="336"/>
      <c r="O1074" s="336"/>
      <c r="P1074" s="336"/>
      <c r="Q1074" s="336"/>
      <c r="R1074" s="336"/>
      <c r="S1074" s="336"/>
      <c r="T1074" s="336"/>
    </row>
    <row r="1075" spans="1:20" x14ac:dyDescent="0.25">
      <c r="A1075" s="336"/>
      <c r="B1075" s="336"/>
      <c r="C1075" s="336"/>
      <c r="D1075" s="336"/>
      <c r="E1075" s="336"/>
      <c r="F1075" s="104" t="b">
        <f t="array" ref="F1075">IF(_xlfn.NUMBERVALUE(RIGHT($E1075,2))=MAX(IF(LEFT($E1075:$E3073,11)=LEFT($E1075,11),_xlfn.NUMBERVALUE(RIGHT($E1075:$E3073,2)))),TRUE)</f>
        <v>1</v>
      </c>
      <c r="G1075" s="336"/>
      <c r="H1075" s="336"/>
      <c r="I1075" s="336"/>
      <c r="J1075" s="336"/>
      <c r="K1075" s="336"/>
      <c r="L1075" s="336"/>
      <c r="M1075" s="336"/>
      <c r="N1075" s="336"/>
      <c r="O1075" s="336"/>
      <c r="P1075" s="336"/>
      <c r="Q1075" s="336"/>
      <c r="R1075" s="336"/>
      <c r="S1075" s="336"/>
      <c r="T1075" s="336"/>
    </row>
    <row r="1076" spans="1:20" x14ac:dyDescent="0.25">
      <c r="A1076" s="336"/>
      <c r="B1076" s="336"/>
      <c r="C1076" s="336"/>
      <c r="D1076" s="336"/>
      <c r="E1076" s="336"/>
      <c r="F1076" s="104" t="b">
        <f t="array" ref="F1076">IF(_xlfn.NUMBERVALUE(RIGHT($E1076,2))=MAX(IF(LEFT($E1076:$E3074,11)=LEFT($E1076,11),_xlfn.NUMBERVALUE(RIGHT($E1076:$E3074,2)))),TRUE)</f>
        <v>1</v>
      </c>
      <c r="G1076" s="336"/>
      <c r="H1076" s="336"/>
      <c r="I1076" s="336"/>
      <c r="J1076" s="336"/>
      <c r="K1076" s="336"/>
      <c r="L1076" s="336"/>
      <c r="M1076" s="336"/>
      <c r="N1076" s="336"/>
      <c r="O1076" s="336"/>
      <c r="P1076" s="336"/>
      <c r="Q1076" s="336"/>
      <c r="R1076" s="336"/>
      <c r="S1076" s="336"/>
      <c r="T1076" s="336"/>
    </row>
    <row r="1077" spans="1:20" x14ac:dyDescent="0.25">
      <c r="A1077" s="336"/>
      <c r="B1077" s="336"/>
      <c r="C1077" s="336"/>
      <c r="D1077" s="336"/>
      <c r="E1077" s="336"/>
      <c r="F1077" s="104" t="b">
        <f t="array" ref="F1077">IF(_xlfn.NUMBERVALUE(RIGHT($E1077,2))=MAX(IF(LEFT($E1077:$E3075,11)=LEFT($E1077,11),_xlfn.NUMBERVALUE(RIGHT($E1077:$E3075,2)))),TRUE)</f>
        <v>1</v>
      </c>
      <c r="G1077" s="336"/>
      <c r="H1077" s="336"/>
      <c r="I1077" s="336"/>
      <c r="J1077" s="336"/>
      <c r="K1077" s="336"/>
      <c r="L1077" s="336"/>
      <c r="M1077" s="336"/>
      <c r="N1077" s="336"/>
      <c r="O1077" s="336"/>
      <c r="P1077" s="336"/>
      <c r="Q1077" s="336"/>
      <c r="R1077" s="336"/>
      <c r="S1077" s="336"/>
      <c r="T1077" s="336"/>
    </row>
    <row r="1078" spans="1:20" x14ac:dyDescent="0.25">
      <c r="A1078" s="336"/>
      <c r="B1078" s="336"/>
      <c r="C1078" s="336"/>
      <c r="D1078" s="336"/>
      <c r="E1078" s="336"/>
      <c r="F1078" s="104" t="b">
        <f t="array" ref="F1078">IF(_xlfn.NUMBERVALUE(RIGHT($E1078,2))=MAX(IF(LEFT($E1078:$E3076,11)=LEFT($E1078,11),_xlfn.NUMBERVALUE(RIGHT($E1078:$E3076,2)))),TRUE)</f>
        <v>1</v>
      </c>
      <c r="G1078" s="336"/>
      <c r="H1078" s="336"/>
      <c r="I1078" s="336"/>
      <c r="J1078" s="336"/>
      <c r="K1078" s="336"/>
      <c r="L1078" s="336"/>
      <c r="M1078" s="336"/>
      <c r="N1078" s="336"/>
      <c r="O1078" s="336"/>
      <c r="P1078" s="336"/>
      <c r="Q1078" s="336"/>
      <c r="R1078" s="336"/>
      <c r="S1078" s="336"/>
      <c r="T1078" s="336"/>
    </row>
    <row r="1079" spans="1:20" x14ac:dyDescent="0.25">
      <c r="A1079" s="336"/>
      <c r="B1079" s="336"/>
      <c r="C1079" s="336"/>
      <c r="D1079" s="336"/>
      <c r="E1079" s="336"/>
      <c r="F1079" s="104" t="b">
        <f t="array" ref="F1079">IF(_xlfn.NUMBERVALUE(RIGHT($E1079,2))=MAX(IF(LEFT($E1079:$E3077,11)=LEFT($E1079,11),_xlfn.NUMBERVALUE(RIGHT($E1079:$E3077,2)))),TRUE)</f>
        <v>1</v>
      </c>
      <c r="G1079" s="336"/>
      <c r="H1079" s="336"/>
      <c r="I1079" s="336"/>
      <c r="J1079" s="336"/>
      <c r="K1079" s="336"/>
      <c r="L1079" s="336"/>
      <c r="M1079" s="336"/>
      <c r="N1079" s="336"/>
      <c r="O1079" s="336"/>
      <c r="P1079" s="336"/>
      <c r="Q1079" s="336"/>
      <c r="R1079" s="336"/>
      <c r="S1079" s="336"/>
      <c r="T1079" s="336"/>
    </row>
    <row r="1080" spans="1:20" x14ac:dyDescent="0.25">
      <c r="A1080" s="336"/>
      <c r="B1080" s="336"/>
      <c r="C1080" s="336"/>
      <c r="D1080" s="336"/>
      <c r="E1080" s="336"/>
      <c r="F1080" s="104" t="b">
        <f t="array" ref="F1080">IF(_xlfn.NUMBERVALUE(RIGHT($E1080,2))=MAX(IF(LEFT($E1080:$E3078,11)=LEFT($E1080,11),_xlfn.NUMBERVALUE(RIGHT($E1080:$E3078,2)))),TRUE)</f>
        <v>1</v>
      </c>
      <c r="G1080" s="336"/>
      <c r="H1080" s="336"/>
      <c r="I1080" s="336"/>
      <c r="J1080" s="336"/>
      <c r="K1080" s="336"/>
      <c r="L1080" s="336"/>
      <c r="M1080" s="336"/>
      <c r="N1080" s="336"/>
      <c r="O1080" s="336"/>
      <c r="P1080" s="336"/>
      <c r="Q1080" s="336"/>
      <c r="R1080" s="336"/>
      <c r="S1080" s="336"/>
      <c r="T1080" s="336"/>
    </row>
    <row r="1081" spans="1:20" x14ac:dyDescent="0.25">
      <c r="A1081" s="336"/>
      <c r="B1081" s="336"/>
      <c r="C1081" s="336"/>
      <c r="D1081" s="336"/>
      <c r="E1081" s="336"/>
      <c r="F1081" s="104" t="b">
        <f t="array" ref="F1081">IF(_xlfn.NUMBERVALUE(RIGHT($E1081,2))=MAX(IF(LEFT($E1081:$E3079,11)=LEFT($E1081,11),_xlfn.NUMBERVALUE(RIGHT($E1081:$E3079,2)))),TRUE)</f>
        <v>1</v>
      </c>
      <c r="G1081" s="336"/>
      <c r="H1081" s="336"/>
      <c r="I1081" s="336"/>
      <c r="J1081" s="336"/>
      <c r="K1081" s="336"/>
      <c r="L1081" s="336"/>
      <c r="M1081" s="336"/>
      <c r="N1081" s="336"/>
      <c r="O1081" s="336"/>
      <c r="P1081" s="336"/>
      <c r="Q1081" s="336"/>
      <c r="R1081" s="336"/>
      <c r="S1081" s="336"/>
      <c r="T1081" s="336"/>
    </row>
    <row r="1082" spans="1:20" x14ac:dyDescent="0.25">
      <c r="A1082" s="336"/>
      <c r="B1082" s="336"/>
      <c r="C1082" s="336"/>
      <c r="D1082" s="336"/>
      <c r="E1082" s="336"/>
      <c r="F1082" s="104" t="b">
        <f t="array" ref="F1082">IF(_xlfn.NUMBERVALUE(RIGHT($E1082,2))=MAX(IF(LEFT($E1082:$E3080,11)=LEFT($E1082,11),_xlfn.NUMBERVALUE(RIGHT($E1082:$E3080,2)))),TRUE)</f>
        <v>1</v>
      </c>
      <c r="G1082" s="336"/>
      <c r="H1082" s="336"/>
      <c r="I1082" s="336"/>
      <c r="J1082" s="336"/>
      <c r="K1082" s="336"/>
      <c r="L1082" s="336"/>
      <c r="M1082" s="336"/>
      <c r="N1082" s="336"/>
      <c r="O1082" s="336"/>
      <c r="P1082" s="336"/>
      <c r="Q1082" s="336"/>
      <c r="R1082" s="336"/>
      <c r="S1082" s="336"/>
      <c r="T1082" s="336"/>
    </row>
    <row r="1083" spans="1:20" x14ac:dyDescent="0.25">
      <c r="A1083" s="336"/>
      <c r="B1083" s="336"/>
      <c r="C1083" s="336"/>
      <c r="D1083" s="336"/>
      <c r="E1083" s="336"/>
      <c r="F1083" s="104" t="b">
        <f t="array" ref="F1083">IF(_xlfn.NUMBERVALUE(RIGHT($E1083,2))=MAX(IF(LEFT($E1083:$E3081,11)=LEFT($E1083,11),_xlfn.NUMBERVALUE(RIGHT($E1083:$E3081,2)))),TRUE)</f>
        <v>1</v>
      </c>
      <c r="G1083" s="336"/>
      <c r="H1083" s="336"/>
      <c r="I1083" s="336"/>
      <c r="J1083" s="336"/>
      <c r="K1083" s="336"/>
      <c r="L1083" s="336"/>
      <c r="M1083" s="336"/>
      <c r="N1083" s="336"/>
      <c r="O1083" s="336"/>
      <c r="P1083" s="336"/>
      <c r="Q1083" s="336"/>
      <c r="R1083" s="336"/>
      <c r="S1083" s="336"/>
      <c r="T1083" s="336"/>
    </row>
    <row r="1084" spans="1:20" x14ac:dyDescent="0.25">
      <c r="A1084" s="336"/>
      <c r="B1084" s="336"/>
      <c r="C1084" s="336"/>
      <c r="D1084" s="336"/>
      <c r="E1084" s="336"/>
      <c r="F1084" s="104" t="b">
        <f t="array" ref="F1084">IF(_xlfn.NUMBERVALUE(RIGHT($E1084,2))=MAX(IF(LEFT($E1084:$E3082,11)=LEFT($E1084,11),_xlfn.NUMBERVALUE(RIGHT($E1084:$E3082,2)))),TRUE)</f>
        <v>1</v>
      </c>
      <c r="G1084" s="336"/>
      <c r="H1084" s="336"/>
      <c r="I1084" s="336"/>
      <c r="J1084" s="336"/>
      <c r="K1084" s="336"/>
      <c r="L1084" s="336"/>
      <c r="M1084" s="336"/>
      <c r="N1084" s="336"/>
      <c r="O1084" s="336"/>
      <c r="P1084" s="336"/>
      <c r="Q1084" s="336"/>
      <c r="R1084" s="336"/>
      <c r="S1084" s="336"/>
      <c r="T1084" s="336"/>
    </row>
    <row r="1085" spans="1:20" x14ac:dyDescent="0.25">
      <c r="A1085" s="336"/>
      <c r="B1085" s="336"/>
      <c r="C1085" s="336"/>
      <c r="D1085" s="336"/>
      <c r="E1085" s="336"/>
      <c r="F1085" s="104" t="b">
        <f t="array" ref="F1085">IF(_xlfn.NUMBERVALUE(RIGHT($E1085,2))=MAX(IF(LEFT($E1085:$E3083,11)=LEFT($E1085,11),_xlfn.NUMBERVALUE(RIGHT($E1085:$E3083,2)))),TRUE)</f>
        <v>1</v>
      </c>
      <c r="G1085" s="336"/>
      <c r="H1085" s="336"/>
      <c r="I1085" s="336"/>
      <c r="J1085" s="336"/>
      <c r="K1085" s="336"/>
      <c r="L1085" s="336"/>
      <c r="M1085" s="336"/>
      <c r="N1085" s="336"/>
      <c r="O1085" s="336"/>
      <c r="P1085" s="336"/>
      <c r="Q1085" s="336"/>
      <c r="R1085" s="336"/>
      <c r="S1085" s="336"/>
      <c r="T1085" s="336"/>
    </row>
    <row r="1086" spans="1:20" x14ac:dyDescent="0.25">
      <c r="A1086" s="336"/>
      <c r="B1086" s="336"/>
      <c r="C1086" s="336"/>
      <c r="D1086" s="336"/>
      <c r="E1086" s="336"/>
      <c r="F1086" s="104" t="b">
        <f t="array" ref="F1086">IF(_xlfn.NUMBERVALUE(RIGHT($E1086,2))=MAX(IF(LEFT($E1086:$E3084,11)=LEFT($E1086,11),_xlfn.NUMBERVALUE(RIGHT($E1086:$E3084,2)))),TRUE)</f>
        <v>1</v>
      </c>
      <c r="G1086" s="336"/>
      <c r="H1086" s="336"/>
      <c r="I1086" s="336"/>
      <c r="J1086" s="336"/>
      <c r="K1086" s="336"/>
      <c r="L1086" s="336"/>
      <c r="M1086" s="336"/>
      <c r="N1086" s="336"/>
      <c r="O1086" s="336"/>
      <c r="P1086" s="336"/>
      <c r="Q1086" s="336"/>
      <c r="R1086" s="336"/>
      <c r="S1086" s="336"/>
      <c r="T1086" s="336"/>
    </row>
    <row r="1087" spans="1:20" x14ac:dyDescent="0.25">
      <c r="A1087" s="336"/>
      <c r="B1087" s="336"/>
      <c r="C1087" s="336"/>
      <c r="D1087" s="336"/>
      <c r="E1087" s="336"/>
      <c r="F1087" s="104" t="b">
        <f t="array" ref="F1087">IF(_xlfn.NUMBERVALUE(RIGHT($E1087,2))=MAX(IF(LEFT($E1087:$E3085,11)=LEFT($E1087,11),_xlfn.NUMBERVALUE(RIGHT($E1087:$E3085,2)))),TRUE)</f>
        <v>1</v>
      </c>
      <c r="G1087" s="336"/>
      <c r="H1087" s="336"/>
      <c r="I1087" s="336"/>
      <c r="J1087" s="336"/>
      <c r="K1087" s="336"/>
      <c r="L1087" s="336"/>
      <c r="M1087" s="336"/>
      <c r="N1087" s="336"/>
      <c r="O1087" s="336"/>
      <c r="P1087" s="336"/>
      <c r="Q1087" s="336"/>
      <c r="R1087" s="336"/>
      <c r="S1087" s="336"/>
      <c r="T1087" s="336"/>
    </row>
    <row r="1088" spans="1:20" x14ac:dyDescent="0.25">
      <c r="A1088" s="336"/>
      <c r="B1088" s="336"/>
      <c r="C1088" s="336"/>
      <c r="D1088" s="336"/>
      <c r="E1088" s="336"/>
      <c r="F1088" s="104" t="b">
        <f t="array" ref="F1088">IF(_xlfn.NUMBERVALUE(RIGHT($E1088,2))=MAX(IF(LEFT($E1088:$E3086,11)=LEFT($E1088,11),_xlfn.NUMBERVALUE(RIGHT($E1088:$E3086,2)))),TRUE)</f>
        <v>1</v>
      </c>
      <c r="G1088" s="336"/>
      <c r="H1088" s="336"/>
      <c r="I1088" s="336"/>
      <c r="J1088" s="336"/>
      <c r="K1088" s="336"/>
      <c r="L1088" s="336"/>
      <c r="M1088" s="336"/>
      <c r="N1088" s="336"/>
      <c r="O1088" s="336"/>
      <c r="P1088" s="336"/>
      <c r="Q1088" s="336"/>
      <c r="R1088" s="336"/>
      <c r="S1088" s="336"/>
      <c r="T1088" s="336"/>
    </row>
    <row r="1089" spans="1:20" x14ac:dyDescent="0.25">
      <c r="A1089" s="336"/>
      <c r="B1089" s="336"/>
      <c r="C1089" s="336"/>
      <c r="D1089" s="336"/>
      <c r="E1089" s="336"/>
      <c r="F1089" s="104" t="b">
        <f t="array" ref="F1089">IF(_xlfn.NUMBERVALUE(RIGHT($E1089,2))=MAX(IF(LEFT($E1089:$E3087,11)=LEFT($E1089,11),_xlfn.NUMBERVALUE(RIGHT($E1089:$E3087,2)))),TRUE)</f>
        <v>1</v>
      </c>
      <c r="G1089" s="336"/>
      <c r="H1089" s="336"/>
      <c r="I1089" s="336"/>
      <c r="J1089" s="336"/>
      <c r="K1089" s="336"/>
      <c r="L1089" s="336"/>
      <c r="M1089" s="336"/>
      <c r="N1089" s="336"/>
      <c r="O1089" s="336"/>
      <c r="P1089" s="336"/>
      <c r="Q1089" s="336"/>
      <c r="R1089" s="336"/>
      <c r="S1089" s="336"/>
      <c r="T1089" s="336"/>
    </row>
    <row r="1090" spans="1:20" x14ac:dyDescent="0.25">
      <c r="A1090" s="336"/>
      <c r="B1090" s="336"/>
      <c r="C1090" s="336"/>
      <c r="D1090" s="336"/>
      <c r="E1090" s="336"/>
      <c r="F1090" s="104" t="b">
        <f t="array" ref="F1090">IF(_xlfn.NUMBERVALUE(RIGHT($E1090,2))=MAX(IF(LEFT($E1090:$E3088,11)=LEFT($E1090,11),_xlfn.NUMBERVALUE(RIGHT($E1090:$E3088,2)))),TRUE)</f>
        <v>1</v>
      </c>
      <c r="G1090" s="336"/>
      <c r="H1090" s="336"/>
      <c r="I1090" s="336"/>
      <c r="J1090" s="336"/>
      <c r="K1090" s="336"/>
      <c r="L1090" s="336"/>
      <c r="M1090" s="336"/>
      <c r="N1090" s="336"/>
      <c r="O1090" s="336"/>
      <c r="P1090" s="336"/>
      <c r="Q1090" s="336"/>
      <c r="R1090" s="336"/>
      <c r="S1090" s="336"/>
      <c r="T1090" s="336"/>
    </row>
    <row r="1091" spans="1:20" x14ac:dyDescent="0.25">
      <c r="A1091" s="336"/>
      <c r="B1091" s="336"/>
      <c r="C1091" s="336"/>
      <c r="D1091" s="336"/>
      <c r="E1091" s="336"/>
      <c r="F1091" s="104" t="b">
        <f t="array" ref="F1091">IF(_xlfn.NUMBERVALUE(RIGHT($E1091,2))=MAX(IF(LEFT($E1091:$E3089,11)=LEFT($E1091,11),_xlfn.NUMBERVALUE(RIGHT($E1091:$E3089,2)))),TRUE)</f>
        <v>1</v>
      </c>
      <c r="G1091" s="336"/>
      <c r="H1091" s="336"/>
      <c r="I1091" s="336"/>
      <c r="J1091" s="336"/>
      <c r="K1091" s="336"/>
      <c r="L1091" s="336"/>
      <c r="M1091" s="336"/>
      <c r="N1091" s="336"/>
      <c r="O1091" s="336"/>
      <c r="P1091" s="336"/>
      <c r="Q1091" s="336"/>
      <c r="R1091" s="336"/>
      <c r="S1091" s="336"/>
      <c r="T1091" s="336"/>
    </row>
    <row r="1092" spans="1:20" x14ac:dyDescent="0.25">
      <c r="A1092" s="336"/>
      <c r="B1092" s="336"/>
      <c r="C1092" s="336"/>
      <c r="D1092" s="336"/>
      <c r="E1092" s="336"/>
      <c r="F1092" s="104" t="b">
        <f t="array" ref="F1092">IF(_xlfn.NUMBERVALUE(RIGHT($E1092,2))=MAX(IF(LEFT($E1092:$E3090,11)=LEFT($E1092,11),_xlfn.NUMBERVALUE(RIGHT($E1092:$E3090,2)))),TRUE)</f>
        <v>1</v>
      </c>
      <c r="G1092" s="336"/>
      <c r="H1092" s="336"/>
      <c r="I1092" s="336"/>
      <c r="J1092" s="336"/>
      <c r="K1092" s="336"/>
      <c r="L1092" s="336"/>
      <c r="M1092" s="336"/>
      <c r="N1092" s="336"/>
      <c r="O1092" s="336"/>
      <c r="P1092" s="336"/>
      <c r="Q1092" s="336"/>
      <c r="R1092" s="336"/>
      <c r="S1092" s="336"/>
      <c r="T1092" s="336"/>
    </row>
    <row r="1093" spans="1:20" x14ac:dyDescent="0.25">
      <c r="A1093" s="336"/>
      <c r="B1093" s="336"/>
      <c r="C1093" s="336"/>
      <c r="D1093" s="336"/>
      <c r="E1093" s="336"/>
      <c r="F1093" s="104" t="b">
        <f t="array" ref="F1093">IF(_xlfn.NUMBERVALUE(RIGHT($E1093,2))=MAX(IF(LEFT($E1093:$E3091,11)=LEFT($E1093,11),_xlfn.NUMBERVALUE(RIGHT($E1093:$E3091,2)))),TRUE)</f>
        <v>1</v>
      </c>
      <c r="G1093" s="336"/>
      <c r="H1093" s="336"/>
      <c r="I1093" s="336"/>
      <c r="J1093" s="336"/>
      <c r="K1093" s="336"/>
      <c r="L1093" s="336"/>
      <c r="M1093" s="336"/>
      <c r="N1093" s="336"/>
      <c r="O1093" s="336"/>
      <c r="P1093" s="336"/>
      <c r="Q1093" s="336"/>
      <c r="R1093" s="336"/>
      <c r="S1093" s="336"/>
      <c r="T1093" s="336"/>
    </row>
    <row r="1094" spans="1:20" x14ac:dyDescent="0.25">
      <c r="A1094" s="336"/>
      <c r="B1094" s="336"/>
      <c r="C1094" s="336"/>
      <c r="D1094" s="336"/>
      <c r="E1094" s="336"/>
      <c r="F1094" s="104" t="b">
        <f t="array" ref="F1094">IF(_xlfn.NUMBERVALUE(RIGHT($E1094,2))=MAX(IF(LEFT($E1094:$E3092,11)=LEFT($E1094,11),_xlfn.NUMBERVALUE(RIGHT($E1094:$E3092,2)))),TRUE)</f>
        <v>1</v>
      </c>
      <c r="G1094" s="336"/>
      <c r="H1094" s="336"/>
      <c r="I1094" s="336"/>
      <c r="J1094" s="336"/>
      <c r="K1094" s="336"/>
      <c r="L1094" s="336"/>
      <c r="M1094" s="336"/>
      <c r="N1094" s="336"/>
      <c r="O1094" s="336"/>
      <c r="P1094" s="336"/>
      <c r="Q1094" s="336"/>
      <c r="R1094" s="336"/>
      <c r="S1094" s="336"/>
      <c r="T1094" s="336"/>
    </row>
    <row r="1095" spans="1:20" x14ac:dyDescent="0.25">
      <c r="A1095" s="336"/>
      <c r="B1095" s="336"/>
      <c r="C1095" s="336"/>
      <c r="D1095" s="336"/>
      <c r="E1095" s="336"/>
      <c r="F1095" s="104" t="b">
        <f t="array" ref="F1095">IF(_xlfn.NUMBERVALUE(RIGHT($E1095,2))=MAX(IF(LEFT($E1095:$E3093,11)=LEFT($E1095,11),_xlfn.NUMBERVALUE(RIGHT($E1095:$E3093,2)))),TRUE)</f>
        <v>1</v>
      </c>
      <c r="G1095" s="336"/>
      <c r="H1095" s="336"/>
      <c r="I1095" s="336"/>
      <c r="J1095" s="336"/>
      <c r="K1095" s="336"/>
      <c r="L1095" s="336"/>
      <c r="M1095" s="336"/>
      <c r="N1095" s="336"/>
      <c r="O1095" s="336"/>
      <c r="P1095" s="336"/>
      <c r="Q1095" s="336"/>
      <c r="R1095" s="336"/>
      <c r="S1095" s="336"/>
      <c r="T1095" s="336"/>
    </row>
    <row r="1096" spans="1:20" x14ac:dyDescent="0.25">
      <c r="A1096" s="336"/>
      <c r="B1096" s="336"/>
      <c r="C1096" s="336"/>
      <c r="D1096" s="336"/>
      <c r="E1096" s="336"/>
      <c r="F1096" s="104" t="b">
        <f t="array" ref="F1096">IF(_xlfn.NUMBERVALUE(RIGHT($E1096,2))=MAX(IF(LEFT($E1096:$E3094,11)=LEFT($E1096,11),_xlfn.NUMBERVALUE(RIGHT($E1096:$E3094,2)))),TRUE)</f>
        <v>1</v>
      </c>
      <c r="G1096" s="336"/>
      <c r="H1096" s="336"/>
      <c r="I1096" s="336"/>
      <c r="J1096" s="336"/>
      <c r="K1096" s="336"/>
      <c r="L1096" s="336"/>
      <c r="M1096" s="336"/>
      <c r="N1096" s="336"/>
      <c r="O1096" s="336"/>
      <c r="P1096" s="336"/>
      <c r="Q1096" s="336"/>
      <c r="R1096" s="336"/>
      <c r="S1096" s="336"/>
      <c r="T1096" s="336"/>
    </row>
    <row r="1097" spans="1:20" x14ac:dyDescent="0.25">
      <c r="A1097" s="336"/>
      <c r="B1097" s="336"/>
      <c r="C1097" s="336"/>
      <c r="D1097" s="336"/>
      <c r="E1097" s="336"/>
      <c r="F1097" s="104" t="b">
        <f t="array" ref="F1097">IF(_xlfn.NUMBERVALUE(RIGHT($E1097,2))=MAX(IF(LEFT($E1097:$E3095,11)=LEFT($E1097,11),_xlfn.NUMBERVALUE(RIGHT($E1097:$E3095,2)))),TRUE)</f>
        <v>1</v>
      </c>
      <c r="G1097" s="336"/>
      <c r="H1097" s="336"/>
      <c r="I1097" s="336"/>
      <c r="J1097" s="336"/>
      <c r="K1097" s="336"/>
      <c r="L1097" s="336"/>
      <c r="M1097" s="336"/>
      <c r="N1097" s="336"/>
      <c r="O1097" s="336"/>
      <c r="P1097" s="336"/>
      <c r="Q1097" s="336"/>
      <c r="R1097" s="336"/>
      <c r="S1097" s="336"/>
      <c r="T1097" s="336"/>
    </row>
    <row r="1098" spans="1:20" x14ac:dyDescent="0.25">
      <c r="A1098" s="336"/>
      <c r="B1098" s="336"/>
      <c r="C1098" s="336"/>
      <c r="D1098" s="336"/>
      <c r="E1098" s="336"/>
      <c r="F1098" s="104" t="b">
        <f t="array" ref="F1098">IF(_xlfn.NUMBERVALUE(RIGHT($E1098,2))=MAX(IF(LEFT($E1098:$E3096,11)=LEFT($E1098,11),_xlfn.NUMBERVALUE(RIGHT($E1098:$E3096,2)))),TRUE)</f>
        <v>1</v>
      </c>
      <c r="G1098" s="336"/>
      <c r="H1098" s="336"/>
      <c r="I1098" s="336"/>
      <c r="J1098" s="336"/>
      <c r="K1098" s="336"/>
      <c r="L1098" s="336"/>
      <c r="M1098" s="336"/>
      <c r="N1098" s="336"/>
      <c r="O1098" s="336"/>
      <c r="P1098" s="336"/>
      <c r="Q1098" s="336"/>
      <c r="R1098" s="336"/>
      <c r="S1098" s="336"/>
      <c r="T1098" s="336"/>
    </row>
    <row r="1099" spans="1:20" x14ac:dyDescent="0.25">
      <c r="A1099" s="336"/>
      <c r="B1099" s="336"/>
      <c r="C1099" s="336"/>
      <c r="D1099" s="336"/>
      <c r="E1099" s="336"/>
      <c r="F1099" s="104" t="b">
        <f t="array" ref="F1099">IF(_xlfn.NUMBERVALUE(RIGHT($E1099,2))=MAX(IF(LEFT($E1099:$E3097,11)=LEFT($E1099,11),_xlfn.NUMBERVALUE(RIGHT($E1099:$E3097,2)))),TRUE)</f>
        <v>1</v>
      </c>
      <c r="G1099" s="336"/>
      <c r="H1099" s="336"/>
      <c r="I1099" s="336"/>
      <c r="J1099" s="336"/>
      <c r="K1099" s="336"/>
      <c r="L1099" s="336"/>
      <c r="M1099" s="336"/>
      <c r="N1099" s="336"/>
      <c r="O1099" s="336"/>
      <c r="P1099" s="336"/>
      <c r="Q1099" s="336"/>
      <c r="R1099" s="336"/>
      <c r="S1099" s="336"/>
      <c r="T1099" s="336"/>
    </row>
    <row r="1100" spans="1:20" x14ac:dyDescent="0.25">
      <c r="A1100" s="336"/>
      <c r="B1100" s="336"/>
      <c r="C1100" s="336"/>
      <c r="D1100" s="336"/>
      <c r="E1100" s="336"/>
      <c r="F1100" s="104" t="b">
        <f t="array" ref="F1100">IF(_xlfn.NUMBERVALUE(RIGHT($E1100,2))=MAX(IF(LEFT($E1100:$E3098,11)=LEFT($E1100,11),_xlfn.NUMBERVALUE(RIGHT($E1100:$E3098,2)))),TRUE)</f>
        <v>1</v>
      </c>
      <c r="G1100" s="336"/>
      <c r="H1100" s="336"/>
      <c r="I1100" s="336"/>
      <c r="J1100" s="336"/>
      <c r="K1100" s="336"/>
      <c r="L1100" s="336"/>
      <c r="M1100" s="336"/>
      <c r="N1100" s="336"/>
      <c r="O1100" s="336"/>
      <c r="P1100" s="336"/>
      <c r="Q1100" s="336"/>
      <c r="R1100" s="336"/>
      <c r="S1100" s="336"/>
      <c r="T1100" s="336"/>
    </row>
    <row r="1101" spans="1:20" x14ac:dyDescent="0.25">
      <c r="A1101" s="336"/>
      <c r="B1101" s="336"/>
      <c r="C1101" s="336"/>
      <c r="D1101" s="336"/>
      <c r="E1101" s="336"/>
      <c r="F1101" s="104" t="b">
        <f t="array" ref="F1101">IF(_xlfn.NUMBERVALUE(RIGHT($E1101,2))=MAX(IF(LEFT($E1101:$E3099,11)=LEFT($E1101,11),_xlfn.NUMBERVALUE(RIGHT($E1101:$E3099,2)))),TRUE)</f>
        <v>1</v>
      </c>
      <c r="G1101" s="336"/>
      <c r="H1101" s="336"/>
      <c r="I1101" s="336"/>
      <c r="J1101" s="336"/>
      <c r="K1101" s="336"/>
      <c r="L1101" s="336"/>
      <c r="M1101" s="336"/>
      <c r="N1101" s="336"/>
      <c r="O1101" s="336"/>
      <c r="P1101" s="336"/>
      <c r="Q1101" s="336"/>
      <c r="R1101" s="336"/>
      <c r="S1101" s="336"/>
      <c r="T1101" s="336"/>
    </row>
    <row r="1102" spans="1:20" x14ac:dyDescent="0.25">
      <c r="A1102" s="336"/>
      <c r="B1102" s="336"/>
      <c r="C1102" s="336"/>
      <c r="D1102" s="336"/>
      <c r="E1102" s="336"/>
      <c r="F1102" s="104" t="b">
        <f t="array" ref="F1102">IF(_xlfn.NUMBERVALUE(RIGHT($E1102,2))=MAX(IF(LEFT($E1102:$E3100,11)=LEFT($E1102,11),_xlfn.NUMBERVALUE(RIGHT($E1102:$E3100,2)))),TRUE)</f>
        <v>1</v>
      </c>
      <c r="G1102" s="336"/>
      <c r="H1102" s="336"/>
      <c r="I1102" s="336"/>
      <c r="J1102" s="336"/>
      <c r="K1102" s="336"/>
      <c r="L1102" s="336"/>
      <c r="M1102" s="336"/>
      <c r="N1102" s="336"/>
      <c r="O1102" s="336"/>
      <c r="P1102" s="336"/>
      <c r="Q1102" s="336"/>
      <c r="R1102" s="336"/>
      <c r="S1102" s="336"/>
      <c r="T1102" s="336"/>
    </row>
    <row r="1103" spans="1:20" x14ac:dyDescent="0.25">
      <c r="A1103" s="336"/>
      <c r="B1103" s="336"/>
      <c r="C1103" s="336"/>
      <c r="D1103" s="336"/>
      <c r="E1103" s="336"/>
      <c r="F1103" s="104" t="b">
        <f t="array" ref="F1103">IF(_xlfn.NUMBERVALUE(RIGHT($E1103,2))=MAX(IF(LEFT($E1103:$E3101,11)=LEFT($E1103,11),_xlfn.NUMBERVALUE(RIGHT($E1103:$E3101,2)))),TRUE)</f>
        <v>1</v>
      </c>
      <c r="G1103" s="336"/>
      <c r="H1103" s="336"/>
      <c r="I1103" s="336"/>
      <c r="J1103" s="336"/>
      <c r="K1103" s="336"/>
      <c r="L1103" s="336"/>
      <c r="M1103" s="336"/>
      <c r="N1103" s="336"/>
      <c r="O1103" s="336"/>
      <c r="P1103" s="336"/>
      <c r="Q1103" s="336"/>
      <c r="R1103" s="336"/>
      <c r="S1103" s="336"/>
      <c r="T1103" s="336"/>
    </row>
    <row r="1104" spans="1:20" x14ac:dyDescent="0.25">
      <c r="A1104" s="336"/>
      <c r="B1104" s="336"/>
      <c r="C1104" s="336"/>
      <c r="D1104" s="336"/>
      <c r="E1104" s="336"/>
      <c r="F1104" s="104" t="b">
        <f t="array" ref="F1104">IF(_xlfn.NUMBERVALUE(RIGHT($E1104,2))=MAX(IF(LEFT($E1104:$E3102,11)=LEFT($E1104,11),_xlfn.NUMBERVALUE(RIGHT($E1104:$E3102,2)))),TRUE)</f>
        <v>1</v>
      </c>
      <c r="G1104" s="336"/>
      <c r="H1104" s="336"/>
      <c r="I1104" s="336"/>
      <c r="J1104" s="336"/>
      <c r="K1104" s="336"/>
      <c r="L1104" s="336"/>
      <c r="M1104" s="336"/>
      <c r="N1104" s="336"/>
      <c r="O1104" s="336"/>
      <c r="P1104" s="336"/>
      <c r="Q1104" s="336"/>
      <c r="R1104" s="336"/>
      <c r="S1104" s="336"/>
      <c r="T1104" s="336"/>
    </row>
    <row r="1105" spans="1:20" x14ac:dyDescent="0.25">
      <c r="A1105" s="336"/>
      <c r="B1105" s="336"/>
      <c r="C1105" s="336"/>
      <c r="D1105" s="336"/>
      <c r="E1105" s="336"/>
      <c r="F1105" s="104" t="b">
        <f t="array" ref="F1105">IF(_xlfn.NUMBERVALUE(RIGHT($E1105,2))=MAX(IF(LEFT($E1105:$E3103,11)=LEFT($E1105,11),_xlfn.NUMBERVALUE(RIGHT($E1105:$E3103,2)))),TRUE)</f>
        <v>1</v>
      </c>
      <c r="G1105" s="336"/>
      <c r="H1105" s="336"/>
      <c r="I1105" s="336"/>
      <c r="J1105" s="336"/>
      <c r="K1105" s="336"/>
      <c r="L1105" s="336"/>
      <c r="M1105" s="336"/>
      <c r="N1105" s="336"/>
      <c r="O1105" s="336"/>
      <c r="P1105" s="336"/>
      <c r="Q1105" s="336"/>
      <c r="R1105" s="336"/>
      <c r="S1105" s="336"/>
      <c r="T1105" s="336"/>
    </row>
    <row r="1106" spans="1:20" x14ac:dyDescent="0.25">
      <c r="A1106" s="336"/>
      <c r="B1106" s="336"/>
      <c r="C1106" s="336"/>
      <c r="D1106" s="336"/>
      <c r="E1106" s="336"/>
      <c r="F1106" s="104" t="b">
        <f t="array" ref="F1106">IF(_xlfn.NUMBERVALUE(RIGHT($E1106,2))=MAX(IF(LEFT($E1106:$E3104,11)=LEFT($E1106,11),_xlfn.NUMBERVALUE(RIGHT($E1106:$E3104,2)))),TRUE)</f>
        <v>1</v>
      </c>
      <c r="G1106" s="336"/>
      <c r="H1106" s="336"/>
      <c r="I1106" s="336"/>
      <c r="J1106" s="336"/>
      <c r="K1106" s="336"/>
      <c r="L1106" s="336"/>
      <c r="M1106" s="336"/>
      <c r="N1106" s="336"/>
      <c r="O1106" s="336"/>
      <c r="P1106" s="336"/>
      <c r="Q1106" s="336"/>
      <c r="R1106" s="336"/>
      <c r="S1106" s="336"/>
      <c r="T1106" s="336"/>
    </row>
    <row r="1107" spans="1:20" x14ac:dyDescent="0.25">
      <c r="A1107" s="336"/>
      <c r="B1107" s="336"/>
      <c r="C1107" s="336"/>
      <c r="D1107" s="336"/>
      <c r="E1107" s="336"/>
      <c r="F1107" s="104" t="b">
        <f t="array" ref="F1107">IF(_xlfn.NUMBERVALUE(RIGHT($E1107,2))=MAX(IF(LEFT($E1107:$E3105,11)=LEFT($E1107,11),_xlfn.NUMBERVALUE(RIGHT($E1107:$E3105,2)))),TRUE)</f>
        <v>1</v>
      </c>
      <c r="G1107" s="336"/>
      <c r="H1107" s="336"/>
      <c r="I1107" s="336"/>
      <c r="J1107" s="336"/>
      <c r="K1107" s="336"/>
      <c r="L1107" s="336"/>
      <c r="M1107" s="336"/>
      <c r="N1107" s="336"/>
      <c r="O1107" s="336"/>
      <c r="P1107" s="336"/>
      <c r="Q1107" s="336"/>
      <c r="R1107" s="336"/>
      <c r="S1107" s="336"/>
      <c r="T1107" s="336"/>
    </row>
    <row r="1108" spans="1:20" x14ac:dyDescent="0.25">
      <c r="A1108" s="336"/>
      <c r="B1108" s="336"/>
      <c r="C1108" s="336"/>
      <c r="D1108" s="336"/>
      <c r="E1108" s="336"/>
      <c r="F1108" s="104" t="b">
        <f t="array" ref="F1108">IF(_xlfn.NUMBERVALUE(RIGHT($E1108,2))=MAX(IF(LEFT($E1108:$E3106,11)=LEFT($E1108,11),_xlfn.NUMBERVALUE(RIGHT($E1108:$E3106,2)))),TRUE)</f>
        <v>1</v>
      </c>
      <c r="G1108" s="336"/>
      <c r="H1108" s="336"/>
      <c r="I1108" s="336"/>
      <c r="J1108" s="336"/>
      <c r="K1108" s="336"/>
      <c r="L1108" s="336"/>
      <c r="M1108" s="336"/>
      <c r="N1108" s="336"/>
      <c r="O1108" s="336"/>
      <c r="P1108" s="336"/>
      <c r="Q1108" s="336"/>
      <c r="R1108" s="336"/>
      <c r="S1108" s="336"/>
      <c r="T1108" s="336"/>
    </row>
    <row r="1109" spans="1:20" x14ac:dyDescent="0.25">
      <c r="A1109" s="336"/>
      <c r="B1109" s="336"/>
      <c r="C1109" s="336"/>
      <c r="D1109" s="336"/>
      <c r="E1109" s="336"/>
      <c r="F1109" s="104" t="b">
        <f t="array" ref="F1109">IF(_xlfn.NUMBERVALUE(RIGHT($E1109,2))=MAX(IF(LEFT($E1109:$E3107,11)=LEFT($E1109,11),_xlfn.NUMBERVALUE(RIGHT($E1109:$E3107,2)))),TRUE)</f>
        <v>1</v>
      </c>
      <c r="G1109" s="336"/>
      <c r="H1109" s="336"/>
      <c r="I1109" s="336"/>
      <c r="J1109" s="336"/>
      <c r="K1109" s="336"/>
      <c r="L1109" s="336"/>
      <c r="M1109" s="336"/>
      <c r="N1109" s="336"/>
      <c r="O1109" s="336"/>
      <c r="P1109" s="336"/>
      <c r="Q1109" s="336"/>
      <c r="R1109" s="336"/>
      <c r="S1109" s="336"/>
      <c r="T1109" s="336"/>
    </row>
    <row r="1110" spans="1:20" x14ac:dyDescent="0.25">
      <c r="A1110" s="336"/>
      <c r="B1110" s="336"/>
      <c r="C1110" s="336"/>
      <c r="D1110" s="336"/>
      <c r="E1110" s="336"/>
      <c r="F1110" s="104" t="b">
        <f t="array" ref="F1110">IF(_xlfn.NUMBERVALUE(RIGHT($E1110,2))=MAX(IF(LEFT($E1110:$E3108,11)=LEFT($E1110,11),_xlfn.NUMBERVALUE(RIGHT($E1110:$E3108,2)))),TRUE)</f>
        <v>1</v>
      </c>
      <c r="G1110" s="336"/>
      <c r="H1110" s="336"/>
      <c r="I1110" s="336"/>
      <c r="J1110" s="336"/>
      <c r="K1110" s="336"/>
      <c r="L1110" s="336"/>
      <c r="M1110" s="336"/>
      <c r="N1110" s="336"/>
      <c r="O1110" s="336"/>
      <c r="P1110" s="336"/>
      <c r="Q1110" s="336"/>
      <c r="R1110" s="336"/>
      <c r="S1110" s="336"/>
      <c r="T1110" s="336"/>
    </row>
    <row r="1111" spans="1:20" x14ac:dyDescent="0.25">
      <c r="A1111" s="336"/>
      <c r="B1111" s="336"/>
      <c r="C1111" s="336"/>
      <c r="D1111" s="336"/>
      <c r="E1111" s="336"/>
      <c r="F1111" s="104" t="b">
        <f t="array" ref="F1111">IF(_xlfn.NUMBERVALUE(RIGHT($E1111,2))=MAX(IF(LEFT($E1111:$E3109,11)=LEFT($E1111,11),_xlfn.NUMBERVALUE(RIGHT($E1111:$E3109,2)))),TRUE)</f>
        <v>1</v>
      </c>
      <c r="G1111" s="336"/>
      <c r="H1111" s="336"/>
      <c r="I1111" s="336"/>
      <c r="J1111" s="336"/>
      <c r="K1111" s="336"/>
      <c r="L1111" s="336"/>
      <c r="M1111" s="336"/>
      <c r="N1111" s="336"/>
      <c r="O1111" s="336"/>
      <c r="P1111" s="336"/>
      <c r="Q1111" s="336"/>
      <c r="R1111" s="336"/>
      <c r="S1111" s="336"/>
      <c r="T1111" s="336"/>
    </row>
    <row r="1112" spans="1:20" x14ac:dyDescent="0.25">
      <c r="A1112" s="336"/>
      <c r="B1112" s="336"/>
      <c r="C1112" s="336"/>
      <c r="D1112" s="336"/>
      <c r="E1112" s="336"/>
      <c r="F1112" s="104" t="b">
        <f t="array" ref="F1112">IF(_xlfn.NUMBERVALUE(RIGHT($E1112,2))=MAX(IF(LEFT($E1112:$E3110,11)=LEFT($E1112,11),_xlfn.NUMBERVALUE(RIGHT($E1112:$E3110,2)))),TRUE)</f>
        <v>1</v>
      </c>
      <c r="G1112" s="336"/>
      <c r="H1112" s="336"/>
      <c r="I1112" s="336"/>
      <c r="J1112" s="336"/>
      <c r="K1112" s="336"/>
      <c r="L1112" s="336"/>
      <c r="M1112" s="336"/>
      <c r="N1112" s="336"/>
      <c r="O1112" s="336"/>
      <c r="P1112" s="336"/>
      <c r="Q1112" s="336"/>
      <c r="R1112" s="336"/>
      <c r="S1112" s="336"/>
      <c r="T1112" s="336"/>
    </row>
    <row r="1113" spans="1:20" x14ac:dyDescent="0.25">
      <c r="A1113" s="336"/>
      <c r="B1113" s="336"/>
      <c r="C1113" s="336"/>
      <c r="D1113" s="336"/>
      <c r="E1113" s="336"/>
      <c r="F1113" s="104" t="b">
        <f t="array" ref="F1113">IF(_xlfn.NUMBERVALUE(RIGHT($E1113,2))=MAX(IF(LEFT($E1113:$E3111,11)=LEFT($E1113,11),_xlfn.NUMBERVALUE(RIGHT($E1113:$E3111,2)))),TRUE)</f>
        <v>1</v>
      </c>
      <c r="G1113" s="336"/>
      <c r="H1113" s="336"/>
      <c r="I1113" s="336"/>
      <c r="J1113" s="336"/>
      <c r="K1113" s="336"/>
      <c r="L1113" s="336"/>
      <c r="M1113" s="336"/>
      <c r="N1113" s="336"/>
      <c r="O1113" s="336"/>
      <c r="P1113" s="336"/>
      <c r="Q1113" s="336"/>
      <c r="R1113" s="336"/>
      <c r="S1113" s="336"/>
      <c r="T1113" s="336"/>
    </row>
    <row r="1114" spans="1:20" x14ac:dyDescent="0.25">
      <c r="A1114" s="336"/>
      <c r="B1114" s="336"/>
      <c r="C1114" s="336"/>
      <c r="D1114" s="336"/>
      <c r="E1114" s="336"/>
      <c r="F1114" s="104" t="b">
        <f t="array" ref="F1114">IF(_xlfn.NUMBERVALUE(RIGHT($E1114,2))=MAX(IF(LEFT($E1114:$E3112,11)=LEFT($E1114,11),_xlfn.NUMBERVALUE(RIGHT($E1114:$E3112,2)))),TRUE)</f>
        <v>1</v>
      </c>
      <c r="G1114" s="336"/>
      <c r="H1114" s="336"/>
      <c r="I1114" s="336"/>
      <c r="J1114" s="336"/>
      <c r="K1114" s="336"/>
      <c r="L1114" s="336"/>
      <c r="M1114" s="336"/>
      <c r="N1114" s="336"/>
      <c r="O1114" s="336"/>
      <c r="P1114" s="336"/>
      <c r="Q1114" s="336"/>
      <c r="R1114" s="336"/>
      <c r="S1114" s="336"/>
      <c r="T1114" s="336"/>
    </row>
    <row r="1115" spans="1:20" x14ac:dyDescent="0.25">
      <c r="A1115" s="336"/>
      <c r="B1115" s="336"/>
      <c r="C1115" s="336"/>
      <c r="D1115" s="336"/>
      <c r="E1115" s="336"/>
      <c r="F1115" s="104" t="b">
        <f t="array" ref="F1115">IF(_xlfn.NUMBERVALUE(RIGHT($E1115,2))=MAX(IF(LEFT($E1115:$E3113,11)=LEFT($E1115,11),_xlfn.NUMBERVALUE(RIGHT($E1115:$E3113,2)))),TRUE)</f>
        <v>1</v>
      </c>
      <c r="G1115" s="336"/>
      <c r="H1115" s="336"/>
      <c r="I1115" s="336"/>
      <c r="J1115" s="336"/>
      <c r="K1115" s="336"/>
      <c r="L1115" s="336"/>
      <c r="M1115" s="336"/>
      <c r="N1115" s="336"/>
      <c r="O1115" s="336"/>
      <c r="P1115" s="336"/>
      <c r="Q1115" s="336"/>
      <c r="R1115" s="336"/>
      <c r="S1115" s="336"/>
      <c r="T1115" s="336"/>
    </row>
    <row r="1116" spans="1:20" x14ac:dyDescent="0.25">
      <c r="A1116" s="336"/>
      <c r="B1116" s="336"/>
      <c r="C1116" s="336"/>
      <c r="D1116" s="336"/>
      <c r="E1116" s="336"/>
      <c r="F1116" s="104" t="b">
        <f t="array" ref="F1116">IF(_xlfn.NUMBERVALUE(RIGHT($E1116,2))=MAX(IF(LEFT($E1116:$E3114,11)=LEFT($E1116,11),_xlfn.NUMBERVALUE(RIGHT($E1116:$E3114,2)))),TRUE)</f>
        <v>1</v>
      </c>
      <c r="G1116" s="336"/>
      <c r="H1116" s="336"/>
      <c r="I1116" s="336"/>
      <c r="J1116" s="336"/>
      <c r="K1116" s="336"/>
      <c r="L1116" s="336"/>
      <c r="M1116" s="336"/>
      <c r="N1116" s="336"/>
      <c r="O1116" s="336"/>
      <c r="P1116" s="336"/>
      <c r="Q1116" s="336"/>
      <c r="R1116" s="336"/>
      <c r="S1116" s="336"/>
      <c r="T1116" s="336"/>
    </row>
    <row r="1117" spans="1:20" x14ac:dyDescent="0.25">
      <c r="A1117" s="336"/>
      <c r="B1117" s="336"/>
      <c r="C1117" s="336"/>
      <c r="D1117" s="336"/>
      <c r="E1117" s="336"/>
      <c r="F1117" s="104" t="b">
        <f t="array" ref="F1117">IF(_xlfn.NUMBERVALUE(RIGHT($E1117,2))=MAX(IF(LEFT($E1117:$E3115,11)=LEFT($E1117,11),_xlfn.NUMBERVALUE(RIGHT($E1117:$E3115,2)))),TRUE)</f>
        <v>1</v>
      </c>
      <c r="G1117" s="336"/>
      <c r="H1117" s="336"/>
      <c r="I1117" s="336"/>
      <c r="J1117" s="336"/>
      <c r="K1117" s="336"/>
      <c r="L1117" s="336"/>
      <c r="M1117" s="336"/>
      <c r="N1117" s="336"/>
      <c r="O1117" s="336"/>
      <c r="P1117" s="336"/>
      <c r="Q1117" s="336"/>
      <c r="R1117" s="336"/>
      <c r="S1117" s="336"/>
      <c r="T1117" s="336"/>
    </row>
    <row r="1118" spans="1:20" x14ac:dyDescent="0.25">
      <c r="A1118" s="336"/>
      <c r="B1118" s="336"/>
      <c r="C1118" s="336"/>
      <c r="D1118" s="336"/>
      <c r="E1118" s="336"/>
      <c r="F1118" s="104" t="b">
        <f t="array" ref="F1118">IF(_xlfn.NUMBERVALUE(RIGHT($E1118,2))=MAX(IF(LEFT($E1118:$E3116,11)=LEFT($E1118,11),_xlfn.NUMBERVALUE(RIGHT($E1118:$E3116,2)))),TRUE)</f>
        <v>1</v>
      </c>
      <c r="G1118" s="336"/>
      <c r="H1118" s="336"/>
      <c r="I1118" s="336"/>
      <c r="J1118" s="336"/>
      <c r="K1118" s="336"/>
      <c r="L1118" s="336"/>
      <c r="M1118" s="336"/>
      <c r="N1118" s="336"/>
      <c r="O1118" s="336"/>
      <c r="P1118" s="336"/>
      <c r="Q1118" s="336"/>
      <c r="R1118" s="336"/>
      <c r="S1118" s="336"/>
      <c r="T1118" s="336"/>
    </row>
    <row r="1119" spans="1:20" x14ac:dyDescent="0.25">
      <c r="A1119" s="336"/>
      <c r="B1119" s="336"/>
      <c r="C1119" s="336"/>
      <c r="D1119" s="336"/>
      <c r="E1119" s="336"/>
      <c r="F1119" s="104" t="b">
        <f t="array" ref="F1119">IF(_xlfn.NUMBERVALUE(RIGHT($E1119,2))=MAX(IF(LEFT($E1119:$E3117,11)=LEFT($E1119,11),_xlfn.NUMBERVALUE(RIGHT($E1119:$E3117,2)))),TRUE)</f>
        <v>1</v>
      </c>
      <c r="G1119" s="336"/>
      <c r="H1119" s="336"/>
      <c r="I1119" s="336"/>
      <c r="J1119" s="336"/>
      <c r="K1119" s="336"/>
      <c r="L1119" s="336"/>
      <c r="M1119" s="336"/>
      <c r="N1119" s="336"/>
      <c r="O1119" s="336"/>
      <c r="P1119" s="336"/>
      <c r="Q1119" s="336"/>
      <c r="R1119" s="336"/>
      <c r="S1119" s="336"/>
      <c r="T1119" s="336"/>
    </row>
    <row r="1120" spans="1:20" x14ac:dyDescent="0.25">
      <c r="A1120" s="336"/>
      <c r="B1120" s="336"/>
      <c r="C1120" s="336"/>
      <c r="D1120" s="336"/>
      <c r="E1120" s="336"/>
      <c r="F1120" s="104" t="b">
        <f t="array" ref="F1120">IF(_xlfn.NUMBERVALUE(RIGHT($E1120,2))=MAX(IF(LEFT($E1120:$E3118,11)=LEFT($E1120,11),_xlfn.NUMBERVALUE(RIGHT($E1120:$E3118,2)))),TRUE)</f>
        <v>1</v>
      </c>
      <c r="G1120" s="336"/>
      <c r="H1120" s="336"/>
      <c r="I1120" s="336"/>
      <c r="J1120" s="336"/>
      <c r="K1120" s="336"/>
      <c r="L1120" s="336"/>
      <c r="M1120" s="336"/>
      <c r="N1120" s="336"/>
      <c r="O1120" s="336"/>
      <c r="P1120" s="336"/>
      <c r="Q1120" s="336"/>
      <c r="R1120" s="336"/>
      <c r="S1120" s="336"/>
      <c r="T1120" s="336"/>
    </row>
    <row r="1121" spans="1:20" x14ac:dyDescent="0.25">
      <c r="A1121" s="336"/>
      <c r="B1121" s="336"/>
      <c r="C1121" s="336"/>
      <c r="D1121" s="336"/>
      <c r="E1121" s="336"/>
      <c r="F1121" s="104" t="b">
        <f t="array" ref="F1121">IF(_xlfn.NUMBERVALUE(RIGHT($E1121,2))=MAX(IF(LEFT($E1121:$E3119,11)=LEFT($E1121,11),_xlfn.NUMBERVALUE(RIGHT($E1121:$E3119,2)))),TRUE)</f>
        <v>1</v>
      </c>
      <c r="G1121" s="336"/>
      <c r="H1121" s="336"/>
      <c r="I1121" s="336"/>
      <c r="J1121" s="336"/>
      <c r="K1121" s="336"/>
      <c r="L1121" s="336"/>
      <c r="M1121" s="336"/>
      <c r="N1121" s="336"/>
      <c r="O1121" s="336"/>
      <c r="P1121" s="336"/>
      <c r="Q1121" s="336"/>
      <c r="R1121" s="336"/>
      <c r="S1121" s="336"/>
      <c r="T1121" s="336"/>
    </row>
    <row r="1122" spans="1:20" x14ac:dyDescent="0.25">
      <c r="A1122" s="336"/>
      <c r="B1122" s="336"/>
      <c r="C1122" s="336"/>
      <c r="D1122" s="336"/>
      <c r="E1122" s="336"/>
      <c r="F1122" s="104" t="b">
        <f t="array" ref="F1122">IF(_xlfn.NUMBERVALUE(RIGHT($E1122,2))=MAX(IF(LEFT($E1122:$E3120,11)=LEFT($E1122,11),_xlfn.NUMBERVALUE(RIGHT($E1122:$E3120,2)))),TRUE)</f>
        <v>1</v>
      </c>
      <c r="G1122" s="336"/>
      <c r="H1122" s="336"/>
      <c r="I1122" s="336"/>
      <c r="J1122" s="336"/>
      <c r="K1122" s="336"/>
      <c r="L1122" s="336"/>
      <c r="M1122" s="336"/>
      <c r="N1122" s="336"/>
      <c r="O1122" s="336"/>
      <c r="P1122" s="336"/>
      <c r="Q1122" s="336"/>
      <c r="R1122" s="336"/>
      <c r="S1122" s="336"/>
      <c r="T1122" s="336"/>
    </row>
    <row r="1123" spans="1:20" x14ac:dyDescent="0.25">
      <c r="A1123" s="336"/>
      <c r="B1123" s="336"/>
      <c r="C1123" s="336"/>
      <c r="D1123" s="336"/>
      <c r="E1123" s="336"/>
      <c r="F1123" s="104" t="b">
        <f t="array" ref="F1123">IF(_xlfn.NUMBERVALUE(RIGHT($E1123,2))=MAX(IF(LEFT($E1123:$E3121,11)=LEFT($E1123,11),_xlfn.NUMBERVALUE(RIGHT($E1123:$E3121,2)))),TRUE)</f>
        <v>1</v>
      </c>
      <c r="G1123" s="336"/>
      <c r="H1123" s="336"/>
      <c r="I1123" s="336"/>
      <c r="J1123" s="336"/>
      <c r="K1123" s="336"/>
      <c r="L1123" s="336"/>
      <c r="M1123" s="336"/>
      <c r="N1123" s="336"/>
      <c r="O1123" s="336"/>
      <c r="P1123" s="336"/>
      <c r="Q1123" s="336"/>
      <c r="R1123" s="336"/>
      <c r="S1123" s="336"/>
      <c r="T1123" s="336"/>
    </row>
    <row r="1124" spans="1:20" x14ac:dyDescent="0.25">
      <c r="A1124" s="336"/>
      <c r="B1124" s="336"/>
      <c r="C1124" s="336"/>
      <c r="D1124" s="336"/>
      <c r="E1124" s="336"/>
      <c r="F1124" s="104" t="b">
        <f t="array" ref="F1124">IF(_xlfn.NUMBERVALUE(RIGHT($E1124,2))=MAX(IF(LEFT($E1124:$E3122,11)=LEFT($E1124,11),_xlfn.NUMBERVALUE(RIGHT($E1124:$E3122,2)))),TRUE)</f>
        <v>1</v>
      </c>
      <c r="G1124" s="336"/>
      <c r="H1124" s="336"/>
      <c r="I1124" s="336"/>
      <c r="J1124" s="336"/>
      <c r="K1124" s="336"/>
      <c r="L1124" s="336"/>
      <c r="M1124" s="336"/>
      <c r="N1124" s="336"/>
      <c r="O1124" s="336"/>
      <c r="P1124" s="336"/>
      <c r="Q1124" s="336"/>
      <c r="R1124" s="336"/>
      <c r="S1124" s="336"/>
      <c r="T1124" s="336"/>
    </row>
    <row r="1125" spans="1:20" x14ac:dyDescent="0.25">
      <c r="A1125" s="336"/>
      <c r="B1125" s="336"/>
      <c r="C1125" s="336"/>
      <c r="D1125" s="336"/>
      <c r="E1125" s="336"/>
      <c r="F1125" s="104" t="b">
        <f t="array" ref="F1125">IF(_xlfn.NUMBERVALUE(RIGHT($E1125,2))=MAX(IF(LEFT($E1125:$E3123,11)=LEFT($E1125,11),_xlfn.NUMBERVALUE(RIGHT($E1125:$E3123,2)))),TRUE)</f>
        <v>1</v>
      </c>
      <c r="G1125" s="336"/>
      <c r="H1125" s="336"/>
      <c r="I1125" s="336"/>
      <c r="J1125" s="336"/>
      <c r="K1125" s="336"/>
      <c r="L1125" s="336"/>
      <c r="M1125" s="336"/>
      <c r="N1125" s="336"/>
      <c r="O1125" s="336"/>
      <c r="P1125" s="336"/>
      <c r="Q1125" s="336"/>
      <c r="R1125" s="336"/>
      <c r="S1125" s="336"/>
      <c r="T1125" s="336"/>
    </row>
    <row r="1126" spans="1:20" x14ac:dyDescent="0.25">
      <c r="A1126" s="336"/>
      <c r="B1126" s="336"/>
      <c r="C1126" s="336"/>
      <c r="D1126" s="336"/>
      <c r="E1126" s="336"/>
      <c r="F1126" s="104" t="b">
        <f t="array" ref="F1126">IF(_xlfn.NUMBERVALUE(RIGHT($E1126,2))=MAX(IF(LEFT($E1126:$E3124,11)=LEFT($E1126,11),_xlfn.NUMBERVALUE(RIGHT($E1126:$E3124,2)))),TRUE)</f>
        <v>1</v>
      </c>
      <c r="G1126" s="336"/>
      <c r="H1126" s="336"/>
      <c r="I1126" s="336"/>
      <c r="J1126" s="336"/>
      <c r="K1126" s="336"/>
      <c r="L1126" s="336"/>
      <c r="M1126" s="336"/>
      <c r="N1126" s="336"/>
      <c r="O1126" s="336"/>
      <c r="P1126" s="336"/>
      <c r="Q1126" s="336"/>
      <c r="R1126" s="336"/>
      <c r="S1126" s="336"/>
      <c r="T1126" s="336"/>
    </row>
    <row r="1127" spans="1:20" x14ac:dyDescent="0.25">
      <c r="A1127" s="336"/>
      <c r="B1127" s="336"/>
      <c r="C1127" s="336"/>
      <c r="D1127" s="336"/>
      <c r="E1127" s="336"/>
      <c r="F1127" s="104" t="b">
        <f t="array" ref="F1127">IF(_xlfn.NUMBERVALUE(RIGHT($E1127,2))=MAX(IF(LEFT($E1127:$E3125,11)=LEFT($E1127,11),_xlfn.NUMBERVALUE(RIGHT($E1127:$E3125,2)))),TRUE)</f>
        <v>1</v>
      </c>
      <c r="G1127" s="336"/>
      <c r="H1127" s="336"/>
      <c r="I1127" s="336"/>
      <c r="J1127" s="336"/>
      <c r="K1127" s="336"/>
      <c r="L1127" s="336"/>
      <c r="M1127" s="336"/>
      <c r="N1127" s="336"/>
      <c r="O1127" s="336"/>
      <c r="P1127" s="336"/>
      <c r="Q1127" s="336"/>
      <c r="R1127" s="336"/>
      <c r="S1127" s="336"/>
      <c r="T1127" s="336"/>
    </row>
    <row r="1128" spans="1:20" x14ac:dyDescent="0.25">
      <c r="A1128" s="336"/>
      <c r="B1128" s="336"/>
      <c r="C1128" s="336"/>
      <c r="D1128" s="336"/>
      <c r="E1128" s="336"/>
      <c r="F1128" s="104" t="b">
        <f t="array" ref="F1128">IF(_xlfn.NUMBERVALUE(RIGHT($E1128,2))=MAX(IF(LEFT($E1128:$E3126,11)=LEFT($E1128,11),_xlfn.NUMBERVALUE(RIGHT($E1128:$E3126,2)))),TRUE)</f>
        <v>1</v>
      </c>
      <c r="G1128" s="336"/>
      <c r="H1128" s="336"/>
      <c r="I1128" s="336"/>
      <c r="J1128" s="336"/>
      <c r="K1128" s="336"/>
      <c r="L1128" s="336"/>
      <c r="M1128" s="336"/>
      <c r="N1128" s="336"/>
      <c r="O1128" s="336"/>
      <c r="P1128" s="336"/>
      <c r="Q1128" s="336"/>
      <c r="R1128" s="336"/>
      <c r="S1128" s="336"/>
      <c r="T1128" s="336"/>
    </row>
    <row r="1129" spans="1:20" x14ac:dyDescent="0.25">
      <c r="A1129" s="336"/>
      <c r="B1129" s="336"/>
      <c r="C1129" s="336"/>
      <c r="D1129" s="336"/>
      <c r="E1129" s="336"/>
      <c r="F1129" s="104" t="b">
        <f t="array" ref="F1129">IF(_xlfn.NUMBERVALUE(RIGHT($E1129,2))=MAX(IF(LEFT($E1129:$E3127,11)=LEFT($E1129,11),_xlfn.NUMBERVALUE(RIGHT($E1129:$E3127,2)))),TRUE)</f>
        <v>1</v>
      </c>
      <c r="G1129" s="336"/>
      <c r="H1129" s="336"/>
      <c r="I1129" s="336"/>
      <c r="J1129" s="336"/>
      <c r="K1129" s="336"/>
      <c r="L1129" s="336"/>
      <c r="M1129" s="336"/>
      <c r="N1129" s="336"/>
      <c r="O1129" s="336"/>
      <c r="P1129" s="336"/>
      <c r="Q1129" s="336"/>
      <c r="R1129" s="336"/>
      <c r="S1129" s="336"/>
      <c r="T1129" s="336"/>
    </row>
    <row r="1130" spans="1:20" x14ac:dyDescent="0.25">
      <c r="A1130" s="336"/>
      <c r="B1130" s="336"/>
      <c r="C1130" s="336"/>
      <c r="D1130" s="336"/>
      <c r="E1130" s="336"/>
      <c r="F1130" s="104" t="b">
        <f t="array" ref="F1130">IF(_xlfn.NUMBERVALUE(RIGHT($E1130,2))=MAX(IF(LEFT($E1130:$E3128,11)=LEFT($E1130,11),_xlfn.NUMBERVALUE(RIGHT($E1130:$E3128,2)))),TRUE)</f>
        <v>1</v>
      </c>
      <c r="G1130" s="336"/>
      <c r="H1130" s="336"/>
      <c r="I1130" s="336"/>
      <c r="J1130" s="336"/>
      <c r="K1130" s="336"/>
      <c r="L1130" s="336"/>
      <c r="M1130" s="336"/>
      <c r="N1130" s="336"/>
      <c r="O1130" s="336"/>
      <c r="P1130" s="336"/>
      <c r="Q1130" s="336"/>
      <c r="R1130" s="336"/>
      <c r="S1130" s="336"/>
      <c r="T1130" s="336"/>
    </row>
    <row r="1131" spans="1:20" x14ac:dyDescent="0.25">
      <c r="A1131" s="336"/>
      <c r="B1131" s="336"/>
      <c r="C1131" s="336"/>
      <c r="D1131" s="336"/>
      <c r="E1131" s="336"/>
      <c r="F1131" s="104" t="b">
        <f t="array" ref="F1131">IF(_xlfn.NUMBERVALUE(RIGHT($E1131,2))=MAX(IF(LEFT($E1131:$E3129,11)=LEFT($E1131,11),_xlfn.NUMBERVALUE(RIGHT($E1131:$E3129,2)))),TRUE)</f>
        <v>1</v>
      </c>
      <c r="G1131" s="336"/>
      <c r="H1131" s="336"/>
      <c r="I1131" s="336"/>
      <c r="J1131" s="336"/>
      <c r="K1131" s="336"/>
      <c r="L1131" s="336"/>
      <c r="M1131" s="336"/>
      <c r="N1131" s="336"/>
      <c r="O1131" s="336"/>
      <c r="P1131" s="336"/>
      <c r="Q1131" s="336"/>
      <c r="R1131" s="336"/>
      <c r="S1131" s="336"/>
      <c r="T1131" s="336"/>
    </row>
    <row r="1132" spans="1:20" x14ac:dyDescent="0.25">
      <c r="A1132" s="336"/>
      <c r="B1132" s="336"/>
      <c r="C1132" s="336"/>
      <c r="D1132" s="336"/>
      <c r="E1132" s="336"/>
      <c r="F1132" s="104" t="b">
        <f t="array" ref="F1132">IF(_xlfn.NUMBERVALUE(RIGHT($E1132,2))=MAX(IF(LEFT($E1132:$E3130,11)=LEFT($E1132,11),_xlfn.NUMBERVALUE(RIGHT($E1132:$E3130,2)))),TRUE)</f>
        <v>1</v>
      </c>
      <c r="G1132" s="336"/>
      <c r="H1132" s="336"/>
      <c r="I1132" s="336"/>
      <c r="J1132" s="336"/>
      <c r="K1132" s="336"/>
      <c r="L1132" s="336"/>
      <c r="M1132" s="336"/>
      <c r="N1132" s="336"/>
      <c r="O1132" s="336"/>
      <c r="P1132" s="336"/>
      <c r="Q1132" s="336"/>
      <c r="R1132" s="336"/>
      <c r="S1132" s="336"/>
      <c r="T1132" s="336"/>
    </row>
    <row r="1133" spans="1:20" x14ac:dyDescent="0.25">
      <c r="A1133" s="336"/>
      <c r="B1133" s="336"/>
      <c r="C1133" s="336"/>
      <c r="D1133" s="336"/>
      <c r="E1133" s="336"/>
      <c r="F1133" s="104" t="b">
        <f t="array" ref="F1133">IF(_xlfn.NUMBERVALUE(RIGHT($E1133,2))=MAX(IF(LEFT($E1133:$E3131,11)=LEFT($E1133,11),_xlfn.NUMBERVALUE(RIGHT($E1133:$E3131,2)))),TRUE)</f>
        <v>1</v>
      </c>
      <c r="G1133" s="336"/>
      <c r="H1133" s="336"/>
      <c r="I1133" s="336"/>
      <c r="J1133" s="336"/>
      <c r="K1133" s="336"/>
      <c r="L1133" s="336"/>
      <c r="M1133" s="336"/>
      <c r="N1133" s="336"/>
      <c r="O1133" s="336"/>
      <c r="P1133" s="336"/>
      <c r="Q1133" s="336"/>
      <c r="R1133" s="336"/>
      <c r="S1133" s="336"/>
      <c r="T1133" s="336"/>
    </row>
    <row r="1134" spans="1:20" x14ac:dyDescent="0.25">
      <c r="A1134" s="336"/>
      <c r="B1134" s="336"/>
      <c r="C1134" s="336"/>
      <c r="D1134" s="336"/>
      <c r="E1134" s="336"/>
      <c r="F1134" s="104" t="b">
        <f t="array" ref="F1134">IF(_xlfn.NUMBERVALUE(RIGHT($E1134,2))=MAX(IF(LEFT($E1134:$E3132,11)=LEFT($E1134,11),_xlfn.NUMBERVALUE(RIGHT($E1134:$E3132,2)))),TRUE)</f>
        <v>1</v>
      </c>
      <c r="G1134" s="336"/>
      <c r="H1134" s="336"/>
      <c r="I1134" s="336"/>
      <c r="J1134" s="336"/>
      <c r="K1134" s="336"/>
      <c r="L1134" s="336"/>
      <c r="M1134" s="336"/>
      <c r="N1134" s="336"/>
      <c r="O1134" s="336"/>
      <c r="P1134" s="336"/>
      <c r="Q1134" s="336"/>
      <c r="R1134" s="336"/>
      <c r="S1134" s="336"/>
      <c r="T1134" s="336"/>
    </row>
    <row r="1135" spans="1:20" x14ac:dyDescent="0.25">
      <c r="A1135" s="336"/>
      <c r="B1135" s="336"/>
      <c r="C1135" s="336"/>
      <c r="D1135" s="336"/>
      <c r="E1135" s="336"/>
      <c r="F1135" s="104" t="b">
        <f t="array" ref="F1135">IF(_xlfn.NUMBERVALUE(RIGHT($E1135,2))=MAX(IF(LEFT($E1135:$E3133,11)=LEFT($E1135,11),_xlfn.NUMBERVALUE(RIGHT($E1135:$E3133,2)))),TRUE)</f>
        <v>1</v>
      </c>
      <c r="G1135" s="336"/>
      <c r="H1135" s="336"/>
      <c r="I1135" s="336"/>
      <c r="J1135" s="336"/>
      <c r="K1135" s="336"/>
      <c r="L1135" s="336"/>
      <c r="M1135" s="336"/>
      <c r="N1135" s="336"/>
      <c r="O1135" s="336"/>
      <c r="P1135" s="336"/>
      <c r="Q1135" s="336"/>
      <c r="R1135" s="336"/>
      <c r="S1135" s="336"/>
      <c r="T1135" s="336"/>
    </row>
    <row r="1136" spans="1:20" x14ac:dyDescent="0.25">
      <c r="A1136" s="336"/>
      <c r="B1136" s="336"/>
      <c r="C1136" s="336"/>
      <c r="D1136" s="336"/>
      <c r="E1136" s="336"/>
      <c r="F1136" s="104" t="b">
        <f t="array" ref="F1136">IF(_xlfn.NUMBERVALUE(RIGHT($E1136,2))=MAX(IF(LEFT($E1136:$E3134,11)=LEFT($E1136,11),_xlfn.NUMBERVALUE(RIGHT($E1136:$E3134,2)))),TRUE)</f>
        <v>1</v>
      </c>
      <c r="G1136" s="336"/>
      <c r="H1136" s="336"/>
      <c r="I1136" s="336"/>
      <c r="J1136" s="336"/>
      <c r="K1136" s="336"/>
      <c r="L1136" s="336"/>
      <c r="M1136" s="336"/>
      <c r="N1136" s="336"/>
      <c r="O1136" s="336"/>
      <c r="P1136" s="336"/>
      <c r="Q1136" s="336"/>
      <c r="R1136" s="336"/>
      <c r="S1136" s="336"/>
      <c r="T1136" s="336"/>
    </row>
    <row r="1137" spans="1:20" x14ac:dyDescent="0.25">
      <c r="A1137" s="336"/>
      <c r="B1137" s="336"/>
      <c r="C1137" s="336"/>
      <c r="D1137" s="336"/>
      <c r="E1137" s="336"/>
      <c r="F1137" s="104" t="b">
        <f t="array" ref="F1137">IF(_xlfn.NUMBERVALUE(RIGHT($E1137,2))=MAX(IF(LEFT($E1137:$E3135,11)=LEFT($E1137,11),_xlfn.NUMBERVALUE(RIGHT($E1137:$E3135,2)))),TRUE)</f>
        <v>1</v>
      </c>
      <c r="G1137" s="336"/>
      <c r="H1137" s="336"/>
      <c r="I1137" s="336"/>
      <c r="J1137" s="336"/>
      <c r="K1137" s="336"/>
      <c r="L1137" s="336"/>
      <c r="M1137" s="336"/>
      <c r="N1137" s="336"/>
      <c r="O1137" s="336"/>
      <c r="P1137" s="336"/>
      <c r="Q1137" s="336"/>
      <c r="R1137" s="336"/>
      <c r="S1137" s="336"/>
      <c r="T1137" s="336"/>
    </row>
    <row r="1138" spans="1:20" x14ac:dyDescent="0.25">
      <c r="A1138" s="336"/>
      <c r="B1138" s="336"/>
      <c r="C1138" s="336"/>
      <c r="D1138" s="336"/>
      <c r="E1138" s="336"/>
      <c r="F1138" s="104" t="b">
        <f t="array" ref="F1138">IF(_xlfn.NUMBERVALUE(RIGHT($E1138,2))=MAX(IF(LEFT($E1138:$E3136,11)=LEFT($E1138,11),_xlfn.NUMBERVALUE(RIGHT($E1138:$E3136,2)))),TRUE)</f>
        <v>1</v>
      </c>
      <c r="G1138" s="336"/>
      <c r="H1138" s="336"/>
      <c r="I1138" s="336"/>
      <c r="J1138" s="336"/>
      <c r="K1138" s="336"/>
      <c r="L1138" s="336"/>
      <c r="M1138" s="336"/>
      <c r="N1138" s="336"/>
      <c r="O1138" s="336"/>
      <c r="P1138" s="336"/>
      <c r="Q1138" s="336"/>
      <c r="R1138" s="336"/>
      <c r="S1138" s="336"/>
      <c r="T1138" s="336"/>
    </row>
    <row r="1139" spans="1:20" x14ac:dyDescent="0.25">
      <c r="A1139" s="336"/>
      <c r="B1139" s="336"/>
      <c r="C1139" s="336"/>
      <c r="D1139" s="336"/>
      <c r="E1139" s="336"/>
      <c r="F1139" s="104" t="b">
        <f t="array" ref="F1139">IF(_xlfn.NUMBERVALUE(RIGHT($E1139,2))=MAX(IF(LEFT($E1139:$E3137,11)=LEFT($E1139,11),_xlfn.NUMBERVALUE(RIGHT($E1139:$E3137,2)))),TRUE)</f>
        <v>1</v>
      </c>
      <c r="G1139" s="336"/>
      <c r="H1139" s="336"/>
      <c r="I1139" s="336"/>
      <c r="J1139" s="336"/>
      <c r="K1139" s="336"/>
      <c r="L1139" s="336"/>
      <c r="M1139" s="336"/>
      <c r="N1139" s="336"/>
      <c r="O1139" s="336"/>
      <c r="P1139" s="336"/>
      <c r="Q1139" s="336"/>
      <c r="R1139" s="336"/>
      <c r="S1139" s="336"/>
      <c r="T1139" s="336"/>
    </row>
    <row r="1140" spans="1:20" x14ac:dyDescent="0.25">
      <c r="A1140" s="336"/>
      <c r="B1140" s="336"/>
      <c r="C1140" s="336"/>
      <c r="D1140" s="336"/>
      <c r="E1140" s="336"/>
      <c r="F1140" s="104" t="b">
        <f t="array" ref="F1140">IF(_xlfn.NUMBERVALUE(RIGHT($E1140,2))=MAX(IF(LEFT($E1140:$E3138,11)=LEFT($E1140,11),_xlfn.NUMBERVALUE(RIGHT($E1140:$E3138,2)))),TRUE)</f>
        <v>1</v>
      </c>
      <c r="G1140" s="336"/>
      <c r="H1140" s="336"/>
      <c r="I1140" s="336"/>
      <c r="J1140" s="336"/>
      <c r="K1140" s="336"/>
      <c r="L1140" s="336"/>
      <c r="M1140" s="336"/>
      <c r="N1140" s="336"/>
      <c r="O1140" s="336"/>
      <c r="P1140" s="336"/>
      <c r="Q1140" s="336"/>
      <c r="R1140" s="336"/>
      <c r="S1140" s="336"/>
      <c r="T1140" s="336"/>
    </row>
    <row r="1141" spans="1:20" x14ac:dyDescent="0.25">
      <c r="A1141" s="336"/>
      <c r="B1141" s="336"/>
      <c r="C1141" s="336"/>
      <c r="D1141" s="336"/>
      <c r="E1141" s="336"/>
      <c r="F1141" s="104" t="b">
        <f t="array" ref="F1141">IF(_xlfn.NUMBERVALUE(RIGHT($E1141,2))=MAX(IF(LEFT($E1141:$E3139,11)=LEFT($E1141,11),_xlfn.NUMBERVALUE(RIGHT($E1141:$E3139,2)))),TRUE)</f>
        <v>1</v>
      </c>
      <c r="G1141" s="336"/>
      <c r="H1141" s="336"/>
      <c r="I1141" s="336"/>
      <c r="J1141" s="336"/>
      <c r="K1141" s="336"/>
      <c r="L1141" s="336"/>
      <c r="M1141" s="336"/>
      <c r="N1141" s="336"/>
      <c r="O1141" s="336"/>
      <c r="P1141" s="336"/>
      <c r="Q1141" s="336"/>
      <c r="R1141" s="336"/>
      <c r="S1141" s="336"/>
      <c r="T1141" s="336"/>
    </row>
    <row r="1142" spans="1:20" x14ac:dyDescent="0.25">
      <c r="A1142" s="336"/>
      <c r="B1142" s="336"/>
      <c r="C1142" s="336"/>
      <c r="D1142" s="336"/>
      <c r="E1142" s="336"/>
      <c r="F1142" s="104" t="b">
        <f t="array" ref="F1142">IF(_xlfn.NUMBERVALUE(RIGHT($E1142,2))=MAX(IF(LEFT($E1142:$E3140,11)=LEFT($E1142,11),_xlfn.NUMBERVALUE(RIGHT($E1142:$E3140,2)))),TRUE)</f>
        <v>1</v>
      </c>
      <c r="G1142" s="336"/>
      <c r="H1142" s="336"/>
      <c r="I1142" s="336"/>
      <c r="J1142" s="336"/>
      <c r="K1142" s="336"/>
      <c r="L1142" s="336"/>
      <c r="M1142" s="336"/>
      <c r="N1142" s="336"/>
      <c r="O1142" s="336"/>
      <c r="P1142" s="336"/>
      <c r="Q1142" s="336"/>
      <c r="R1142" s="336"/>
      <c r="S1142" s="336"/>
      <c r="T1142" s="336"/>
    </row>
    <row r="1143" spans="1:20" x14ac:dyDescent="0.25">
      <c r="A1143" s="336"/>
      <c r="B1143" s="336"/>
      <c r="C1143" s="336"/>
      <c r="D1143" s="336"/>
      <c r="E1143" s="336"/>
      <c r="F1143" s="104" t="b">
        <f t="array" ref="F1143">IF(_xlfn.NUMBERVALUE(RIGHT($E1143,2))=MAX(IF(LEFT($E1143:$E3141,11)=LEFT($E1143,11),_xlfn.NUMBERVALUE(RIGHT($E1143:$E3141,2)))),TRUE)</f>
        <v>1</v>
      </c>
      <c r="G1143" s="336"/>
      <c r="H1143" s="336"/>
      <c r="I1143" s="336"/>
      <c r="J1143" s="336"/>
      <c r="K1143" s="336"/>
      <c r="L1143" s="336"/>
      <c r="M1143" s="336"/>
      <c r="N1143" s="336"/>
      <c r="O1143" s="336"/>
      <c r="P1143" s="336"/>
      <c r="Q1143" s="336"/>
      <c r="R1143" s="336"/>
      <c r="S1143" s="336"/>
      <c r="T1143" s="336"/>
    </row>
    <row r="1144" spans="1:20" x14ac:dyDescent="0.25">
      <c r="A1144" s="336"/>
      <c r="B1144" s="336"/>
      <c r="C1144" s="336"/>
      <c r="D1144" s="336"/>
      <c r="E1144" s="336"/>
      <c r="F1144" s="104" t="b">
        <f t="array" ref="F1144">IF(_xlfn.NUMBERVALUE(RIGHT($E1144,2))=MAX(IF(LEFT($E1144:$E3142,11)=LEFT($E1144,11),_xlfn.NUMBERVALUE(RIGHT($E1144:$E3142,2)))),TRUE)</f>
        <v>1</v>
      </c>
      <c r="G1144" s="336"/>
      <c r="H1144" s="336"/>
      <c r="I1144" s="336"/>
      <c r="J1144" s="336"/>
      <c r="K1144" s="336"/>
      <c r="L1144" s="336"/>
      <c r="M1144" s="336"/>
      <c r="N1144" s="336"/>
      <c r="O1144" s="336"/>
      <c r="P1144" s="336"/>
      <c r="Q1144" s="336"/>
      <c r="R1144" s="336"/>
      <c r="S1144" s="336"/>
      <c r="T1144" s="336"/>
    </row>
    <row r="1145" spans="1:20" x14ac:dyDescent="0.25">
      <c r="A1145" s="336"/>
      <c r="B1145" s="336"/>
      <c r="C1145" s="336"/>
      <c r="D1145" s="336"/>
      <c r="E1145" s="336"/>
      <c r="F1145" s="104" t="b">
        <f t="array" ref="F1145">IF(_xlfn.NUMBERVALUE(RIGHT($E1145,2))=MAX(IF(LEFT($E1145:$E3143,11)=LEFT($E1145,11),_xlfn.NUMBERVALUE(RIGHT($E1145:$E3143,2)))),TRUE)</f>
        <v>1</v>
      </c>
      <c r="G1145" s="336"/>
      <c r="H1145" s="336"/>
      <c r="I1145" s="336"/>
      <c r="J1145" s="336"/>
      <c r="K1145" s="336"/>
      <c r="L1145" s="336"/>
      <c r="M1145" s="336"/>
      <c r="N1145" s="336"/>
      <c r="O1145" s="336"/>
      <c r="P1145" s="336"/>
      <c r="Q1145" s="336"/>
      <c r="R1145" s="336"/>
      <c r="S1145" s="336"/>
      <c r="T1145" s="336"/>
    </row>
    <row r="1146" spans="1:20" x14ac:dyDescent="0.25">
      <c r="A1146" s="336"/>
      <c r="B1146" s="336"/>
      <c r="C1146" s="336"/>
      <c r="D1146" s="336"/>
      <c r="E1146" s="336"/>
      <c r="F1146" s="104" t="b">
        <f t="array" ref="F1146">IF(_xlfn.NUMBERVALUE(RIGHT($E1146,2))=MAX(IF(LEFT($E1146:$E3144,11)=LEFT($E1146,11),_xlfn.NUMBERVALUE(RIGHT($E1146:$E3144,2)))),TRUE)</f>
        <v>1</v>
      </c>
      <c r="G1146" s="336"/>
      <c r="H1146" s="336"/>
      <c r="I1146" s="336"/>
      <c r="J1146" s="336"/>
      <c r="K1146" s="336"/>
      <c r="L1146" s="336"/>
      <c r="M1146" s="336"/>
      <c r="N1146" s="336"/>
      <c r="O1146" s="336"/>
      <c r="P1146" s="336"/>
      <c r="Q1146" s="336"/>
      <c r="R1146" s="336"/>
      <c r="S1146" s="336"/>
      <c r="T1146" s="336"/>
    </row>
    <row r="1147" spans="1:20" x14ac:dyDescent="0.25">
      <c r="A1147" s="336"/>
      <c r="B1147" s="336"/>
      <c r="C1147" s="336"/>
      <c r="D1147" s="336"/>
      <c r="E1147" s="336"/>
      <c r="F1147" s="104" t="b">
        <f t="array" ref="F1147">IF(_xlfn.NUMBERVALUE(RIGHT($E1147,2))=MAX(IF(LEFT($E1147:$E3145,11)=LEFT($E1147,11),_xlfn.NUMBERVALUE(RIGHT($E1147:$E3145,2)))),TRUE)</f>
        <v>1</v>
      </c>
      <c r="G1147" s="336"/>
      <c r="H1147" s="336"/>
      <c r="I1147" s="336"/>
      <c r="J1147" s="336"/>
      <c r="K1147" s="336"/>
      <c r="L1147" s="336"/>
      <c r="M1147" s="336"/>
      <c r="N1147" s="336"/>
      <c r="O1147" s="336"/>
      <c r="P1147" s="336"/>
      <c r="Q1147" s="336"/>
      <c r="R1147" s="336"/>
      <c r="S1147" s="336"/>
      <c r="T1147" s="336"/>
    </row>
    <row r="1148" spans="1:20" x14ac:dyDescent="0.25">
      <c r="A1148" s="336"/>
      <c r="B1148" s="336"/>
      <c r="C1148" s="336"/>
      <c r="D1148" s="336"/>
      <c r="E1148" s="336"/>
      <c r="F1148" s="104" t="b">
        <f t="array" ref="F1148">IF(_xlfn.NUMBERVALUE(RIGHT($E1148,2))=MAX(IF(LEFT($E1148:$E3146,11)=LEFT($E1148,11),_xlfn.NUMBERVALUE(RIGHT($E1148:$E3146,2)))),TRUE)</f>
        <v>1</v>
      </c>
      <c r="G1148" s="336"/>
      <c r="H1148" s="336"/>
      <c r="I1148" s="336"/>
      <c r="J1148" s="336"/>
      <c r="K1148" s="336"/>
      <c r="L1148" s="336"/>
      <c r="M1148" s="336"/>
      <c r="N1148" s="336"/>
      <c r="O1148" s="336"/>
      <c r="P1148" s="336"/>
      <c r="Q1148" s="336"/>
      <c r="R1148" s="336"/>
      <c r="S1148" s="336"/>
      <c r="T1148" s="336"/>
    </row>
    <row r="1149" spans="1:20" x14ac:dyDescent="0.25">
      <c r="A1149" s="336"/>
      <c r="B1149" s="336"/>
      <c r="C1149" s="336"/>
      <c r="D1149" s="336"/>
      <c r="E1149" s="336"/>
      <c r="F1149" s="104" t="b">
        <f t="array" ref="F1149">IF(_xlfn.NUMBERVALUE(RIGHT($E1149,2))=MAX(IF(LEFT($E1149:$E3147,11)=LEFT($E1149,11),_xlfn.NUMBERVALUE(RIGHT($E1149:$E3147,2)))),TRUE)</f>
        <v>1</v>
      </c>
      <c r="G1149" s="336"/>
      <c r="H1149" s="336"/>
      <c r="I1149" s="336"/>
      <c r="J1149" s="336"/>
      <c r="K1149" s="336"/>
      <c r="L1149" s="336"/>
      <c r="M1149" s="336"/>
      <c r="N1149" s="336"/>
      <c r="O1149" s="336"/>
      <c r="P1149" s="336"/>
      <c r="Q1149" s="336"/>
      <c r="R1149" s="336"/>
      <c r="S1149" s="336"/>
      <c r="T1149" s="336"/>
    </row>
    <row r="1150" spans="1:20" x14ac:dyDescent="0.25">
      <c r="A1150" s="336"/>
      <c r="B1150" s="336"/>
      <c r="C1150" s="336"/>
      <c r="D1150" s="336"/>
      <c r="E1150" s="336"/>
      <c r="F1150" s="104" t="b">
        <f t="array" ref="F1150">IF(_xlfn.NUMBERVALUE(RIGHT($E1150,2))=MAX(IF(LEFT($E1150:$E3148,11)=LEFT($E1150,11),_xlfn.NUMBERVALUE(RIGHT($E1150:$E3148,2)))),TRUE)</f>
        <v>1</v>
      </c>
      <c r="G1150" s="336"/>
      <c r="H1150" s="336"/>
      <c r="I1150" s="336"/>
      <c r="J1150" s="336"/>
      <c r="K1150" s="336"/>
      <c r="L1150" s="336"/>
      <c r="M1150" s="336"/>
      <c r="N1150" s="336"/>
      <c r="O1150" s="336"/>
      <c r="P1150" s="336"/>
      <c r="Q1150" s="336"/>
      <c r="R1150" s="336"/>
      <c r="S1150" s="336"/>
      <c r="T1150" s="336"/>
    </row>
    <row r="1151" spans="1:20" x14ac:dyDescent="0.25">
      <c r="A1151" s="336"/>
      <c r="B1151" s="336"/>
      <c r="C1151" s="336"/>
      <c r="D1151" s="336"/>
      <c r="E1151" s="336"/>
      <c r="F1151" s="104" t="b">
        <f t="array" ref="F1151">IF(_xlfn.NUMBERVALUE(RIGHT($E1151,2))=MAX(IF(LEFT($E1151:$E3149,11)=LEFT($E1151,11),_xlfn.NUMBERVALUE(RIGHT($E1151:$E3149,2)))),TRUE)</f>
        <v>1</v>
      </c>
      <c r="G1151" s="336"/>
      <c r="H1151" s="336"/>
      <c r="I1151" s="336"/>
      <c r="J1151" s="336"/>
      <c r="K1151" s="336"/>
      <c r="L1151" s="336"/>
      <c r="M1151" s="336"/>
      <c r="N1151" s="336"/>
      <c r="O1151" s="336"/>
      <c r="P1151" s="336"/>
      <c r="Q1151" s="336"/>
      <c r="R1151" s="336"/>
      <c r="S1151" s="336"/>
      <c r="T1151" s="336"/>
    </row>
    <row r="1152" spans="1:20" x14ac:dyDescent="0.25">
      <c r="A1152" s="336"/>
      <c r="B1152" s="336"/>
      <c r="C1152" s="336"/>
      <c r="D1152" s="336"/>
      <c r="E1152" s="336"/>
      <c r="F1152" s="104" t="b">
        <f t="array" ref="F1152">IF(_xlfn.NUMBERVALUE(RIGHT($E1152,2))=MAX(IF(LEFT($E1152:$E3150,11)=LEFT($E1152,11),_xlfn.NUMBERVALUE(RIGHT($E1152:$E3150,2)))),TRUE)</f>
        <v>1</v>
      </c>
      <c r="G1152" s="336"/>
      <c r="H1152" s="336"/>
      <c r="I1152" s="336"/>
      <c r="J1152" s="336"/>
      <c r="K1152" s="336"/>
      <c r="L1152" s="336"/>
      <c r="M1152" s="336"/>
      <c r="N1152" s="336"/>
      <c r="O1152" s="336"/>
      <c r="P1152" s="336"/>
      <c r="Q1152" s="336"/>
      <c r="R1152" s="336"/>
      <c r="S1152" s="336"/>
      <c r="T1152" s="336"/>
    </row>
    <row r="1153" spans="1:20" x14ac:dyDescent="0.25">
      <c r="A1153" s="336"/>
      <c r="B1153" s="336"/>
      <c r="C1153" s="336"/>
      <c r="D1153" s="336"/>
      <c r="E1153" s="336"/>
      <c r="F1153" s="104" t="b">
        <f t="array" ref="F1153">IF(_xlfn.NUMBERVALUE(RIGHT($E1153,2))=MAX(IF(LEFT($E1153:$E3151,11)=LEFT($E1153,11),_xlfn.NUMBERVALUE(RIGHT($E1153:$E3151,2)))),TRUE)</f>
        <v>1</v>
      </c>
      <c r="G1153" s="336"/>
      <c r="H1153" s="336"/>
      <c r="I1153" s="336"/>
      <c r="J1153" s="336"/>
      <c r="K1153" s="336"/>
      <c r="L1153" s="336"/>
      <c r="M1153" s="336"/>
      <c r="N1153" s="336"/>
      <c r="O1153" s="336"/>
      <c r="P1153" s="336"/>
      <c r="Q1153" s="336"/>
      <c r="R1153" s="336"/>
      <c r="S1153" s="336"/>
      <c r="T1153" s="336"/>
    </row>
    <row r="1154" spans="1:20" x14ac:dyDescent="0.25">
      <c r="A1154" s="336"/>
      <c r="B1154" s="336"/>
      <c r="C1154" s="336"/>
      <c r="D1154" s="336"/>
      <c r="E1154" s="336"/>
      <c r="F1154" s="104" t="b">
        <f t="array" ref="F1154">IF(_xlfn.NUMBERVALUE(RIGHT($E1154,2))=MAX(IF(LEFT($E1154:$E3152,11)=LEFT($E1154,11),_xlfn.NUMBERVALUE(RIGHT($E1154:$E3152,2)))),TRUE)</f>
        <v>1</v>
      </c>
      <c r="G1154" s="336"/>
      <c r="H1154" s="336"/>
      <c r="I1154" s="336"/>
      <c r="J1154" s="336"/>
      <c r="K1154" s="336"/>
      <c r="L1154" s="336"/>
      <c r="M1154" s="336"/>
      <c r="N1154" s="336"/>
      <c r="O1154" s="336"/>
      <c r="P1154" s="336"/>
      <c r="Q1154" s="336"/>
      <c r="R1154" s="336"/>
      <c r="S1154" s="336"/>
      <c r="T1154" s="336"/>
    </row>
    <row r="1155" spans="1:20" x14ac:dyDescent="0.25">
      <c r="A1155" s="336"/>
      <c r="B1155" s="336"/>
      <c r="C1155" s="336"/>
      <c r="D1155" s="336"/>
      <c r="E1155" s="336"/>
      <c r="F1155" s="104" t="b">
        <f t="array" ref="F1155">IF(_xlfn.NUMBERVALUE(RIGHT($E1155,2))=MAX(IF(LEFT($E1155:$E3153,11)=LEFT($E1155,11),_xlfn.NUMBERVALUE(RIGHT($E1155:$E3153,2)))),TRUE)</f>
        <v>1</v>
      </c>
      <c r="G1155" s="336"/>
      <c r="H1155" s="336"/>
      <c r="I1155" s="336"/>
      <c r="J1155" s="336"/>
      <c r="K1155" s="336"/>
      <c r="L1155" s="336"/>
      <c r="M1155" s="336"/>
      <c r="N1155" s="336"/>
      <c r="O1155" s="336"/>
      <c r="P1155" s="336"/>
      <c r="Q1155" s="336"/>
      <c r="R1155" s="336"/>
      <c r="S1155" s="336"/>
      <c r="T1155" s="336"/>
    </row>
    <row r="1156" spans="1:20" x14ac:dyDescent="0.25">
      <c r="A1156" s="336"/>
      <c r="B1156" s="336"/>
      <c r="C1156" s="336"/>
      <c r="D1156" s="336"/>
      <c r="E1156" s="336"/>
      <c r="F1156" s="104" t="b">
        <f t="array" ref="F1156">IF(_xlfn.NUMBERVALUE(RIGHT($E1156,2))=MAX(IF(LEFT($E1156:$E3154,11)=LEFT($E1156,11),_xlfn.NUMBERVALUE(RIGHT($E1156:$E3154,2)))),TRUE)</f>
        <v>1</v>
      </c>
      <c r="G1156" s="336"/>
      <c r="H1156" s="336"/>
      <c r="I1156" s="336"/>
      <c r="J1156" s="336"/>
      <c r="K1156" s="336"/>
      <c r="L1156" s="336"/>
      <c r="M1156" s="336"/>
      <c r="N1156" s="336"/>
      <c r="O1156" s="336"/>
      <c r="P1156" s="336"/>
      <c r="Q1156" s="336"/>
      <c r="R1156" s="336"/>
      <c r="S1156" s="336"/>
      <c r="T1156" s="336"/>
    </row>
    <row r="1157" spans="1:20" x14ac:dyDescent="0.25">
      <c r="A1157" s="336"/>
      <c r="B1157" s="336"/>
      <c r="C1157" s="336"/>
      <c r="D1157" s="336"/>
      <c r="E1157" s="336"/>
      <c r="F1157" s="104" t="b">
        <f t="array" ref="F1157">IF(_xlfn.NUMBERVALUE(RIGHT($E1157,2))=MAX(IF(LEFT($E1157:$E3155,11)=LEFT($E1157,11),_xlfn.NUMBERVALUE(RIGHT($E1157:$E3155,2)))),TRUE)</f>
        <v>1</v>
      </c>
      <c r="G1157" s="336"/>
      <c r="H1157" s="336"/>
      <c r="I1157" s="336"/>
      <c r="J1157" s="336"/>
      <c r="K1157" s="336"/>
      <c r="L1157" s="336"/>
      <c r="M1157" s="336"/>
      <c r="N1157" s="336"/>
      <c r="O1157" s="336"/>
      <c r="P1157" s="336"/>
      <c r="Q1157" s="336"/>
      <c r="R1157" s="336"/>
      <c r="S1157" s="336"/>
      <c r="T1157" s="336"/>
    </row>
    <row r="1158" spans="1:20" x14ac:dyDescent="0.25">
      <c r="A1158" s="336"/>
      <c r="B1158" s="336"/>
      <c r="C1158" s="336"/>
      <c r="D1158" s="336"/>
      <c r="E1158" s="336"/>
      <c r="F1158" s="104" t="b">
        <f t="array" ref="F1158">IF(_xlfn.NUMBERVALUE(RIGHT($E1158,2))=MAX(IF(LEFT($E1158:$E3156,11)=LEFT($E1158,11),_xlfn.NUMBERVALUE(RIGHT($E1158:$E3156,2)))),TRUE)</f>
        <v>1</v>
      </c>
      <c r="G1158" s="336"/>
      <c r="H1158" s="336"/>
      <c r="I1158" s="336"/>
      <c r="J1158" s="336"/>
      <c r="K1158" s="336"/>
      <c r="L1158" s="336"/>
      <c r="M1158" s="336"/>
      <c r="N1158" s="336"/>
      <c r="O1158" s="336"/>
      <c r="P1158" s="336"/>
      <c r="Q1158" s="336"/>
      <c r="R1158" s="336"/>
      <c r="S1158" s="336"/>
      <c r="T1158" s="336"/>
    </row>
    <row r="1159" spans="1:20" x14ac:dyDescent="0.25">
      <c r="A1159" s="336"/>
      <c r="B1159" s="336"/>
      <c r="C1159" s="336"/>
      <c r="D1159" s="336"/>
      <c r="E1159" s="336"/>
      <c r="F1159" s="104" t="b">
        <f t="array" ref="F1159">IF(_xlfn.NUMBERVALUE(RIGHT($E1159,2))=MAX(IF(LEFT($E1159:$E3157,11)=LEFT($E1159,11),_xlfn.NUMBERVALUE(RIGHT($E1159:$E3157,2)))),TRUE)</f>
        <v>1</v>
      </c>
      <c r="G1159" s="336"/>
      <c r="H1159" s="336"/>
      <c r="I1159" s="336"/>
      <c r="J1159" s="336"/>
      <c r="K1159" s="336"/>
      <c r="L1159" s="336"/>
      <c r="M1159" s="336"/>
      <c r="N1159" s="336"/>
      <c r="O1159" s="336"/>
      <c r="P1159" s="336"/>
      <c r="Q1159" s="336"/>
      <c r="R1159" s="336"/>
      <c r="S1159" s="336"/>
      <c r="T1159" s="336"/>
    </row>
    <row r="1160" spans="1:20" x14ac:dyDescent="0.25">
      <c r="A1160" s="336"/>
      <c r="B1160" s="336"/>
      <c r="C1160" s="336"/>
      <c r="D1160" s="336"/>
      <c r="E1160" s="336"/>
      <c r="F1160" s="104" t="b">
        <f t="array" ref="F1160">IF(_xlfn.NUMBERVALUE(RIGHT($E1160,2))=MAX(IF(LEFT($E1160:$E3158,11)=LEFT($E1160,11),_xlfn.NUMBERVALUE(RIGHT($E1160:$E3158,2)))),TRUE)</f>
        <v>1</v>
      </c>
      <c r="G1160" s="336"/>
      <c r="H1160" s="336"/>
      <c r="I1160" s="336"/>
      <c r="J1160" s="336"/>
      <c r="K1160" s="336"/>
      <c r="L1160" s="336"/>
      <c r="M1160" s="336"/>
      <c r="N1160" s="336"/>
      <c r="O1160" s="336"/>
      <c r="P1160" s="336"/>
      <c r="Q1160" s="336"/>
      <c r="R1160" s="336"/>
      <c r="S1160" s="336"/>
      <c r="T1160" s="336"/>
    </row>
    <row r="1161" spans="1:20" x14ac:dyDescent="0.25">
      <c r="A1161" s="336"/>
      <c r="B1161" s="336"/>
      <c r="C1161" s="336"/>
      <c r="D1161" s="336"/>
      <c r="E1161" s="336"/>
      <c r="F1161" s="104" t="b">
        <f t="array" ref="F1161">IF(_xlfn.NUMBERVALUE(RIGHT($E1161,2))=MAX(IF(LEFT($E1161:$E3159,11)=LEFT($E1161,11),_xlfn.NUMBERVALUE(RIGHT($E1161:$E3159,2)))),TRUE)</f>
        <v>1</v>
      </c>
      <c r="G1161" s="336"/>
      <c r="H1161" s="336"/>
      <c r="I1161" s="336"/>
      <c r="J1161" s="336"/>
      <c r="K1161" s="336"/>
      <c r="L1161" s="336"/>
      <c r="M1161" s="336"/>
      <c r="N1161" s="336"/>
      <c r="O1161" s="336"/>
      <c r="P1161" s="336"/>
      <c r="Q1161" s="336"/>
      <c r="R1161" s="336"/>
      <c r="S1161" s="336"/>
      <c r="T1161" s="336"/>
    </row>
    <row r="1162" spans="1:20" x14ac:dyDescent="0.25">
      <c r="A1162" s="336"/>
      <c r="B1162" s="336"/>
      <c r="C1162" s="336"/>
      <c r="D1162" s="336"/>
      <c r="E1162" s="336"/>
      <c r="F1162" s="104" t="b">
        <f t="array" ref="F1162">IF(_xlfn.NUMBERVALUE(RIGHT($E1162,2))=MAX(IF(LEFT($E1162:$E3160,11)=LEFT($E1162,11),_xlfn.NUMBERVALUE(RIGHT($E1162:$E3160,2)))),TRUE)</f>
        <v>1</v>
      </c>
      <c r="G1162" s="336"/>
      <c r="H1162" s="336"/>
      <c r="I1162" s="336"/>
      <c r="J1162" s="336"/>
      <c r="K1162" s="336"/>
      <c r="L1162" s="336"/>
      <c r="M1162" s="336"/>
      <c r="N1162" s="336"/>
      <c r="O1162" s="336"/>
      <c r="P1162" s="336"/>
      <c r="Q1162" s="336"/>
      <c r="R1162" s="336"/>
      <c r="S1162" s="336"/>
      <c r="T1162" s="336"/>
    </row>
    <row r="1163" spans="1:20" x14ac:dyDescent="0.25">
      <c r="A1163" s="336"/>
      <c r="B1163" s="336"/>
      <c r="C1163" s="336"/>
      <c r="D1163" s="336"/>
      <c r="E1163" s="336"/>
      <c r="F1163" s="104" t="b">
        <f t="array" ref="F1163">IF(_xlfn.NUMBERVALUE(RIGHT($E1163,2))=MAX(IF(LEFT($E1163:$E3161,11)=LEFT($E1163,11),_xlfn.NUMBERVALUE(RIGHT($E1163:$E3161,2)))),TRUE)</f>
        <v>1</v>
      </c>
      <c r="G1163" s="336"/>
      <c r="H1163" s="336"/>
      <c r="I1163" s="336"/>
      <c r="J1163" s="336"/>
      <c r="K1163" s="336"/>
      <c r="L1163" s="336"/>
      <c r="M1163" s="336"/>
      <c r="N1163" s="336"/>
      <c r="O1163" s="336"/>
      <c r="P1163" s="336"/>
      <c r="Q1163" s="336"/>
      <c r="R1163" s="336"/>
      <c r="S1163" s="336"/>
      <c r="T1163" s="336"/>
    </row>
    <row r="1164" spans="1:20" x14ac:dyDescent="0.25">
      <c r="A1164" s="336"/>
      <c r="B1164" s="336"/>
      <c r="C1164" s="336"/>
      <c r="D1164" s="336"/>
      <c r="E1164" s="336"/>
      <c r="F1164" s="104" t="b">
        <f t="array" ref="F1164">IF(_xlfn.NUMBERVALUE(RIGHT($E1164,2))=MAX(IF(LEFT($E1164:$E3162,11)=LEFT($E1164,11),_xlfn.NUMBERVALUE(RIGHT($E1164:$E3162,2)))),TRUE)</f>
        <v>1</v>
      </c>
      <c r="G1164" s="336"/>
      <c r="H1164" s="336"/>
      <c r="I1164" s="336"/>
      <c r="J1164" s="336"/>
      <c r="K1164" s="336"/>
      <c r="L1164" s="336"/>
      <c r="M1164" s="336"/>
      <c r="N1164" s="336"/>
      <c r="O1164" s="336"/>
      <c r="P1164" s="336"/>
      <c r="Q1164" s="336"/>
      <c r="R1164" s="336"/>
      <c r="S1164" s="336"/>
      <c r="T1164" s="336"/>
    </row>
    <row r="1165" spans="1:20" x14ac:dyDescent="0.25">
      <c r="A1165" s="336"/>
      <c r="B1165" s="336"/>
      <c r="C1165" s="336"/>
      <c r="D1165" s="336"/>
      <c r="E1165" s="336"/>
      <c r="F1165" s="104" t="b">
        <f t="array" ref="F1165">IF(_xlfn.NUMBERVALUE(RIGHT($E1165,2))=MAX(IF(LEFT($E1165:$E3163,11)=LEFT($E1165,11),_xlfn.NUMBERVALUE(RIGHT($E1165:$E3163,2)))),TRUE)</f>
        <v>1</v>
      </c>
      <c r="G1165" s="336"/>
      <c r="H1165" s="336"/>
      <c r="I1165" s="336"/>
      <c r="J1165" s="336"/>
      <c r="K1165" s="336"/>
      <c r="L1165" s="336"/>
      <c r="M1165" s="336"/>
      <c r="N1165" s="336"/>
      <c r="O1165" s="336"/>
      <c r="P1165" s="336"/>
      <c r="Q1165" s="336"/>
      <c r="R1165" s="336"/>
      <c r="S1165" s="336"/>
      <c r="T1165" s="336"/>
    </row>
    <row r="1166" spans="1:20" x14ac:dyDescent="0.25">
      <c r="A1166" s="336"/>
      <c r="B1166" s="336"/>
      <c r="C1166" s="336"/>
      <c r="D1166" s="336"/>
      <c r="E1166" s="336"/>
      <c r="F1166" s="104" t="b">
        <f t="array" ref="F1166">IF(_xlfn.NUMBERVALUE(RIGHT($E1166,2))=MAX(IF(LEFT($E1166:$E3164,11)=LEFT($E1166,11),_xlfn.NUMBERVALUE(RIGHT($E1166:$E3164,2)))),TRUE)</f>
        <v>1</v>
      </c>
      <c r="G1166" s="336"/>
      <c r="H1166" s="336"/>
      <c r="I1166" s="336"/>
      <c r="J1166" s="336"/>
      <c r="K1166" s="336"/>
      <c r="L1166" s="336"/>
      <c r="M1166" s="336"/>
      <c r="N1166" s="336"/>
      <c r="O1166" s="336"/>
      <c r="P1166" s="336"/>
      <c r="Q1166" s="336"/>
      <c r="R1166" s="336"/>
      <c r="S1166" s="336"/>
      <c r="T1166" s="336"/>
    </row>
    <row r="1167" spans="1:20" x14ac:dyDescent="0.25">
      <c r="A1167" s="336"/>
      <c r="B1167" s="336"/>
      <c r="C1167" s="336"/>
      <c r="D1167" s="336"/>
      <c r="E1167" s="336"/>
      <c r="F1167" s="104" t="b">
        <f t="array" ref="F1167">IF(_xlfn.NUMBERVALUE(RIGHT($E1167,2))=MAX(IF(LEFT($E1167:$E3165,11)=LEFT($E1167,11),_xlfn.NUMBERVALUE(RIGHT($E1167:$E3165,2)))),TRUE)</f>
        <v>1</v>
      </c>
      <c r="G1167" s="336"/>
      <c r="H1167" s="336"/>
      <c r="I1167" s="336"/>
      <c r="J1167" s="336"/>
      <c r="K1167" s="336"/>
      <c r="L1167" s="336"/>
      <c r="M1167" s="336"/>
      <c r="N1167" s="336"/>
      <c r="O1167" s="336"/>
      <c r="P1167" s="336"/>
      <c r="Q1167" s="336"/>
      <c r="R1167" s="336"/>
      <c r="S1167" s="336"/>
      <c r="T1167" s="336"/>
    </row>
    <row r="1168" spans="1:20" x14ac:dyDescent="0.25">
      <c r="A1168" s="336"/>
      <c r="B1168" s="336"/>
      <c r="C1168" s="336"/>
      <c r="D1168" s="336"/>
      <c r="E1168" s="336"/>
      <c r="F1168" s="104" t="b">
        <f t="array" ref="F1168">IF(_xlfn.NUMBERVALUE(RIGHT($E1168,2))=MAX(IF(LEFT($E1168:$E3166,11)=LEFT($E1168,11),_xlfn.NUMBERVALUE(RIGHT($E1168:$E3166,2)))),TRUE)</f>
        <v>1</v>
      </c>
      <c r="G1168" s="336"/>
      <c r="H1168" s="336"/>
      <c r="I1168" s="336"/>
      <c r="J1168" s="336"/>
      <c r="K1168" s="336"/>
      <c r="L1168" s="336"/>
      <c r="M1168" s="336"/>
      <c r="N1168" s="336"/>
      <c r="O1168" s="336"/>
      <c r="P1168" s="336"/>
      <c r="Q1168" s="336"/>
      <c r="R1168" s="336"/>
      <c r="S1168" s="336"/>
      <c r="T1168" s="336"/>
    </row>
    <row r="1169" spans="1:20" x14ac:dyDescent="0.25">
      <c r="A1169" s="336"/>
      <c r="B1169" s="336"/>
      <c r="C1169" s="336"/>
      <c r="D1169" s="336"/>
      <c r="E1169" s="336"/>
      <c r="F1169" s="104" t="b">
        <f t="array" ref="F1169">IF(_xlfn.NUMBERVALUE(RIGHT($E1169,2))=MAX(IF(LEFT($E1169:$E3167,11)=LEFT($E1169,11),_xlfn.NUMBERVALUE(RIGHT($E1169:$E3167,2)))),TRUE)</f>
        <v>1</v>
      </c>
      <c r="G1169" s="336"/>
      <c r="H1169" s="336"/>
      <c r="I1169" s="336"/>
      <c r="J1169" s="336"/>
      <c r="K1169" s="336"/>
      <c r="L1169" s="336"/>
      <c r="M1169" s="336"/>
      <c r="N1169" s="336"/>
      <c r="O1169" s="336"/>
      <c r="P1169" s="336"/>
      <c r="Q1169" s="336"/>
      <c r="R1169" s="336"/>
      <c r="S1169" s="336"/>
      <c r="T1169" s="336"/>
    </row>
    <row r="1170" spans="1:20" x14ac:dyDescent="0.25">
      <c r="A1170" s="336"/>
      <c r="B1170" s="336"/>
      <c r="C1170" s="336"/>
      <c r="D1170" s="336"/>
      <c r="E1170" s="336"/>
      <c r="F1170" s="104" t="b">
        <f t="array" ref="F1170">IF(_xlfn.NUMBERVALUE(RIGHT($E1170,2))=MAX(IF(LEFT($E1170:$E3168,11)=LEFT($E1170,11),_xlfn.NUMBERVALUE(RIGHT($E1170:$E3168,2)))),TRUE)</f>
        <v>1</v>
      </c>
      <c r="G1170" s="336"/>
      <c r="H1170" s="336"/>
      <c r="I1170" s="336"/>
      <c r="J1170" s="336"/>
      <c r="K1170" s="336"/>
      <c r="L1170" s="336"/>
      <c r="M1170" s="336"/>
      <c r="N1170" s="336"/>
      <c r="O1170" s="336"/>
      <c r="P1170" s="336"/>
      <c r="Q1170" s="336"/>
      <c r="R1170" s="336"/>
      <c r="S1170" s="336"/>
      <c r="T1170" s="336"/>
    </row>
    <row r="1171" spans="1:20" x14ac:dyDescent="0.25">
      <c r="A1171" s="336"/>
      <c r="B1171" s="336"/>
      <c r="C1171" s="336"/>
      <c r="D1171" s="336"/>
      <c r="E1171" s="336"/>
      <c r="F1171" s="104" t="b">
        <f t="array" ref="F1171">IF(_xlfn.NUMBERVALUE(RIGHT($E1171,2))=MAX(IF(LEFT($E1171:$E3169,11)=LEFT($E1171,11),_xlfn.NUMBERVALUE(RIGHT($E1171:$E3169,2)))),TRUE)</f>
        <v>1</v>
      </c>
      <c r="G1171" s="336"/>
      <c r="H1171" s="336"/>
      <c r="I1171" s="336"/>
      <c r="J1171" s="336"/>
      <c r="K1171" s="336"/>
      <c r="L1171" s="336"/>
      <c r="M1171" s="336"/>
      <c r="N1171" s="336"/>
      <c r="O1171" s="336"/>
      <c r="P1171" s="336"/>
      <c r="Q1171" s="336"/>
      <c r="R1171" s="336"/>
      <c r="S1171" s="336"/>
      <c r="T1171" s="336"/>
    </row>
    <row r="1172" spans="1:20" x14ac:dyDescent="0.25">
      <c r="A1172" s="336"/>
      <c r="B1172" s="336"/>
      <c r="C1172" s="336"/>
      <c r="D1172" s="336"/>
      <c r="E1172" s="336"/>
      <c r="F1172" s="104" t="b">
        <f t="array" ref="F1172">IF(_xlfn.NUMBERVALUE(RIGHT($E1172,2))=MAX(IF(LEFT($E1172:$E3170,11)=LEFT($E1172,11),_xlfn.NUMBERVALUE(RIGHT($E1172:$E3170,2)))),TRUE)</f>
        <v>1</v>
      </c>
      <c r="G1172" s="336"/>
      <c r="H1172" s="336"/>
      <c r="I1172" s="336"/>
      <c r="J1172" s="336"/>
      <c r="K1172" s="336"/>
      <c r="L1172" s="336"/>
      <c r="M1172" s="336"/>
      <c r="N1172" s="336"/>
      <c r="O1172" s="336"/>
      <c r="P1172" s="336"/>
      <c r="Q1172" s="336"/>
      <c r="R1172" s="336"/>
      <c r="S1172" s="336"/>
      <c r="T1172" s="336"/>
    </row>
    <row r="1173" spans="1:20" x14ac:dyDescent="0.25">
      <c r="A1173" s="336"/>
      <c r="B1173" s="336"/>
      <c r="C1173" s="336"/>
      <c r="D1173" s="336"/>
      <c r="E1173" s="336"/>
      <c r="F1173" s="104" t="b">
        <f t="array" ref="F1173">IF(_xlfn.NUMBERVALUE(RIGHT($E1173,2))=MAX(IF(LEFT($E1173:$E3171,11)=LEFT($E1173,11),_xlfn.NUMBERVALUE(RIGHT($E1173:$E3171,2)))),TRUE)</f>
        <v>1</v>
      </c>
      <c r="G1173" s="336"/>
      <c r="H1173" s="336"/>
      <c r="I1173" s="336"/>
      <c r="J1173" s="336"/>
      <c r="K1173" s="336"/>
      <c r="L1173" s="336"/>
      <c r="M1173" s="336"/>
      <c r="N1173" s="336"/>
      <c r="O1173" s="336"/>
      <c r="P1173" s="336"/>
      <c r="Q1173" s="336"/>
      <c r="R1173" s="336"/>
      <c r="S1173" s="336"/>
      <c r="T1173" s="336"/>
    </row>
    <row r="1174" spans="1:20" x14ac:dyDescent="0.25">
      <c r="A1174" s="336"/>
      <c r="B1174" s="336"/>
      <c r="C1174" s="336"/>
      <c r="D1174" s="336"/>
      <c r="E1174" s="336"/>
      <c r="F1174" s="104" t="b">
        <f t="array" ref="F1174">IF(_xlfn.NUMBERVALUE(RIGHT($E1174,2))=MAX(IF(LEFT($E1174:$E3172,11)=LEFT($E1174,11),_xlfn.NUMBERVALUE(RIGHT($E1174:$E3172,2)))),TRUE)</f>
        <v>1</v>
      </c>
      <c r="G1174" s="336"/>
      <c r="H1174" s="336"/>
      <c r="I1174" s="336"/>
      <c r="J1174" s="336"/>
      <c r="K1174" s="336"/>
      <c r="L1174" s="336"/>
      <c r="M1174" s="336"/>
      <c r="N1174" s="336"/>
      <c r="O1174" s="336"/>
      <c r="P1174" s="336"/>
      <c r="Q1174" s="336"/>
      <c r="R1174" s="336"/>
      <c r="S1174" s="336"/>
      <c r="T1174" s="336"/>
    </row>
    <row r="1175" spans="1:20" x14ac:dyDescent="0.25">
      <c r="A1175" s="336"/>
      <c r="B1175" s="336"/>
      <c r="C1175" s="336"/>
      <c r="D1175" s="336"/>
      <c r="E1175" s="336"/>
      <c r="F1175" s="104" t="b">
        <f t="array" ref="F1175">IF(_xlfn.NUMBERVALUE(RIGHT($E1175,2))=MAX(IF(LEFT($E1175:$E3173,11)=LEFT($E1175,11),_xlfn.NUMBERVALUE(RIGHT($E1175:$E3173,2)))),TRUE)</f>
        <v>1</v>
      </c>
      <c r="G1175" s="336"/>
      <c r="H1175" s="336"/>
      <c r="I1175" s="336"/>
      <c r="J1175" s="336"/>
      <c r="K1175" s="336"/>
      <c r="L1175" s="336"/>
      <c r="M1175" s="336"/>
      <c r="N1175" s="336"/>
      <c r="O1175" s="336"/>
      <c r="P1175" s="336"/>
      <c r="Q1175" s="336"/>
      <c r="R1175" s="336"/>
      <c r="S1175" s="336"/>
      <c r="T1175" s="336"/>
    </row>
    <row r="1176" spans="1:20" x14ac:dyDescent="0.25">
      <c r="A1176" s="336"/>
      <c r="B1176" s="336"/>
      <c r="C1176" s="336"/>
      <c r="D1176" s="336"/>
      <c r="E1176" s="336"/>
      <c r="F1176" s="104" t="b">
        <f t="array" ref="F1176">IF(_xlfn.NUMBERVALUE(RIGHT($E1176,2))=MAX(IF(LEFT($E1176:$E3174,11)=LEFT($E1176,11),_xlfn.NUMBERVALUE(RIGHT($E1176:$E3174,2)))),TRUE)</f>
        <v>1</v>
      </c>
      <c r="G1176" s="336"/>
      <c r="H1176" s="336"/>
      <c r="I1176" s="336"/>
      <c r="J1176" s="336"/>
      <c r="K1176" s="336"/>
      <c r="L1176" s="336"/>
      <c r="M1176" s="336"/>
      <c r="N1176" s="336"/>
      <c r="O1176" s="336"/>
      <c r="P1176" s="336"/>
      <c r="Q1176" s="336"/>
      <c r="R1176" s="336"/>
      <c r="S1176" s="336"/>
      <c r="T1176" s="336"/>
    </row>
    <row r="1177" spans="1:20" x14ac:dyDescent="0.25">
      <c r="A1177" s="336"/>
      <c r="B1177" s="336"/>
      <c r="C1177" s="336"/>
      <c r="D1177" s="336"/>
      <c r="E1177" s="336"/>
      <c r="F1177" s="104" t="b">
        <f t="array" ref="F1177">IF(_xlfn.NUMBERVALUE(RIGHT($E1177,2))=MAX(IF(LEFT($E1177:$E3175,11)=LEFT($E1177,11),_xlfn.NUMBERVALUE(RIGHT($E1177:$E3175,2)))),TRUE)</f>
        <v>1</v>
      </c>
      <c r="G1177" s="336"/>
      <c r="H1177" s="336"/>
      <c r="I1177" s="336"/>
      <c r="J1177" s="336"/>
      <c r="K1177" s="336"/>
      <c r="L1177" s="336"/>
      <c r="M1177" s="336"/>
      <c r="N1177" s="336"/>
      <c r="O1177" s="336"/>
      <c r="P1177" s="336"/>
      <c r="Q1177" s="336"/>
      <c r="R1177" s="336"/>
      <c r="S1177" s="336"/>
      <c r="T1177" s="336"/>
    </row>
    <row r="1178" spans="1:20" x14ac:dyDescent="0.25">
      <c r="A1178" s="336"/>
      <c r="B1178" s="336"/>
      <c r="C1178" s="336"/>
      <c r="D1178" s="336"/>
      <c r="E1178" s="336"/>
      <c r="F1178" s="104" t="b">
        <f t="array" ref="F1178">IF(_xlfn.NUMBERVALUE(RIGHT($E1178,2))=MAX(IF(LEFT($E1178:$E3176,11)=LEFT($E1178,11),_xlfn.NUMBERVALUE(RIGHT($E1178:$E3176,2)))),TRUE)</f>
        <v>1</v>
      </c>
      <c r="G1178" s="336"/>
      <c r="H1178" s="336"/>
      <c r="I1178" s="336"/>
      <c r="J1178" s="336"/>
      <c r="K1178" s="336"/>
      <c r="L1178" s="336"/>
      <c r="M1178" s="336"/>
      <c r="N1178" s="336"/>
      <c r="O1178" s="336"/>
      <c r="P1178" s="336"/>
      <c r="Q1178" s="336"/>
      <c r="R1178" s="336"/>
      <c r="S1178" s="336"/>
      <c r="T1178" s="336"/>
    </row>
    <row r="1179" spans="1:20" x14ac:dyDescent="0.25">
      <c r="A1179" s="336"/>
      <c r="B1179" s="336"/>
      <c r="C1179" s="336"/>
      <c r="D1179" s="336"/>
      <c r="E1179" s="336"/>
      <c r="F1179" s="104" t="b">
        <f t="array" ref="F1179">IF(_xlfn.NUMBERVALUE(RIGHT($E1179,2))=MAX(IF(LEFT($E1179:$E3177,11)=LEFT($E1179,11),_xlfn.NUMBERVALUE(RIGHT($E1179:$E3177,2)))),TRUE)</f>
        <v>1</v>
      </c>
      <c r="G1179" s="336"/>
      <c r="H1179" s="336"/>
      <c r="I1179" s="336"/>
      <c r="J1179" s="336"/>
      <c r="K1179" s="336"/>
      <c r="L1179" s="336"/>
      <c r="M1179" s="336"/>
      <c r="N1179" s="336"/>
      <c r="O1179" s="336"/>
      <c r="P1179" s="336"/>
      <c r="Q1179" s="336"/>
      <c r="R1179" s="336"/>
      <c r="S1179" s="336"/>
      <c r="T1179" s="336"/>
    </row>
    <row r="1180" spans="1:20" x14ac:dyDescent="0.25">
      <c r="A1180" s="336"/>
      <c r="B1180" s="336"/>
      <c r="C1180" s="336"/>
      <c r="D1180" s="336"/>
      <c r="E1180" s="336"/>
      <c r="F1180" s="104" t="b">
        <f t="array" ref="F1180">IF(_xlfn.NUMBERVALUE(RIGHT($E1180,2))=MAX(IF(LEFT($E1180:$E3178,11)=LEFT($E1180,11),_xlfn.NUMBERVALUE(RIGHT($E1180:$E3178,2)))),TRUE)</f>
        <v>1</v>
      </c>
      <c r="G1180" s="336"/>
      <c r="H1180" s="336"/>
      <c r="I1180" s="336"/>
      <c r="J1180" s="336"/>
      <c r="K1180" s="336"/>
      <c r="L1180" s="336"/>
      <c r="M1180" s="336"/>
      <c r="N1180" s="336"/>
      <c r="O1180" s="336"/>
      <c r="P1180" s="336"/>
      <c r="Q1180" s="336"/>
      <c r="R1180" s="336"/>
      <c r="S1180" s="336"/>
      <c r="T1180" s="336"/>
    </row>
    <row r="1181" spans="1:20" x14ac:dyDescent="0.25">
      <c r="A1181" s="336"/>
      <c r="B1181" s="336"/>
      <c r="C1181" s="336"/>
      <c r="D1181" s="336"/>
      <c r="E1181" s="336"/>
      <c r="F1181" s="104" t="b">
        <f t="array" ref="F1181">IF(_xlfn.NUMBERVALUE(RIGHT($E1181,2))=MAX(IF(LEFT($E1181:$E3179,11)=LEFT($E1181,11),_xlfn.NUMBERVALUE(RIGHT($E1181:$E3179,2)))),TRUE)</f>
        <v>1</v>
      </c>
      <c r="G1181" s="336"/>
      <c r="H1181" s="336"/>
      <c r="I1181" s="336"/>
      <c r="J1181" s="336"/>
      <c r="K1181" s="336"/>
      <c r="L1181" s="336"/>
      <c r="M1181" s="336"/>
      <c r="N1181" s="336"/>
      <c r="O1181" s="336"/>
      <c r="P1181" s="336"/>
      <c r="Q1181" s="336"/>
      <c r="R1181" s="336"/>
      <c r="S1181" s="336"/>
      <c r="T1181" s="336"/>
    </row>
    <row r="1182" spans="1:20" x14ac:dyDescent="0.25">
      <c r="A1182" s="336"/>
      <c r="B1182" s="336"/>
      <c r="C1182" s="336"/>
      <c r="D1182" s="336"/>
      <c r="E1182" s="336"/>
      <c r="F1182" s="104" t="b">
        <f t="array" ref="F1182">IF(_xlfn.NUMBERVALUE(RIGHT($E1182,2))=MAX(IF(LEFT($E1182:$E3180,11)=LEFT($E1182,11),_xlfn.NUMBERVALUE(RIGHT($E1182:$E3180,2)))),TRUE)</f>
        <v>1</v>
      </c>
      <c r="G1182" s="336"/>
      <c r="H1182" s="336"/>
      <c r="I1182" s="336"/>
      <c r="J1182" s="336"/>
      <c r="K1182" s="336"/>
      <c r="L1182" s="336"/>
      <c r="M1182" s="336"/>
      <c r="N1182" s="336"/>
      <c r="O1182" s="336"/>
      <c r="P1182" s="336"/>
      <c r="Q1182" s="336"/>
      <c r="R1182" s="336"/>
      <c r="S1182" s="336"/>
      <c r="T1182" s="336"/>
    </row>
    <row r="1183" spans="1:20" x14ac:dyDescent="0.25">
      <c r="A1183" s="336"/>
      <c r="B1183" s="336"/>
      <c r="C1183" s="336"/>
      <c r="D1183" s="336"/>
      <c r="E1183" s="336"/>
      <c r="F1183" s="104" t="b">
        <f t="array" ref="F1183">IF(_xlfn.NUMBERVALUE(RIGHT($E1183,2))=MAX(IF(LEFT($E1183:$E3181,11)=LEFT($E1183,11),_xlfn.NUMBERVALUE(RIGHT($E1183:$E3181,2)))),TRUE)</f>
        <v>1</v>
      </c>
      <c r="G1183" s="336"/>
      <c r="H1183" s="336"/>
      <c r="I1183" s="336"/>
      <c r="J1183" s="336"/>
      <c r="K1183" s="336"/>
      <c r="L1183" s="336"/>
      <c r="M1183" s="336"/>
      <c r="N1183" s="336"/>
      <c r="O1183" s="336"/>
      <c r="P1183" s="336"/>
      <c r="Q1183" s="336"/>
      <c r="R1183" s="336"/>
      <c r="S1183" s="336"/>
      <c r="T1183" s="336"/>
    </row>
    <row r="1184" spans="1:20" x14ac:dyDescent="0.25">
      <c r="A1184" s="336"/>
      <c r="B1184" s="336"/>
      <c r="C1184" s="336"/>
      <c r="D1184" s="336"/>
      <c r="E1184" s="336"/>
      <c r="F1184" s="104" t="b">
        <f t="array" ref="F1184">IF(_xlfn.NUMBERVALUE(RIGHT($E1184,2))=MAX(IF(LEFT($E1184:$E3182,11)=LEFT($E1184,11),_xlfn.NUMBERVALUE(RIGHT($E1184:$E3182,2)))),TRUE)</f>
        <v>1</v>
      </c>
      <c r="G1184" s="336"/>
      <c r="H1184" s="336"/>
      <c r="I1184" s="336"/>
      <c r="J1184" s="336"/>
      <c r="K1184" s="336"/>
      <c r="L1184" s="336"/>
      <c r="M1184" s="336"/>
      <c r="N1184" s="336"/>
      <c r="O1184" s="336"/>
      <c r="P1184" s="336"/>
      <c r="Q1184" s="336"/>
      <c r="R1184" s="336"/>
      <c r="S1184" s="336"/>
      <c r="T1184" s="336"/>
    </row>
    <row r="1185" spans="1:20" x14ac:dyDescent="0.25">
      <c r="A1185" s="336"/>
      <c r="B1185" s="336"/>
      <c r="C1185" s="336"/>
      <c r="D1185" s="336"/>
      <c r="E1185" s="336"/>
      <c r="F1185" s="104" t="b">
        <f t="array" ref="F1185">IF(_xlfn.NUMBERVALUE(RIGHT($E1185,2))=MAX(IF(LEFT($E1185:$E3183,11)=LEFT($E1185,11),_xlfn.NUMBERVALUE(RIGHT($E1185:$E3183,2)))),TRUE)</f>
        <v>1</v>
      </c>
      <c r="G1185" s="336"/>
      <c r="H1185" s="336"/>
      <c r="I1185" s="336"/>
      <c r="J1185" s="336"/>
      <c r="K1185" s="336"/>
      <c r="L1185" s="336"/>
      <c r="M1185" s="336"/>
      <c r="N1185" s="336"/>
      <c r="O1185" s="336"/>
      <c r="P1185" s="336"/>
      <c r="Q1185" s="336"/>
      <c r="R1185" s="336"/>
      <c r="S1185" s="336"/>
      <c r="T1185" s="336"/>
    </row>
    <row r="1186" spans="1:20" x14ac:dyDescent="0.25">
      <c r="A1186" s="336"/>
      <c r="B1186" s="336"/>
      <c r="C1186" s="336"/>
      <c r="D1186" s="336"/>
      <c r="E1186" s="336"/>
      <c r="F1186" s="104" t="b">
        <f t="array" ref="F1186">IF(_xlfn.NUMBERVALUE(RIGHT($E1186,2))=MAX(IF(LEFT($E1186:$E3184,11)=LEFT($E1186,11),_xlfn.NUMBERVALUE(RIGHT($E1186:$E3184,2)))),TRUE)</f>
        <v>1</v>
      </c>
      <c r="G1186" s="336"/>
      <c r="H1186" s="336"/>
      <c r="I1186" s="336"/>
      <c r="J1186" s="336"/>
      <c r="K1186" s="336"/>
      <c r="L1186" s="336"/>
      <c r="M1186" s="336"/>
      <c r="N1186" s="336"/>
      <c r="O1186" s="336"/>
      <c r="P1186" s="336"/>
      <c r="Q1186" s="336"/>
      <c r="R1186" s="336"/>
      <c r="S1186" s="336"/>
      <c r="T1186" s="336"/>
    </row>
    <row r="1187" spans="1:20" x14ac:dyDescent="0.25">
      <c r="A1187" s="336"/>
      <c r="B1187" s="336"/>
      <c r="C1187" s="336"/>
      <c r="D1187" s="336"/>
      <c r="E1187" s="336"/>
      <c r="F1187" s="104" t="b">
        <f t="array" ref="F1187">IF(_xlfn.NUMBERVALUE(RIGHT($E1187,2))=MAX(IF(LEFT($E1187:$E3185,11)=LEFT($E1187,11),_xlfn.NUMBERVALUE(RIGHT($E1187:$E3185,2)))),TRUE)</f>
        <v>1</v>
      </c>
      <c r="G1187" s="336"/>
      <c r="H1187" s="336"/>
      <c r="I1187" s="336"/>
      <c r="J1187" s="336"/>
      <c r="K1187" s="336"/>
      <c r="L1187" s="336"/>
      <c r="M1187" s="336"/>
      <c r="N1187" s="336"/>
      <c r="O1187" s="336"/>
      <c r="P1187" s="336"/>
      <c r="Q1187" s="336"/>
      <c r="R1187" s="336"/>
      <c r="S1187" s="336"/>
      <c r="T1187" s="336"/>
    </row>
    <row r="1188" spans="1:20" x14ac:dyDescent="0.25">
      <c r="A1188" s="336"/>
      <c r="B1188" s="336"/>
      <c r="C1188" s="336"/>
      <c r="D1188" s="336"/>
      <c r="E1188" s="336"/>
      <c r="F1188" s="104" t="b">
        <f t="array" ref="F1188">IF(_xlfn.NUMBERVALUE(RIGHT($E1188,2))=MAX(IF(LEFT($E1188:$E3186,11)=LEFT($E1188,11),_xlfn.NUMBERVALUE(RIGHT($E1188:$E3186,2)))),TRUE)</f>
        <v>1</v>
      </c>
      <c r="G1188" s="336"/>
      <c r="H1188" s="336"/>
      <c r="I1188" s="336"/>
      <c r="J1188" s="336"/>
      <c r="K1188" s="336"/>
      <c r="L1188" s="336"/>
      <c r="M1188" s="336"/>
      <c r="N1188" s="336"/>
      <c r="O1188" s="336"/>
      <c r="P1188" s="336"/>
      <c r="Q1188" s="336"/>
      <c r="R1188" s="336"/>
      <c r="S1188" s="336"/>
      <c r="T1188" s="336"/>
    </row>
    <row r="1189" spans="1:20" x14ac:dyDescent="0.25">
      <c r="A1189" s="336"/>
      <c r="B1189" s="336"/>
      <c r="C1189" s="336"/>
      <c r="D1189" s="336"/>
      <c r="E1189" s="336"/>
      <c r="F1189" s="104" t="b">
        <f t="array" ref="F1189">IF(_xlfn.NUMBERVALUE(RIGHT($E1189,2))=MAX(IF(LEFT($E1189:$E3187,11)=LEFT($E1189,11),_xlfn.NUMBERVALUE(RIGHT($E1189:$E3187,2)))),TRUE)</f>
        <v>1</v>
      </c>
      <c r="G1189" s="336"/>
      <c r="H1189" s="336"/>
      <c r="I1189" s="336"/>
      <c r="J1189" s="336"/>
      <c r="K1189" s="336"/>
      <c r="L1189" s="336"/>
      <c r="M1189" s="336"/>
      <c r="N1189" s="336"/>
      <c r="O1189" s="336"/>
      <c r="P1189" s="336"/>
      <c r="Q1189" s="336"/>
      <c r="R1189" s="336"/>
      <c r="S1189" s="336"/>
      <c r="T1189" s="336"/>
    </row>
    <row r="1190" spans="1:20" x14ac:dyDescent="0.25">
      <c r="A1190" s="336"/>
      <c r="B1190" s="336"/>
      <c r="C1190" s="336"/>
      <c r="D1190" s="336"/>
      <c r="E1190" s="336"/>
      <c r="F1190" s="104" t="b">
        <f t="array" ref="F1190">IF(_xlfn.NUMBERVALUE(RIGHT($E1190,2))=MAX(IF(LEFT($E1190:$E3188,11)=LEFT($E1190,11),_xlfn.NUMBERVALUE(RIGHT($E1190:$E3188,2)))),TRUE)</f>
        <v>1</v>
      </c>
      <c r="G1190" s="336"/>
      <c r="H1190" s="336"/>
      <c r="I1190" s="336"/>
      <c r="J1190" s="336"/>
      <c r="K1190" s="336"/>
      <c r="L1190" s="336"/>
      <c r="M1190" s="336"/>
      <c r="N1190" s="336"/>
      <c r="O1190" s="336"/>
      <c r="P1190" s="336"/>
      <c r="Q1190" s="336"/>
      <c r="R1190" s="336"/>
      <c r="S1190" s="336"/>
      <c r="T1190" s="336"/>
    </row>
    <row r="1191" spans="1:20" x14ac:dyDescent="0.25">
      <c r="A1191" s="336"/>
      <c r="B1191" s="336"/>
      <c r="C1191" s="336"/>
      <c r="D1191" s="336"/>
      <c r="E1191" s="336"/>
      <c r="F1191" s="104" t="b">
        <f t="array" ref="F1191">IF(_xlfn.NUMBERVALUE(RIGHT($E1191,2))=MAX(IF(LEFT($E1191:$E3189,11)=LEFT($E1191,11),_xlfn.NUMBERVALUE(RIGHT($E1191:$E3189,2)))),TRUE)</f>
        <v>1</v>
      </c>
      <c r="G1191" s="336"/>
      <c r="H1191" s="336"/>
      <c r="I1191" s="336"/>
      <c r="J1191" s="336"/>
      <c r="K1191" s="336"/>
      <c r="L1191" s="336"/>
      <c r="M1191" s="336"/>
      <c r="N1191" s="336"/>
      <c r="O1191" s="336"/>
      <c r="P1191" s="336"/>
      <c r="Q1191" s="336"/>
      <c r="R1191" s="336"/>
      <c r="S1191" s="336"/>
      <c r="T1191" s="336"/>
    </row>
    <row r="1192" spans="1:20" x14ac:dyDescent="0.25">
      <c r="A1192" s="336"/>
      <c r="B1192" s="336"/>
      <c r="C1192" s="336"/>
      <c r="D1192" s="336"/>
      <c r="E1192" s="336"/>
      <c r="F1192" s="104" t="b">
        <f t="array" ref="F1192">IF(_xlfn.NUMBERVALUE(RIGHT($E1192,2))=MAX(IF(LEFT($E1192:$E3190,11)=LEFT($E1192,11),_xlfn.NUMBERVALUE(RIGHT($E1192:$E3190,2)))),TRUE)</f>
        <v>1</v>
      </c>
      <c r="G1192" s="336"/>
      <c r="H1192" s="336"/>
      <c r="I1192" s="336"/>
      <c r="J1192" s="336"/>
      <c r="K1192" s="336"/>
      <c r="L1192" s="336"/>
      <c r="M1192" s="336"/>
      <c r="N1192" s="336"/>
      <c r="O1192" s="336"/>
      <c r="P1192" s="336"/>
      <c r="Q1192" s="336"/>
      <c r="R1192" s="336"/>
      <c r="S1192" s="336"/>
      <c r="T1192" s="336"/>
    </row>
    <row r="1193" spans="1:20" x14ac:dyDescent="0.25">
      <c r="A1193" s="336"/>
      <c r="B1193" s="336"/>
      <c r="C1193" s="336"/>
      <c r="D1193" s="336"/>
      <c r="E1193" s="336"/>
      <c r="F1193" s="104" t="b">
        <f t="array" ref="F1193">IF(_xlfn.NUMBERVALUE(RIGHT($E1193,2))=MAX(IF(LEFT($E1193:$E3191,11)=LEFT($E1193,11),_xlfn.NUMBERVALUE(RIGHT($E1193:$E3191,2)))),TRUE)</f>
        <v>1</v>
      </c>
      <c r="G1193" s="336"/>
      <c r="H1193" s="336"/>
      <c r="I1193" s="336"/>
      <c r="J1193" s="336"/>
      <c r="K1193" s="336"/>
      <c r="L1193" s="336"/>
      <c r="M1193" s="336"/>
      <c r="N1193" s="336"/>
      <c r="O1193" s="336"/>
      <c r="P1193" s="336"/>
      <c r="Q1193" s="336"/>
      <c r="R1193" s="336"/>
      <c r="S1193" s="336"/>
      <c r="T1193" s="336"/>
    </row>
    <row r="1194" spans="1:20" x14ac:dyDescent="0.25">
      <c r="A1194" s="336"/>
      <c r="B1194" s="336"/>
      <c r="C1194" s="336"/>
      <c r="D1194" s="336"/>
      <c r="E1194" s="336"/>
      <c r="F1194" s="104" t="b">
        <f t="array" ref="F1194">IF(_xlfn.NUMBERVALUE(RIGHT($E1194,2))=MAX(IF(LEFT($E1194:$E3192,11)=LEFT($E1194,11),_xlfn.NUMBERVALUE(RIGHT($E1194:$E3192,2)))),TRUE)</f>
        <v>1</v>
      </c>
      <c r="G1194" s="336"/>
      <c r="H1194" s="336"/>
      <c r="I1194" s="336"/>
      <c r="J1194" s="336"/>
      <c r="K1194" s="336"/>
      <c r="L1194" s="336"/>
      <c r="M1194" s="336"/>
      <c r="N1194" s="336"/>
      <c r="O1194" s="336"/>
      <c r="P1194" s="336"/>
      <c r="Q1194" s="336"/>
      <c r="R1194" s="336"/>
      <c r="S1194" s="336"/>
      <c r="T1194" s="336"/>
    </row>
    <row r="1195" spans="1:20" x14ac:dyDescent="0.25">
      <c r="A1195" s="336"/>
      <c r="B1195" s="336"/>
      <c r="C1195" s="336"/>
      <c r="D1195" s="336"/>
      <c r="E1195" s="336"/>
      <c r="F1195" s="104" t="b">
        <f t="array" ref="F1195">IF(_xlfn.NUMBERVALUE(RIGHT($E1195,2))=MAX(IF(LEFT($E1195:$E3193,11)=LEFT($E1195,11),_xlfn.NUMBERVALUE(RIGHT($E1195:$E3193,2)))),TRUE)</f>
        <v>1</v>
      </c>
      <c r="G1195" s="336"/>
      <c r="H1195" s="336"/>
      <c r="I1195" s="336"/>
      <c r="J1195" s="336"/>
      <c r="K1195" s="336"/>
      <c r="L1195" s="336"/>
      <c r="M1195" s="336"/>
      <c r="N1195" s="336"/>
      <c r="O1195" s="336"/>
      <c r="P1195" s="336"/>
      <c r="Q1195" s="336"/>
      <c r="R1195" s="336"/>
      <c r="S1195" s="336"/>
      <c r="T1195" s="336"/>
    </row>
    <row r="1196" spans="1:20" x14ac:dyDescent="0.25">
      <c r="A1196" s="336"/>
      <c r="B1196" s="336"/>
      <c r="C1196" s="336"/>
      <c r="D1196" s="336"/>
      <c r="E1196" s="336"/>
      <c r="F1196" s="104" t="b">
        <f t="array" ref="F1196">IF(_xlfn.NUMBERVALUE(RIGHT($E1196,2))=MAX(IF(LEFT($E1196:$E3194,11)=LEFT($E1196,11),_xlfn.NUMBERVALUE(RIGHT($E1196:$E3194,2)))),TRUE)</f>
        <v>1</v>
      </c>
      <c r="G1196" s="336"/>
      <c r="H1196" s="336"/>
      <c r="I1196" s="336"/>
      <c r="J1196" s="336"/>
      <c r="K1196" s="336"/>
      <c r="L1196" s="336"/>
      <c r="M1196" s="336"/>
      <c r="N1196" s="336"/>
      <c r="O1196" s="336"/>
      <c r="P1196" s="336"/>
      <c r="Q1196" s="336"/>
      <c r="R1196" s="336"/>
      <c r="S1196" s="336"/>
      <c r="T1196" s="336"/>
    </row>
    <row r="1197" spans="1:20" x14ac:dyDescent="0.25">
      <c r="A1197" s="336"/>
      <c r="B1197" s="336"/>
      <c r="C1197" s="336"/>
      <c r="D1197" s="336"/>
      <c r="E1197" s="336"/>
      <c r="F1197" s="104" t="b">
        <f t="array" ref="F1197">IF(_xlfn.NUMBERVALUE(RIGHT($E1197,2))=MAX(IF(LEFT($E1197:$E3195,11)=LEFT($E1197,11),_xlfn.NUMBERVALUE(RIGHT($E1197:$E3195,2)))),TRUE)</f>
        <v>1</v>
      </c>
      <c r="G1197" s="336"/>
      <c r="H1197" s="336"/>
      <c r="I1197" s="336"/>
      <c r="J1197" s="336"/>
      <c r="K1197" s="336"/>
      <c r="L1197" s="336"/>
      <c r="M1197" s="336"/>
      <c r="N1197" s="336"/>
      <c r="O1197" s="336"/>
      <c r="P1197" s="336"/>
      <c r="Q1197" s="336"/>
      <c r="R1197" s="336"/>
      <c r="S1197" s="336"/>
      <c r="T1197" s="336"/>
    </row>
    <row r="1198" spans="1:20" x14ac:dyDescent="0.25">
      <c r="A1198" s="336"/>
      <c r="B1198" s="336"/>
      <c r="C1198" s="336"/>
      <c r="D1198" s="336"/>
      <c r="E1198" s="336"/>
      <c r="F1198" s="104" t="b">
        <f t="array" ref="F1198">IF(_xlfn.NUMBERVALUE(RIGHT($E1198,2))=MAX(IF(LEFT($E1198:$E3196,11)=LEFT($E1198,11),_xlfn.NUMBERVALUE(RIGHT($E1198:$E3196,2)))),TRUE)</f>
        <v>1</v>
      </c>
      <c r="G1198" s="336"/>
      <c r="H1198" s="336"/>
      <c r="I1198" s="336"/>
      <c r="J1198" s="336"/>
      <c r="K1198" s="336"/>
      <c r="L1198" s="336"/>
      <c r="M1198" s="336"/>
      <c r="N1198" s="336"/>
      <c r="O1198" s="336"/>
      <c r="P1198" s="336"/>
      <c r="Q1198" s="336"/>
      <c r="R1198" s="336"/>
      <c r="S1198" s="336"/>
      <c r="T1198" s="336"/>
    </row>
    <row r="1199" spans="1:20" x14ac:dyDescent="0.25">
      <c r="A1199" s="336"/>
      <c r="B1199" s="336"/>
      <c r="C1199" s="336"/>
      <c r="D1199" s="336"/>
      <c r="E1199" s="336"/>
      <c r="F1199" s="104" t="b">
        <f t="array" ref="F1199">IF(_xlfn.NUMBERVALUE(RIGHT($E1199,2))=MAX(IF(LEFT($E1199:$E3197,11)=LEFT($E1199,11),_xlfn.NUMBERVALUE(RIGHT($E1199:$E3197,2)))),TRUE)</f>
        <v>1</v>
      </c>
      <c r="G1199" s="336"/>
      <c r="H1199" s="336"/>
      <c r="I1199" s="336"/>
      <c r="J1199" s="336"/>
      <c r="K1199" s="336"/>
      <c r="L1199" s="336"/>
      <c r="M1199" s="336"/>
      <c r="N1199" s="336"/>
      <c r="O1199" s="336"/>
      <c r="P1199" s="336"/>
      <c r="Q1199" s="336"/>
      <c r="R1199" s="336"/>
      <c r="S1199" s="336"/>
      <c r="T1199" s="336"/>
    </row>
    <row r="1200" spans="1:20" x14ac:dyDescent="0.25">
      <c r="A1200" s="336"/>
      <c r="B1200" s="336"/>
      <c r="C1200" s="336"/>
      <c r="D1200" s="336"/>
      <c r="E1200" s="336"/>
      <c r="F1200" s="104" t="b">
        <f t="array" ref="F1200">IF(_xlfn.NUMBERVALUE(RIGHT($E1200,2))=MAX(IF(LEFT($E1200:$E3198,11)=LEFT($E1200,11),_xlfn.NUMBERVALUE(RIGHT($E1200:$E3198,2)))),TRUE)</f>
        <v>1</v>
      </c>
      <c r="G1200" s="336"/>
      <c r="H1200" s="336"/>
      <c r="I1200" s="336"/>
      <c r="J1200" s="336"/>
      <c r="K1200" s="336"/>
      <c r="L1200" s="336"/>
      <c r="M1200" s="336"/>
      <c r="N1200" s="336"/>
      <c r="O1200" s="336"/>
      <c r="P1200" s="336"/>
      <c r="Q1200" s="336"/>
      <c r="R1200" s="336"/>
      <c r="S1200" s="336"/>
      <c r="T1200" s="336"/>
    </row>
    <row r="1201" spans="1:20" x14ac:dyDescent="0.25">
      <c r="A1201" s="336"/>
      <c r="B1201" s="336"/>
      <c r="C1201" s="336"/>
      <c r="D1201" s="336"/>
      <c r="E1201" s="336"/>
      <c r="F1201" s="104" t="b">
        <f t="array" ref="F1201">IF(_xlfn.NUMBERVALUE(RIGHT($E1201,2))=MAX(IF(LEFT($E1201:$E3199,11)=LEFT($E1201,11),_xlfn.NUMBERVALUE(RIGHT($E1201:$E3199,2)))),TRUE)</f>
        <v>1</v>
      </c>
      <c r="G1201" s="336"/>
      <c r="H1201" s="336"/>
      <c r="I1201" s="336"/>
      <c r="J1201" s="336"/>
      <c r="K1201" s="336"/>
      <c r="L1201" s="336"/>
      <c r="M1201" s="336"/>
      <c r="N1201" s="336"/>
      <c r="O1201" s="336"/>
      <c r="P1201" s="336"/>
      <c r="Q1201" s="336"/>
      <c r="R1201" s="336"/>
      <c r="S1201" s="336"/>
      <c r="T1201" s="336"/>
    </row>
    <row r="1202" spans="1:20" x14ac:dyDescent="0.25">
      <c r="A1202" s="336"/>
      <c r="B1202" s="336"/>
      <c r="C1202" s="336"/>
      <c r="D1202" s="336"/>
      <c r="E1202" s="336"/>
      <c r="F1202" s="104" t="b">
        <f t="array" ref="F1202">IF(_xlfn.NUMBERVALUE(RIGHT($E1202,2))=MAX(IF(LEFT($E1202:$E3200,11)=LEFT($E1202,11),_xlfn.NUMBERVALUE(RIGHT($E1202:$E3200,2)))),TRUE)</f>
        <v>1</v>
      </c>
      <c r="G1202" s="336"/>
      <c r="H1202" s="336"/>
      <c r="I1202" s="336"/>
      <c r="J1202" s="336"/>
      <c r="K1202" s="336"/>
      <c r="L1202" s="336"/>
      <c r="M1202" s="336"/>
      <c r="N1202" s="336"/>
      <c r="O1202" s="336"/>
      <c r="P1202" s="336"/>
      <c r="Q1202" s="336"/>
      <c r="R1202" s="336"/>
      <c r="S1202" s="336"/>
      <c r="T1202" s="336"/>
    </row>
    <row r="1203" spans="1:20" x14ac:dyDescent="0.25">
      <c r="A1203" s="336"/>
      <c r="B1203" s="336"/>
      <c r="C1203" s="336"/>
      <c r="D1203" s="336"/>
      <c r="E1203" s="336"/>
      <c r="F1203" s="104" t="b">
        <f t="array" ref="F1203">IF(_xlfn.NUMBERVALUE(RIGHT($E1203,2))=MAX(IF(LEFT($E1203:$E3201,11)=LEFT($E1203,11),_xlfn.NUMBERVALUE(RIGHT($E1203:$E3201,2)))),TRUE)</f>
        <v>1</v>
      </c>
      <c r="G1203" s="336"/>
      <c r="H1203" s="336"/>
      <c r="I1203" s="336"/>
      <c r="J1203" s="336"/>
      <c r="K1203" s="336"/>
      <c r="L1203" s="336"/>
      <c r="M1203" s="336"/>
      <c r="N1203" s="336"/>
      <c r="O1203" s="336"/>
      <c r="P1203" s="336"/>
      <c r="Q1203" s="336"/>
      <c r="R1203" s="336"/>
      <c r="S1203" s="336"/>
      <c r="T1203" s="336"/>
    </row>
    <row r="1204" spans="1:20" x14ac:dyDescent="0.25">
      <c r="A1204" s="336"/>
      <c r="B1204" s="336"/>
      <c r="C1204" s="336"/>
      <c r="D1204" s="336"/>
      <c r="E1204" s="336"/>
      <c r="F1204" s="104" t="b">
        <f t="array" ref="F1204">IF(_xlfn.NUMBERVALUE(RIGHT($E1204,2))=MAX(IF(LEFT($E1204:$E3202,11)=LEFT($E1204,11),_xlfn.NUMBERVALUE(RIGHT($E1204:$E3202,2)))),TRUE)</f>
        <v>1</v>
      </c>
      <c r="G1204" s="336"/>
      <c r="H1204" s="336"/>
      <c r="I1204" s="336"/>
      <c r="J1204" s="336"/>
      <c r="K1204" s="336"/>
      <c r="L1204" s="336"/>
      <c r="M1204" s="336"/>
      <c r="N1204" s="336"/>
      <c r="O1204" s="336"/>
      <c r="P1204" s="336"/>
      <c r="Q1204" s="336"/>
      <c r="R1204" s="336"/>
      <c r="S1204" s="336"/>
      <c r="T1204" s="336"/>
    </row>
    <row r="1205" spans="1:20" x14ac:dyDescent="0.25">
      <c r="A1205" s="336"/>
      <c r="B1205" s="336"/>
      <c r="C1205" s="336"/>
      <c r="D1205" s="336"/>
      <c r="E1205" s="336"/>
      <c r="F1205" s="104" t="b">
        <f t="array" ref="F1205">IF(_xlfn.NUMBERVALUE(RIGHT($E1205,2))=MAX(IF(LEFT($E1205:$E3203,11)=LEFT($E1205,11),_xlfn.NUMBERVALUE(RIGHT($E1205:$E3203,2)))),TRUE)</f>
        <v>1</v>
      </c>
      <c r="G1205" s="336"/>
      <c r="H1205" s="336"/>
      <c r="I1205" s="336"/>
      <c r="J1205" s="336"/>
      <c r="K1205" s="336"/>
      <c r="L1205" s="336"/>
      <c r="M1205" s="336"/>
      <c r="N1205" s="336"/>
      <c r="O1205" s="336"/>
      <c r="P1205" s="336"/>
      <c r="Q1205" s="336"/>
      <c r="R1205" s="336"/>
      <c r="S1205" s="336"/>
      <c r="T1205" s="336"/>
    </row>
    <row r="1206" spans="1:20" x14ac:dyDescent="0.25">
      <c r="A1206" s="336"/>
      <c r="B1206" s="336"/>
      <c r="C1206" s="336"/>
      <c r="D1206" s="336"/>
      <c r="E1206" s="336"/>
      <c r="F1206" s="104" t="b">
        <f t="array" ref="F1206">IF(_xlfn.NUMBERVALUE(RIGHT($E1206,2))=MAX(IF(LEFT($E1206:$E3204,11)=LEFT($E1206,11),_xlfn.NUMBERVALUE(RIGHT($E1206:$E3204,2)))),TRUE)</f>
        <v>1</v>
      </c>
      <c r="G1206" s="336"/>
      <c r="H1206" s="336"/>
      <c r="I1206" s="336"/>
      <c r="J1206" s="336"/>
      <c r="K1206" s="336"/>
      <c r="L1206" s="336"/>
      <c r="M1206" s="336"/>
      <c r="N1206" s="336"/>
      <c r="O1206" s="336"/>
      <c r="P1206" s="336"/>
      <c r="Q1206" s="336"/>
      <c r="R1206" s="336"/>
      <c r="S1206" s="336"/>
      <c r="T1206" s="336"/>
    </row>
    <row r="1207" spans="1:20" x14ac:dyDescent="0.25">
      <c r="A1207" s="336"/>
      <c r="B1207" s="336"/>
      <c r="C1207" s="336"/>
      <c r="D1207" s="336"/>
      <c r="E1207" s="336"/>
      <c r="F1207" s="104" t="b">
        <f t="array" ref="F1207">IF(_xlfn.NUMBERVALUE(RIGHT($E1207,2))=MAX(IF(LEFT($E1207:$E3205,11)=LEFT($E1207,11),_xlfn.NUMBERVALUE(RIGHT($E1207:$E3205,2)))),TRUE)</f>
        <v>1</v>
      </c>
      <c r="G1207" s="336"/>
      <c r="H1207" s="336"/>
      <c r="I1207" s="336"/>
      <c r="J1207" s="336"/>
      <c r="K1207" s="336"/>
      <c r="L1207" s="336"/>
      <c r="M1207" s="336"/>
      <c r="N1207" s="336"/>
      <c r="O1207" s="336"/>
      <c r="P1207" s="336"/>
      <c r="Q1207" s="336"/>
      <c r="R1207" s="336"/>
      <c r="S1207" s="336"/>
      <c r="T1207" s="336"/>
    </row>
    <row r="1208" spans="1:20" x14ac:dyDescent="0.25">
      <c r="A1208" s="336"/>
      <c r="B1208" s="336"/>
      <c r="C1208" s="336"/>
      <c r="D1208" s="336"/>
      <c r="E1208" s="336"/>
      <c r="F1208" s="104" t="b">
        <f t="array" ref="F1208">IF(_xlfn.NUMBERVALUE(RIGHT($E1208,2))=MAX(IF(LEFT($E1208:$E3206,11)=LEFT($E1208,11),_xlfn.NUMBERVALUE(RIGHT($E1208:$E3206,2)))),TRUE)</f>
        <v>1</v>
      </c>
      <c r="G1208" s="336"/>
      <c r="H1208" s="336"/>
      <c r="I1208" s="336"/>
      <c r="J1208" s="336"/>
      <c r="K1208" s="336"/>
      <c r="L1208" s="336"/>
      <c r="M1208" s="336"/>
      <c r="N1208" s="336"/>
      <c r="O1208" s="336"/>
      <c r="P1208" s="336"/>
      <c r="Q1208" s="336"/>
      <c r="R1208" s="336"/>
      <c r="S1208" s="336"/>
      <c r="T1208" s="336"/>
    </row>
    <row r="1209" spans="1:20" x14ac:dyDescent="0.25">
      <c r="A1209" s="336"/>
      <c r="B1209" s="336"/>
      <c r="C1209" s="336"/>
      <c r="D1209" s="336"/>
      <c r="E1209" s="336"/>
      <c r="F1209" s="104" t="b">
        <f t="array" ref="F1209">IF(_xlfn.NUMBERVALUE(RIGHT($E1209,2))=MAX(IF(LEFT($E1209:$E3207,11)=LEFT($E1209,11),_xlfn.NUMBERVALUE(RIGHT($E1209:$E3207,2)))),TRUE)</f>
        <v>1</v>
      </c>
      <c r="G1209" s="336"/>
      <c r="H1209" s="336"/>
      <c r="I1209" s="336"/>
      <c r="J1209" s="336"/>
      <c r="K1209" s="336"/>
      <c r="L1209" s="336"/>
      <c r="M1209" s="336"/>
      <c r="N1209" s="336"/>
      <c r="O1209" s="336"/>
      <c r="P1209" s="336"/>
      <c r="Q1209" s="336"/>
      <c r="R1209" s="336"/>
      <c r="S1209" s="336"/>
      <c r="T1209" s="336"/>
    </row>
    <row r="1210" spans="1:20" x14ac:dyDescent="0.25">
      <c r="A1210" s="336"/>
      <c r="B1210" s="336"/>
      <c r="C1210" s="336"/>
      <c r="D1210" s="336"/>
      <c r="E1210" s="336"/>
      <c r="F1210" s="104" t="b">
        <f t="array" ref="F1210">IF(_xlfn.NUMBERVALUE(RIGHT($E1210,2))=MAX(IF(LEFT($E1210:$E3208,11)=LEFT($E1210,11),_xlfn.NUMBERVALUE(RIGHT($E1210:$E3208,2)))),TRUE)</f>
        <v>1</v>
      </c>
      <c r="G1210" s="336"/>
      <c r="H1210" s="336"/>
      <c r="I1210" s="336"/>
      <c r="J1210" s="336"/>
      <c r="K1210" s="336"/>
      <c r="L1210" s="336"/>
      <c r="M1210" s="336"/>
      <c r="N1210" s="336"/>
      <c r="O1210" s="336"/>
      <c r="P1210" s="336"/>
      <c r="Q1210" s="336"/>
      <c r="R1210" s="336"/>
      <c r="S1210" s="336"/>
      <c r="T1210" s="336"/>
    </row>
    <row r="1211" spans="1:20" x14ac:dyDescent="0.25">
      <c r="A1211" s="336"/>
      <c r="B1211" s="336"/>
      <c r="C1211" s="336"/>
      <c r="D1211" s="336"/>
      <c r="E1211" s="336"/>
      <c r="F1211" s="104" t="b">
        <f t="array" ref="F1211">IF(_xlfn.NUMBERVALUE(RIGHT($E1211,2))=MAX(IF(LEFT($E1211:$E3209,11)=LEFT($E1211,11),_xlfn.NUMBERVALUE(RIGHT($E1211:$E3209,2)))),TRUE)</f>
        <v>1</v>
      </c>
      <c r="G1211" s="336"/>
      <c r="H1211" s="336"/>
      <c r="I1211" s="336"/>
      <c r="J1211" s="336"/>
      <c r="K1211" s="336"/>
      <c r="L1211" s="336"/>
      <c r="M1211" s="336"/>
      <c r="N1211" s="336"/>
      <c r="O1211" s="336"/>
      <c r="P1211" s="336"/>
      <c r="Q1211" s="336"/>
      <c r="R1211" s="336"/>
      <c r="S1211" s="336"/>
      <c r="T1211" s="336"/>
    </row>
    <row r="1212" spans="1:20" x14ac:dyDescent="0.25">
      <c r="A1212" s="336"/>
      <c r="B1212" s="336"/>
      <c r="C1212" s="336"/>
      <c r="D1212" s="336"/>
      <c r="E1212" s="336"/>
      <c r="F1212" s="104" t="b">
        <f t="array" ref="F1212">IF(_xlfn.NUMBERVALUE(RIGHT($E1212,2))=MAX(IF(LEFT($E1212:$E3210,11)=LEFT($E1212,11),_xlfn.NUMBERVALUE(RIGHT($E1212:$E3210,2)))),TRUE)</f>
        <v>1</v>
      </c>
      <c r="G1212" s="336"/>
      <c r="H1212" s="336"/>
      <c r="I1212" s="336"/>
      <c r="J1212" s="336"/>
      <c r="K1212" s="336"/>
      <c r="L1212" s="336"/>
      <c r="M1212" s="336"/>
      <c r="N1212" s="336"/>
      <c r="O1212" s="336"/>
      <c r="P1212" s="336"/>
      <c r="Q1212" s="336"/>
      <c r="R1212" s="336"/>
      <c r="S1212" s="336"/>
      <c r="T1212" s="336"/>
    </row>
    <row r="1213" spans="1:20" x14ac:dyDescent="0.25">
      <c r="A1213" s="336"/>
      <c r="B1213" s="336"/>
      <c r="C1213" s="336"/>
      <c r="D1213" s="336"/>
      <c r="E1213" s="336"/>
      <c r="F1213" s="104" t="b">
        <f t="array" ref="F1213">IF(_xlfn.NUMBERVALUE(RIGHT($E1213,2))=MAX(IF(LEFT($E1213:$E3211,11)=LEFT($E1213,11),_xlfn.NUMBERVALUE(RIGHT($E1213:$E3211,2)))),TRUE)</f>
        <v>1</v>
      </c>
      <c r="G1213" s="336"/>
      <c r="H1213" s="336"/>
      <c r="I1213" s="336"/>
      <c r="J1213" s="336"/>
      <c r="K1213" s="336"/>
      <c r="L1213" s="336"/>
      <c r="M1213" s="336"/>
      <c r="N1213" s="336"/>
      <c r="O1213" s="336"/>
      <c r="P1213" s="336"/>
      <c r="Q1213" s="336"/>
      <c r="R1213" s="336"/>
      <c r="S1213" s="336"/>
      <c r="T1213" s="336"/>
    </row>
    <row r="1214" spans="1:20" x14ac:dyDescent="0.25">
      <c r="A1214" s="336"/>
      <c r="B1214" s="336"/>
      <c r="C1214" s="336"/>
      <c r="D1214" s="336"/>
      <c r="E1214" s="336"/>
      <c r="F1214" s="104" t="b">
        <f t="array" ref="F1214">IF(_xlfn.NUMBERVALUE(RIGHT($E1214,2))=MAX(IF(LEFT($E1214:$E3212,11)=LEFT($E1214,11),_xlfn.NUMBERVALUE(RIGHT($E1214:$E3212,2)))),TRUE)</f>
        <v>1</v>
      </c>
      <c r="G1214" s="336"/>
      <c r="H1214" s="336"/>
      <c r="I1214" s="336"/>
      <c r="J1214" s="336"/>
      <c r="K1214" s="336"/>
      <c r="L1214" s="336"/>
      <c r="M1214" s="336"/>
      <c r="N1214" s="336"/>
      <c r="O1214" s="336"/>
      <c r="P1214" s="336"/>
      <c r="Q1214" s="336"/>
      <c r="R1214" s="336"/>
      <c r="S1214" s="336"/>
      <c r="T1214" s="336"/>
    </row>
    <row r="1215" spans="1:20" x14ac:dyDescent="0.25">
      <c r="A1215" s="336"/>
      <c r="B1215" s="336"/>
      <c r="C1215" s="336"/>
      <c r="D1215" s="336"/>
      <c r="E1215" s="336"/>
      <c r="F1215" s="104" t="b">
        <f t="array" ref="F1215">IF(_xlfn.NUMBERVALUE(RIGHT($E1215,2))=MAX(IF(LEFT($E1215:$E3213,11)=LEFT($E1215,11),_xlfn.NUMBERVALUE(RIGHT($E1215:$E3213,2)))),TRUE)</f>
        <v>1</v>
      </c>
      <c r="G1215" s="336"/>
      <c r="H1215" s="336"/>
      <c r="I1215" s="336"/>
      <c r="J1215" s="336"/>
      <c r="K1215" s="336"/>
      <c r="L1215" s="336"/>
      <c r="M1215" s="336"/>
      <c r="N1215" s="336"/>
      <c r="O1215" s="336"/>
      <c r="P1215" s="336"/>
      <c r="Q1215" s="336"/>
      <c r="R1215" s="336"/>
      <c r="S1215" s="336"/>
      <c r="T1215" s="336"/>
    </row>
    <row r="1216" spans="1:20" x14ac:dyDescent="0.25">
      <c r="A1216" s="336"/>
      <c r="B1216" s="336"/>
      <c r="C1216" s="336"/>
      <c r="D1216" s="336"/>
      <c r="E1216" s="336"/>
      <c r="F1216" s="104" t="b">
        <f t="array" ref="F1216">IF(_xlfn.NUMBERVALUE(RIGHT($E1216,2))=MAX(IF(LEFT($E1216:$E3214,11)=LEFT($E1216,11),_xlfn.NUMBERVALUE(RIGHT($E1216:$E3214,2)))),TRUE)</f>
        <v>1</v>
      </c>
      <c r="G1216" s="336"/>
      <c r="H1216" s="336"/>
      <c r="I1216" s="336"/>
      <c r="J1216" s="336"/>
      <c r="K1216" s="336"/>
      <c r="L1216" s="336"/>
      <c r="M1216" s="336"/>
      <c r="N1216" s="336"/>
      <c r="O1216" s="336"/>
      <c r="P1216" s="336"/>
      <c r="Q1216" s="336"/>
      <c r="R1216" s="336"/>
      <c r="S1216" s="336"/>
      <c r="T1216" s="336"/>
    </row>
    <row r="1217" spans="1:20" x14ac:dyDescent="0.25">
      <c r="A1217" s="336"/>
      <c r="B1217" s="336"/>
      <c r="C1217" s="336"/>
      <c r="D1217" s="336"/>
      <c r="E1217" s="336"/>
      <c r="F1217" s="104" t="b">
        <f t="array" ref="F1217">IF(_xlfn.NUMBERVALUE(RIGHT($E1217,2))=MAX(IF(LEFT($E1217:$E3215,11)=LEFT($E1217,11),_xlfn.NUMBERVALUE(RIGHT($E1217:$E3215,2)))),TRUE)</f>
        <v>1</v>
      </c>
      <c r="G1217" s="336"/>
      <c r="H1217" s="336"/>
      <c r="I1217" s="336"/>
      <c r="J1217" s="336"/>
      <c r="K1217" s="336"/>
      <c r="L1217" s="336"/>
      <c r="M1217" s="336"/>
      <c r="N1217" s="336"/>
      <c r="O1217" s="336"/>
      <c r="P1217" s="336"/>
      <c r="Q1217" s="336"/>
      <c r="R1217" s="336"/>
      <c r="S1217" s="336"/>
      <c r="T1217" s="336"/>
    </row>
    <row r="1218" spans="1:20" x14ac:dyDescent="0.25">
      <c r="A1218" s="336"/>
      <c r="B1218" s="336"/>
      <c r="C1218" s="336"/>
      <c r="D1218" s="336"/>
      <c r="E1218" s="336"/>
      <c r="F1218" s="104" t="b">
        <f t="array" ref="F1218">IF(_xlfn.NUMBERVALUE(RIGHT($E1218,2))=MAX(IF(LEFT($E1218:$E3216,11)=LEFT($E1218,11),_xlfn.NUMBERVALUE(RIGHT($E1218:$E3216,2)))),TRUE)</f>
        <v>1</v>
      </c>
      <c r="G1218" s="336"/>
      <c r="H1218" s="336"/>
      <c r="I1218" s="336"/>
      <c r="J1218" s="336"/>
      <c r="K1218" s="336"/>
      <c r="L1218" s="336"/>
      <c r="M1218" s="336"/>
      <c r="N1218" s="336"/>
      <c r="O1218" s="336"/>
      <c r="P1218" s="336"/>
      <c r="Q1218" s="336"/>
      <c r="R1218" s="336"/>
      <c r="S1218" s="336"/>
      <c r="T1218" s="336"/>
    </row>
    <row r="1219" spans="1:20" x14ac:dyDescent="0.25">
      <c r="A1219" s="336"/>
      <c r="B1219" s="336"/>
      <c r="C1219" s="336"/>
      <c r="D1219" s="336"/>
      <c r="E1219" s="336"/>
      <c r="F1219" s="104" t="b">
        <f t="array" ref="F1219">IF(_xlfn.NUMBERVALUE(RIGHT($E1219,2))=MAX(IF(LEFT($E1219:$E3217,11)=LEFT($E1219,11),_xlfn.NUMBERVALUE(RIGHT($E1219:$E3217,2)))),TRUE)</f>
        <v>1</v>
      </c>
      <c r="G1219" s="336"/>
      <c r="H1219" s="336"/>
      <c r="I1219" s="336"/>
      <c r="J1219" s="336"/>
      <c r="K1219" s="336"/>
      <c r="L1219" s="336"/>
      <c r="M1219" s="336"/>
      <c r="N1219" s="336"/>
      <c r="O1219" s="336"/>
      <c r="P1219" s="336"/>
      <c r="Q1219" s="336"/>
      <c r="R1219" s="336"/>
      <c r="S1219" s="336"/>
      <c r="T1219" s="336"/>
    </row>
    <row r="1220" spans="1:20" x14ac:dyDescent="0.25">
      <c r="A1220" s="336"/>
      <c r="B1220" s="336"/>
      <c r="C1220" s="336"/>
      <c r="D1220" s="336"/>
      <c r="E1220" s="336"/>
      <c r="F1220" s="104" t="b">
        <f t="array" ref="F1220">IF(_xlfn.NUMBERVALUE(RIGHT($E1220,2))=MAX(IF(LEFT($E1220:$E3218,11)=LEFT($E1220,11),_xlfn.NUMBERVALUE(RIGHT($E1220:$E3218,2)))),TRUE)</f>
        <v>1</v>
      </c>
      <c r="G1220" s="336"/>
      <c r="H1220" s="336"/>
      <c r="I1220" s="336"/>
      <c r="J1220" s="336"/>
      <c r="K1220" s="336"/>
      <c r="L1220" s="336"/>
      <c r="M1220" s="336"/>
      <c r="N1220" s="336"/>
      <c r="O1220" s="336"/>
      <c r="P1220" s="336"/>
      <c r="Q1220" s="336"/>
      <c r="R1220" s="336"/>
      <c r="S1220" s="336"/>
      <c r="T1220" s="336"/>
    </row>
    <row r="1221" spans="1:20" x14ac:dyDescent="0.25">
      <c r="A1221" s="336"/>
      <c r="B1221" s="336"/>
      <c r="C1221" s="336"/>
      <c r="D1221" s="336"/>
      <c r="E1221" s="336"/>
      <c r="F1221" s="104" t="b">
        <f t="array" ref="F1221">IF(_xlfn.NUMBERVALUE(RIGHT($E1221,2))=MAX(IF(LEFT($E1221:$E3219,11)=LEFT($E1221,11),_xlfn.NUMBERVALUE(RIGHT($E1221:$E3219,2)))),TRUE)</f>
        <v>1</v>
      </c>
      <c r="G1221" s="336"/>
      <c r="H1221" s="336"/>
      <c r="I1221" s="336"/>
      <c r="J1221" s="336"/>
      <c r="K1221" s="336"/>
      <c r="L1221" s="336"/>
      <c r="M1221" s="336"/>
      <c r="N1221" s="336"/>
      <c r="O1221" s="336"/>
      <c r="P1221" s="336"/>
      <c r="Q1221" s="336"/>
      <c r="R1221" s="336"/>
      <c r="S1221" s="336"/>
      <c r="T1221" s="336"/>
    </row>
    <row r="1222" spans="1:20" x14ac:dyDescent="0.25">
      <c r="A1222" s="336"/>
      <c r="B1222" s="336"/>
      <c r="C1222" s="336"/>
      <c r="D1222" s="336"/>
      <c r="E1222" s="336"/>
      <c r="F1222" s="104" t="b">
        <f t="array" ref="F1222">IF(_xlfn.NUMBERVALUE(RIGHT($E1222,2))=MAX(IF(LEFT($E1222:$E3220,11)=LEFT($E1222,11),_xlfn.NUMBERVALUE(RIGHT($E1222:$E3220,2)))),TRUE)</f>
        <v>1</v>
      </c>
      <c r="G1222" s="336"/>
      <c r="H1222" s="336"/>
      <c r="I1222" s="336"/>
      <c r="J1222" s="336"/>
      <c r="K1222" s="336"/>
      <c r="L1222" s="336"/>
      <c r="M1222" s="336"/>
      <c r="N1222" s="336"/>
      <c r="O1222" s="336"/>
      <c r="P1222" s="336"/>
      <c r="Q1222" s="336"/>
      <c r="R1222" s="336"/>
      <c r="S1222" s="336"/>
      <c r="T1222" s="336"/>
    </row>
    <row r="1223" spans="1:20" x14ac:dyDescent="0.25">
      <c r="A1223" s="336"/>
      <c r="B1223" s="336"/>
      <c r="C1223" s="336"/>
      <c r="D1223" s="336"/>
      <c r="E1223" s="336"/>
      <c r="F1223" s="104" t="b">
        <f t="array" ref="F1223">IF(_xlfn.NUMBERVALUE(RIGHT($E1223,2))=MAX(IF(LEFT($E1223:$E3221,11)=LEFT($E1223,11),_xlfn.NUMBERVALUE(RIGHT($E1223:$E3221,2)))),TRUE)</f>
        <v>1</v>
      </c>
      <c r="G1223" s="336"/>
      <c r="H1223" s="336"/>
      <c r="I1223" s="336"/>
      <c r="J1223" s="336"/>
      <c r="K1223" s="336"/>
      <c r="L1223" s="336"/>
      <c r="M1223" s="336"/>
      <c r="N1223" s="336"/>
      <c r="O1223" s="336"/>
      <c r="P1223" s="336"/>
      <c r="Q1223" s="336"/>
      <c r="R1223" s="336"/>
      <c r="S1223" s="336"/>
      <c r="T1223" s="336"/>
    </row>
    <row r="1224" spans="1:20" x14ac:dyDescent="0.25">
      <c r="A1224" s="336"/>
      <c r="B1224" s="336"/>
      <c r="C1224" s="336"/>
      <c r="D1224" s="336"/>
      <c r="E1224" s="336"/>
      <c r="F1224" s="104" t="b">
        <f t="array" ref="F1224">IF(_xlfn.NUMBERVALUE(RIGHT($E1224,2))=MAX(IF(LEFT($E1224:$E3222,11)=LEFT($E1224,11),_xlfn.NUMBERVALUE(RIGHT($E1224:$E3222,2)))),TRUE)</f>
        <v>1</v>
      </c>
      <c r="G1224" s="336"/>
      <c r="H1224" s="336"/>
      <c r="I1224" s="336"/>
      <c r="J1224" s="336"/>
      <c r="K1224" s="336"/>
      <c r="L1224" s="336"/>
      <c r="M1224" s="336"/>
      <c r="N1224" s="336"/>
      <c r="O1224" s="336"/>
      <c r="P1224" s="336"/>
      <c r="Q1224" s="336"/>
      <c r="R1224" s="336"/>
      <c r="S1224" s="336"/>
      <c r="T1224" s="336"/>
    </row>
    <row r="1225" spans="1:20" x14ac:dyDescent="0.25">
      <c r="A1225" s="336"/>
      <c r="B1225" s="336"/>
      <c r="C1225" s="336"/>
      <c r="D1225" s="336"/>
      <c r="E1225" s="336"/>
      <c r="F1225" s="104" t="b">
        <f t="array" ref="F1225">IF(_xlfn.NUMBERVALUE(RIGHT($E1225,2))=MAX(IF(LEFT($E1225:$E3223,11)=LEFT($E1225,11),_xlfn.NUMBERVALUE(RIGHT($E1225:$E3223,2)))),TRUE)</f>
        <v>1</v>
      </c>
      <c r="G1225" s="336"/>
      <c r="H1225" s="336"/>
      <c r="I1225" s="336"/>
      <c r="J1225" s="336"/>
      <c r="K1225" s="336"/>
      <c r="L1225" s="336"/>
      <c r="M1225" s="336"/>
      <c r="N1225" s="336"/>
      <c r="O1225" s="336"/>
      <c r="P1225" s="336"/>
      <c r="Q1225" s="336"/>
      <c r="R1225" s="336"/>
      <c r="S1225" s="336"/>
      <c r="T1225" s="336"/>
    </row>
    <row r="1226" spans="1:20" x14ac:dyDescent="0.25">
      <c r="A1226" s="336"/>
      <c r="B1226" s="336"/>
      <c r="C1226" s="336"/>
      <c r="D1226" s="336"/>
      <c r="E1226" s="336"/>
      <c r="F1226" s="104" t="b">
        <f t="array" ref="F1226">IF(_xlfn.NUMBERVALUE(RIGHT($E1226,2))=MAX(IF(LEFT($E1226:$E3224,11)=LEFT($E1226,11),_xlfn.NUMBERVALUE(RIGHT($E1226:$E3224,2)))),TRUE)</f>
        <v>1</v>
      </c>
      <c r="G1226" s="336"/>
      <c r="H1226" s="336"/>
      <c r="I1226" s="336"/>
      <c r="J1226" s="336"/>
      <c r="K1226" s="336"/>
      <c r="L1226" s="336"/>
      <c r="M1226" s="336"/>
      <c r="N1226" s="336"/>
      <c r="O1226" s="336"/>
      <c r="P1226" s="336"/>
      <c r="Q1226" s="336"/>
      <c r="R1226" s="336"/>
      <c r="S1226" s="336"/>
      <c r="T1226" s="336"/>
    </row>
    <row r="1227" spans="1:20" x14ac:dyDescent="0.25">
      <c r="A1227" s="336"/>
      <c r="B1227" s="336"/>
      <c r="C1227" s="336"/>
      <c r="D1227" s="336"/>
      <c r="E1227" s="336"/>
      <c r="F1227" s="104" t="b">
        <f t="array" ref="F1227">IF(_xlfn.NUMBERVALUE(RIGHT($E1227,2))=MAX(IF(LEFT($E1227:$E3225,11)=LEFT($E1227,11),_xlfn.NUMBERVALUE(RIGHT($E1227:$E3225,2)))),TRUE)</f>
        <v>1</v>
      </c>
      <c r="G1227" s="336"/>
      <c r="H1227" s="336"/>
      <c r="I1227" s="336"/>
      <c r="J1227" s="336"/>
      <c r="K1227" s="336"/>
      <c r="L1227" s="336"/>
      <c r="M1227" s="336"/>
      <c r="N1227" s="336"/>
      <c r="O1227" s="336"/>
      <c r="P1227" s="336"/>
      <c r="Q1227" s="336"/>
      <c r="R1227" s="336"/>
      <c r="S1227" s="336"/>
      <c r="T1227" s="336"/>
    </row>
    <row r="1228" spans="1:20" x14ac:dyDescent="0.25">
      <c r="A1228" s="336"/>
      <c r="B1228" s="336"/>
      <c r="C1228" s="336"/>
      <c r="D1228" s="336"/>
      <c r="E1228" s="336"/>
      <c r="F1228" s="104" t="b">
        <f t="array" ref="F1228">IF(_xlfn.NUMBERVALUE(RIGHT($E1228,2))=MAX(IF(LEFT($E1228:$E3226,11)=LEFT($E1228,11),_xlfn.NUMBERVALUE(RIGHT($E1228:$E3226,2)))),TRUE)</f>
        <v>1</v>
      </c>
      <c r="G1228" s="336"/>
      <c r="H1228" s="336"/>
      <c r="I1228" s="336"/>
      <c r="J1228" s="336"/>
      <c r="K1228" s="336"/>
      <c r="L1228" s="336"/>
      <c r="M1228" s="336"/>
      <c r="N1228" s="336"/>
      <c r="O1228" s="336"/>
      <c r="P1228" s="336"/>
      <c r="Q1228" s="336"/>
      <c r="R1228" s="336"/>
      <c r="S1228" s="336"/>
      <c r="T1228" s="336"/>
    </row>
    <row r="1229" spans="1:20" x14ac:dyDescent="0.25">
      <c r="A1229" s="336"/>
      <c r="B1229" s="336"/>
      <c r="C1229" s="336"/>
      <c r="D1229" s="336"/>
      <c r="E1229" s="336"/>
      <c r="F1229" s="104" t="b">
        <f t="array" ref="F1229">IF(_xlfn.NUMBERVALUE(RIGHT($E1229,2))=MAX(IF(LEFT($E1229:$E3227,11)=LEFT($E1229,11),_xlfn.NUMBERVALUE(RIGHT($E1229:$E3227,2)))),TRUE)</f>
        <v>1</v>
      </c>
      <c r="G1229" s="336"/>
      <c r="H1229" s="336"/>
      <c r="I1229" s="336"/>
      <c r="J1229" s="336"/>
      <c r="K1229" s="336"/>
      <c r="L1229" s="336"/>
      <c r="M1229" s="336"/>
      <c r="N1229" s="336"/>
      <c r="O1229" s="336"/>
      <c r="P1229" s="336"/>
      <c r="Q1229" s="336"/>
      <c r="R1229" s="336"/>
      <c r="S1229" s="336"/>
      <c r="T1229" s="336"/>
    </row>
    <row r="1230" spans="1:20" x14ac:dyDescent="0.25">
      <c r="A1230" s="336"/>
      <c r="B1230" s="336"/>
      <c r="C1230" s="336"/>
      <c r="D1230" s="336"/>
      <c r="E1230" s="336"/>
      <c r="F1230" s="104" t="b">
        <f t="array" ref="F1230">IF(_xlfn.NUMBERVALUE(RIGHT($E1230,2))=MAX(IF(LEFT($E1230:$E3228,11)=LEFT($E1230,11),_xlfn.NUMBERVALUE(RIGHT($E1230:$E3228,2)))),TRUE)</f>
        <v>1</v>
      </c>
      <c r="G1230" s="336"/>
      <c r="H1230" s="336"/>
      <c r="I1230" s="336"/>
      <c r="J1230" s="336"/>
      <c r="K1230" s="336"/>
      <c r="L1230" s="336"/>
      <c r="M1230" s="336"/>
      <c r="N1230" s="336"/>
      <c r="O1230" s="336"/>
      <c r="P1230" s="336"/>
      <c r="Q1230" s="336"/>
      <c r="R1230" s="336"/>
      <c r="S1230" s="336"/>
      <c r="T1230" s="336"/>
    </row>
    <row r="1231" spans="1:20" x14ac:dyDescent="0.25">
      <c r="A1231" s="336"/>
      <c r="B1231" s="336"/>
      <c r="C1231" s="336"/>
      <c r="D1231" s="336"/>
      <c r="E1231" s="336"/>
      <c r="F1231" s="104" t="b">
        <f t="array" ref="F1231">IF(_xlfn.NUMBERVALUE(RIGHT($E1231,2))=MAX(IF(LEFT($E1231:$E3229,11)=LEFT($E1231,11),_xlfn.NUMBERVALUE(RIGHT($E1231:$E3229,2)))),TRUE)</f>
        <v>1</v>
      </c>
      <c r="G1231" s="336"/>
      <c r="H1231" s="336"/>
      <c r="I1231" s="336"/>
      <c r="J1231" s="336"/>
      <c r="K1231" s="336"/>
      <c r="L1231" s="336"/>
      <c r="M1231" s="336"/>
      <c r="N1231" s="336"/>
      <c r="O1231" s="336"/>
      <c r="P1231" s="336"/>
      <c r="Q1231" s="336"/>
      <c r="R1231" s="336"/>
      <c r="S1231" s="336"/>
      <c r="T1231" s="336"/>
    </row>
    <row r="1232" spans="1:20" x14ac:dyDescent="0.25">
      <c r="A1232" s="336"/>
      <c r="B1232" s="336"/>
      <c r="C1232" s="336"/>
      <c r="D1232" s="336"/>
      <c r="E1232" s="336"/>
      <c r="F1232" s="104" t="b">
        <f t="array" ref="F1232">IF(_xlfn.NUMBERVALUE(RIGHT($E1232,2))=MAX(IF(LEFT($E1232:$E3230,11)=LEFT($E1232,11),_xlfn.NUMBERVALUE(RIGHT($E1232:$E3230,2)))),TRUE)</f>
        <v>1</v>
      </c>
      <c r="G1232" s="336"/>
      <c r="H1232" s="336"/>
      <c r="I1232" s="336"/>
      <c r="J1232" s="336"/>
      <c r="K1232" s="336"/>
      <c r="L1232" s="336"/>
      <c r="M1232" s="336"/>
      <c r="N1232" s="336"/>
      <c r="O1232" s="336"/>
      <c r="P1232" s="336"/>
      <c r="Q1232" s="336"/>
      <c r="R1232" s="336"/>
      <c r="S1232" s="336"/>
      <c r="T1232" s="336"/>
    </row>
    <row r="1233" spans="1:20" x14ac:dyDescent="0.25">
      <c r="A1233" s="336"/>
      <c r="B1233" s="336"/>
      <c r="C1233" s="336"/>
      <c r="D1233" s="336"/>
      <c r="E1233" s="336"/>
      <c r="F1233" s="104" t="b">
        <f t="array" ref="F1233">IF(_xlfn.NUMBERVALUE(RIGHT($E1233,2))=MAX(IF(LEFT($E1233:$E3231,11)=LEFT($E1233,11),_xlfn.NUMBERVALUE(RIGHT($E1233:$E3231,2)))),TRUE)</f>
        <v>1</v>
      </c>
      <c r="G1233" s="336"/>
      <c r="H1233" s="336"/>
      <c r="I1233" s="336"/>
      <c r="J1233" s="336"/>
      <c r="K1233" s="336"/>
      <c r="L1233" s="336"/>
      <c r="M1233" s="336"/>
      <c r="N1233" s="336"/>
      <c r="O1233" s="336"/>
      <c r="P1233" s="336"/>
      <c r="Q1233" s="336"/>
      <c r="R1233" s="336"/>
      <c r="S1233" s="336"/>
      <c r="T1233" s="336"/>
    </row>
    <row r="1234" spans="1:20" x14ac:dyDescent="0.25">
      <c r="A1234" s="336"/>
      <c r="B1234" s="336"/>
      <c r="C1234" s="336"/>
      <c r="D1234" s="336"/>
      <c r="E1234" s="336"/>
      <c r="F1234" s="104" t="b">
        <f t="array" ref="F1234">IF(_xlfn.NUMBERVALUE(RIGHT($E1234,2))=MAX(IF(LEFT($E1234:$E3232,11)=LEFT($E1234,11),_xlfn.NUMBERVALUE(RIGHT($E1234:$E3232,2)))),TRUE)</f>
        <v>1</v>
      </c>
      <c r="G1234" s="336"/>
      <c r="H1234" s="336"/>
      <c r="I1234" s="336"/>
      <c r="J1234" s="336"/>
      <c r="K1234" s="336"/>
      <c r="L1234" s="336"/>
      <c r="M1234" s="336"/>
      <c r="N1234" s="336"/>
      <c r="O1234" s="336"/>
      <c r="P1234" s="336"/>
      <c r="Q1234" s="336"/>
      <c r="R1234" s="336"/>
      <c r="S1234" s="336"/>
      <c r="T1234" s="336"/>
    </row>
    <row r="1235" spans="1:20" x14ac:dyDescent="0.25">
      <c r="A1235" s="336"/>
      <c r="B1235" s="336"/>
      <c r="C1235" s="336"/>
      <c r="D1235" s="336"/>
      <c r="E1235" s="336"/>
      <c r="F1235" s="104" t="b">
        <f t="array" ref="F1235">IF(_xlfn.NUMBERVALUE(RIGHT($E1235,2))=MAX(IF(LEFT($E1235:$E3233,11)=LEFT($E1235,11),_xlfn.NUMBERVALUE(RIGHT($E1235:$E3233,2)))),TRUE)</f>
        <v>1</v>
      </c>
      <c r="G1235" s="336"/>
      <c r="H1235" s="336"/>
      <c r="I1235" s="336"/>
      <c r="J1235" s="336"/>
      <c r="K1235" s="336"/>
      <c r="L1235" s="336"/>
      <c r="M1235" s="336"/>
      <c r="N1235" s="336"/>
      <c r="O1235" s="336"/>
      <c r="P1235" s="336"/>
      <c r="Q1235" s="336"/>
      <c r="R1235" s="336"/>
      <c r="S1235" s="336"/>
      <c r="T1235" s="336"/>
    </row>
    <row r="1236" spans="1:20" x14ac:dyDescent="0.25">
      <c r="A1236" s="336"/>
      <c r="B1236" s="336"/>
      <c r="C1236" s="336"/>
      <c r="D1236" s="336"/>
      <c r="E1236" s="336"/>
      <c r="F1236" s="104" t="b">
        <f t="array" ref="F1236">IF(_xlfn.NUMBERVALUE(RIGHT($E1236,2))=MAX(IF(LEFT($E1236:$E3234,11)=LEFT($E1236,11),_xlfn.NUMBERVALUE(RIGHT($E1236:$E3234,2)))),TRUE)</f>
        <v>1</v>
      </c>
      <c r="G1236" s="336"/>
      <c r="H1236" s="336"/>
      <c r="I1236" s="336"/>
      <c r="J1236" s="336"/>
      <c r="K1236" s="336"/>
      <c r="L1236" s="336"/>
      <c r="M1236" s="336"/>
      <c r="N1236" s="336"/>
      <c r="O1236" s="336"/>
      <c r="P1236" s="336"/>
      <c r="Q1236" s="336"/>
      <c r="R1236" s="336"/>
      <c r="S1236" s="336"/>
      <c r="T1236" s="336"/>
    </row>
    <row r="1237" spans="1:20" x14ac:dyDescent="0.25">
      <c r="A1237" s="336"/>
      <c r="B1237" s="336"/>
      <c r="C1237" s="336"/>
      <c r="D1237" s="336"/>
      <c r="E1237" s="336"/>
      <c r="F1237" s="104" t="b">
        <f t="array" ref="F1237">IF(_xlfn.NUMBERVALUE(RIGHT($E1237,2))=MAX(IF(LEFT($E1237:$E3235,11)=LEFT($E1237,11),_xlfn.NUMBERVALUE(RIGHT($E1237:$E3235,2)))),TRUE)</f>
        <v>1</v>
      </c>
      <c r="G1237" s="336"/>
      <c r="H1237" s="336"/>
      <c r="I1237" s="336"/>
      <c r="J1237" s="336"/>
      <c r="K1237" s="336"/>
      <c r="L1237" s="336"/>
      <c r="M1237" s="336"/>
      <c r="N1237" s="336"/>
      <c r="O1237" s="336"/>
      <c r="P1237" s="336"/>
      <c r="Q1237" s="336"/>
      <c r="R1237" s="336"/>
      <c r="S1237" s="336"/>
      <c r="T1237" s="336"/>
    </row>
    <row r="1238" spans="1:20" x14ac:dyDescent="0.25">
      <c r="A1238" s="336"/>
      <c r="B1238" s="336"/>
      <c r="C1238" s="336"/>
      <c r="D1238" s="336"/>
      <c r="E1238" s="336"/>
      <c r="F1238" s="104" t="b">
        <f t="array" ref="F1238">IF(_xlfn.NUMBERVALUE(RIGHT($E1238,2))=MAX(IF(LEFT($E1238:$E3236,11)=LEFT($E1238,11),_xlfn.NUMBERVALUE(RIGHT($E1238:$E3236,2)))),TRUE)</f>
        <v>1</v>
      </c>
      <c r="G1238" s="336"/>
      <c r="H1238" s="336"/>
      <c r="I1238" s="336"/>
      <c r="J1238" s="336"/>
      <c r="K1238" s="336"/>
      <c r="L1238" s="336"/>
      <c r="M1238" s="336"/>
      <c r="N1238" s="336"/>
      <c r="O1238" s="336"/>
      <c r="P1238" s="336"/>
      <c r="Q1238" s="336"/>
      <c r="R1238" s="336"/>
      <c r="S1238" s="336"/>
      <c r="T1238" s="336"/>
    </row>
    <row r="1239" spans="1:20" x14ac:dyDescent="0.25">
      <c r="A1239" s="336"/>
      <c r="B1239" s="336"/>
      <c r="C1239" s="336"/>
      <c r="D1239" s="336"/>
      <c r="E1239" s="336"/>
      <c r="F1239" s="104" t="b">
        <f t="array" ref="F1239">IF(_xlfn.NUMBERVALUE(RIGHT($E1239,2))=MAX(IF(LEFT($E1239:$E3237,11)=LEFT($E1239,11),_xlfn.NUMBERVALUE(RIGHT($E1239:$E3237,2)))),TRUE)</f>
        <v>1</v>
      </c>
      <c r="G1239" s="336"/>
      <c r="H1239" s="336"/>
      <c r="I1239" s="336"/>
      <c r="J1239" s="336"/>
      <c r="K1239" s="336"/>
      <c r="L1239" s="336"/>
      <c r="M1239" s="336"/>
      <c r="N1239" s="336"/>
      <c r="O1239" s="336"/>
      <c r="P1239" s="336"/>
      <c r="Q1239" s="336"/>
      <c r="R1239" s="336"/>
      <c r="S1239" s="336"/>
      <c r="T1239" s="336"/>
    </row>
    <row r="1240" spans="1:20" x14ac:dyDescent="0.25">
      <c r="A1240" s="336"/>
      <c r="B1240" s="336"/>
      <c r="C1240" s="336"/>
      <c r="D1240" s="336"/>
      <c r="E1240" s="336"/>
      <c r="F1240" s="104" t="b">
        <f t="array" ref="F1240">IF(_xlfn.NUMBERVALUE(RIGHT($E1240,2))=MAX(IF(LEFT($E1240:$E3238,11)=LEFT($E1240,11),_xlfn.NUMBERVALUE(RIGHT($E1240:$E3238,2)))),TRUE)</f>
        <v>1</v>
      </c>
      <c r="G1240" s="336"/>
      <c r="H1240" s="336"/>
      <c r="I1240" s="336"/>
      <c r="J1240" s="336"/>
      <c r="K1240" s="336"/>
      <c r="L1240" s="336"/>
      <c r="M1240" s="336"/>
      <c r="N1240" s="336"/>
      <c r="O1240" s="336"/>
      <c r="P1240" s="336"/>
      <c r="Q1240" s="336"/>
      <c r="R1240" s="336"/>
      <c r="S1240" s="336"/>
      <c r="T1240" s="336"/>
    </row>
    <row r="1241" spans="1:20" x14ac:dyDescent="0.25">
      <c r="A1241" s="336"/>
      <c r="B1241" s="336"/>
      <c r="C1241" s="336"/>
      <c r="D1241" s="336"/>
      <c r="E1241" s="336"/>
      <c r="F1241" s="104" t="b">
        <f t="array" ref="F1241">IF(_xlfn.NUMBERVALUE(RIGHT($E1241,2))=MAX(IF(LEFT($E1241:$E3239,11)=LEFT($E1241,11),_xlfn.NUMBERVALUE(RIGHT($E1241:$E3239,2)))),TRUE)</f>
        <v>1</v>
      </c>
      <c r="G1241" s="336"/>
      <c r="H1241" s="336"/>
      <c r="I1241" s="336"/>
      <c r="J1241" s="336"/>
      <c r="K1241" s="336"/>
      <c r="L1241" s="336"/>
      <c r="M1241" s="336"/>
      <c r="N1241" s="336"/>
      <c r="O1241" s="336"/>
      <c r="P1241" s="336"/>
      <c r="Q1241" s="336"/>
      <c r="R1241" s="336"/>
      <c r="S1241" s="336"/>
      <c r="T1241" s="336"/>
    </row>
    <row r="1242" spans="1:20" x14ac:dyDescent="0.25">
      <c r="A1242" s="336"/>
      <c r="B1242" s="336"/>
      <c r="C1242" s="336"/>
      <c r="D1242" s="336"/>
      <c r="E1242" s="336"/>
      <c r="F1242" s="104" t="b">
        <f t="array" ref="F1242">IF(_xlfn.NUMBERVALUE(RIGHT($E1242,2))=MAX(IF(LEFT($E1242:$E3240,11)=LEFT($E1242,11),_xlfn.NUMBERVALUE(RIGHT($E1242:$E3240,2)))),TRUE)</f>
        <v>1</v>
      </c>
      <c r="G1242" s="336"/>
      <c r="H1242" s="336"/>
      <c r="I1242" s="336"/>
      <c r="J1242" s="336"/>
      <c r="K1242" s="336"/>
      <c r="L1242" s="336"/>
      <c r="M1242" s="336"/>
      <c r="N1242" s="336"/>
      <c r="O1242" s="336"/>
      <c r="P1242" s="336"/>
      <c r="Q1242" s="336"/>
      <c r="R1242" s="336"/>
      <c r="S1242" s="336"/>
      <c r="T1242" s="336"/>
    </row>
    <row r="1243" spans="1:20" x14ac:dyDescent="0.25">
      <c r="A1243" s="336"/>
      <c r="B1243" s="336"/>
      <c r="C1243" s="336"/>
      <c r="D1243" s="336"/>
      <c r="E1243" s="336"/>
      <c r="F1243" s="104" t="b">
        <f t="array" ref="F1243">IF(_xlfn.NUMBERVALUE(RIGHT($E1243,2))=MAX(IF(LEFT($E1243:$E3241,11)=LEFT($E1243,11),_xlfn.NUMBERVALUE(RIGHT($E1243:$E3241,2)))),TRUE)</f>
        <v>1</v>
      </c>
      <c r="G1243" s="336"/>
      <c r="H1243" s="336"/>
      <c r="I1243" s="336"/>
      <c r="J1243" s="336"/>
      <c r="K1243" s="336"/>
      <c r="L1243" s="336"/>
      <c r="M1243" s="336"/>
      <c r="N1243" s="336"/>
      <c r="O1243" s="336"/>
      <c r="P1243" s="336"/>
      <c r="Q1243" s="336"/>
      <c r="R1243" s="336"/>
      <c r="S1243" s="336"/>
      <c r="T1243" s="336"/>
    </row>
    <row r="1244" spans="1:20" x14ac:dyDescent="0.25">
      <c r="A1244" s="336"/>
      <c r="B1244" s="336"/>
      <c r="C1244" s="336"/>
      <c r="D1244" s="336"/>
      <c r="E1244" s="336"/>
      <c r="F1244" s="104" t="b">
        <f t="array" ref="F1244">IF(_xlfn.NUMBERVALUE(RIGHT($E1244,2))=MAX(IF(LEFT($E1244:$E3242,11)=LEFT($E1244,11),_xlfn.NUMBERVALUE(RIGHT($E1244:$E3242,2)))),TRUE)</f>
        <v>1</v>
      </c>
      <c r="G1244" s="336"/>
      <c r="H1244" s="336"/>
      <c r="I1244" s="336"/>
      <c r="J1244" s="336"/>
      <c r="K1244" s="336"/>
      <c r="L1244" s="336"/>
      <c r="M1244" s="336"/>
      <c r="N1244" s="336"/>
      <c r="O1244" s="336"/>
      <c r="P1244" s="336"/>
      <c r="Q1244" s="336"/>
      <c r="R1244" s="336"/>
      <c r="S1244" s="336"/>
      <c r="T1244" s="336"/>
    </row>
    <row r="1245" spans="1:20" x14ac:dyDescent="0.25">
      <c r="A1245" s="336"/>
      <c r="B1245" s="336"/>
      <c r="C1245" s="336"/>
      <c r="D1245" s="336"/>
      <c r="E1245" s="336"/>
      <c r="F1245" s="104" t="b">
        <f t="array" ref="F1245">IF(_xlfn.NUMBERVALUE(RIGHT($E1245,2))=MAX(IF(LEFT($E1245:$E3243,11)=LEFT($E1245,11),_xlfn.NUMBERVALUE(RIGHT($E1245:$E3243,2)))),TRUE)</f>
        <v>1</v>
      </c>
      <c r="G1245" s="336"/>
      <c r="H1245" s="336"/>
      <c r="I1245" s="336"/>
      <c r="J1245" s="336"/>
      <c r="K1245" s="336"/>
      <c r="L1245" s="336"/>
      <c r="M1245" s="336"/>
      <c r="N1245" s="336"/>
      <c r="O1245" s="336"/>
      <c r="P1245" s="336"/>
      <c r="Q1245" s="336"/>
      <c r="R1245" s="336"/>
      <c r="S1245" s="336"/>
      <c r="T1245" s="336"/>
    </row>
    <row r="1246" spans="1:20" x14ac:dyDescent="0.25">
      <c r="A1246" s="336"/>
      <c r="B1246" s="336"/>
      <c r="C1246" s="336"/>
      <c r="D1246" s="336"/>
      <c r="E1246" s="336"/>
      <c r="F1246" s="104" t="b">
        <f t="array" ref="F1246">IF(_xlfn.NUMBERVALUE(RIGHT($E1246,2))=MAX(IF(LEFT($E1246:$E3244,11)=LEFT($E1246,11),_xlfn.NUMBERVALUE(RIGHT($E1246:$E3244,2)))),TRUE)</f>
        <v>1</v>
      </c>
      <c r="G1246" s="336"/>
      <c r="H1246" s="336"/>
      <c r="I1246" s="336"/>
      <c r="J1246" s="336"/>
      <c r="K1246" s="336"/>
      <c r="L1246" s="336"/>
      <c r="M1246" s="336"/>
      <c r="N1246" s="336"/>
      <c r="O1246" s="336"/>
      <c r="P1246" s="336"/>
      <c r="Q1246" s="336"/>
      <c r="R1246" s="336"/>
      <c r="S1246" s="336"/>
      <c r="T1246" s="336"/>
    </row>
    <row r="1247" spans="1:20" x14ac:dyDescent="0.25">
      <c r="A1247" s="336"/>
      <c r="B1247" s="336"/>
      <c r="C1247" s="336"/>
      <c r="D1247" s="336"/>
      <c r="E1247" s="336"/>
      <c r="F1247" s="104" t="b">
        <f t="array" ref="F1247">IF(_xlfn.NUMBERVALUE(RIGHT($E1247,2))=MAX(IF(LEFT($E1247:$E3245,11)=LEFT($E1247,11),_xlfn.NUMBERVALUE(RIGHT($E1247:$E3245,2)))),TRUE)</f>
        <v>1</v>
      </c>
      <c r="G1247" s="336"/>
      <c r="H1247" s="336"/>
      <c r="I1247" s="336"/>
      <c r="J1247" s="336"/>
      <c r="K1247" s="336"/>
      <c r="L1247" s="336"/>
      <c r="M1247" s="336"/>
      <c r="N1247" s="336"/>
      <c r="O1247" s="336"/>
      <c r="P1247" s="336"/>
      <c r="Q1247" s="336"/>
      <c r="R1247" s="336"/>
      <c r="S1247" s="336"/>
      <c r="T1247" s="336"/>
    </row>
    <row r="1248" spans="1:20" x14ac:dyDescent="0.25">
      <c r="A1248" s="336"/>
      <c r="B1248" s="336"/>
      <c r="C1248" s="336"/>
      <c r="D1248" s="336"/>
      <c r="E1248" s="336"/>
      <c r="F1248" s="104" t="b">
        <f t="array" ref="F1248">IF(_xlfn.NUMBERVALUE(RIGHT($E1248,2))=MAX(IF(LEFT($E1248:$E3246,11)=LEFT($E1248,11),_xlfn.NUMBERVALUE(RIGHT($E1248:$E3246,2)))),TRUE)</f>
        <v>1</v>
      </c>
      <c r="G1248" s="336"/>
      <c r="H1248" s="336"/>
      <c r="I1248" s="336"/>
      <c r="J1248" s="336"/>
      <c r="K1248" s="336"/>
      <c r="L1248" s="336"/>
      <c r="M1248" s="336"/>
      <c r="N1248" s="336"/>
      <c r="O1248" s="336"/>
      <c r="P1248" s="336"/>
      <c r="Q1248" s="336"/>
      <c r="R1248" s="336"/>
      <c r="S1248" s="336"/>
      <c r="T1248" s="336"/>
    </row>
    <row r="1249" spans="1:20" x14ac:dyDescent="0.25">
      <c r="A1249" s="336"/>
      <c r="B1249" s="336"/>
      <c r="C1249" s="336"/>
      <c r="D1249" s="336"/>
      <c r="E1249" s="336"/>
      <c r="F1249" s="104" t="b">
        <f t="array" ref="F1249">IF(_xlfn.NUMBERVALUE(RIGHT($E1249,2))=MAX(IF(LEFT($E1249:$E3247,11)=LEFT($E1249,11),_xlfn.NUMBERVALUE(RIGHT($E1249:$E3247,2)))),TRUE)</f>
        <v>1</v>
      </c>
      <c r="G1249" s="336"/>
      <c r="H1249" s="336"/>
      <c r="I1249" s="336"/>
      <c r="J1249" s="336"/>
      <c r="K1249" s="336"/>
      <c r="L1249" s="336"/>
      <c r="M1249" s="336"/>
      <c r="N1249" s="336"/>
      <c r="O1249" s="336"/>
      <c r="P1249" s="336"/>
      <c r="Q1249" s="336"/>
      <c r="R1249" s="336"/>
      <c r="S1249" s="336"/>
      <c r="T1249" s="336"/>
    </row>
    <row r="1250" spans="1:20" x14ac:dyDescent="0.25">
      <c r="A1250" s="336"/>
      <c r="B1250" s="336"/>
      <c r="C1250" s="336"/>
      <c r="D1250" s="336"/>
      <c r="E1250" s="336"/>
      <c r="F1250" s="104" t="b">
        <f t="array" ref="F1250">IF(_xlfn.NUMBERVALUE(RIGHT($E1250,2))=MAX(IF(LEFT($E1250:$E3248,11)=LEFT($E1250,11),_xlfn.NUMBERVALUE(RIGHT($E1250:$E3248,2)))),TRUE)</f>
        <v>1</v>
      </c>
      <c r="G1250" s="336"/>
      <c r="H1250" s="336"/>
      <c r="I1250" s="336"/>
      <c r="J1250" s="336"/>
      <c r="K1250" s="336"/>
      <c r="L1250" s="336"/>
      <c r="M1250" s="336"/>
      <c r="N1250" s="336"/>
      <c r="O1250" s="336"/>
      <c r="P1250" s="336"/>
      <c r="Q1250" s="336"/>
      <c r="R1250" s="336"/>
      <c r="S1250" s="336"/>
      <c r="T1250" s="336"/>
    </row>
    <row r="1251" spans="1:20" x14ac:dyDescent="0.25">
      <c r="A1251" s="336"/>
      <c r="B1251" s="336"/>
      <c r="C1251" s="336"/>
      <c r="D1251" s="336"/>
      <c r="E1251" s="336"/>
      <c r="F1251" s="104" t="b">
        <f t="array" ref="F1251">IF(_xlfn.NUMBERVALUE(RIGHT($E1251,2))=MAX(IF(LEFT($E1251:$E3249,11)=LEFT($E1251,11),_xlfn.NUMBERVALUE(RIGHT($E1251:$E3249,2)))),TRUE)</f>
        <v>1</v>
      </c>
      <c r="G1251" s="336"/>
      <c r="H1251" s="336"/>
      <c r="I1251" s="336"/>
      <c r="J1251" s="336"/>
      <c r="K1251" s="336"/>
      <c r="L1251" s="336"/>
      <c r="M1251" s="336"/>
      <c r="N1251" s="336"/>
      <c r="O1251" s="336"/>
      <c r="P1251" s="336"/>
      <c r="Q1251" s="336"/>
      <c r="R1251" s="336"/>
      <c r="S1251" s="336"/>
      <c r="T1251" s="336"/>
    </row>
    <row r="1252" spans="1:20" x14ac:dyDescent="0.25">
      <c r="A1252" s="336"/>
      <c r="B1252" s="336"/>
      <c r="C1252" s="336"/>
      <c r="D1252" s="336"/>
      <c r="E1252" s="336"/>
      <c r="F1252" s="104" t="b">
        <f t="array" ref="F1252">IF(_xlfn.NUMBERVALUE(RIGHT($E1252,2))=MAX(IF(LEFT($E1252:$E3250,11)=LEFT($E1252,11),_xlfn.NUMBERVALUE(RIGHT($E1252:$E3250,2)))),TRUE)</f>
        <v>1</v>
      </c>
      <c r="G1252" s="336"/>
      <c r="H1252" s="336"/>
      <c r="I1252" s="336"/>
      <c r="J1252" s="336"/>
      <c r="K1252" s="336"/>
      <c r="L1252" s="336"/>
      <c r="M1252" s="336"/>
      <c r="N1252" s="336"/>
      <c r="O1252" s="336"/>
      <c r="P1252" s="336"/>
      <c r="Q1252" s="336"/>
      <c r="R1252" s="336"/>
      <c r="S1252" s="336"/>
      <c r="T1252" s="336"/>
    </row>
    <row r="1253" spans="1:20" x14ac:dyDescent="0.25">
      <c r="A1253" s="336"/>
      <c r="B1253" s="336"/>
      <c r="C1253" s="336"/>
      <c r="D1253" s="336"/>
      <c r="E1253" s="336"/>
      <c r="F1253" s="104" t="b">
        <f t="array" ref="F1253">IF(_xlfn.NUMBERVALUE(RIGHT($E1253,2))=MAX(IF(LEFT($E1253:$E3251,11)=LEFT($E1253,11),_xlfn.NUMBERVALUE(RIGHT($E1253:$E3251,2)))),TRUE)</f>
        <v>1</v>
      </c>
      <c r="G1253" s="336"/>
      <c r="H1253" s="336"/>
      <c r="I1253" s="336"/>
      <c r="J1253" s="336"/>
      <c r="K1253" s="336"/>
      <c r="L1253" s="336"/>
      <c r="M1253" s="336"/>
      <c r="N1253" s="336"/>
      <c r="O1253" s="336"/>
      <c r="P1253" s="336"/>
      <c r="Q1253" s="336"/>
      <c r="R1253" s="336"/>
      <c r="S1253" s="336"/>
      <c r="T1253" s="336"/>
    </row>
    <row r="1254" spans="1:20" x14ac:dyDescent="0.25">
      <c r="A1254" s="336"/>
      <c r="B1254" s="336"/>
      <c r="C1254" s="336"/>
      <c r="D1254" s="336"/>
      <c r="E1254" s="336"/>
      <c r="F1254" s="104" t="b">
        <f t="array" ref="F1254">IF(_xlfn.NUMBERVALUE(RIGHT($E1254,2))=MAX(IF(LEFT($E1254:$E3252,11)=LEFT($E1254,11),_xlfn.NUMBERVALUE(RIGHT($E1254:$E3252,2)))),TRUE)</f>
        <v>1</v>
      </c>
      <c r="G1254" s="336"/>
      <c r="H1254" s="336"/>
      <c r="I1254" s="336"/>
      <c r="J1254" s="336"/>
      <c r="K1254" s="336"/>
      <c r="L1254" s="336"/>
      <c r="M1254" s="336"/>
      <c r="N1254" s="336"/>
      <c r="O1254" s="336"/>
      <c r="P1254" s="336"/>
      <c r="Q1254" s="336"/>
      <c r="R1254" s="336"/>
      <c r="S1254" s="336"/>
      <c r="T1254" s="336"/>
    </row>
    <row r="1255" spans="1:20" x14ac:dyDescent="0.25">
      <c r="A1255" s="336"/>
      <c r="B1255" s="336"/>
      <c r="C1255" s="336"/>
      <c r="D1255" s="336"/>
      <c r="E1255" s="336"/>
      <c r="F1255" s="104" t="b">
        <f t="array" ref="F1255">IF(_xlfn.NUMBERVALUE(RIGHT($E1255,2))=MAX(IF(LEFT($E1255:$E3253,11)=LEFT($E1255,11),_xlfn.NUMBERVALUE(RIGHT($E1255:$E3253,2)))),TRUE)</f>
        <v>1</v>
      </c>
      <c r="G1255" s="336"/>
      <c r="H1255" s="336"/>
      <c r="I1255" s="336"/>
      <c r="J1255" s="336"/>
      <c r="K1255" s="336"/>
      <c r="L1255" s="336"/>
      <c r="M1255" s="336"/>
      <c r="N1255" s="336"/>
      <c r="O1255" s="336"/>
      <c r="P1255" s="336"/>
      <c r="Q1255" s="336"/>
      <c r="R1255" s="336"/>
      <c r="S1255" s="336"/>
      <c r="T1255" s="336"/>
    </row>
    <row r="1256" spans="1:20" x14ac:dyDescent="0.25">
      <c r="A1256" s="336"/>
      <c r="B1256" s="336"/>
      <c r="C1256" s="336"/>
      <c r="D1256" s="336"/>
      <c r="E1256" s="336"/>
      <c r="F1256" s="104" t="b">
        <f t="array" ref="F1256">IF(_xlfn.NUMBERVALUE(RIGHT($E1256,2))=MAX(IF(LEFT($E1256:$E3254,11)=LEFT($E1256,11),_xlfn.NUMBERVALUE(RIGHT($E1256:$E3254,2)))),TRUE)</f>
        <v>1</v>
      </c>
      <c r="G1256" s="336"/>
      <c r="H1256" s="336"/>
      <c r="I1256" s="336"/>
      <c r="J1256" s="336"/>
      <c r="K1256" s="336"/>
      <c r="L1256" s="336"/>
      <c r="M1256" s="336"/>
      <c r="N1256" s="336"/>
      <c r="O1256" s="336"/>
      <c r="P1256" s="336"/>
      <c r="Q1256" s="336"/>
      <c r="R1256" s="336"/>
      <c r="S1256" s="336"/>
      <c r="T1256" s="336"/>
    </row>
    <row r="1257" spans="1:20" x14ac:dyDescent="0.25">
      <c r="A1257" s="336"/>
      <c r="B1257" s="336"/>
      <c r="C1257" s="336"/>
      <c r="D1257" s="336"/>
      <c r="E1257" s="336"/>
      <c r="F1257" s="104" t="b">
        <f t="array" ref="F1257">IF(_xlfn.NUMBERVALUE(RIGHT($E1257,2))=MAX(IF(LEFT($E1257:$E3255,11)=LEFT($E1257,11),_xlfn.NUMBERVALUE(RIGHT($E1257:$E3255,2)))),TRUE)</f>
        <v>1</v>
      </c>
      <c r="G1257" s="336"/>
      <c r="H1257" s="336"/>
      <c r="I1257" s="336"/>
      <c r="J1257" s="336"/>
      <c r="K1257" s="336"/>
      <c r="L1257" s="336"/>
      <c r="M1257" s="336"/>
      <c r="N1257" s="336"/>
      <c r="O1257" s="336"/>
      <c r="P1257" s="336"/>
      <c r="Q1257" s="336"/>
      <c r="R1257" s="336"/>
      <c r="S1257" s="336"/>
      <c r="T1257" s="336"/>
    </row>
    <row r="1258" spans="1:20" x14ac:dyDescent="0.25">
      <c r="A1258" s="336"/>
      <c r="B1258" s="336"/>
      <c r="C1258" s="336"/>
      <c r="D1258" s="336"/>
      <c r="E1258" s="336"/>
      <c r="F1258" s="104" t="b">
        <f t="array" ref="F1258">IF(_xlfn.NUMBERVALUE(RIGHT($E1258,2))=MAX(IF(LEFT($E1258:$E3256,11)=LEFT($E1258,11),_xlfn.NUMBERVALUE(RIGHT($E1258:$E3256,2)))),TRUE)</f>
        <v>1</v>
      </c>
      <c r="G1258" s="336"/>
      <c r="H1258" s="336"/>
      <c r="I1258" s="336"/>
      <c r="J1258" s="336"/>
      <c r="K1258" s="336"/>
      <c r="L1258" s="336"/>
      <c r="M1258" s="336"/>
      <c r="N1258" s="336"/>
      <c r="O1258" s="336"/>
      <c r="P1258" s="336"/>
      <c r="Q1258" s="336"/>
      <c r="R1258" s="336"/>
      <c r="S1258" s="336"/>
      <c r="T1258" s="336"/>
    </row>
    <row r="1259" spans="1:20" x14ac:dyDescent="0.25">
      <c r="A1259" s="336"/>
      <c r="B1259" s="336"/>
      <c r="C1259" s="336"/>
      <c r="D1259" s="336"/>
      <c r="E1259" s="336"/>
      <c r="F1259" s="104" t="b">
        <f t="array" ref="F1259">IF(_xlfn.NUMBERVALUE(RIGHT($E1259,2))=MAX(IF(LEFT($E1259:$E3257,11)=LEFT($E1259,11),_xlfn.NUMBERVALUE(RIGHT($E1259:$E3257,2)))),TRUE)</f>
        <v>1</v>
      </c>
      <c r="G1259" s="336"/>
      <c r="H1259" s="336"/>
      <c r="I1259" s="336"/>
      <c r="J1259" s="336"/>
      <c r="K1259" s="336"/>
      <c r="L1259" s="336"/>
      <c r="M1259" s="336"/>
      <c r="N1259" s="336"/>
      <c r="O1259" s="336"/>
      <c r="P1259" s="336"/>
      <c r="Q1259" s="336"/>
      <c r="R1259" s="336"/>
      <c r="S1259" s="336"/>
      <c r="T1259" s="336"/>
    </row>
    <row r="1260" spans="1:20" x14ac:dyDescent="0.25">
      <c r="A1260" s="336"/>
      <c r="B1260" s="336"/>
      <c r="C1260" s="336"/>
      <c r="D1260" s="336"/>
      <c r="E1260" s="336"/>
      <c r="F1260" s="104" t="b">
        <f t="array" ref="F1260">IF(_xlfn.NUMBERVALUE(RIGHT($E1260,2))=MAX(IF(LEFT($E1260:$E3258,11)=LEFT($E1260,11),_xlfn.NUMBERVALUE(RIGHT($E1260:$E3258,2)))),TRUE)</f>
        <v>1</v>
      </c>
      <c r="G1260" s="336"/>
      <c r="H1260" s="336"/>
      <c r="I1260" s="336"/>
      <c r="J1260" s="336"/>
      <c r="K1260" s="336"/>
      <c r="L1260" s="336"/>
      <c r="M1260" s="336"/>
      <c r="N1260" s="336"/>
      <c r="O1260" s="336"/>
      <c r="P1260" s="336"/>
      <c r="Q1260" s="336"/>
      <c r="R1260" s="336"/>
      <c r="S1260" s="336"/>
      <c r="T1260" s="336"/>
    </row>
    <row r="1261" spans="1:20" x14ac:dyDescent="0.25">
      <c r="A1261" s="336"/>
      <c r="B1261" s="336"/>
      <c r="C1261" s="336"/>
      <c r="D1261" s="336"/>
      <c r="E1261" s="336"/>
      <c r="F1261" s="104" t="b">
        <f t="array" ref="F1261">IF(_xlfn.NUMBERVALUE(RIGHT($E1261,2))=MAX(IF(LEFT($E1261:$E3259,11)=LEFT($E1261,11),_xlfn.NUMBERVALUE(RIGHT($E1261:$E3259,2)))),TRUE)</f>
        <v>1</v>
      </c>
      <c r="G1261" s="336"/>
      <c r="H1261" s="336"/>
      <c r="I1261" s="336"/>
      <c r="J1261" s="336"/>
      <c r="K1261" s="336"/>
      <c r="L1261" s="336"/>
      <c r="M1261" s="336"/>
      <c r="N1261" s="336"/>
      <c r="O1261" s="336"/>
      <c r="P1261" s="336"/>
      <c r="Q1261" s="336"/>
      <c r="R1261" s="336"/>
      <c r="S1261" s="336"/>
      <c r="T1261" s="336"/>
    </row>
    <row r="1262" spans="1:20" x14ac:dyDescent="0.25">
      <c r="A1262" s="336"/>
      <c r="B1262" s="336"/>
      <c r="C1262" s="336"/>
      <c r="D1262" s="336"/>
      <c r="E1262" s="336"/>
      <c r="F1262" s="104" t="b">
        <f t="array" ref="F1262">IF(_xlfn.NUMBERVALUE(RIGHT($E1262,2))=MAX(IF(LEFT($E1262:$E3260,11)=LEFT($E1262,11),_xlfn.NUMBERVALUE(RIGHT($E1262:$E3260,2)))),TRUE)</f>
        <v>1</v>
      </c>
      <c r="G1262" s="336"/>
      <c r="H1262" s="336"/>
      <c r="I1262" s="336"/>
      <c r="J1262" s="336"/>
      <c r="K1262" s="336"/>
      <c r="L1262" s="336"/>
      <c r="M1262" s="336"/>
      <c r="N1262" s="336"/>
      <c r="O1262" s="336"/>
      <c r="P1262" s="336"/>
      <c r="Q1262" s="336"/>
      <c r="R1262" s="336"/>
      <c r="S1262" s="336"/>
      <c r="T1262" s="336"/>
    </row>
    <row r="1263" spans="1:20" x14ac:dyDescent="0.25">
      <c r="A1263" s="336"/>
      <c r="B1263" s="336"/>
      <c r="C1263" s="336"/>
      <c r="D1263" s="336"/>
      <c r="E1263" s="336"/>
      <c r="F1263" s="104" t="b">
        <f t="array" ref="F1263">IF(_xlfn.NUMBERVALUE(RIGHT($E1263,2))=MAX(IF(LEFT($E1263:$E3261,11)=LEFT($E1263,11),_xlfn.NUMBERVALUE(RIGHT($E1263:$E3261,2)))),TRUE)</f>
        <v>1</v>
      </c>
      <c r="G1263" s="336"/>
      <c r="H1263" s="336"/>
      <c r="I1263" s="336"/>
      <c r="J1263" s="336"/>
      <c r="K1263" s="336"/>
      <c r="L1263" s="336"/>
      <c r="M1263" s="336"/>
      <c r="N1263" s="336"/>
      <c r="O1263" s="336"/>
      <c r="P1263" s="336"/>
      <c r="Q1263" s="336"/>
      <c r="R1263" s="336"/>
      <c r="S1263" s="336"/>
      <c r="T1263" s="336"/>
    </row>
    <row r="1264" spans="1:20" x14ac:dyDescent="0.25">
      <c r="A1264" s="336"/>
      <c r="B1264" s="336"/>
      <c r="C1264" s="336"/>
      <c r="D1264" s="336"/>
      <c r="E1264" s="336"/>
      <c r="F1264" s="104" t="b">
        <f t="array" ref="F1264">IF(_xlfn.NUMBERVALUE(RIGHT($E1264,2))=MAX(IF(LEFT($E1264:$E3262,11)=LEFT($E1264,11),_xlfn.NUMBERVALUE(RIGHT($E1264:$E3262,2)))),TRUE)</f>
        <v>1</v>
      </c>
      <c r="G1264" s="336"/>
      <c r="H1264" s="336"/>
      <c r="I1264" s="336"/>
      <c r="J1264" s="336"/>
      <c r="K1264" s="336"/>
      <c r="L1264" s="336"/>
      <c r="M1264" s="336"/>
      <c r="N1264" s="336"/>
      <c r="O1264" s="336"/>
      <c r="P1264" s="336"/>
      <c r="Q1264" s="336"/>
      <c r="R1264" s="336"/>
      <c r="S1264" s="336"/>
      <c r="T1264" s="336"/>
    </row>
    <row r="1265" spans="1:20" x14ac:dyDescent="0.25">
      <c r="A1265" s="336"/>
      <c r="B1265" s="336"/>
      <c r="C1265" s="336"/>
      <c r="D1265" s="336"/>
      <c r="E1265" s="336"/>
      <c r="F1265" s="104" t="b">
        <f t="array" ref="F1265">IF(_xlfn.NUMBERVALUE(RIGHT($E1265,2))=MAX(IF(LEFT($E1265:$E3263,11)=LEFT($E1265,11),_xlfn.NUMBERVALUE(RIGHT($E1265:$E3263,2)))),TRUE)</f>
        <v>1</v>
      </c>
      <c r="G1265" s="336"/>
      <c r="H1265" s="336"/>
      <c r="I1265" s="336"/>
      <c r="J1265" s="336"/>
      <c r="K1265" s="336"/>
      <c r="L1265" s="336"/>
      <c r="M1265" s="336"/>
      <c r="N1265" s="336"/>
      <c r="O1265" s="336"/>
      <c r="P1265" s="336"/>
      <c r="Q1265" s="336"/>
      <c r="R1265" s="336"/>
      <c r="S1265" s="336"/>
      <c r="T1265" s="336"/>
    </row>
    <row r="1266" spans="1:20" x14ac:dyDescent="0.25">
      <c r="A1266" s="336"/>
      <c r="B1266" s="336"/>
      <c r="C1266" s="336"/>
      <c r="D1266" s="336"/>
      <c r="E1266" s="336"/>
      <c r="F1266" s="104" t="b">
        <f t="array" ref="F1266">IF(_xlfn.NUMBERVALUE(RIGHT($E1266,2))=MAX(IF(LEFT($E1266:$E3264,11)=LEFT($E1266,11),_xlfn.NUMBERVALUE(RIGHT($E1266:$E3264,2)))),TRUE)</f>
        <v>1</v>
      </c>
      <c r="G1266" s="336"/>
      <c r="H1266" s="336"/>
      <c r="I1266" s="336"/>
      <c r="J1266" s="336"/>
      <c r="K1266" s="336"/>
      <c r="L1266" s="336"/>
      <c r="M1266" s="336"/>
      <c r="N1266" s="336"/>
      <c r="O1266" s="336"/>
      <c r="P1266" s="336"/>
      <c r="Q1266" s="336"/>
      <c r="R1266" s="336"/>
      <c r="S1266" s="336"/>
      <c r="T1266" s="336"/>
    </row>
    <row r="1267" spans="1:20" x14ac:dyDescent="0.25">
      <c r="A1267" s="336"/>
      <c r="B1267" s="336"/>
      <c r="C1267" s="336"/>
      <c r="D1267" s="336"/>
      <c r="E1267" s="336"/>
      <c r="F1267" s="104" t="b">
        <f t="array" ref="F1267">IF(_xlfn.NUMBERVALUE(RIGHT($E1267,2))=MAX(IF(LEFT($E1267:$E3265,11)=LEFT($E1267,11),_xlfn.NUMBERVALUE(RIGHT($E1267:$E3265,2)))),TRUE)</f>
        <v>1</v>
      </c>
      <c r="G1267" s="336"/>
      <c r="H1267" s="336"/>
      <c r="I1267" s="336"/>
      <c r="J1267" s="336"/>
      <c r="K1267" s="336"/>
      <c r="L1267" s="336"/>
      <c r="M1267" s="336"/>
      <c r="N1267" s="336"/>
      <c r="O1267" s="336"/>
      <c r="P1267" s="336"/>
      <c r="Q1267" s="336"/>
      <c r="R1267" s="336"/>
      <c r="S1267" s="336"/>
      <c r="T1267" s="336"/>
    </row>
    <row r="1268" spans="1:20" x14ac:dyDescent="0.25">
      <c r="A1268" s="336"/>
      <c r="B1268" s="336"/>
      <c r="C1268" s="336"/>
      <c r="D1268" s="336"/>
      <c r="E1268" s="336"/>
      <c r="F1268" s="104" t="b">
        <f t="array" ref="F1268">IF(_xlfn.NUMBERVALUE(RIGHT($E1268,2))=MAX(IF(LEFT($E1268:$E3266,11)=LEFT($E1268,11),_xlfn.NUMBERVALUE(RIGHT($E1268:$E3266,2)))),TRUE)</f>
        <v>1</v>
      </c>
      <c r="G1268" s="336"/>
      <c r="H1268" s="336"/>
      <c r="I1268" s="336"/>
      <c r="J1268" s="336"/>
      <c r="K1268" s="336"/>
      <c r="L1268" s="336"/>
      <c r="M1268" s="336"/>
      <c r="N1268" s="336"/>
      <c r="O1268" s="336"/>
      <c r="P1268" s="336"/>
      <c r="Q1268" s="336"/>
      <c r="R1268" s="336"/>
      <c r="S1268" s="336"/>
      <c r="T1268" s="336"/>
    </row>
    <row r="1269" spans="1:20" x14ac:dyDescent="0.25">
      <c r="A1269" s="336"/>
      <c r="B1269" s="336"/>
      <c r="C1269" s="336"/>
      <c r="D1269" s="336"/>
      <c r="E1269" s="336"/>
      <c r="F1269" s="104" t="b">
        <f t="array" ref="F1269">IF(_xlfn.NUMBERVALUE(RIGHT($E1269,2))=MAX(IF(LEFT($E1269:$E3267,11)=LEFT($E1269,11),_xlfn.NUMBERVALUE(RIGHT($E1269:$E3267,2)))),TRUE)</f>
        <v>1</v>
      </c>
      <c r="G1269" s="336"/>
      <c r="H1269" s="336"/>
      <c r="I1269" s="336"/>
      <c r="J1269" s="336"/>
      <c r="K1269" s="336"/>
      <c r="L1269" s="336"/>
      <c r="M1269" s="336"/>
      <c r="N1269" s="336"/>
      <c r="O1269" s="336"/>
      <c r="P1269" s="336"/>
      <c r="Q1269" s="336"/>
      <c r="R1269" s="336"/>
      <c r="S1269" s="336"/>
      <c r="T1269" s="336"/>
    </row>
    <row r="1270" spans="1:20" x14ac:dyDescent="0.25">
      <c r="A1270" s="336"/>
      <c r="B1270" s="336"/>
      <c r="C1270" s="336"/>
      <c r="D1270" s="336"/>
      <c r="E1270" s="336"/>
      <c r="F1270" s="104" t="b">
        <f t="array" ref="F1270">IF(_xlfn.NUMBERVALUE(RIGHT($E1270,2))=MAX(IF(LEFT($E1270:$E3268,11)=LEFT($E1270,11),_xlfn.NUMBERVALUE(RIGHT($E1270:$E3268,2)))),TRUE)</f>
        <v>1</v>
      </c>
      <c r="G1270" s="336"/>
      <c r="H1270" s="336"/>
      <c r="I1270" s="336"/>
      <c r="J1270" s="336"/>
      <c r="K1270" s="336"/>
      <c r="L1270" s="336"/>
      <c r="M1270" s="336"/>
      <c r="N1270" s="336"/>
      <c r="O1270" s="336"/>
      <c r="P1270" s="336"/>
      <c r="Q1270" s="336"/>
      <c r="R1270" s="336"/>
      <c r="S1270" s="336"/>
      <c r="T1270" s="336"/>
    </row>
    <row r="1271" spans="1:20" x14ac:dyDescent="0.25">
      <c r="A1271" s="336"/>
      <c r="B1271" s="336"/>
      <c r="C1271" s="336"/>
      <c r="D1271" s="336"/>
      <c r="E1271" s="336"/>
      <c r="F1271" s="104" t="b">
        <f t="array" ref="F1271">IF(_xlfn.NUMBERVALUE(RIGHT($E1271,2))=MAX(IF(LEFT($E1271:$E3269,11)=LEFT($E1271,11),_xlfn.NUMBERVALUE(RIGHT($E1271:$E3269,2)))),TRUE)</f>
        <v>1</v>
      </c>
      <c r="G1271" s="336"/>
      <c r="H1271" s="336"/>
      <c r="I1271" s="336"/>
      <c r="J1271" s="336"/>
      <c r="K1271" s="336"/>
      <c r="L1271" s="336"/>
      <c r="M1271" s="336"/>
      <c r="N1271" s="336"/>
      <c r="O1271" s="336"/>
      <c r="P1271" s="336"/>
      <c r="Q1271" s="336"/>
      <c r="R1271" s="336"/>
      <c r="S1271" s="336"/>
      <c r="T1271" s="336"/>
    </row>
    <row r="1272" spans="1:20" x14ac:dyDescent="0.25">
      <c r="A1272" s="336"/>
      <c r="B1272" s="336"/>
      <c r="C1272" s="336"/>
      <c r="D1272" s="336"/>
      <c r="E1272" s="336"/>
      <c r="F1272" s="104" t="b">
        <f t="array" ref="F1272">IF(_xlfn.NUMBERVALUE(RIGHT($E1272,2))=MAX(IF(LEFT($E1272:$E3270,11)=LEFT($E1272,11),_xlfn.NUMBERVALUE(RIGHT($E1272:$E3270,2)))),TRUE)</f>
        <v>1</v>
      </c>
      <c r="G1272" s="336"/>
      <c r="H1272" s="336"/>
      <c r="I1272" s="336"/>
      <c r="J1272" s="336"/>
      <c r="K1272" s="336"/>
      <c r="L1272" s="336"/>
      <c r="M1272" s="336"/>
      <c r="N1272" s="336"/>
      <c r="O1272" s="336"/>
      <c r="P1272" s="336"/>
      <c r="Q1272" s="336"/>
      <c r="R1272" s="336"/>
      <c r="S1272" s="336"/>
      <c r="T1272" s="336"/>
    </row>
    <row r="1273" spans="1:20" x14ac:dyDescent="0.25">
      <c r="A1273" s="336"/>
      <c r="B1273" s="336"/>
      <c r="C1273" s="336"/>
      <c r="D1273" s="336"/>
      <c r="E1273" s="336"/>
      <c r="F1273" s="104" t="b">
        <f t="array" ref="F1273">IF(_xlfn.NUMBERVALUE(RIGHT($E1273,2))=MAX(IF(LEFT($E1273:$E3271,11)=LEFT($E1273,11),_xlfn.NUMBERVALUE(RIGHT($E1273:$E3271,2)))),TRUE)</f>
        <v>1</v>
      </c>
      <c r="G1273" s="336"/>
      <c r="H1273" s="336"/>
      <c r="I1273" s="336"/>
      <c r="J1273" s="336"/>
      <c r="K1273" s="336"/>
      <c r="L1273" s="336"/>
      <c r="M1273" s="336"/>
      <c r="N1273" s="336"/>
      <c r="O1273" s="336"/>
      <c r="P1273" s="336"/>
      <c r="Q1273" s="336"/>
      <c r="R1273" s="336"/>
      <c r="S1273" s="336"/>
      <c r="T1273" s="336"/>
    </row>
    <row r="1274" spans="1:20" x14ac:dyDescent="0.25">
      <c r="A1274" s="336"/>
      <c r="B1274" s="336"/>
      <c r="C1274" s="336"/>
      <c r="D1274" s="336"/>
      <c r="E1274" s="336"/>
      <c r="F1274" s="104" t="b">
        <f t="array" ref="F1274">IF(_xlfn.NUMBERVALUE(RIGHT($E1274,2))=MAX(IF(LEFT($E1274:$E3272,11)=LEFT($E1274,11),_xlfn.NUMBERVALUE(RIGHT($E1274:$E3272,2)))),TRUE)</f>
        <v>1</v>
      </c>
      <c r="G1274" s="336"/>
      <c r="H1274" s="336"/>
      <c r="I1274" s="336"/>
      <c r="J1274" s="336"/>
      <c r="K1274" s="336"/>
      <c r="L1274" s="336"/>
      <c r="M1274" s="336"/>
      <c r="N1274" s="336"/>
      <c r="O1274" s="336"/>
      <c r="P1274" s="336"/>
      <c r="Q1274" s="336"/>
      <c r="R1274" s="336"/>
      <c r="S1274" s="336"/>
      <c r="T1274" s="336"/>
    </row>
    <row r="1275" spans="1:20" x14ac:dyDescent="0.25">
      <c r="A1275" s="336"/>
      <c r="B1275" s="336"/>
      <c r="C1275" s="336"/>
      <c r="D1275" s="336"/>
      <c r="E1275" s="336"/>
      <c r="F1275" s="104" t="b">
        <f t="array" ref="F1275">IF(_xlfn.NUMBERVALUE(RIGHT($E1275,2))=MAX(IF(LEFT($E1275:$E3273,11)=LEFT($E1275,11),_xlfn.NUMBERVALUE(RIGHT($E1275:$E3273,2)))),TRUE)</f>
        <v>1</v>
      </c>
      <c r="G1275" s="336"/>
      <c r="H1275" s="336"/>
      <c r="I1275" s="336"/>
      <c r="J1275" s="336"/>
      <c r="K1275" s="336"/>
      <c r="L1275" s="336"/>
      <c r="M1275" s="336"/>
      <c r="N1275" s="336"/>
      <c r="O1275" s="336"/>
      <c r="P1275" s="336"/>
      <c r="Q1275" s="336"/>
      <c r="R1275" s="336"/>
      <c r="S1275" s="336"/>
      <c r="T1275" s="336"/>
    </row>
    <row r="1276" spans="1:20" x14ac:dyDescent="0.25">
      <c r="A1276" s="336"/>
      <c r="B1276" s="336"/>
      <c r="C1276" s="336"/>
      <c r="D1276" s="336"/>
      <c r="E1276" s="336"/>
      <c r="F1276" s="104" t="b">
        <f t="array" ref="F1276">IF(_xlfn.NUMBERVALUE(RIGHT($E1276,2))=MAX(IF(LEFT($E1276:$E3274,11)=LEFT($E1276,11),_xlfn.NUMBERVALUE(RIGHT($E1276:$E3274,2)))),TRUE)</f>
        <v>1</v>
      </c>
      <c r="G1276" s="336"/>
      <c r="H1276" s="336"/>
      <c r="I1276" s="336"/>
      <c r="J1276" s="336"/>
      <c r="K1276" s="336"/>
      <c r="L1276" s="336"/>
      <c r="M1276" s="336"/>
      <c r="N1276" s="336"/>
      <c r="O1276" s="336"/>
      <c r="P1276" s="336"/>
      <c r="Q1276" s="336"/>
      <c r="R1276" s="336"/>
      <c r="S1276" s="336"/>
      <c r="T1276" s="336"/>
    </row>
    <row r="1277" spans="1:20" x14ac:dyDescent="0.25">
      <c r="A1277" s="336"/>
      <c r="B1277" s="336"/>
      <c r="C1277" s="336"/>
      <c r="D1277" s="336"/>
      <c r="E1277" s="336"/>
      <c r="F1277" s="104" t="b">
        <f t="array" ref="F1277">IF(_xlfn.NUMBERVALUE(RIGHT($E1277,2))=MAX(IF(LEFT($E1277:$E3275,11)=LEFT($E1277,11),_xlfn.NUMBERVALUE(RIGHT($E1277:$E3275,2)))),TRUE)</f>
        <v>1</v>
      </c>
      <c r="G1277" s="336"/>
      <c r="H1277" s="336"/>
      <c r="I1277" s="336"/>
      <c r="J1277" s="336"/>
      <c r="K1277" s="336"/>
      <c r="L1277" s="336"/>
      <c r="M1277" s="336"/>
      <c r="N1277" s="336"/>
      <c r="O1277" s="336"/>
      <c r="P1277" s="336"/>
      <c r="Q1277" s="336"/>
      <c r="R1277" s="336"/>
      <c r="S1277" s="336"/>
      <c r="T1277" s="336"/>
    </row>
    <row r="1278" spans="1:20" x14ac:dyDescent="0.25">
      <c r="A1278" s="336"/>
      <c r="B1278" s="336"/>
      <c r="C1278" s="336"/>
      <c r="D1278" s="336"/>
      <c r="E1278" s="336"/>
      <c r="F1278" s="104" t="b">
        <f t="array" ref="F1278">IF(_xlfn.NUMBERVALUE(RIGHT($E1278,2))=MAX(IF(LEFT($E1278:$E3276,11)=LEFT($E1278,11),_xlfn.NUMBERVALUE(RIGHT($E1278:$E3276,2)))),TRUE)</f>
        <v>1</v>
      </c>
      <c r="G1278" s="336"/>
      <c r="H1278" s="336"/>
      <c r="I1278" s="336"/>
      <c r="J1278" s="336"/>
      <c r="K1278" s="336"/>
      <c r="L1278" s="336"/>
      <c r="M1278" s="336"/>
      <c r="N1278" s="336"/>
      <c r="O1278" s="336"/>
      <c r="P1278" s="336"/>
      <c r="Q1278" s="336"/>
      <c r="R1278" s="336"/>
      <c r="S1278" s="336"/>
      <c r="T1278" s="336"/>
    </row>
    <row r="1279" spans="1:20" x14ac:dyDescent="0.25">
      <c r="A1279" s="336"/>
      <c r="B1279" s="336"/>
      <c r="C1279" s="336"/>
      <c r="D1279" s="336"/>
      <c r="E1279" s="336"/>
      <c r="F1279" s="104" t="b">
        <f t="array" ref="F1279">IF(_xlfn.NUMBERVALUE(RIGHT($E1279,2))=MAX(IF(LEFT($E1279:$E3277,11)=LEFT($E1279,11),_xlfn.NUMBERVALUE(RIGHT($E1279:$E3277,2)))),TRUE)</f>
        <v>1</v>
      </c>
      <c r="G1279" s="336"/>
      <c r="H1279" s="336"/>
      <c r="I1279" s="336"/>
      <c r="J1279" s="336"/>
      <c r="K1279" s="336"/>
      <c r="L1279" s="336"/>
      <c r="M1279" s="336"/>
      <c r="N1279" s="336"/>
      <c r="O1279" s="336"/>
      <c r="P1279" s="336"/>
      <c r="Q1279" s="336"/>
      <c r="R1279" s="336"/>
      <c r="S1279" s="336"/>
      <c r="T1279" s="336"/>
    </row>
    <row r="1280" spans="1:20" x14ac:dyDescent="0.25">
      <c r="A1280" s="336"/>
      <c r="B1280" s="336"/>
      <c r="C1280" s="336"/>
      <c r="D1280" s="336"/>
      <c r="E1280" s="336"/>
      <c r="F1280" s="104" t="b">
        <f t="array" ref="F1280">IF(_xlfn.NUMBERVALUE(RIGHT($E1280,2))=MAX(IF(LEFT($E1280:$E3278,11)=LEFT($E1280,11),_xlfn.NUMBERVALUE(RIGHT($E1280:$E3278,2)))),TRUE)</f>
        <v>1</v>
      </c>
      <c r="G1280" s="336"/>
      <c r="H1280" s="336"/>
      <c r="I1280" s="336"/>
      <c r="J1280" s="336"/>
      <c r="K1280" s="336"/>
      <c r="L1280" s="336"/>
      <c r="M1280" s="336"/>
      <c r="N1280" s="336"/>
      <c r="O1280" s="336"/>
      <c r="P1280" s="336"/>
      <c r="Q1280" s="336"/>
      <c r="R1280" s="336"/>
      <c r="S1280" s="336"/>
      <c r="T1280" s="336"/>
    </row>
    <row r="1281" spans="1:20" x14ac:dyDescent="0.25">
      <c r="A1281" s="336"/>
      <c r="B1281" s="336"/>
      <c r="C1281" s="336"/>
      <c r="D1281" s="336"/>
      <c r="E1281" s="336"/>
      <c r="F1281" s="104" t="b">
        <f t="array" ref="F1281">IF(_xlfn.NUMBERVALUE(RIGHT($E1281,2))=MAX(IF(LEFT($E1281:$E3279,11)=LEFT($E1281,11),_xlfn.NUMBERVALUE(RIGHT($E1281:$E3279,2)))),TRUE)</f>
        <v>1</v>
      </c>
      <c r="G1281" s="336"/>
      <c r="H1281" s="336"/>
      <c r="I1281" s="336"/>
      <c r="J1281" s="336"/>
      <c r="K1281" s="336"/>
      <c r="L1281" s="336"/>
      <c r="M1281" s="336"/>
      <c r="N1281" s="336"/>
      <c r="O1281" s="336"/>
      <c r="P1281" s="336"/>
      <c r="Q1281" s="336"/>
      <c r="R1281" s="336"/>
      <c r="S1281" s="336"/>
      <c r="T1281" s="336"/>
    </row>
    <row r="1282" spans="1:20" x14ac:dyDescent="0.25">
      <c r="A1282" s="336"/>
      <c r="B1282" s="336"/>
      <c r="C1282" s="336"/>
      <c r="D1282" s="336"/>
      <c r="E1282" s="336"/>
      <c r="F1282" s="104" t="b">
        <f t="array" ref="F1282">IF(_xlfn.NUMBERVALUE(RIGHT($E1282,2))=MAX(IF(LEFT($E1282:$E3280,11)=LEFT($E1282,11),_xlfn.NUMBERVALUE(RIGHT($E1282:$E3280,2)))),TRUE)</f>
        <v>1</v>
      </c>
      <c r="G1282" s="336"/>
      <c r="H1282" s="336"/>
      <c r="I1282" s="336"/>
      <c r="J1282" s="336"/>
      <c r="K1282" s="336"/>
      <c r="L1282" s="336"/>
      <c r="M1282" s="336"/>
      <c r="N1282" s="336"/>
      <c r="O1282" s="336"/>
      <c r="P1282" s="336"/>
      <c r="Q1282" s="336"/>
      <c r="R1282" s="336"/>
      <c r="S1282" s="336"/>
      <c r="T1282" s="336"/>
    </row>
    <row r="1283" spans="1:20" x14ac:dyDescent="0.25">
      <c r="A1283" s="336"/>
      <c r="B1283" s="336"/>
      <c r="C1283" s="336"/>
      <c r="D1283" s="336"/>
      <c r="E1283" s="336"/>
      <c r="F1283" s="104" t="b">
        <f t="array" ref="F1283">IF(_xlfn.NUMBERVALUE(RIGHT($E1283,2))=MAX(IF(LEFT($E1283:$E3281,11)=LEFT($E1283,11),_xlfn.NUMBERVALUE(RIGHT($E1283:$E3281,2)))),TRUE)</f>
        <v>1</v>
      </c>
      <c r="G1283" s="336"/>
      <c r="H1283" s="336"/>
      <c r="I1283" s="336"/>
      <c r="J1283" s="336"/>
      <c r="K1283" s="336"/>
      <c r="L1283" s="336"/>
      <c r="M1283" s="336"/>
      <c r="N1283" s="336"/>
      <c r="O1283" s="336"/>
      <c r="P1283" s="336"/>
      <c r="Q1283" s="336"/>
      <c r="R1283" s="336"/>
      <c r="S1283" s="336"/>
      <c r="T1283" s="336"/>
    </row>
    <row r="1284" spans="1:20" x14ac:dyDescent="0.25">
      <c r="A1284" s="336"/>
      <c r="B1284" s="336"/>
      <c r="C1284" s="336"/>
      <c r="D1284" s="336"/>
      <c r="E1284" s="336"/>
      <c r="F1284" s="104" t="b">
        <f t="array" ref="F1284">IF(_xlfn.NUMBERVALUE(RIGHT($E1284,2))=MAX(IF(LEFT($E1284:$E3282,11)=LEFT($E1284,11),_xlfn.NUMBERVALUE(RIGHT($E1284:$E3282,2)))),TRUE)</f>
        <v>1</v>
      </c>
      <c r="G1284" s="336"/>
      <c r="H1284" s="336"/>
      <c r="I1284" s="336"/>
      <c r="J1284" s="336"/>
      <c r="K1284" s="336"/>
      <c r="L1284" s="336"/>
      <c r="M1284" s="336"/>
      <c r="N1284" s="336"/>
      <c r="O1284" s="336"/>
      <c r="P1284" s="336"/>
      <c r="Q1284" s="336"/>
      <c r="R1284" s="336"/>
      <c r="S1284" s="336"/>
      <c r="T1284" s="336"/>
    </row>
    <row r="1285" spans="1:20" x14ac:dyDescent="0.25">
      <c r="A1285" s="336"/>
      <c r="B1285" s="336"/>
      <c r="C1285" s="336"/>
      <c r="D1285" s="336"/>
      <c r="E1285" s="336"/>
      <c r="F1285" s="104" t="b">
        <f t="array" ref="F1285">IF(_xlfn.NUMBERVALUE(RIGHT($E1285,2))=MAX(IF(LEFT($E1285:$E3283,11)=LEFT($E1285,11),_xlfn.NUMBERVALUE(RIGHT($E1285:$E3283,2)))),TRUE)</f>
        <v>1</v>
      </c>
      <c r="G1285" s="336"/>
      <c r="H1285" s="336"/>
      <c r="I1285" s="336"/>
      <c r="J1285" s="336"/>
      <c r="K1285" s="336"/>
      <c r="L1285" s="336"/>
      <c r="M1285" s="336"/>
      <c r="N1285" s="336"/>
      <c r="O1285" s="336"/>
      <c r="P1285" s="336"/>
      <c r="Q1285" s="336"/>
      <c r="R1285" s="336"/>
      <c r="S1285" s="336"/>
      <c r="T1285" s="336"/>
    </row>
    <row r="1286" spans="1:20" x14ac:dyDescent="0.25">
      <c r="A1286" s="336"/>
      <c r="B1286" s="336"/>
      <c r="C1286" s="336"/>
      <c r="D1286" s="336"/>
      <c r="E1286" s="336"/>
      <c r="F1286" s="104" t="b">
        <f t="array" ref="F1286">IF(_xlfn.NUMBERVALUE(RIGHT($E1286,2))=MAX(IF(LEFT($E1286:$E3284,11)=LEFT($E1286,11),_xlfn.NUMBERVALUE(RIGHT($E1286:$E3284,2)))),TRUE)</f>
        <v>1</v>
      </c>
      <c r="G1286" s="336"/>
      <c r="H1286" s="336"/>
      <c r="I1286" s="336"/>
      <c r="J1286" s="336"/>
      <c r="K1286" s="336"/>
      <c r="L1286" s="336"/>
      <c r="M1286" s="336"/>
      <c r="N1286" s="336"/>
      <c r="O1286" s="336"/>
      <c r="P1286" s="336"/>
      <c r="Q1286" s="336"/>
      <c r="R1286" s="336"/>
      <c r="S1286" s="336"/>
      <c r="T1286" s="336"/>
    </row>
    <row r="1287" spans="1:20" x14ac:dyDescent="0.25">
      <c r="A1287" s="336"/>
      <c r="B1287" s="336"/>
      <c r="C1287" s="336"/>
      <c r="D1287" s="336"/>
      <c r="E1287" s="336"/>
      <c r="F1287" s="104" t="b">
        <f t="array" ref="F1287">IF(_xlfn.NUMBERVALUE(RIGHT($E1287,2))=MAX(IF(LEFT($E1287:$E3285,11)=LEFT($E1287,11),_xlfn.NUMBERVALUE(RIGHT($E1287:$E3285,2)))),TRUE)</f>
        <v>1</v>
      </c>
      <c r="G1287" s="336"/>
      <c r="H1287" s="336"/>
      <c r="I1287" s="336"/>
      <c r="J1287" s="336"/>
      <c r="K1287" s="336"/>
      <c r="L1287" s="336"/>
      <c r="M1287" s="336"/>
      <c r="N1287" s="336"/>
      <c r="O1287" s="336"/>
      <c r="P1287" s="336"/>
      <c r="Q1287" s="336"/>
      <c r="R1287" s="336"/>
      <c r="S1287" s="336"/>
      <c r="T1287" s="336"/>
    </row>
    <row r="1288" spans="1:20" x14ac:dyDescent="0.25">
      <c r="A1288" s="336"/>
      <c r="B1288" s="336"/>
      <c r="C1288" s="336"/>
      <c r="D1288" s="336"/>
      <c r="E1288" s="336"/>
      <c r="F1288" s="104" t="b">
        <f t="array" ref="F1288">IF(_xlfn.NUMBERVALUE(RIGHT($E1288,2))=MAX(IF(LEFT($E1288:$E3286,11)=LEFT($E1288,11),_xlfn.NUMBERVALUE(RIGHT($E1288:$E3286,2)))),TRUE)</f>
        <v>1</v>
      </c>
      <c r="G1288" s="336"/>
      <c r="H1288" s="336"/>
      <c r="I1288" s="336"/>
      <c r="J1288" s="336"/>
      <c r="K1288" s="336"/>
      <c r="L1288" s="336"/>
      <c r="M1288" s="336"/>
      <c r="N1288" s="336"/>
      <c r="O1288" s="336"/>
      <c r="P1288" s="336"/>
      <c r="Q1288" s="336"/>
      <c r="R1288" s="336"/>
      <c r="S1288" s="336"/>
      <c r="T1288" s="336"/>
    </row>
    <row r="1289" spans="1:20" x14ac:dyDescent="0.25">
      <c r="A1289" s="336"/>
      <c r="B1289" s="336"/>
      <c r="C1289" s="336"/>
      <c r="D1289" s="336"/>
      <c r="E1289" s="336"/>
      <c r="F1289" s="104" t="b">
        <f t="array" ref="F1289">IF(_xlfn.NUMBERVALUE(RIGHT($E1289,2))=MAX(IF(LEFT($E1289:$E3287,11)=LEFT($E1289,11),_xlfn.NUMBERVALUE(RIGHT($E1289:$E3287,2)))),TRUE)</f>
        <v>1</v>
      </c>
      <c r="G1289" s="336"/>
      <c r="H1289" s="336"/>
      <c r="I1289" s="336"/>
      <c r="J1289" s="336"/>
      <c r="K1289" s="336"/>
      <c r="L1289" s="336"/>
      <c r="M1289" s="336"/>
      <c r="N1289" s="336"/>
      <c r="O1289" s="336"/>
      <c r="P1289" s="336"/>
      <c r="Q1289" s="336"/>
      <c r="R1289" s="336"/>
      <c r="S1289" s="336"/>
      <c r="T1289" s="336"/>
    </row>
    <row r="1290" spans="1:20" x14ac:dyDescent="0.25">
      <c r="A1290" s="336"/>
      <c r="B1290" s="336"/>
      <c r="C1290" s="336"/>
      <c r="D1290" s="336"/>
      <c r="E1290" s="336"/>
      <c r="F1290" s="104" t="b">
        <f t="array" ref="F1290">IF(_xlfn.NUMBERVALUE(RIGHT($E1290,2))=MAX(IF(LEFT($E1290:$E3288,11)=LEFT($E1290,11),_xlfn.NUMBERVALUE(RIGHT($E1290:$E3288,2)))),TRUE)</f>
        <v>1</v>
      </c>
      <c r="G1290" s="336"/>
      <c r="H1290" s="336"/>
      <c r="I1290" s="336"/>
      <c r="J1290" s="336"/>
      <c r="K1290" s="336"/>
      <c r="L1290" s="336"/>
      <c r="M1290" s="336"/>
      <c r="N1290" s="336"/>
      <c r="O1290" s="336"/>
      <c r="P1290" s="336"/>
      <c r="Q1290" s="336"/>
      <c r="R1290" s="336"/>
      <c r="S1290" s="336"/>
      <c r="T1290" s="336"/>
    </row>
    <row r="1291" spans="1:20" x14ac:dyDescent="0.25">
      <c r="A1291" s="336"/>
      <c r="B1291" s="336"/>
      <c r="C1291" s="336"/>
      <c r="D1291" s="336"/>
      <c r="E1291" s="336"/>
      <c r="F1291" s="104" t="b">
        <f t="array" ref="F1291">IF(_xlfn.NUMBERVALUE(RIGHT($E1291,2))=MAX(IF(LEFT($E1291:$E3289,11)=LEFT($E1291,11),_xlfn.NUMBERVALUE(RIGHT($E1291:$E3289,2)))),TRUE)</f>
        <v>1</v>
      </c>
      <c r="G1291" s="336"/>
      <c r="H1291" s="336"/>
      <c r="I1291" s="336"/>
      <c r="J1291" s="336"/>
      <c r="K1291" s="336"/>
      <c r="L1291" s="336"/>
      <c r="M1291" s="336"/>
      <c r="N1291" s="336"/>
      <c r="O1291" s="336"/>
      <c r="P1291" s="336"/>
      <c r="Q1291" s="336"/>
      <c r="R1291" s="336"/>
      <c r="S1291" s="336"/>
      <c r="T1291" s="336"/>
    </row>
    <row r="1292" spans="1:20" x14ac:dyDescent="0.25">
      <c r="A1292" s="336"/>
      <c r="B1292" s="336"/>
      <c r="C1292" s="336"/>
      <c r="D1292" s="336"/>
      <c r="E1292" s="336"/>
      <c r="F1292" s="104" t="b">
        <f t="array" ref="F1292">IF(_xlfn.NUMBERVALUE(RIGHT($E1292,2))=MAX(IF(LEFT($E1292:$E3290,11)=LEFT($E1292,11),_xlfn.NUMBERVALUE(RIGHT($E1292:$E3290,2)))),TRUE)</f>
        <v>1</v>
      </c>
      <c r="G1292" s="336"/>
      <c r="H1292" s="336"/>
      <c r="I1292" s="336"/>
      <c r="J1292" s="336"/>
      <c r="K1292" s="336"/>
      <c r="L1292" s="336"/>
      <c r="M1292" s="336"/>
      <c r="N1292" s="336"/>
      <c r="O1292" s="336"/>
      <c r="P1292" s="336"/>
      <c r="Q1292" s="336"/>
      <c r="R1292" s="336"/>
      <c r="S1292" s="336"/>
      <c r="T1292" s="336"/>
    </row>
    <row r="1293" spans="1:20" x14ac:dyDescent="0.25">
      <c r="A1293" s="336"/>
      <c r="B1293" s="336"/>
      <c r="C1293" s="336"/>
      <c r="D1293" s="336"/>
      <c r="E1293" s="336"/>
      <c r="F1293" s="104" t="b">
        <f t="array" ref="F1293">IF(_xlfn.NUMBERVALUE(RIGHT($E1293,2))=MAX(IF(LEFT($E1293:$E3291,11)=LEFT($E1293,11),_xlfn.NUMBERVALUE(RIGHT($E1293:$E3291,2)))),TRUE)</f>
        <v>1</v>
      </c>
      <c r="G1293" s="336"/>
      <c r="H1293" s="336"/>
      <c r="I1293" s="336"/>
      <c r="J1293" s="336"/>
      <c r="K1293" s="336"/>
      <c r="L1293" s="336"/>
      <c r="M1293" s="336"/>
      <c r="N1293" s="336"/>
      <c r="O1293" s="336"/>
      <c r="P1293" s="336"/>
      <c r="Q1293" s="336"/>
      <c r="R1293" s="336"/>
      <c r="S1293" s="336"/>
      <c r="T1293" s="336"/>
    </row>
    <row r="1294" spans="1:20" x14ac:dyDescent="0.25">
      <c r="A1294" s="336"/>
      <c r="B1294" s="336"/>
      <c r="C1294" s="336"/>
      <c r="D1294" s="336"/>
      <c r="E1294" s="336"/>
      <c r="F1294" s="104" t="b">
        <f t="array" ref="F1294">IF(_xlfn.NUMBERVALUE(RIGHT($E1294,2))=MAX(IF(LEFT($E1294:$E3292,11)=LEFT($E1294,11),_xlfn.NUMBERVALUE(RIGHT($E1294:$E3292,2)))),TRUE)</f>
        <v>1</v>
      </c>
      <c r="G1294" s="336"/>
      <c r="H1294" s="336"/>
      <c r="I1294" s="336"/>
      <c r="J1294" s="336"/>
      <c r="K1294" s="336"/>
      <c r="L1294" s="336"/>
      <c r="M1294" s="336"/>
      <c r="N1294" s="336"/>
      <c r="O1294" s="336"/>
      <c r="P1294" s="336"/>
      <c r="Q1294" s="336"/>
      <c r="R1294" s="336"/>
      <c r="S1294" s="336"/>
      <c r="T1294" s="336"/>
    </row>
    <row r="1295" spans="1:20" x14ac:dyDescent="0.25">
      <c r="A1295" s="336"/>
      <c r="B1295" s="336"/>
      <c r="C1295" s="336"/>
      <c r="D1295" s="336"/>
      <c r="E1295" s="336"/>
      <c r="F1295" s="104" t="b">
        <f t="array" ref="F1295">IF(_xlfn.NUMBERVALUE(RIGHT($E1295,2))=MAX(IF(LEFT($E1295:$E3293,11)=LEFT($E1295,11),_xlfn.NUMBERVALUE(RIGHT($E1295:$E3293,2)))),TRUE)</f>
        <v>1</v>
      </c>
      <c r="G1295" s="336"/>
      <c r="H1295" s="336"/>
      <c r="I1295" s="336"/>
      <c r="J1295" s="336"/>
      <c r="K1295" s="336"/>
      <c r="L1295" s="336"/>
      <c r="M1295" s="336"/>
      <c r="N1295" s="336"/>
      <c r="O1295" s="336"/>
      <c r="P1295" s="336"/>
      <c r="Q1295" s="336"/>
      <c r="R1295" s="336"/>
      <c r="S1295" s="336"/>
      <c r="T1295" s="336"/>
    </row>
    <row r="1296" spans="1:20" x14ac:dyDescent="0.25">
      <c r="A1296" s="336"/>
      <c r="B1296" s="336"/>
      <c r="C1296" s="336"/>
      <c r="D1296" s="336"/>
      <c r="E1296" s="336"/>
      <c r="F1296" s="104" t="b">
        <f t="array" ref="F1296">IF(_xlfn.NUMBERVALUE(RIGHT($E1296,2))=MAX(IF(LEFT($E1296:$E3294,11)=LEFT($E1296,11),_xlfn.NUMBERVALUE(RIGHT($E1296:$E3294,2)))),TRUE)</f>
        <v>1</v>
      </c>
      <c r="G1296" s="336"/>
      <c r="H1296" s="336"/>
      <c r="I1296" s="336"/>
      <c r="J1296" s="336"/>
      <c r="K1296" s="336"/>
      <c r="L1296" s="336"/>
      <c r="M1296" s="336"/>
      <c r="N1296" s="336"/>
      <c r="O1296" s="336"/>
      <c r="P1296" s="336"/>
      <c r="Q1296" s="336"/>
      <c r="R1296" s="336"/>
      <c r="S1296" s="336"/>
      <c r="T1296" s="336"/>
    </row>
    <row r="1297" spans="1:20" x14ac:dyDescent="0.25">
      <c r="A1297" s="336"/>
      <c r="B1297" s="336"/>
      <c r="C1297" s="336"/>
      <c r="D1297" s="336"/>
      <c r="E1297" s="336"/>
      <c r="F1297" s="104" t="b">
        <f t="array" ref="F1297">IF(_xlfn.NUMBERVALUE(RIGHT($E1297,2))=MAX(IF(LEFT($E1297:$E3295,11)=LEFT($E1297,11),_xlfn.NUMBERVALUE(RIGHT($E1297:$E3295,2)))),TRUE)</f>
        <v>1</v>
      </c>
      <c r="G1297" s="336"/>
      <c r="H1297" s="336"/>
      <c r="I1297" s="336"/>
      <c r="J1297" s="336"/>
      <c r="K1297" s="336"/>
      <c r="L1297" s="336"/>
      <c r="M1297" s="336"/>
      <c r="N1297" s="336"/>
      <c r="O1297" s="336"/>
      <c r="P1297" s="336"/>
      <c r="Q1297" s="336"/>
      <c r="R1297" s="336"/>
      <c r="S1297" s="336"/>
      <c r="T1297" s="336"/>
    </row>
    <row r="1298" spans="1:20" x14ac:dyDescent="0.25">
      <c r="A1298" s="336"/>
      <c r="B1298" s="336"/>
      <c r="C1298" s="336"/>
      <c r="D1298" s="336"/>
      <c r="E1298" s="336"/>
      <c r="F1298" s="104" t="b">
        <f t="array" ref="F1298">IF(_xlfn.NUMBERVALUE(RIGHT($E1298,2))=MAX(IF(LEFT($E1298:$E3296,11)=LEFT($E1298,11),_xlfn.NUMBERVALUE(RIGHT($E1298:$E3296,2)))),TRUE)</f>
        <v>1</v>
      </c>
      <c r="G1298" s="336"/>
      <c r="H1298" s="336"/>
      <c r="I1298" s="336"/>
      <c r="J1298" s="336"/>
      <c r="K1298" s="336"/>
      <c r="L1298" s="336"/>
      <c r="M1298" s="336"/>
      <c r="N1298" s="336"/>
      <c r="O1298" s="336"/>
      <c r="P1298" s="336"/>
      <c r="Q1298" s="336"/>
      <c r="R1298" s="336"/>
      <c r="S1298" s="336"/>
      <c r="T1298" s="336"/>
    </row>
    <row r="1299" spans="1:20" x14ac:dyDescent="0.25">
      <c r="A1299" s="336"/>
      <c r="B1299" s="336"/>
      <c r="C1299" s="336"/>
      <c r="D1299" s="336"/>
      <c r="E1299" s="336"/>
      <c r="F1299" s="104" t="b">
        <f t="array" ref="F1299">IF(_xlfn.NUMBERVALUE(RIGHT($E1299,2))=MAX(IF(LEFT($E1299:$E3297,11)=LEFT($E1299,11),_xlfn.NUMBERVALUE(RIGHT($E1299:$E3297,2)))),TRUE)</f>
        <v>1</v>
      </c>
      <c r="G1299" s="336"/>
      <c r="H1299" s="336"/>
      <c r="I1299" s="336"/>
      <c r="J1299" s="336"/>
      <c r="K1299" s="336"/>
      <c r="L1299" s="336"/>
      <c r="M1299" s="336"/>
      <c r="N1299" s="336"/>
      <c r="O1299" s="336"/>
      <c r="P1299" s="336"/>
      <c r="Q1299" s="336"/>
      <c r="R1299" s="336"/>
      <c r="S1299" s="336"/>
      <c r="T1299" s="336"/>
    </row>
    <row r="1300" spans="1:20" x14ac:dyDescent="0.25">
      <c r="A1300" s="336"/>
      <c r="B1300" s="336"/>
      <c r="C1300" s="336"/>
      <c r="D1300" s="336"/>
      <c r="E1300" s="336"/>
      <c r="F1300" s="104" t="b">
        <f t="array" ref="F1300">IF(_xlfn.NUMBERVALUE(RIGHT($E1300,2))=MAX(IF(LEFT($E1300:$E3298,11)=LEFT($E1300,11),_xlfn.NUMBERVALUE(RIGHT($E1300:$E3298,2)))),TRUE)</f>
        <v>1</v>
      </c>
      <c r="G1300" s="336"/>
      <c r="H1300" s="336"/>
      <c r="I1300" s="336"/>
      <c r="J1300" s="336"/>
      <c r="K1300" s="336"/>
      <c r="L1300" s="336"/>
      <c r="M1300" s="336"/>
      <c r="N1300" s="336"/>
      <c r="O1300" s="336"/>
      <c r="P1300" s="336"/>
      <c r="Q1300" s="336"/>
      <c r="R1300" s="336"/>
      <c r="S1300" s="336"/>
      <c r="T1300" s="336"/>
    </row>
    <row r="1301" spans="1:20" x14ac:dyDescent="0.25">
      <c r="A1301" s="336"/>
      <c r="B1301" s="336"/>
      <c r="C1301" s="336"/>
      <c r="D1301" s="336"/>
      <c r="E1301" s="336"/>
      <c r="F1301" s="104" t="b">
        <f t="array" ref="F1301">IF(_xlfn.NUMBERVALUE(RIGHT($E1301,2))=MAX(IF(LEFT($E1301:$E3299,11)=LEFT($E1301,11),_xlfn.NUMBERVALUE(RIGHT($E1301:$E3299,2)))),TRUE)</f>
        <v>1</v>
      </c>
      <c r="G1301" s="336"/>
      <c r="H1301" s="336"/>
      <c r="I1301" s="336"/>
      <c r="J1301" s="336"/>
      <c r="K1301" s="336"/>
      <c r="L1301" s="336"/>
      <c r="M1301" s="336"/>
      <c r="N1301" s="336"/>
      <c r="O1301" s="336"/>
      <c r="P1301" s="336"/>
      <c r="Q1301" s="336"/>
      <c r="R1301" s="336"/>
      <c r="S1301" s="336"/>
      <c r="T1301" s="336"/>
    </row>
    <row r="1302" spans="1:20" x14ac:dyDescent="0.25">
      <c r="A1302" s="336"/>
      <c r="B1302" s="336"/>
      <c r="C1302" s="336"/>
      <c r="D1302" s="336"/>
      <c r="E1302" s="336"/>
      <c r="F1302" s="104" t="b">
        <f t="array" ref="F1302">IF(_xlfn.NUMBERVALUE(RIGHT($E1302,2))=MAX(IF(LEFT($E1302:$E3300,11)=LEFT($E1302,11),_xlfn.NUMBERVALUE(RIGHT($E1302:$E3300,2)))),TRUE)</f>
        <v>1</v>
      </c>
      <c r="G1302" s="336"/>
      <c r="H1302" s="336"/>
      <c r="I1302" s="336"/>
      <c r="J1302" s="336"/>
      <c r="K1302" s="336"/>
      <c r="L1302" s="336"/>
      <c r="M1302" s="336"/>
      <c r="N1302" s="336"/>
      <c r="O1302" s="336"/>
      <c r="P1302" s="336"/>
      <c r="Q1302" s="336"/>
      <c r="R1302" s="336"/>
      <c r="S1302" s="336"/>
      <c r="T1302" s="336"/>
    </row>
    <row r="1303" spans="1:20" x14ac:dyDescent="0.25">
      <c r="A1303" s="336"/>
      <c r="B1303" s="336"/>
      <c r="C1303" s="336"/>
      <c r="D1303" s="336"/>
      <c r="E1303" s="336"/>
      <c r="F1303" s="104" t="b">
        <f t="array" ref="F1303">IF(_xlfn.NUMBERVALUE(RIGHT($E1303,2))=MAX(IF(LEFT($E1303:$E3301,11)=LEFT($E1303,11),_xlfn.NUMBERVALUE(RIGHT($E1303:$E3301,2)))),TRUE)</f>
        <v>1</v>
      </c>
      <c r="G1303" s="336"/>
      <c r="H1303" s="336"/>
      <c r="I1303" s="336"/>
      <c r="J1303" s="336"/>
      <c r="K1303" s="336"/>
      <c r="L1303" s="336"/>
      <c r="M1303" s="336"/>
      <c r="N1303" s="336"/>
      <c r="O1303" s="336"/>
      <c r="P1303" s="336"/>
      <c r="Q1303" s="336"/>
      <c r="R1303" s="336"/>
      <c r="S1303" s="336"/>
      <c r="T1303" s="336"/>
    </row>
    <row r="1304" spans="1:20" x14ac:dyDescent="0.25">
      <c r="A1304" s="336"/>
      <c r="B1304" s="336"/>
      <c r="C1304" s="336"/>
      <c r="D1304" s="336"/>
      <c r="E1304" s="336"/>
      <c r="F1304" s="104" t="b">
        <f t="array" ref="F1304">IF(_xlfn.NUMBERVALUE(RIGHT($E1304,2))=MAX(IF(LEFT($E1304:$E3302,11)=LEFT($E1304,11),_xlfn.NUMBERVALUE(RIGHT($E1304:$E3302,2)))),TRUE)</f>
        <v>1</v>
      </c>
      <c r="G1304" s="336"/>
      <c r="H1304" s="336"/>
      <c r="I1304" s="336"/>
      <c r="J1304" s="336"/>
      <c r="K1304" s="336"/>
      <c r="L1304" s="336"/>
      <c r="M1304" s="336"/>
      <c r="N1304" s="336"/>
      <c r="O1304" s="336"/>
      <c r="P1304" s="336"/>
      <c r="Q1304" s="336"/>
      <c r="R1304" s="336"/>
      <c r="S1304" s="336"/>
      <c r="T1304" s="336"/>
    </row>
    <row r="1305" spans="1:20" x14ac:dyDescent="0.25">
      <c r="A1305" s="336"/>
      <c r="B1305" s="336"/>
      <c r="C1305" s="336"/>
      <c r="D1305" s="336"/>
      <c r="E1305" s="336"/>
      <c r="F1305" s="104" t="b">
        <f t="array" ref="F1305">IF(_xlfn.NUMBERVALUE(RIGHT($E1305,2))=MAX(IF(LEFT($E1305:$E3303,11)=LEFT($E1305,11),_xlfn.NUMBERVALUE(RIGHT($E1305:$E3303,2)))),TRUE)</f>
        <v>1</v>
      </c>
      <c r="G1305" s="336"/>
      <c r="H1305" s="336"/>
      <c r="I1305" s="336"/>
      <c r="J1305" s="336"/>
      <c r="K1305" s="336"/>
      <c r="L1305" s="336"/>
      <c r="M1305" s="336"/>
      <c r="N1305" s="336"/>
      <c r="O1305" s="336"/>
      <c r="P1305" s="336"/>
      <c r="Q1305" s="336"/>
      <c r="R1305" s="336"/>
      <c r="S1305" s="336"/>
      <c r="T1305" s="336"/>
    </row>
    <row r="1306" spans="1:20" x14ac:dyDescent="0.25">
      <c r="A1306" s="336"/>
      <c r="B1306" s="336"/>
      <c r="C1306" s="336"/>
      <c r="D1306" s="336"/>
      <c r="E1306" s="336"/>
      <c r="F1306" s="104" t="b">
        <f t="array" ref="F1306">IF(_xlfn.NUMBERVALUE(RIGHT($E1306,2))=MAX(IF(LEFT($E1306:$E3304,11)=LEFT($E1306,11),_xlfn.NUMBERVALUE(RIGHT($E1306:$E3304,2)))),TRUE)</f>
        <v>1</v>
      </c>
      <c r="G1306" s="336"/>
      <c r="H1306" s="336"/>
      <c r="I1306" s="336"/>
      <c r="J1306" s="336"/>
      <c r="K1306" s="336"/>
      <c r="L1306" s="336"/>
      <c r="M1306" s="336"/>
      <c r="N1306" s="336"/>
      <c r="O1306" s="336"/>
      <c r="P1306" s="336"/>
      <c r="Q1306" s="336"/>
      <c r="R1306" s="336"/>
      <c r="S1306" s="336"/>
      <c r="T1306" s="336"/>
    </row>
    <row r="1307" spans="1:20" x14ac:dyDescent="0.25">
      <c r="A1307" s="336"/>
      <c r="B1307" s="336"/>
      <c r="C1307" s="336"/>
      <c r="D1307" s="336"/>
      <c r="E1307" s="336"/>
      <c r="F1307" s="104" t="b">
        <f t="array" ref="F1307">IF(_xlfn.NUMBERVALUE(RIGHT($E1307,2))=MAX(IF(LEFT($E1307:$E3305,11)=LEFT($E1307,11),_xlfn.NUMBERVALUE(RIGHT($E1307:$E3305,2)))),TRUE)</f>
        <v>1</v>
      </c>
      <c r="G1307" s="336"/>
      <c r="H1307" s="336"/>
      <c r="I1307" s="336"/>
      <c r="J1307" s="336"/>
      <c r="K1307" s="336"/>
      <c r="L1307" s="336"/>
      <c r="M1307" s="336"/>
      <c r="N1307" s="336"/>
      <c r="O1307" s="336"/>
      <c r="P1307" s="336"/>
      <c r="Q1307" s="336"/>
      <c r="R1307" s="336"/>
      <c r="S1307" s="336"/>
      <c r="T1307" s="336"/>
    </row>
    <row r="1308" spans="1:20" x14ac:dyDescent="0.25">
      <c r="A1308" s="336"/>
      <c r="B1308" s="336"/>
      <c r="C1308" s="336"/>
      <c r="D1308" s="336"/>
      <c r="E1308" s="336"/>
      <c r="F1308" s="104" t="b">
        <f t="array" ref="F1308">IF(_xlfn.NUMBERVALUE(RIGHT($E1308,2))=MAX(IF(LEFT($E1308:$E3306,11)=LEFT($E1308,11),_xlfn.NUMBERVALUE(RIGHT($E1308:$E3306,2)))),TRUE)</f>
        <v>1</v>
      </c>
      <c r="G1308" s="336"/>
      <c r="H1308" s="336"/>
      <c r="I1308" s="336"/>
      <c r="J1308" s="336"/>
      <c r="K1308" s="336"/>
      <c r="L1308" s="336"/>
      <c r="M1308" s="336"/>
      <c r="N1308" s="336"/>
      <c r="O1308" s="336"/>
      <c r="P1308" s="336"/>
      <c r="Q1308" s="336"/>
      <c r="R1308" s="336"/>
      <c r="S1308" s="336"/>
      <c r="T1308" s="336"/>
    </row>
    <row r="1309" spans="1:20" x14ac:dyDescent="0.25">
      <c r="A1309" s="336"/>
      <c r="B1309" s="336"/>
      <c r="C1309" s="336"/>
      <c r="D1309" s="336"/>
      <c r="E1309" s="336"/>
      <c r="F1309" s="104" t="b">
        <f t="array" ref="F1309">IF(_xlfn.NUMBERVALUE(RIGHT($E1309,2))=MAX(IF(LEFT($E1309:$E3307,11)=LEFT($E1309,11),_xlfn.NUMBERVALUE(RIGHT($E1309:$E3307,2)))),TRUE)</f>
        <v>1</v>
      </c>
      <c r="G1309" s="336"/>
      <c r="H1309" s="336"/>
      <c r="I1309" s="336"/>
      <c r="J1309" s="336"/>
      <c r="K1309" s="336"/>
      <c r="L1309" s="336"/>
      <c r="M1309" s="336"/>
      <c r="N1309" s="336"/>
      <c r="O1309" s="336"/>
      <c r="P1309" s="336"/>
      <c r="Q1309" s="336"/>
      <c r="R1309" s="336"/>
      <c r="S1309" s="336"/>
      <c r="T1309" s="336"/>
    </row>
    <row r="1310" spans="1:20" x14ac:dyDescent="0.25">
      <c r="A1310" s="336"/>
      <c r="B1310" s="336"/>
      <c r="C1310" s="336"/>
      <c r="D1310" s="336"/>
      <c r="E1310" s="336"/>
      <c r="F1310" s="104" t="b">
        <f t="array" ref="F1310">IF(_xlfn.NUMBERVALUE(RIGHT($E1310,2))=MAX(IF(LEFT($E1310:$E3308,11)=LEFT($E1310,11),_xlfn.NUMBERVALUE(RIGHT($E1310:$E3308,2)))),TRUE)</f>
        <v>1</v>
      </c>
      <c r="G1310" s="336"/>
      <c r="H1310" s="336"/>
      <c r="I1310" s="336"/>
      <c r="J1310" s="336"/>
      <c r="K1310" s="336"/>
      <c r="L1310" s="336"/>
      <c r="M1310" s="336"/>
      <c r="N1310" s="336"/>
      <c r="O1310" s="336"/>
      <c r="P1310" s="336"/>
      <c r="Q1310" s="336"/>
      <c r="R1310" s="336"/>
      <c r="S1310" s="336"/>
      <c r="T1310" s="336"/>
    </row>
    <row r="1311" spans="1:20" x14ac:dyDescent="0.25">
      <c r="A1311" s="336"/>
      <c r="B1311" s="336"/>
      <c r="C1311" s="336"/>
      <c r="D1311" s="336"/>
      <c r="E1311" s="336"/>
      <c r="F1311" s="104" t="b">
        <f t="array" ref="F1311">IF(_xlfn.NUMBERVALUE(RIGHT($E1311,2))=MAX(IF(LEFT($E1311:$E3309,11)=LEFT($E1311,11),_xlfn.NUMBERVALUE(RIGHT($E1311:$E3309,2)))),TRUE)</f>
        <v>1</v>
      </c>
      <c r="G1311" s="336"/>
      <c r="H1311" s="336"/>
      <c r="I1311" s="336"/>
      <c r="J1311" s="336"/>
      <c r="K1311" s="336"/>
      <c r="L1311" s="336"/>
      <c r="M1311" s="336"/>
      <c r="N1311" s="336"/>
      <c r="O1311" s="336"/>
      <c r="P1311" s="336"/>
      <c r="Q1311" s="336"/>
      <c r="R1311" s="336"/>
      <c r="S1311" s="336"/>
      <c r="T1311" s="336"/>
    </row>
    <row r="1312" spans="1:20" x14ac:dyDescent="0.25">
      <c r="A1312" s="336"/>
      <c r="B1312" s="336"/>
      <c r="C1312" s="336"/>
      <c r="D1312" s="336"/>
      <c r="E1312" s="336"/>
      <c r="F1312" s="104" t="b">
        <f t="array" ref="F1312">IF(_xlfn.NUMBERVALUE(RIGHT($E1312,2))=MAX(IF(LEFT($E1312:$E3310,11)=LEFT($E1312,11),_xlfn.NUMBERVALUE(RIGHT($E1312:$E3310,2)))),TRUE)</f>
        <v>1</v>
      </c>
      <c r="G1312" s="336"/>
      <c r="H1312" s="336"/>
      <c r="I1312" s="336"/>
      <c r="J1312" s="336"/>
      <c r="K1312" s="336"/>
      <c r="L1312" s="336"/>
      <c r="M1312" s="336"/>
      <c r="N1312" s="336"/>
      <c r="O1312" s="336"/>
      <c r="P1312" s="336"/>
      <c r="Q1312" s="336"/>
      <c r="R1312" s="336"/>
      <c r="S1312" s="336"/>
      <c r="T1312" s="336"/>
    </row>
    <row r="1313" spans="1:20" x14ac:dyDescent="0.25">
      <c r="A1313" s="336"/>
      <c r="B1313" s="336"/>
      <c r="C1313" s="336"/>
      <c r="D1313" s="336"/>
      <c r="E1313" s="336"/>
      <c r="F1313" s="104" t="b">
        <f t="array" ref="F1313">IF(_xlfn.NUMBERVALUE(RIGHT($E1313,2))=MAX(IF(LEFT($E1313:$E3311,11)=LEFT($E1313,11),_xlfn.NUMBERVALUE(RIGHT($E1313:$E3311,2)))),TRUE)</f>
        <v>1</v>
      </c>
      <c r="G1313" s="336"/>
      <c r="H1313" s="336"/>
      <c r="I1313" s="336"/>
      <c r="J1313" s="336"/>
      <c r="K1313" s="336"/>
      <c r="L1313" s="336"/>
      <c r="M1313" s="336"/>
      <c r="N1313" s="336"/>
      <c r="O1313" s="336"/>
      <c r="P1313" s="336"/>
      <c r="Q1313" s="336"/>
      <c r="R1313" s="336"/>
      <c r="S1313" s="336"/>
      <c r="T1313" s="336"/>
    </row>
    <row r="1314" spans="1:20" x14ac:dyDescent="0.25">
      <c r="A1314" s="336"/>
      <c r="B1314" s="336"/>
      <c r="C1314" s="336"/>
      <c r="D1314" s="336"/>
      <c r="E1314" s="336"/>
      <c r="F1314" s="104" t="b">
        <f t="array" ref="F1314">IF(_xlfn.NUMBERVALUE(RIGHT($E1314,2))=MAX(IF(LEFT($E1314:$E3312,11)=LEFT($E1314,11),_xlfn.NUMBERVALUE(RIGHT($E1314:$E3312,2)))),TRUE)</f>
        <v>1</v>
      </c>
      <c r="G1314" s="336"/>
      <c r="H1314" s="336"/>
      <c r="I1314" s="336"/>
      <c r="J1314" s="336"/>
      <c r="K1314" s="336"/>
      <c r="L1314" s="336"/>
      <c r="M1314" s="336"/>
      <c r="N1314" s="336"/>
      <c r="O1314" s="336"/>
      <c r="P1314" s="336"/>
      <c r="Q1314" s="336"/>
      <c r="R1314" s="336"/>
      <c r="S1314" s="336"/>
      <c r="T1314" s="336"/>
    </row>
    <row r="1315" spans="1:20" x14ac:dyDescent="0.25">
      <c r="A1315" s="336"/>
      <c r="B1315" s="336"/>
      <c r="C1315" s="336"/>
      <c r="D1315" s="336"/>
      <c r="E1315" s="336"/>
      <c r="F1315" s="104" t="b">
        <f t="array" ref="F1315">IF(_xlfn.NUMBERVALUE(RIGHT($E1315,2))=MAX(IF(LEFT($E1315:$E3313,11)=LEFT($E1315,11),_xlfn.NUMBERVALUE(RIGHT($E1315:$E3313,2)))),TRUE)</f>
        <v>1</v>
      </c>
      <c r="G1315" s="336"/>
      <c r="H1315" s="336"/>
      <c r="I1315" s="336"/>
      <c r="J1315" s="336"/>
      <c r="K1315" s="336"/>
      <c r="L1315" s="336"/>
      <c r="M1315" s="336"/>
      <c r="N1315" s="336"/>
      <c r="O1315" s="336"/>
      <c r="P1315" s="336"/>
      <c r="Q1315" s="336"/>
      <c r="R1315" s="336"/>
      <c r="S1315" s="336"/>
      <c r="T1315" s="336"/>
    </row>
    <row r="1316" spans="1:20" x14ac:dyDescent="0.25">
      <c r="A1316" s="336"/>
      <c r="B1316" s="336"/>
      <c r="C1316" s="336"/>
      <c r="D1316" s="336"/>
      <c r="E1316" s="336"/>
      <c r="F1316" s="104" t="b">
        <f t="array" ref="F1316">IF(_xlfn.NUMBERVALUE(RIGHT($E1316,2))=MAX(IF(LEFT($E1316:$E3314,11)=LEFT($E1316,11),_xlfn.NUMBERVALUE(RIGHT($E1316:$E3314,2)))),TRUE)</f>
        <v>1</v>
      </c>
      <c r="G1316" s="336"/>
      <c r="H1316" s="336"/>
      <c r="I1316" s="336"/>
      <c r="J1316" s="336"/>
      <c r="K1316" s="336"/>
      <c r="L1316" s="336"/>
      <c r="M1316" s="336"/>
      <c r="N1316" s="336"/>
      <c r="O1316" s="336"/>
      <c r="P1316" s="336"/>
      <c r="Q1316" s="336"/>
      <c r="R1316" s="336"/>
      <c r="S1316" s="336"/>
      <c r="T1316" s="336"/>
    </row>
    <row r="1317" spans="1:20" x14ac:dyDescent="0.25">
      <c r="A1317" s="336"/>
      <c r="B1317" s="336"/>
      <c r="C1317" s="336"/>
      <c r="D1317" s="336"/>
      <c r="E1317" s="336"/>
      <c r="F1317" s="104" t="b">
        <f t="array" ref="F1317">IF(_xlfn.NUMBERVALUE(RIGHT($E1317,2))=MAX(IF(LEFT($E1317:$E3315,11)=LEFT($E1317,11),_xlfn.NUMBERVALUE(RIGHT($E1317:$E3315,2)))),TRUE)</f>
        <v>1</v>
      </c>
      <c r="G1317" s="336"/>
      <c r="H1317" s="336"/>
      <c r="I1317" s="336"/>
      <c r="J1317" s="336"/>
      <c r="K1317" s="336"/>
      <c r="L1317" s="336"/>
      <c r="M1317" s="336"/>
      <c r="N1317" s="336"/>
      <c r="O1317" s="336"/>
      <c r="P1317" s="336"/>
      <c r="Q1317" s="336"/>
      <c r="R1317" s="336"/>
      <c r="S1317" s="336"/>
      <c r="T1317" s="336"/>
    </row>
    <row r="1318" spans="1:20" x14ac:dyDescent="0.25">
      <c r="A1318" s="336"/>
      <c r="B1318" s="336"/>
      <c r="C1318" s="336"/>
      <c r="D1318" s="336"/>
      <c r="E1318" s="336"/>
      <c r="F1318" s="104" t="b">
        <f t="array" ref="F1318">IF(_xlfn.NUMBERVALUE(RIGHT($E1318,2))=MAX(IF(LEFT($E1318:$E3316,11)=LEFT($E1318,11),_xlfn.NUMBERVALUE(RIGHT($E1318:$E3316,2)))),TRUE)</f>
        <v>1</v>
      </c>
      <c r="G1318" s="336"/>
      <c r="H1318" s="336"/>
      <c r="I1318" s="336"/>
      <c r="J1318" s="336"/>
      <c r="K1318" s="336"/>
      <c r="L1318" s="336"/>
      <c r="M1318" s="336"/>
      <c r="N1318" s="336"/>
      <c r="O1318" s="336"/>
      <c r="P1318" s="336"/>
      <c r="Q1318" s="336"/>
      <c r="R1318" s="336"/>
      <c r="S1318" s="336"/>
      <c r="T1318" s="336"/>
    </row>
    <row r="1319" spans="1:20" x14ac:dyDescent="0.25">
      <c r="A1319" s="336"/>
      <c r="B1319" s="336"/>
      <c r="C1319" s="336"/>
      <c r="D1319" s="336"/>
      <c r="E1319" s="336"/>
      <c r="F1319" s="104" t="b">
        <f t="array" ref="F1319">IF(_xlfn.NUMBERVALUE(RIGHT($E1319,2))=MAX(IF(LEFT($E1319:$E3317,11)=LEFT($E1319,11),_xlfn.NUMBERVALUE(RIGHT($E1319:$E3317,2)))),TRUE)</f>
        <v>1</v>
      </c>
      <c r="G1319" s="336"/>
      <c r="H1319" s="336"/>
      <c r="I1319" s="336"/>
      <c r="J1319" s="336"/>
      <c r="K1319" s="336"/>
      <c r="L1319" s="336"/>
      <c r="M1319" s="336"/>
      <c r="N1319" s="336"/>
      <c r="O1319" s="336"/>
      <c r="P1319" s="336"/>
      <c r="Q1319" s="336"/>
      <c r="R1319" s="336"/>
      <c r="S1319" s="336"/>
      <c r="T1319" s="336"/>
    </row>
    <row r="1320" spans="1:20" x14ac:dyDescent="0.25">
      <c r="A1320" s="336"/>
      <c r="B1320" s="336"/>
      <c r="C1320" s="336"/>
      <c r="D1320" s="336"/>
      <c r="E1320" s="336"/>
      <c r="F1320" s="104" t="b">
        <f t="array" ref="F1320">IF(_xlfn.NUMBERVALUE(RIGHT($E1320,2))=MAX(IF(LEFT($E1320:$E3318,11)=LEFT($E1320,11),_xlfn.NUMBERVALUE(RIGHT($E1320:$E3318,2)))),TRUE)</f>
        <v>1</v>
      </c>
      <c r="G1320" s="336"/>
      <c r="H1320" s="336"/>
      <c r="I1320" s="336"/>
      <c r="J1320" s="336"/>
      <c r="K1320" s="336"/>
      <c r="L1320" s="336"/>
      <c r="M1320" s="336"/>
      <c r="N1320" s="336"/>
      <c r="O1320" s="336"/>
      <c r="P1320" s="336"/>
      <c r="Q1320" s="336"/>
      <c r="R1320" s="336"/>
      <c r="S1320" s="336"/>
      <c r="T1320" s="336"/>
    </row>
    <row r="1321" spans="1:20" x14ac:dyDescent="0.25">
      <c r="A1321" s="336"/>
      <c r="B1321" s="336"/>
      <c r="C1321" s="336"/>
      <c r="D1321" s="336"/>
      <c r="E1321" s="336"/>
      <c r="F1321" s="104" t="b">
        <f t="array" ref="F1321">IF(_xlfn.NUMBERVALUE(RIGHT($E1321,2))=MAX(IF(LEFT($E1321:$E3319,11)=LEFT($E1321,11),_xlfn.NUMBERVALUE(RIGHT($E1321:$E3319,2)))),TRUE)</f>
        <v>1</v>
      </c>
      <c r="G1321" s="336"/>
      <c r="H1321" s="336"/>
      <c r="I1321" s="336"/>
      <c r="J1321" s="336"/>
      <c r="K1321" s="336"/>
      <c r="L1321" s="336"/>
      <c r="M1321" s="336"/>
      <c r="N1321" s="336"/>
      <c r="O1321" s="336"/>
      <c r="P1321" s="336"/>
      <c r="Q1321" s="336"/>
      <c r="R1321" s="336"/>
      <c r="S1321" s="336"/>
      <c r="T1321" s="336"/>
    </row>
    <row r="1322" spans="1:20" x14ac:dyDescent="0.25">
      <c r="A1322" s="336"/>
      <c r="B1322" s="336"/>
      <c r="C1322" s="336"/>
      <c r="D1322" s="336"/>
      <c r="E1322" s="336"/>
      <c r="F1322" s="104" t="b">
        <f t="array" ref="F1322">IF(_xlfn.NUMBERVALUE(RIGHT($E1322,2))=MAX(IF(LEFT($E1322:$E3320,11)=LEFT($E1322,11),_xlfn.NUMBERVALUE(RIGHT($E1322:$E3320,2)))),TRUE)</f>
        <v>1</v>
      </c>
      <c r="G1322" s="336"/>
      <c r="H1322" s="336"/>
      <c r="I1322" s="336"/>
      <c r="J1322" s="336"/>
      <c r="K1322" s="336"/>
      <c r="L1322" s="336"/>
      <c r="M1322" s="336"/>
      <c r="N1322" s="336"/>
      <c r="O1322" s="336"/>
      <c r="P1322" s="336"/>
      <c r="Q1322" s="336"/>
      <c r="R1322" s="336"/>
      <c r="S1322" s="336"/>
      <c r="T1322" s="336"/>
    </row>
    <row r="1323" spans="1:20" x14ac:dyDescent="0.25">
      <c r="A1323" s="336"/>
      <c r="B1323" s="336"/>
      <c r="C1323" s="336"/>
      <c r="D1323" s="336"/>
      <c r="E1323" s="336"/>
      <c r="F1323" s="104" t="b">
        <f t="array" ref="F1323">IF(_xlfn.NUMBERVALUE(RIGHT($E1323,2))=MAX(IF(LEFT($E1323:$E3321,11)=LEFT($E1323,11),_xlfn.NUMBERVALUE(RIGHT($E1323:$E3321,2)))),TRUE)</f>
        <v>1</v>
      </c>
      <c r="G1323" s="336"/>
      <c r="H1323" s="336"/>
      <c r="I1323" s="336"/>
      <c r="J1323" s="336"/>
      <c r="K1323" s="336"/>
      <c r="L1323" s="336"/>
      <c r="M1323" s="336"/>
      <c r="N1323" s="336"/>
      <c r="O1323" s="336"/>
      <c r="P1323" s="336"/>
      <c r="Q1323" s="336"/>
      <c r="R1323" s="336"/>
      <c r="S1323" s="336"/>
      <c r="T1323" s="336"/>
    </row>
    <row r="1324" spans="1:20" x14ac:dyDescent="0.25">
      <c r="A1324" s="336"/>
      <c r="B1324" s="336"/>
      <c r="C1324" s="336"/>
      <c r="D1324" s="336"/>
      <c r="E1324" s="336"/>
      <c r="F1324" s="104" t="b">
        <f t="array" ref="F1324">IF(_xlfn.NUMBERVALUE(RIGHT($E1324,2))=MAX(IF(LEFT($E1324:$E3322,11)=LEFT($E1324,11),_xlfn.NUMBERVALUE(RIGHT($E1324:$E3322,2)))),TRUE)</f>
        <v>1</v>
      </c>
      <c r="G1324" s="336"/>
      <c r="H1324" s="336"/>
      <c r="I1324" s="336"/>
      <c r="J1324" s="336"/>
      <c r="K1324" s="336"/>
      <c r="L1324" s="336"/>
      <c r="M1324" s="336"/>
      <c r="N1324" s="336"/>
      <c r="O1324" s="336"/>
      <c r="P1324" s="336"/>
      <c r="Q1324" s="336"/>
      <c r="R1324" s="336"/>
      <c r="S1324" s="336"/>
      <c r="T1324" s="336"/>
    </row>
    <row r="1325" spans="1:20" x14ac:dyDescent="0.25">
      <c r="A1325" s="336"/>
      <c r="B1325" s="336"/>
      <c r="C1325" s="336"/>
      <c r="D1325" s="336"/>
      <c r="E1325" s="336"/>
      <c r="F1325" s="104" t="b">
        <f t="array" ref="F1325">IF(_xlfn.NUMBERVALUE(RIGHT($E1325,2))=MAX(IF(LEFT($E1325:$E3323,11)=LEFT($E1325,11),_xlfn.NUMBERVALUE(RIGHT($E1325:$E3323,2)))),TRUE)</f>
        <v>1</v>
      </c>
      <c r="G1325" s="336"/>
      <c r="H1325" s="336"/>
      <c r="I1325" s="336"/>
      <c r="J1325" s="336"/>
      <c r="K1325" s="336"/>
      <c r="L1325" s="336"/>
      <c r="M1325" s="336"/>
      <c r="N1325" s="336"/>
      <c r="O1325" s="336"/>
      <c r="P1325" s="336"/>
      <c r="Q1325" s="336"/>
      <c r="R1325" s="336"/>
      <c r="S1325" s="336"/>
      <c r="T1325" s="336"/>
    </row>
    <row r="1326" spans="1:20" x14ac:dyDescent="0.25">
      <c r="A1326" s="336"/>
      <c r="B1326" s="336"/>
      <c r="C1326" s="336"/>
      <c r="D1326" s="336"/>
      <c r="E1326" s="336"/>
      <c r="F1326" s="104" t="b">
        <f t="array" ref="F1326">IF(_xlfn.NUMBERVALUE(RIGHT($E1326,2))=MAX(IF(LEFT($E1326:$E3324,11)=LEFT($E1326,11),_xlfn.NUMBERVALUE(RIGHT($E1326:$E3324,2)))),TRUE)</f>
        <v>1</v>
      </c>
      <c r="G1326" s="336"/>
      <c r="H1326" s="336"/>
      <c r="I1326" s="336"/>
      <c r="J1326" s="336"/>
      <c r="K1326" s="336"/>
      <c r="L1326" s="336"/>
      <c r="M1326" s="336"/>
      <c r="N1326" s="336"/>
      <c r="O1326" s="336"/>
      <c r="P1326" s="336"/>
      <c r="Q1326" s="336"/>
      <c r="R1326" s="336"/>
      <c r="S1326" s="336"/>
      <c r="T1326" s="336"/>
    </row>
    <row r="1327" spans="1:20" x14ac:dyDescent="0.25">
      <c r="A1327" s="336"/>
      <c r="B1327" s="336"/>
      <c r="C1327" s="336"/>
      <c r="D1327" s="336"/>
      <c r="E1327" s="336"/>
      <c r="F1327" s="104" t="b">
        <f t="array" ref="F1327">IF(_xlfn.NUMBERVALUE(RIGHT($E1327,2))=MAX(IF(LEFT($E1327:$E3325,11)=LEFT($E1327,11),_xlfn.NUMBERVALUE(RIGHT($E1327:$E3325,2)))),TRUE)</f>
        <v>1</v>
      </c>
      <c r="G1327" s="336"/>
      <c r="H1327" s="336"/>
      <c r="I1327" s="336"/>
      <c r="J1327" s="336"/>
      <c r="K1327" s="336"/>
      <c r="L1327" s="336"/>
      <c r="M1327" s="336"/>
      <c r="N1327" s="336"/>
      <c r="O1327" s="336"/>
      <c r="P1327" s="336"/>
      <c r="Q1327" s="336"/>
      <c r="R1327" s="336"/>
      <c r="S1327" s="336"/>
      <c r="T1327" s="336"/>
    </row>
    <row r="1328" spans="1:20" x14ac:dyDescent="0.25">
      <c r="A1328" s="336"/>
      <c r="B1328" s="336"/>
      <c r="C1328" s="336"/>
      <c r="D1328" s="336"/>
      <c r="E1328" s="336"/>
      <c r="F1328" s="104" t="b">
        <f t="array" ref="F1328">IF(_xlfn.NUMBERVALUE(RIGHT($E1328,2))=MAX(IF(LEFT($E1328:$E3326,11)=LEFT($E1328,11),_xlfn.NUMBERVALUE(RIGHT($E1328:$E3326,2)))),TRUE)</f>
        <v>1</v>
      </c>
      <c r="G1328" s="336"/>
      <c r="H1328" s="336"/>
      <c r="I1328" s="336"/>
      <c r="J1328" s="336"/>
      <c r="K1328" s="336"/>
      <c r="L1328" s="336"/>
      <c r="M1328" s="336"/>
      <c r="N1328" s="336"/>
      <c r="O1328" s="336"/>
      <c r="P1328" s="336"/>
      <c r="Q1328" s="336"/>
      <c r="R1328" s="336"/>
      <c r="S1328" s="336"/>
      <c r="T1328" s="336"/>
    </row>
    <row r="1329" spans="1:20" x14ac:dyDescent="0.25">
      <c r="A1329" s="336"/>
      <c r="B1329" s="336"/>
      <c r="C1329" s="336"/>
      <c r="D1329" s="336"/>
      <c r="E1329" s="336"/>
      <c r="F1329" s="104" t="b">
        <f t="array" ref="F1329">IF(_xlfn.NUMBERVALUE(RIGHT($E1329,2))=MAX(IF(LEFT($E1329:$E3327,11)=LEFT($E1329,11),_xlfn.NUMBERVALUE(RIGHT($E1329:$E3327,2)))),TRUE)</f>
        <v>1</v>
      </c>
      <c r="G1329" s="336"/>
      <c r="H1329" s="336"/>
      <c r="I1329" s="336"/>
      <c r="J1329" s="336"/>
      <c r="K1329" s="336"/>
      <c r="L1329" s="336"/>
      <c r="M1329" s="336"/>
      <c r="N1329" s="336"/>
      <c r="O1329" s="336"/>
      <c r="P1329" s="336"/>
      <c r="Q1329" s="336"/>
      <c r="R1329" s="336"/>
      <c r="S1329" s="336"/>
      <c r="T1329" s="336"/>
    </row>
    <row r="1330" spans="1:20" x14ac:dyDescent="0.25">
      <c r="A1330" s="336"/>
      <c r="B1330" s="336"/>
      <c r="C1330" s="336"/>
      <c r="D1330" s="336"/>
      <c r="E1330" s="336"/>
      <c r="F1330" s="104" t="b">
        <f t="array" ref="F1330">IF(_xlfn.NUMBERVALUE(RIGHT($E1330,2))=MAX(IF(LEFT($E1330:$E3328,11)=LEFT($E1330,11),_xlfn.NUMBERVALUE(RIGHT($E1330:$E3328,2)))),TRUE)</f>
        <v>1</v>
      </c>
      <c r="G1330" s="336"/>
      <c r="H1330" s="336"/>
      <c r="I1330" s="336"/>
      <c r="J1330" s="336"/>
      <c r="K1330" s="336"/>
      <c r="L1330" s="336"/>
      <c r="M1330" s="336"/>
      <c r="N1330" s="336"/>
      <c r="O1330" s="336"/>
      <c r="P1330" s="336"/>
      <c r="Q1330" s="336"/>
      <c r="R1330" s="336"/>
      <c r="S1330" s="336"/>
      <c r="T1330" s="336"/>
    </row>
    <row r="1331" spans="1:20" x14ac:dyDescent="0.25">
      <c r="A1331" s="336"/>
      <c r="B1331" s="336"/>
      <c r="C1331" s="336"/>
      <c r="D1331" s="336"/>
      <c r="E1331" s="336"/>
      <c r="F1331" s="104" t="b">
        <f t="array" ref="F1331">IF(_xlfn.NUMBERVALUE(RIGHT($E1331,2))=MAX(IF(LEFT($E1331:$E3329,11)=LEFT($E1331,11),_xlfn.NUMBERVALUE(RIGHT($E1331:$E3329,2)))),TRUE)</f>
        <v>1</v>
      </c>
      <c r="G1331" s="336"/>
      <c r="H1331" s="336"/>
      <c r="I1331" s="336"/>
      <c r="J1331" s="336"/>
      <c r="K1331" s="336"/>
      <c r="L1331" s="336"/>
      <c r="M1331" s="336"/>
      <c r="N1331" s="336"/>
      <c r="O1331" s="336"/>
      <c r="P1331" s="336"/>
      <c r="Q1331" s="336"/>
      <c r="R1331" s="336"/>
      <c r="S1331" s="336"/>
      <c r="T1331" s="336"/>
    </row>
    <row r="1332" spans="1:20" x14ac:dyDescent="0.25">
      <c r="A1332" s="336"/>
      <c r="B1332" s="336"/>
      <c r="C1332" s="336"/>
      <c r="D1332" s="336"/>
      <c r="E1332" s="336"/>
      <c r="F1332" s="104" t="b">
        <f t="array" ref="F1332">IF(_xlfn.NUMBERVALUE(RIGHT($E1332,2))=MAX(IF(LEFT($E1332:$E3330,11)=LEFT($E1332,11),_xlfn.NUMBERVALUE(RIGHT($E1332:$E3330,2)))),TRUE)</f>
        <v>1</v>
      </c>
      <c r="G1332" s="336"/>
      <c r="H1332" s="336"/>
      <c r="I1332" s="336"/>
      <c r="J1332" s="336"/>
      <c r="K1332" s="336"/>
      <c r="L1332" s="336"/>
      <c r="M1332" s="336"/>
      <c r="N1332" s="336"/>
      <c r="O1332" s="336"/>
      <c r="P1332" s="336"/>
      <c r="Q1332" s="336"/>
      <c r="R1332" s="336"/>
      <c r="S1332" s="336"/>
      <c r="T1332" s="336"/>
    </row>
    <row r="1333" spans="1:20" x14ac:dyDescent="0.25">
      <c r="A1333" s="336"/>
      <c r="B1333" s="336"/>
      <c r="C1333" s="336"/>
      <c r="D1333" s="336"/>
      <c r="E1333" s="336"/>
      <c r="F1333" s="104" t="b">
        <f t="array" ref="F1333">IF(_xlfn.NUMBERVALUE(RIGHT($E1333,2))=MAX(IF(LEFT($E1333:$E3331,11)=LEFT($E1333,11),_xlfn.NUMBERVALUE(RIGHT($E1333:$E3331,2)))),TRUE)</f>
        <v>1</v>
      </c>
      <c r="G1333" s="336"/>
      <c r="H1333" s="336"/>
      <c r="I1333" s="336"/>
      <c r="J1333" s="336"/>
      <c r="K1333" s="336"/>
      <c r="L1333" s="336"/>
      <c r="M1333" s="336"/>
      <c r="N1333" s="336"/>
      <c r="O1333" s="336"/>
      <c r="P1333" s="336"/>
      <c r="Q1333" s="336"/>
      <c r="R1333" s="336"/>
      <c r="S1333" s="336"/>
      <c r="T1333" s="336"/>
    </row>
    <row r="1334" spans="1:20" x14ac:dyDescent="0.25">
      <c r="A1334" s="336"/>
      <c r="B1334" s="336"/>
      <c r="C1334" s="336"/>
      <c r="D1334" s="336"/>
      <c r="E1334" s="336"/>
      <c r="F1334" s="104" t="b">
        <f t="array" ref="F1334">IF(_xlfn.NUMBERVALUE(RIGHT($E1334,2))=MAX(IF(LEFT($E1334:$E3332,11)=LEFT($E1334,11),_xlfn.NUMBERVALUE(RIGHT($E1334:$E3332,2)))),TRUE)</f>
        <v>1</v>
      </c>
      <c r="G1334" s="336"/>
      <c r="H1334" s="336"/>
      <c r="I1334" s="336"/>
      <c r="J1334" s="336"/>
      <c r="K1334" s="336"/>
      <c r="L1334" s="336"/>
      <c r="M1334" s="336"/>
      <c r="N1334" s="336"/>
      <c r="O1334" s="336"/>
      <c r="P1334" s="336"/>
      <c r="Q1334" s="336"/>
      <c r="R1334" s="336"/>
      <c r="S1334" s="336"/>
      <c r="T1334" s="336"/>
    </row>
    <row r="1335" spans="1:20" x14ac:dyDescent="0.25">
      <c r="A1335" s="336"/>
      <c r="B1335" s="336"/>
      <c r="C1335" s="336"/>
      <c r="D1335" s="336"/>
      <c r="E1335" s="336"/>
      <c r="F1335" s="104" t="b">
        <f t="array" ref="F1335">IF(_xlfn.NUMBERVALUE(RIGHT($E1335,2))=MAX(IF(LEFT($E1335:$E3333,11)=LEFT($E1335,11),_xlfn.NUMBERVALUE(RIGHT($E1335:$E3333,2)))),TRUE)</f>
        <v>1</v>
      </c>
      <c r="G1335" s="336"/>
      <c r="H1335" s="336"/>
      <c r="I1335" s="336"/>
      <c r="J1335" s="336"/>
      <c r="K1335" s="336"/>
      <c r="L1335" s="336"/>
      <c r="M1335" s="336"/>
      <c r="N1335" s="336"/>
      <c r="O1335" s="336"/>
      <c r="P1335" s="336"/>
      <c r="Q1335" s="336"/>
      <c r="R1335" s="336"/>
      <c r="S1335" s="336"/>
      <c r="T1335" s="336"/>
    </row>
    <row r="1336" spans="1:20" x14ac:dyDescent="0.25">
      <c r="A1336" s="336"/>
      <c r="B1336" s="336"/>
      <c r="C1336" s="336"/>
      <c r="D1336" s="336"/>
      <c r="E1336" s="336"/>
      <c r="F1336" s="104" t="b">
        <f t="array" ref="F1336">IF(_xlfn.NUMBERVALUE(RIGHT($E1336,2))=MAX(IF(LEFT($E1336:$E3334,11)=LEFT($E1336,11),_xlfn.NUMBERVALUE(RIGHT($E1336:$E3334,2)))),TRUE)</f>
        <v>1</v>
      </c>
      <c r="G1336" s="336"/>
      <c r="H1336" s="336"/>
      <c r="I1336" s="336"/>
      <c r="J1336" s="336"/>
      <c r="K1336" s="336"/>
      <c r="L1336" s="336"/>
      <c r="M1336" s="336"/>
      <c r="N1336" s="336"/>
      <c r="O1336" s="336"/>
      <c r="P1336" s="336"/>
      <c r="Q1336" s="336"/>
      <c r="R1336" s="336"/>
      <c r="S1336" s="336"/>
      <c r="T1336" s="336"/>
    </row>
    <row r="1337" spans="1:20" x14ac:dyDescent="0.25">
      <c r="A1337" s="336"/>
      <c r="B1337" s="336"/>
      <c r="C1337" s="336"/>
      <c r="D1337" s="336"/>
      <c r="E1337" s="336"/>
      <c r="F1337" s="104" t="b">
        <f t="array" ref="F1337">IF(_xlfn.NUMBERVALUE(RIGHT($E1337,2))=MAX(IF(LEFT($E1337:$E3335,11)=LEFT($E1337,11),_xlfn.NUMBERVALUE(RIGHT($E1337:$E3335,2)))),TRUE)</f>
        <v>1</v>
      </c>
      <c r="G1337" s="336"/>
      <c r="H1337" s="336"/>
      <c r="I1337" s="336"/>
      <c r="J1337" s="336"/>
      <c r="K1337" s="336"/>
      <c r="L1337" s="336"/>
      <c r="M1337" s="336"/>
      <c r="N1337" s="336"/>
      <c r="O1337" s="336"/>
      <c r="P1337" s="336"/>
      <c r="Q1337" s="336"/>
      <c r="R1337" s="336"/>
      <c r="S1337" s="336"/>
      <c r="T1337" s="336"/>
    </row>
    <row r="1338" spans="1:20" x14ac:dyDescent="0.25">
      <c r="A1338" s="336"/>
      <c r="B1338" s="336"/>
      <c r="C1338" s="336"/>
      <c r="D1338" s="336"/>
      <c r="E1338" s="336"/>
      <c r="F1338" s="104" t="b">
        <f t="array" ref="F1338">IF(_xlfn.NUMBERVALUE(RIGHT($E1338,2))=MAX(IF(LEFT($E1338:$E3336,11)=LEFT($E1338,11),_xlfn.NUMBERVALUE(RIGHT($E1338:$E3336,2)))),TRUE)</f>
        <v>1</v>
      </c>
      <c r="G1338" s="336"/>
      <c r="H1338" s="336"/>
      <c r="I1338" s="336"/>
      <c r="J1338" s="336"/>
      <c r="K1338" s="336"/>
      <c r="L1338" s="336"/>
      <c r="M1338" s="336"/>
      <c r="N1338" s="336"/>
      <c r="O1338" s="336"/>
      <c r="P1338" s="336"/>
      <c r="Q1338" s="336"/>
      <c r="R1338" s="336"/>
      <c r="S1338" s="336"/>
      <c r="T1338" s="336"/>
    </row>
    <row r="1339" spans="1:20" x14ac:dyDescent="0.25">
      <c r="A1339" s="336"/>
      <c r="B1339" s="336"/>
      <c r="C1339" s="336"/>
      <c r="D1339" s="336"/>
      <c r="E1339" s="336"/>
      <c r="F1339" s="104" t="b">
        <f t="array" ref="F1339">IF(_xlfn.NUMBERVALUE(RIGHT($E1339,2))=MAX(IF(LEFT($E1339:$E3337,11)=LEFT($E1339,11),_xlfn.NUMBERVALUE(RIGHT($E1339:$E3337,2)))),TRUE)</f>
        <v>1</v>
      </c>
      <c r="G1339" s="336"/>
      <c r="H1339" s="336"/>
      <c r="I1339" s="336"/>
      <c r="J1339" s="336"/>
      <c r="K1339" s="336"/>
      <c r="L1339" s="336"/>
      <c r="M1339" s="336"/>
      <c r="N1339" s="336"/>
      <c r="O1339" s="336"/>
      <c r="P1339" s="336"/>
      <c r="Q1339" s="336"/>
      <c r="R1339" s="336"/>
      <c r="S1339" s="336"/>
      <c r="T1339" s="336"/>
    </row>
    <row r="1340" spans="1:20" x14ac:dyDescent="0.25">
      <c r="A1340" s="336"/>
      <c r="B1340" s="336"/>
      <c r="C1340" s="336"/>
      <c r="D1340" s="336"/>
      <c r="E1340" s="336"/>
      <c r="F1340" s="104" t="b">
        <f t="array" ref="F1340">IF(_xlfn.NUMBERVALUE(RIGHT($E1340,2))=MAX(IF(LEFT($E1340:$E3338,11)=LEFT($E1340,11),_xlfn.NUMBERVALUE(RIGHT($E1340:$E3338,2)))),TRUE)</f>
        <v>1</v>
      </c>
      <c r="G1340" s="336"/>
      <c r="H1340" s="336"/>
      <c r="I1340" s="336"/>
      <c r="J1340" s="336"/>
      <c r="K1340" s="336"/>
      <c r="L1340" s="336"/>
      <c r="M1340" s="336"/>
      <c r="N1340" s="336"/>
      <c r="O1340" s="336"/>
      <c r="P1340" s="336"/>
      <c r="Q1340" s="336"/>
      <c r="R1340" s="336"/>
      <c r="S1340" s="336"/>
      <c r="T1340" s="336"/>
    </row>
    <row r="1341" spans="1:20" x14ac:dyDescent="0.25">
      <c r="A1341" s="336"/>
      <c r="B1341" s="336"/>
      <c r="C1341" s="336"/>
      <c r="D1341" s="336"/>
      <c r="E1341" s="336"/>
      <c r="F1341" s="104" t="b">
        <f t="array" ref="F1341">IF(_xlfn.NUMBERVALUE(RIGHT($E1341,2))=MAX(IF(LEFT($E1341:$E3339,11)=LEFT($E1341,11),_xlfn.NUMBERVALUE(RIGHT($E1341:$E3339,2)))),TRUE)</f>
        <v>1</v>
      </c>
      <c r="G1341" s="336"/>
      <c r="H1341" s="336"/>
      <c r="I1341" s="336"/>
      <c r="J1341" s="336"/>
      <c r="K1341" s="336"/>
      <c r="L1341" s="336"/>
      <c r="M1341" s="336"/>
      <c r="N1341" s="336"/>
      <c r="O1341" s="336"/>
      <c r="P1341" s="336"/>
      <c r="Q1341" s="336"/>
      <c r="R1341" s="336"/>
      <c r="S1341" s="336"/>
      <c r="T1341" s="336"/>
    </row>
    <row r="1342" spans="1:20" x14ac:dyDescent="0.25">
      <c r="A1342" s="336"/>
      <c r="B1342" s="336"/>
      <c r="C1342" s="336"/>
      <c r="D1342" s="336"/>
      <c r="E1342" s="336"/>
      <c r="F1342" s="104" t="b">
        <f t="array" ref="F1342">IF(_xlfn.NUMBERVALUE(RIGHT($E1342,2))=MAX(IF(LEFT($E1342:$E3340,11)=LEFT($E1342,11),_xlfn.NUMBERVALUE(RIGHT($E1342:$E3340,2)))),TRUE)</f>
        <v>1</v>
      </c>
      <c r="G1342" s="336"/>
      <c r="H1342" s="336"/>
      <c r="I1342" s="336"/>
      <c r="J1342" s="336"/>
      <c r="K1342" s="336"/>
      <c r="L1342" s="336"/>
      <c r="M1342" s="336"/>
      <c r="N1342" s="336"/>
      <c r="O1342" s="336"/>
      <c r="P1342" s="336"/>
      <c r="Q1342" s="336"/>
      <c r="R1342" s="336"/>
      <c r="S1342" s="336"/>
      <c r="T1342" s="336"/>
    </row>
    <row r="1343" spans="1:20" x14ac:dyDescent="0.25">
      <c r="A1343" s="336"/>
      <c r="B1343" s="336"/>
      <c r="C1343" s="336"/>
      <c r="D1343" s="336"/>
      <c r="E1343" s="336"/>
      <c r="F1343" s="104" t="b">
        <f t="array" ref="F1343">IF(_xlfn.NUMBERVALUE(RIGHT($E1343,2))=MAX(IF(LEFT($E1343:$E3341,11)=LEFT($E1343,11),_xlfn.NUMBERVALUE(RIGHT($E1343:$E3341,2)))),TRUE)</f>
        <v>1</v>
      </c>
      <c r="G1343" s="336"/>
      <c r="H1343" s="336"/>
      <c r="I1343" s="336"/>
      <c r="J1343" s="336"/>
      <c r="K1343" s="336"/>
      <c r="L1343" s="336"/>
      <c r="M1343" s="336"/>
      <c r="N1343" s="336"/>
      <c r="O1343" s="336"/>
      <c r="P1343" s="336"/>
      <c r="Q1343" s="336"/>
      <c r="R1343" s="336"/>
      <c r="S1343" s="336"/>
      <c r="T1343" s="336"/>
    </row>
    <row r="1344" spans="1:20" x14ac:dyDescent="0.25">
      <c r="A1344" s="336"/>
      <c r="B1344" s="336"/>
      <c r="C1344" s="336"/>
      <c r="D1344" s="336"/>
      <c r="E1344" s="336"/>
      <c r="F1344" s="104" t="b">
        <f t="array" ref="F1344">IF(_xlfn.NUMBERVALUE(RIGHT($E1344,2))=MAX(IF(LEFT($E1344:$E3342,11)=LEFT($E1344,11),_xlfn.NUMBERVALUE(RIGHT($E1344:$E3342,2)))),TRUE)</f>
        <v>1</v>
      </c>
      <c r="G1344" s="336"/>
      <c r="H1344" s="336"/>
      <c r="I1344" s="336"/>
      <c r="J1344" s="336"/>
      <c r="K1344" s="336"/>
      <c r="L1344" s="336"/>
      <c r="M1344" s="336"/>
      <c r="N1344" s="336"/>
      <c r="O1344" s="336"/>
      <c r="P1344" s="336"/>
      <c r="Q1344" s="336"/>
      <c r="R1344" s="336"/>
      <c r="S1344" s="336"/>
      <c r="T1344" s="336"/>
    </row>
    <row r="1345" spans="1:20" x14ac:dyDescent="0.25">
      <c r="A1345" s="336"/>
      <c r="B1345" s="336"/>
      <c r="C1345" s="336"/>
      <c r="D1345" s="336"/>
      <c r="E1345" s="336"/>
      <c r="F1345" s="104" t="b">
        <f t="array" ref="F1345">IF(_xlfn.NUMBERVALUE(RIGHT($E1345,2))=MAX(IF(LEFT($E1345:$E3343,11)=LEFT($E1345,11),_xlfn.NUMBERVALUE(RIGHT($E1345:$E3343,2)))),TRUE)</f>
        <v>1</v>
      </c>
      <c r="G1345" s="336"/>
      <c r="H1345" s="336"/>
      <c r="I1345" s="336"/>
      <c r="J1345" s="336"/>
      <c r="K1345" s="336"/>
      <c r="L1345" s="336"/>
      <c r="M1345" s="336"/>
      <c r="N1345" s="336"/>
      <c r="O1345" s="336"/>
      <c r="P1345" s="336"/>
      <c r="Q1345" s="336"/>
      <c r="R1345" s="336"/>
      <c r="S1345" s="336"/>
      <c r="T1345" s="336"/>
    </row>
    <row r="1346" spans="1:20" x14ac:dyDescent="0.25">
      <c r="A1346" s="336"/>
      <c r="B1346" s="336"/>
      <c r="C1346" s="336"/>
      <c r="D1346" s="336"/>
      <c r="E1346" s="336"/>
      <c r="F1346" s="104" t="b">
        <f t="array" ref="F1346">IF(_xlfn.NUMBERVALUE(RIGHT($E1346,2))=MAX(IF(LEFT($E1346:$E3344,11)=LEFT($E1346,11),_xlfn.NUMBERVALUE(RIGHT($E1346:$E3344,2)))),TRUE)</f>
        <v>1</v>
      </c>
      <c r="G1346" s="336"/>
      <c r="H1346" s="336"/>
      <c r="I1346" s="336"/>
      <c r="J1346" s="336"/>
      <c r="K1346" s="336"/>
      <c r="L1346" s="336"/>
      <c r="M1346" s="336"/>
      <c r="N1346" s="336"/>
      <c r="O1346" s="336"/>
      <c r="P1346" s="336"/>
      <c r="Q1346" s="336"/>
      <c r="R1346" s="336"/>
      <c r="S1346" s="336"/>
      <c r="T1346" s="336"/>
    </row>
    <row r="1347" spans="1:20" x14ac:dyDescent="0.25">
      <c r="A1347" s="336"/>
      <c r="B1347" s="336"/>
      <c r="C1347" s="336"/>
      <c r="D1347" s="336"/>
      <c r="E1347" s="336"/>
      <c r="F1347" s="104" t="b">
        <f t="array" ref="F1347">IF(_xlfn.NUMBERVALUE(RIGHT($E1347,2))=MAX(IF(LEFT($E1347:$E3345,11)=LEFT($E1347,11),_xlfn.NUMBERVALUE(RIGHT($E1347:$E3345,2)))),TRUE)</f>
        <v>1</v>
      </c>
      <c r="G1347" s="336"/>
      <c r="H1347" s="336"/>
      <c r="I1347" s="336"/>
      <c r="J1347" s="336"/>
      <c r="K1347" s="336"/>
      <c r="L1347" s="336"/>
      <c r="M1347" s="336"/>
      <c r="N1347" s="336"/>
      <c r="O1347" s="336"/>
      <c r="P1347" s="336"/>
      <c r="Q1347" s="336"/>
      <c r="R1347" s="336"/>
      <c r="S1347" s="336"/>
      <c r="T1347" s="336"/>
    </row>
    <row r="1348" spans="1:20" x14ac:dyDescent="0.25">
      <c r="A1348" s="336"/>
      <c r="B1348" s="336"/>
      <c r="C1348" s="336"/>
      <c r="D1348" s="336"/>
      <c r="E1348" s="336"/>
      <c r="F1348" s="104" t="b">
        <f t="array" ref="F1348">IF(_xlfn.NUMBERVALUE(RIGHT($E1348,2))=MAX(IF(LEFT($E1348:$E3346,11)=LEFT($E1348,11),_xlfn.NUMBERVALUE(RIGHT($E1348:$E3346,2)))),TRUE)</f>
        <v>1</v>
      </c>
      <c r="G1348" s="336"/>
      <c r="H1348" s="336"/>
      <c r="I1348" s="336"/>
      <c r="J1348" s="336"/>
      <c r="K1348" s="336"/>
      <c r="L1348" s="336"/>
      <c r="M1348" s="336"/>
      <c r="N1348" s="336"/>
      <c r="O1348" s="336"/>
      <c r="P1348" s="336"/>
      <c r="Q1348" s="336"/>
      <c r="R1348" s="336"/>
      <c r="S1348" s="336"/>
      <c r="T1348" s="336"/>
    </row>
    <row r="1349" spans="1:20" x14ac:dyDescent="0.25">
      <c r="A1349" s="336"/>
      <c r="B1349" s="336"/>
      <c r="C1349" s="336"/>
      <c r="D1349" s="336"/>
      <c r="E1349" s="336"/>
      <c r="F1349" s="104" t="b">
        <f t="array" ref="F1349">IF(_xlfn.NUMBERVALUE(RIGHT($E1349,2))=MAX(IF(LEFT($E1349:$E3347,11)=LEFT($E1349,11),_xlfn.NUMBERVALUE(RIGHT($E1349:$E3347,2)))),TRUE)</f>
        <v>1</v>
      </c>
      <c r="G1349" s="336"/>
      <c r="H1349" s="336"/>
      <c r="I1349" s="336"/>
      <c r="J1349" s="336"/>
      <c r="K1349" s="336"/>
      <c r="L1349" s="336"/>
      <c r="M1349" s="336"/>
      <c r="N1349" s="336"/>
      <c r="O1349" s="336"/>
      <c r="P1349" s="336"/>
      <c r="Q1349" s="336"/>
      <c r="R1349" s="336"/>
      <c r="S1349" s="336"/>
      <c r="T1349" s="336"/>
    </row>
    <row r="1350" spans="1:20" x14ac:dyDescent="0.25">
      <c r="A1350" s="336"/>
      <c r="B1350" s="336"/>
      <c r="C1350" s="336"/>
      <c r="D1350" s="336"/>
      <c r="E1350" s="336"/>
      <c r="F1350" s="104" t="b">
        <f t="array" ref="F1350">IF(_xlfn.NUMBERVALUE(RIGHT($E1350,2))=MAX(IF(LEFT($E1350:$E3348,11)=LEFT($E1350,11),_xlfn.NUMBERVALUE(RIGHT($E1350:$E3348,2)))),TRUE)</f>
        <v>1</v>
      </c>
      <c r="G1350" s="336"/>
      <c r="H1350" s="336"/>
      <c r="I1350" s="336"/>
      <c r="J1350" s="336"/>
      <c r="K1350" s="336"/>
      <c r="L1350" s="336"/>
      <c r="M1350" s="336"/>
      <c r="N1350" s="336"/>
      <c r="O1350" s="336"/>
      <c r="P1350" s="336"/>
      <c r="Q1350" s="336"/>
      <c r="R1350" s="336"/>
      <c r="S1350" s="336"/>
      <c r="T1350" s="336"/>
    </row>
    <row r="1351" spans="1:20" x14ac:dyDescent="0.25">
      <c r="A1351" s="336"/>
      <c r="B1351" s="336"/>
      <c r="C1351" s="336"/>
      <c r="D1351" s="336"/>
      <c r="E1351" s="336"/>
      <c r="F1351" s="104" t="b">
        <f t="array" ref="F1351">IF(_xlfn.NUMBERVALUE(RIGHT($E1351,2))=MAX(IF(LEFT($E1351:$E3349,11)=LEFT($E1351,11),_xlfn.NUMBERVALUE(RIGHT($E1351:$E3349,2)))),TRUE)</f>
        <v>1</v>
      </c>
      <c r="G1351" s="336"/>
      <c r="H1351" s="336"/>
      <c r="I1351" s="336"/>
      <c r="J1351" s="336"/>
      <c r="K1351" s="336"/>
      <c r="L1351" s="336"/>
      <c r="M1351" s="336"/>
      <c r="N1351" s="336"/>
      <c r="O1351" s="336"/>
      <c r="P1351" s="336"/>
      <c r="Q1351" s="336"/>
      <c r="R1351" s="336"/>
      <c r="S1351" s="336"/>
      <c r="T1351" s="336"/>
    </row>
    <row r="1352" spans="1:20" x14ac:dyDescent="0.25">
      <c r="A1352" s="336"/>
      <c r="B1352" s="336"/>
      <c r="C1352" s="336"/>
      <c r="D1352" s="336"/>
      <c r="E1352" s="336"/>
      <c r="F1352" s="104" t="b">
        <f t="array" ref="F1352">IF(_xlfn.NUMBERVALUE(RIGHT($E1352,2))=MAX(IF(LEFT($E1352:$E3350,11)=LEFT($E1352,11),_xlfn.NUMBERVALUE(RIGHT($E1352:$E3350,2)))),TRUE)</f>
        <v>1</v>
      </c>
      <c r="G1352" s="336"/>
      <c r="H1352" s="336"/>
      <c r="I1352" s="336"/>
      <c r="J1352" s="336"/>
      <c r="K1352" s="336"/>
      <c r="L1352" s="336"/>
      <c r="M1352" s="336"/>
      <c r="N1352" s="336"/>
      <c r="O1352" s="336"/>
      <c r="P1352" s="336"/>
      <c r="Q1352" s="336"/>
      <c r="R1352" s="336"/>
      <c r="S1352" s="336"/>
      <c r="T1352" s="336"/>
    </row>
    <row r="1353" spans="1:20" x14ac:dyDescent="0.25">
      <c r="A1353" s="336"/>
      <c r="B1353" s="336"/>
      <c r="C1353" s="336"/>
      <c r="D1353" s="336"/>
      <c r="E1353" s="336"/>
      <c r="F1353" s="104" t="b">
        <f t="array" ref="F1353">IF(_xlfn.NUMBERVALUE(RIGHT($E1353,2))=MAX(IF(LEFT($E1353:$E3351,11)=LEFT($E1353,11),_xlfn.NUMBERVALUE(RIGHT($E1353:$E3351,2)))),TRUE)</f>
        <v>1</v>
      </c>
      <c r="G1353" s="336"/>
      <c r="H1353" s="336"/>
      <c r="I1353" s="336"/>
      <c r="J1353" s="336"/>
      <c r="K1353" s="336"/>
      <c r="L1353" s="336"/>
      <c r="M1353" s="336"/>
      <c r="N1353" s="336"/>
      <c r="O1353" s="336"/>
      <c r="P1353" s="336"/>
      <c r="Q1353" s="336"/>
      <c r="R1353" s="336"/>
      <c r="S1353" s="336"/>
      <c r="T1353" s="336"/>
    </row>
    <row r="1354" spans="1:20" x14ac:dyDescent="0.25">
      <c r="A1354" s="336"/>
      <c r="B1354" s="336"/>
      <c r="C1354" s="336"/>
      <c r="D1354" s="336"/>
      <c r="E1354" s="336"/>
      <c r="F1354" s="104" t="b">
        <f t="array" ref="F1354">IF(_xlfn.NUMBERVALUE(RIGHT($E1354,2))=MAX(IF(LEFT($E1354:$E3352,11)=LEFT($E1354,11),_xlfn.NUMBERVALUE(RIGHT($E1354:$E3352,2)))),TRUE)</f>
        <v>1</v>
      </c>
      <c r="G1354" s="336"/>
      <c r="H1354" s="336"/>
      <c r="I1354" s="336"/>
      <c r="J1354" s="336"/>
      <c r="K1354" s="336"/>
      <c r="L1354" s="336"/>
      <c r="M1354" s="336"/>
      <c r="N1354" s="336"/>
      <c r="O1354" s="336"/>
      <c r="P1354" s="336"/>
      <c r="Q1354" s="336"/>
      <c r="R1354" s="336"/>
      <c r="S1354" s="336"/>
      <c r="T1354" s="336"/>
    </row>
    <row r="1355" spans="1:20" x14ac:dyDescent="0.25">
      <c r="A1355" s="336"/>
      <c r="B1355" s="336"/>
      <c r="C1355" s="336"/>
      <c r="D1355" s="336"/>
      <c r="E1355" s="336"/>
      <c r="F1355" s="104" t="b">
        <f t="array" ref="F1355">IF(_xlfn.NUMBERVALUE(RIGHT($E1355,2))=MAX(IF(LEFT($E1355:$E3353,11)=LEFT($E1355,11),_xlfn.NUMBERVALUE(RIGHT($E1355:$E3353,2)))),TRUE)</f>
        <v>1</v>
      </c>
      <c r="G1355" s="336"/>
      <c r="H1355" s="336"/>
      <c r="I1355" s="336"/>
      <c r="J1355" s="336"/>
      <c r="K1355" s="336"/>
      <c r="L1355" s="336"/>
      <c r="M1355" s="336"/>
      <c r="N1355" s="336"/>
      <c r="O1355" s="336"/>
      <c r="P1355" s="336"/>
      <c r="Q1355" s="336"/>
      <c r="R1355" s="336"/>
      <c r="S1355" s="336"/>
      <c r="T1355" s="336"/>
    </row>
    <row r="1356" spans="1:20" x14ac:dyDescent="0.25">
      <c r="A1356" s="336"/>
      <c r="B1356" s="336"/>
      <c r="C1356" s="336"/>
      <c r="D1356" s="336"/>
      <c r="E1356" s="336"/>
      <c r="F1356" s="104" t="b">
        <f t="array" ref="F1356">IF(_xlfn.NUMBERVALUE(RIGHT($E1356,2))=MAX(IF(LEFT($E1356:$E3354,11)=LEFT($E1356,11),_xlfn.NUMBERVALUE(RIGHT($E1356:$E3354,2)))),TRUE)</f>
        <v>1</v>
      </c>
      <c r="G1356" s="336"/>
      <c r="H1356" s="336"/>
      <c r="I1356" s="336"/>
      <c r="J1356" s="336"/>
      <c r="K1356" s="336"/>
      <c r="L1356" s="336"/>
      <c r="M1356" s="336"/>
      <c r="N1356" s="336"/>
      <c r="O1356" s="336"/>
      <c r="P1356" s="336"/>
      <c r="Q1356" s="336"/>
      <c r="R1356" s="336"/>
      <c r="S1356" s="336"/>
      <c r="T1356" s="336"/>
    </row>
    <row r="1357" spans="1:20" x14ac:dyDescent="0.25">
      <c r="A1357" s="336"/>
      <c r="B1357" s="336"/>
      <c r="C1357" s="336"/>
      <c r="D1357" s="336"/>
      <c r="E1357" s="336"/>
      <c r="F1357" s="104" t="b">
        <f t="array" ref="F1357">IF(_xlfn.NUMBERVALUE(RIGHT($E1357,2))=MAX(IF(LEFT($E1357:$E3355,11)=LEFT($E1357,11),_xlfn.NUMBERVALUE(RIGHT($E1357:$E3355,2)))),TRUE)</f>
        <v>1</v>
      </c>
      <c r="G1357" s="336"/>
      <c r="H1357" s="336"/>
      <c r="I1357" s="336"/>
      <c r="J1357" s="336"/>
      <c r="K1357" s="336"/>
      <c r="L1357" s="336"/>
      <c r="M1357" s="336"/>
      <c r="N1357" s="336"/>
      <c r="O1357" s="336"/>
      <c r="P1357" s="336"/>
      <c r="Q1357" s="336"/>
      <c r="R1357" s="336"/>
      <c r="S1357" s="336"/>
      <c r="T1357" s="336"/>
    </row>
    <row r="1358" spans="1:20" x14ac:dyDescent="0.25">
      <c r="A1358" s="336"/>
      <c r="B1358" s="336"/>
      <c r="C1358" s="336"/>
      <c r="D1358" s="336"/>
      <c r="E1358" s="336"/>
      <c r="F1358" s="104" t="b">
        <f t="array" ref="F1358">IF(_xlfn.NUMBERVALUE(RIGHT($E1358,2))=MAX(IF(LEFT($E1358:$E3356,11)=LEFT($E1358,11),_xlfn.NUMBERVALUE(RIGHT($E1358:$E3356,2)))),TRUE)</f>
        <v>1</v>
      </c>
      <c r="G1358" s="336"/>
      <c r="H1358" s="336"/>
      <c r="I1358" s="336"/>
      <c r="J1358" s="336"/>
      <c r="K1358" s="336"/>
      <c r="L1358" s="336"/>
      <c r="M1358" s="336"/>
      <c r="N1358" s="336"/>
      <c r="O1358" s="336"/>
      <c r="P1358" s="336"/>
      <c r="Q1358" s="336"/>
      <c r="R1358" s="336"/>
      <c r="S1358" s="336"/>
      <c r="T1358" s="336"/>
    </row>
    <row r="1359" spans="1:20" x14ac:dyDescent="0.25">
      <c r="A1359" s="336"/>
      <c r="B1359" s="336"/>
      <c r="C1359" s="336"/>
      <c r="D1359" s="336"/>
      <c r="E1359" s="336"/>
      <c r="F1359" s="104" t="b">
        <f t="array" ref="F1359">IF(_xlfn.NUMBERVALUE(RIGHT($E1359,2))=MAX(IF(LEFT($E1359:$E3357,11)=LEFT($E1359,11),_xlfn.NUMBERVALUE(RIGHT($E1359:$E3357,2)))),TRUE)</f>
        <v>1</v>
      </c>
      <c r="G1359" s="336"/>
      <c r="H1359" s="336"/>
      <c r="I1359" s="336"/>
      <c r="J1359" s="336"/>
      <c r="K1359" s="336"/>
      <c r="L1359" s="336"/>
      <c r="M1359" s="336"/>
      <c r="N1359" s="336"/>
      <c r="O1359" s="336"/>
      <c r="P1359" s="336"/>
      <c r="Q1359" s="336"/>
      <c r="R1359" s="336"/>
      <c r="S1359" s="336"/>
      <c r="T1359" s="336"/>
    </row>
    <row r="1360" spans="1:20" x14ac:dyDescent="0.25">
      <c r="A1360" s="336"/>
      <c r="B1360" s="336"/>
      <c r="C1360" s="336"/>
      <c r="D1360" s="336"/>
      <c r="E1360" s="336"/>
      <c r="F1360" s="104" t="b">
        <f t="array" ref="F1360">IF(_xlfn.NUMBERVALUE(RIGHT($E1360,2))=MAX(IF(LEFT($E1360:$E3358,11)=LEFT($E1360,11),_xlfn.NUMBERVALUE(RIGHT($E1360:$E3358,2)))),TRUE)</f>
        <v>1</v>
      </c>
      <c r="G1360" s="336"/>
      <c r="H1360" s="336"/>
      <c r="I1360" s="336"/>
      <c r="J1360" s="336"/>
      <c r="K1360" s="336"/>
      <c r="L1360" s="336"/>
      <c r="M1360" s="336"/>
      <c r="N1360" s="336"/>
      <c r="O1360" s="336"/>
      <c r="P1360" s="336"/>
      <c r="Q1360" s="336"/>
      <c r="R1360" s="336"/>
      <c r="S1360" s="336"/>
      <c r="T1360" s="336"/>
    </row>
    <row r="1361" spans="1:20" x14ac:dyDescent="0.25">
      <c r="A1361" s="336"/>
      <c r="B1361" s="336"/>
      <c r="C1361" s="336"/>
      <c r="D1361" s="336"/>
      <c r="E1361" s="336"/>
      <c r="F1361" s="104" t="b">
        <f t="array" ref="F1361">IF(_xlfn.NUMBERVALUE(RIGHT($E1361,2))=MAX(IF(LEFT($E1361:$E3359,11)=LEFT($E1361,11),_xlfn.NUMBERVALUE(RIGHT($E1361:$E3359,2)))),TRUE)</f>
        <v>1</v>
      </c>
      <c r="G1361" s="336"/>
      <c r="H1361" s="336"/>
      <c r="I1361" s="336"/>
      <c r="J1361" s="336"/>
      <c r="K1361" s="336"/>
      <c r="L1361" s="336"/>
      <c r="M1361" s="336"/>
      <c r="N1361" s="336"/>
      <c r="O1361" s="336"/>
      <c r="P1361" s="336"/>
      <c r="Q1361" s="336"/>
      <c r="R1361" s="336"/>
      <c r="S1361" s="336"/>
      <c r="T1361" s="336"/>
    </row>
    <row r="1362" spans="1:20" x14ac:dyDescent="0.25">
      <c r="A1362" s="336"/>
      <c r="B1362" s="336"/>
      <c r="C1362" s="336"/>
      <c r="D1362" s="336"/>
      <c r="E1362" s="336"/>
      <c r="F1362" s="104" t="b">
        <f t="array" ref="F1362">IF(_xlfn.NUMBERVALUE(RIGHT($E1362,2))=MAX(IF(LEFT($E1362:$E3360,11)=LEFT($E1362,11),_xlfn.NUMBERVALUE(RIGHT($E1362:$E3360,2)))),TRUE)</f>
        <v>1</v>
      </c>
      <c r="G1362" s="336"/>
      <c r="H1362" s="336"/>
      <c r="I1362" s="336"/>
      <c r="J1362" s="336"/>
      <c r="K1362" s="336"/>
      <c r="L1362" s="336"/>
      <c r="M1362" s="336"/>
      <c r="N1362" s="336"/>
      <c r="O1362" s="336"/>
      <c r="P1362" s="336"/>
      <c r="Q1362" s="336"/>
      <c r="R1362" s="336"/>
      <c r="S1362" s="336"/>
      <c r="T1362" s="336"/>
    </row>
    <row r="1363" spans="1:20" x14ac:dyDescent="0.25">
      <c r="A1363" s="336"/>
      <c r="B1363" s="336"/>
      <c r="C1363" s="336"/>
      <c r="D1363" s="336"/>
      <c r="E1363" s="336"/>
      <c r="F1363" s="104" t="b">
        <f t="array" ref="F1363">IF(_xlfn.NUMBERVALUE(RIGHT($E1363,2))=MAX(IF(LEFT($E1363:$E3361,11)=LEFT($E1363,11),_xlfn.NUMBERVALUE(RIGHT($E1363:$E3361,2)))),TRUE)</f>
        <v>1</v>
      </c>
      <c r="G1363" s="336"/>
      <c r="H1363" s="336"/>
      <c r="I1363" s="336"/>
      <c r="J1363" s="336"/>
      <c r="K1363" s="336"/>
      <c r="L1363" s="336"/>
      <c r="M1363" s="336"/>
      <c r="N1363" s="336"/>
      <c r="O1363" s="336"/>
      <c r="P1363" s="336"/>
      <c r="Q1363" s="336"/>
      <c r="R1363" s="336"/>
      <c r="S1363" s="336"/>
      <c r="T1363" s="336"/>
    </row>
    <row r="1364" spans="1:20" x14ac:dyDescent="0.25">
      <c r="A1364" s="336"/>
      <c r="B1364" s="336"/>
      <c r="C1364" s="336"/>
      <c r="D1364" s="336"/>
      <c r="E1364" s="336"/>
      <c r="F1364" s="104" t="b">
        <f t="array" ref="F1364">IF(_xlfn.NUMBERVALUE(RIGHT($E1364,2))=MAX(IF(LEFT($E1364:$E3362,11)=LEFT($E1364,11),_xlfn.NUMBERVALUE(RIGHT($E1364:$E3362,2)))),TRUE)</f>
        <v>1</v>
      </c>
      <c r="G1364" s="336"/>
      <c r="H1364" s="336"/>
      <c r="I1364" s="336"/>
      <c r="J1364" s="336"/>
      <c r="K1364" s="336"/>
      <c r="L1364" s="336"/>
      <c r="M1364" s="336"/>
      <c r="N1364" s="336"/>
      <c r="O1364" s="336"/>
      <c r="P1364" s="336"/>
      <c r="Q1364" s="336"/>
      <c r="R1364" s="336"/>
      <c r="S1364" s="336"/>
      <c r="T1364" s="336"/>
    </row>
    <row r="1365" spans="1:20" x14ac:dyDescent="0.25">
      <c r="A1365" s="336"/>
      <c r="B1365" s="336"/>
      <c r="C1365" s="336"/>
      <c r="D1365" s="336"/>
      <c r="E1365" s="336"/>
      <c r="F1365" s="104" t="b">
        <f t="array" ref="F1365">IF(_xlfn.NUMBERVALUE(RIGHT($E1365,2))=MAX(IF(LEFT($E1365:$E3363,11)=LEFT($E1365,11),_xlfn.NUMBERVALUE(RIGHT($E1365:$E3363,2)))),TRUE)</f>
        <v>1</v>
      </c>
      <c r="G1365" s="336"/>
      <c r="H1365" s="336"/>
      <c r="I1365" s="336"/>
      <c r="J1365" s="336"/>
      <c r="K1365" s="336"/>
      <c r="L1365" s="336"/>
      <c r="M1365" s="336"/>
      <c r="N1365" s="336"/>
      <c r="O1365" s="336"/>
      <c r="P1365" s="336"/>
      <c r="Q1365" s="336"/>
      <c r="R1365" s="336"/>
      <c r="S1365" s="336"/>
      <c r="T1365" s="336"/>
    </row>
    <row r="1366" spans="1:20" x14ac:dyDescent="0.25">
      <c r="A1366" s="336"/>
      <c r="B1366" s="336"/>
      <c r="C1366" s="336"/>
      <c r="D1366" s="336"/>
      <c r="E1366" s="336"/>
      <c r="F1366" s="104" t="b">
        <f t="array" ref="F1366">IF(_xlfn.NUMBERVALUE(RIGHT($E1366,2))=MAX(IF(LEFT($E1366:$E3364,11)=LEFT($E1366,11),_xlfn.NUMBERVALUE(RIGHT($E1366:$E3364,2)))),TRUE)</f>
        <v>1</v>
      </c>
      <c r="G1366" s="336"/>
      <c r="H1366" s="336"/>
      <c r="I1366" s="336"/>
      <c r="J1366" s="336"/>
      <c r="K1366" s="336"/>
      <c r="L1366" s="336"/>
      <c r="M1366" s="336"/>
      <c r="N1366" s="336"/>
      <c r="O1366" s="336"/>
      <c r="P1366" s="336"/>
      <c r="Q1366" s="336"/>
      <c r="R1366" s="336"/>
      <c r="S1366" s="336"/>
      <c r="T1366" s="336"/>
    </row>
    <row r="1367" spans="1:20" x14ac:dyDescent="0.25">
      <c r="A1367" s="336"/>
      <c r="B1367" s="336"/>
      <c r="C1367" s="336"/>
      <c r="D1367" s="336"/>
      <c r="E1367" s="336"/>
      <c r="F1367" s="104" t="b">
        <f t="array" ref="F1367">IF(_xlfn.NUMBERVALUE(RIGHT($E1367,2))=MAX(IF(LEFT($E1367:$E3365,11)=LEFT($E1367,11),_xlfn.NUMBERVALUE(RIGHT($E1367:$E3365,2)))),TRUE)</f>
        <v>1</v>
      </c>
      <c r="G1367" s="336"/>
      <c r="H1367" s="336"/>
      <c r="I1367" s="336"/>
      <c r="J1367" s="336"/>
      <c r="K1367" s="336"/>
      <c r="L1367" s="336"/>
      <c r="M1367" s="336"/>
      <c r="N1367" s="336"/>
      <c r="O1367" s="336"/>
      <c r="P1367" s="336"/>
      <c r="Q1367" s="336"/>
      <c r="R1367" s="336"/>
      <c r="S1367" s="336"/>
      <c r="T1367" s="336"/>
    </row>
    <row r="1368" spans="1:20" x14ac:dyDescent="0.25">
      <c r="A1368" s="336"/>
      <c r="B1368" s="336"/>
      <c r="C1368" s="336"/>
      <c r="D1368" s="336"/>
      <c r="E1368" s="336"/>
      <c r="F1368" s="104" t="b">
        <f t="array" ref="F1368">IF(_xlfn.NUMBERVALUE(RIGHT($E1368,2))=MAX(IF(LEFT($E1368:$E3366,11)=LEFT($E1368,11),_xlfn.NUMBERVALUE(RIGHT($E1368:$E3366,2)))),TRUE)</f>
        <v>1</v>
      </c>
      <c r="G1368" s="336"/>
      <c r="H1368" s="336"/>
      <c r="I1368" s="336"/>
      <c r="J1368" s="336"/>
      <c r="K1368" s="336"/>
      <c r="L1368" s="336"/>
      <c r="M1368" s="336"/>
      <c r="N1368" s="336"/>
      <c r="O1368" s="336"/>
      <c r="P1368" s="336"/>
      <c r="Q1368" s="336"/>
      <c r="R1368" s="336"/>
      <c r="S1368" s="336"/>
      <c r="T1368" s="336"/>
    </row>
    <row r="1369" spans="1:20" x14ac:dyDescent="0.25">
      <c r="A1369" s="336"/>
      <c r="B1369" s="336"/>
      <c r="C1369" s="336"/>
      <c r="D1369" s="336"/>
      <c r="E1369" s="336"/>
      <c r="F1369" s="104" t="b">
        <f t="array" ref="F1369">IF(_xlfn.NUMBERVALUE(RIGHT($E1369,2))=MAX(IF(LEFT($E1369:$E3367,11)=LEFT($E1369,11),_xlfn.NUMBERVALUE(RIGHT($E1369:$E3367,2)))),TRUE)</f>
        <v>1</v>
      </c>
      <c r="G1369" s="336"/>
      <c r="H1369" s="336"/>
      <c r="I1369" s="336"/>
      <c r="J1369" s="336"/>
      <c r="K1369" s="336"/>
      <c r="L1369" s="336"/>
      <c r="M1369" s="336"/>
      <c r="N1369" s="336"/>
      <c r="O1369" s="336"/>
      <c r="P1369" s="336"/>
      <c r="Q1369" s="336"/>
      <c r="R1369" s="336"/>
      <c r="S1369" s="336"/>
      <c r="T1369" s="336"/>
    </row>
    <row r="1370" spans="1:20" x14ac:dyDescent="0.25">
      <c r="A1370" s="336"/>
      <c r="B1370" s="336"/>
      <c r="C1370" s="336"/>
      <c r="D1370" s="336"/>
      <c r="E1370" s="336"/>
      <c r="F1370" s="104" t="b">
        <f t="array" ref="F1370">IF(_xlfn.NUMBERVALUE(RIGHT($E1370,2))=MAX(IF(LEFT($E1370:$E3368,11)=LEFT($E1370,11),_xlfn.NUMBERVALUE(RIGHT($E1370:$E3368,2)))),TRUE)</f>
        <v>1</v>
      </c>
      <c r="G1370" s="336"/>
      <c r="H1370" s="336"/>
      <c r="I1370" s="336"/>
      <c r="J1370" s="336"/>
      <c r="K1370" s="336"/>
      <c r="L1370" s="336"/>
      <c r="M1370" s="336"/>
      <c r="N1370" s="336"/>
      <c r="O1370" s="336"/>
      <c r="P1370" s="336"/>
      <c r="Q1370" s="336"/>
      <c r="R1370" s="336"/>
      <c r="S1370" s="336"/>
      <c r="T1370" s="336"/>
    </row>
    <row r="1371" spans="1:20" x14ac:dyDescent="0.25">
      <c r="A1371" s="336"/>
      <c r="B1371" s="336"/>
      <c r="C1371" s="336"/>
      <c r="D1371" s="336"/>
      <c r="E1371" s="336"/>
      <c r="F1371" s="104" t="b">
        <f t="array" ref="F1371">IF(_xlfn.NUMBERVALUE(RIGHT($E1371,2))=MAX(IF(LEFT($E1371:$E3369,11)=LEFT($E1371,11),_xlfn.NUMBERVALUE(RIGHT($E1371:$E3369,2)))),TRUE)</f>
        <v>1</v>
      </c>
      <c r="G1371" s="336"/>
      <c r="H1371" s="336"/>
      <c r="I1371" s="336"/>
      <c r="J1371" s="336"/>
      <c r="K1371" s="336"/>
      <c r="L1371" s="336"/>
      <c r="M1371" s="336"/>
      <c r="N1371" s="336"/>
      <c r="O1371" s="336"/>
      <c r="P1371" s="336"/>
      <c r="Q1371" s="336"/>
      <c r="R1371" s="336"/>
      <c r="S1371" s="336"/>
      <c r="T1371" s="336"/>
    </row>
    <row r="1372" spans="1:20" x14ac:dyDescent="0.25">
      <c r="A1372" s="336"/>
      <c r="B1372" s="336"/>
      <c r="C1372" s="336"/>
      <c r="D1372" s="336"/>
      <c r="E1372" s="336"/>
      <c r="F1372" s="104" t="b">
        <f t="array" ref="F1372">IF(_xlfn.NUMBERVALUE(RIGHT($E1372,2))=MAX(IF(LEFT($E1372:$E3370,11)=LEFT($E1372,11),_xlfn.NUMBERVALUE(RIGHT($E1372:$E3370,2)))),TRUE)</f>
        <v>1</v>
      </c>
      <c r="G1372" s="336"/>
      <c r="H1372" s="336"/>
      <c r="I1372" s="336"/>
      <c r="J1372" s="336"/>
      <c r="K1372" s="336"/>
      <c r="L1372" s="336"/>
      <c r="M1372" s="336"/>
      <c r="N1372" s="336"/>
      <c r="O1372" s="336"/>
      <c r="P1372" s="336"/>
      <c r="Q1372" s="336"/>
      <c r="R1372" s="336"/>
      <c r="S1372" s="336"/>
      <c r="T1372" s="336"/>
    </row>
    <row r="1373" spans="1:20" x14ac:dyDescent="0.25">
      <c r="A1373" s="336"/>
      <c r="B1373" s="336"/>
      <c r="C1373" s="336"/>
      <c r="D1373" s="336"/>
      <c r="E1373" s="336"/>
      <c r="F1373" s="104" t="b">
        <f t="array" ref="F1373">IF(_xlfn.NUMBERVALUE(RIGHT($E1373,2))=MAX(IF(LEFT($E1373:$E3371,11)=LEFT($E1373,11),_xlfn.NUMBERVALUE(RIGHT($E1373:$E3371,2)))),TRUE)</f>
        <v>1</v>
      </c>
      <c r="G1373" s="336"/>
      <c r="H1373" s="336"/>
      <c r="I1373" s="336"/>
      <c r="J1373" s="336"/>
      <c r="K1373" s="336"/>
      <c r="L1373" s="336"/>
      <c r="M1373" s="336"/>
      <c r="N1373" s="336"/>
      <c r="O1373" s="336"/>
      <c r="P1373" s="336"/>
      <c r="Q1373" s="336"/>
      <c r="R1373" s="336"/>
      <c r="S1373" s="336"/>
      <c r="T1373" s="336"/>
    </row>
    <row r="1374" spans="1:20" x14ac:dyDescent="0.25">
      <c r="A1374" s="336"/>
      <c r="B1374" s="336"/>
      <c r="C1374" s="336"/>
      <c r="D1374" s="336"/>
      <c r="E1374" s="336"/>
      <c r="F1374" s="104" t="b">
        <f t="array" ref="F1374">IF(_xlfn.NUMBERVALUE(RIGHT($E1374,2))=MAX(IF(LEFT($E1374:$E3372,11)=LEFT($E1374,11),_xlfn.NUMBERVALUE(RIGHT($E1374:$E3372,2)))),TRUE)</f>
        <v>1</v>
      </c>
      <c r="G1374" s="336"/>
      <c r="H1374" s="336"/>
      <c r="I1374" s="336"/>
      <c r="J1374" s="336"/>
      <c r="K1374" s="336"/>
      <c r="L1374" s="336"/>
      <c r="M1374" s="336"/>
      <c r="N1374" s="336"/>
      <c r="O1374" s="336"/>
      <c r="P1374" s="336"/>
      <c r="Q1374" s="336"/>
      <c r="R1374" s="336"/>
      <c r="S1374" s="336"/>
      <c r="T1374" s="336"/>
    </row>
    <row r="1375" spans="1:20" x14ac:dyDescent="0.25">
      <c r="A1375" s="336"/>
      <c r="B1375" s="336"/>
      <c r="C1375" s="336"/>
      <c r="D1375" s="336"/>
      <c r="E1375" s="336"/>
      <c r="F1375" s="104" t="b">
        <f t="array" ref="F1375">IF(_xlfn.NUMBERVALUE(RIGHT($E1375,2))=MAX(IF(LEFT($E1375:$E3373,11)=LEFT($E1375,11),_xlfn.NUMBERVALUE(RIGHT($E1375:$E3373,2)))),TRUE)</f>
        <v>1</v>
      </c>
      <c r="G1375" s="336"/>
      <c r="H1375" s="336"/>
      <c r="I1375" s="336"/>
      <c r="J1375" s="336"/>
      <c r="K1375" s="336"/>
      <c r="L1375" s="336"/>
      <c r="M1375" s="336"/>
      <c r="N1375" s="336"/>
      <c r="O1375" s="336"/>
      <c r="P1375" s="336"/>
      <c r="Q1375" s="336"/>
      <c r="R1375" s="336"/>
      <c r="S1375" s="336"/>
      <c r="T1375" s="336"/>
    </row>
    <row r="1376" spans="1:20" x14ac:dyDescent="0.25">
      <c r="A1376" s="336"/>
      <c r="B1376" s="336"/>
      <c r="C1376" s="336"/>
      <c r="D1376" s="336"/>
      <c r="E1376" s="336"/>
      <c r="F1376" s="104" t="b">
        <f t="array" ref="F1376">IF(_xlfn.NUMBERVALUE(RIGHT($E1376,2))=MAX(IF(LEFT($E1376:$E3374,11)=LEFT($E1376,11),_xlfn.NUMBERVALUE(RIGHT($E1376:$E3374,2)))),TRUE)</f>
        <v>1</v>
      </c>
      <c r="G1376" s="336"/>
      <c r="H1376" s="336"/>
      <c r="I1376" s="336"/>
      <c r="J1376" s="336"/>
      <c r="K1376" s="336"/>
      <c r="L1376" s="336"/>
      <c r="M1376" s="336"/>
      <c r="N1376" s="336"/>
      <c r="O1376" s="336"/>
      <c r="P1376" s="336"/>
      <c r="Q1376" s="336"/>
      <c r="R1376" s="336"/>
      <c r="S1376" s="336"/>
      <c r="T1376" s="336"/>
    </row>
    <row r="1377" spans="1:20" x14ac:dyDescent="0.25">
      <c r="A1377" s="336"/>
      <c r="B1377" s="336"/>
      <c r="C1377" s="336"/>
      <c r="D1377" s="336"/>
      <c r="E1377" s="336"/>
      <c r="F1377" s="104" t="b">
        <f t="array" ref="F1377">IF(_xlfn.NUMBERVALUE(RIGHT($E1377,2))=MAX(IF(LEFT($E1377:$E3375,11)=LEFT($E1377,11),_xlfn.NUMBERVALUE(RIGHT($E1377:$E3375,2)))),TRUE)</f>
        <v>1</v>
      </c>
      <c r="G1377" s="336"/>
      <c r="H1377" s="336"/>
      <c r="I1377" s="336"/>
      <c r="J1377" s="336"/>
      <c r="K1377" s="336"/>
      <c r="L1377" s="336"/>
      <c r="M1377" s="336"/>
      <c r="N1377" s="336"/>
      <c r="O1377" s="336"/>
      <c r="P1377" s="336"/>
      <c r="Q1377" s="336"/>
      <c r="R1377" s="336"/>
      <c r="S1377" s="336"/>
      <c r="T1377" s="336"/>
    </row>
    <row r="1378" spans="1:20" x14ac:dyDescent="0.25">
      <c r="A1378" s="336"/>
      <c r="B1378" s="336"/>
      <c r="C1378" s="336"/>
      <c r="D1378" s="336"/>
      <c r="E1378" s="336"/>
      <c r="F1378" s="104" t="b">
        <f t="array" ref="F1378">IF(_xlfn.NUMBERVALUE(RIGHT($E1378,2))=MAX(IF(LEFT($E1378:$E3376,11)=LEFT($E1378,11),_xlfn.NUMBERVALUE(RIGHT($E1378:$E3376,2)))),TRUE)</f>
        <v>1</v>
      </c>
      <c r="G1378" s="336"/>
      <c r="H1378" s="336"/>
      <c r="I1378" s="336"/>
      <c r="J1378" s="336"/>
      <c r="K1378" s="336"/>
      <c r="L1378" s="336"/>
      <c r="M1378" s="336"/>
      <c r="N1378" s="336"/>
      <c r="O1378" s="336"/>
      <c r="P1378" s="336"/>
      <c r="Q1378" s="336"/>
      <c r="R1378" s="336"/>
      <c r="S1378" s="336"/>
      <c r="T1378" s="336"/>
    </row>
    <row r="1379" spans="1:20" x14ac:dyDescent="0.25">
      <c r="A1379" s="336"/>
      <c r="B1379" s="336"/>
      <c r="C1379" s="336"/>
      <c r="D1379" s="336"/>
      <c r="E1379" s="336"/>
      <c r="F1379" s="104" t="b">
        <f t="array" ref="F1379">IF(_xlfn.NUMBERVALUE(RIGHT($E1379,2))=MAX(IF(LEFT($E1379:$E3377,11)=LEFT($E1379,11),_xlfn.NUMBERVALUE(RIGHT($E1379:$E3377,2)))),TRUE)</f>
        <v>1</v>
      </c>
      <c r="G1379" s="336"/>
      <c r="H1379" s="336"/>
      <c r="I1379" s="336"/>
      <c r="J1379" s="336"/>
      <c r="K1379" s="336"/>
      <c r="L1379" s="336"/>
      <c r="M1379" s="336"/>
      <c r="N1379" s="336"/>
      <c r="O1379" s="336"/>
      <c r="P1379" s="336"/>
      <c r="Q1379" s="336"/>
      <c r="R1379" s="336"/>
      <c r="S1379" s="336"/>
      <c r="T1379" s="336"/>
    </row>
    <row r="1380" spans="1:20" x14ac:dyDescent="0.25">
      <c r="A1380" s="336"/>
      <c r="B1380" s="336"/>
      <c r="C1380" s="336"/>
      <c r="D1380" s="336"/>
      <c r="E1380" s="336"/>
      <c r="F1380" s="104" t="b">
        <f t="array" ref="F1380">IF(_xlfn.NUMBERVALUE(RIGHT($E1380,2))=MAX(IF(LEFT($E1380:$E3378,11)=LEFT($E1380,11),_xlfn.NUMBERVALUE(RIGHT($E1380:$E3378,2)))),TRUE)</f>
        <v>1</v>
      </c>
      <c r="G1380" s="336"/>
      <c r="H1380" s="336"/>
      <c r="I1380" s="336"/>
      <c r="J1380" s="336"/>
      <c r="K1380" s="336"/>
      <c r="L1380" s="336"/>
      <c r="M1380" s="336"/>
      <c r="N1380" s="336"/>
      <c r="O1380" s="336"/>
      <c r="P1380" s="336"/>
      <c r="Q1380" s="336"/>
      <c r="R1380" s="336"/>
      <c r="S1380" s="336"/>
      <c r="T1380" s="336"/>
    </row>
    <row r="1381" spans="1:20" x14ac:dyDescent="0.25">
      <c r="A1381" s="336"/>
      <c r="B1381" s="336"/>
      <c r="C1381" s="336"/>
      <c r="D1381" s="336"/>
      <c r="E1381" s="336"/>
      <c r="F1381" s="104" t="b">
        <f t="array" ref="F1381">IF(_xlfn.NUMBERVALUE(RIGHT($E1381,2))=MAX(IF(LEFT($E1381:$E3379,11)=LEFT($E1381,11),_xlfn.NUMBERVALUE(RIGHT($E1381:$E3379,2)))),TRUE)</f>
        <v>1</v>
      </c>
      <c r="G1381" s="336"/>
      <c r="H1381" s="336"/>
      <c r="I1381" s="336"/>
      <c r="J1381" s="336"/>
      <c r="K1381" s="336"/>
      <c r="L1381" s="336"/>
      <c r="M1381" s="336"/>
      <c r="N1381" s="336"/>
      <c r="O1381" s="336"/>
      <c r="P1381" s="336"/>
      <c r="Q1381" s="336"/>
      <c r="R1381" s="336"/>
      <c r="S1381" s="336"/>
      <c r="T1381" s="336"/>
    </row>
    <row r="1382" spans="1:20" x14ac:dyDescent="0.25">
      <c r="A1382" s="336"/>
      <c r="B1382" s="336"/>
      <c r="C1382" s="336"/>
      <c r="D1382" s="336"/>
      <c r="E1382" s="336"/>
      <c r="F1382" s="104" t="b">
        <f t="array" ref="F1382">IF(_xlfn.NUMBERVALUE(RIGHT($E1382,2))=MAX(IF(LEFT($E1382:$E3380,11)=LEFT($E1382,11),_xlfn.NUMBERVALUE(RIGHT($E1382:$E3380,2)))),TRUE)</f>
        <v>1</v>
      </c>
      <c r="G1382" s="336"/>
      <c r="H1382" s="336"/>
      <c r="I1382" s="336"/>
      <c r="J1382" s="336"/>
      <c r="K1382" s="336"/>
      <c r="L1382" s="336"/>
      <c r="M1382" s="336"/>
      <c r="N1382" s="336"/>
      <c r="O1382" s="336"/>
      <c r="P1382" s="336"/>
      <c r="Q1382" s="336"/>
      <c r="R1382" s="336"/>
      <c r="S1382" s="336"/>
      <c r="T1382" s="336"/>
    </row>
    <row r="1383" spans="1:20" x14ac:dyDescent="0.25">
      <c r="A1383" s="336"/>
      <c r="B1383" s="336"/>
      <c r="C1383" s="336"/>
      <c r="D1383" s="336"/>
      <c r="E1383" s="336"/>
      <c r="F1383" s="104" t="b">
        <f t="array" ref="F1383">IF(_xlfn.NUMBERVALUE(RIGHT($E1383,2))=MAX(IF(LEFT($E1383:$E3381,11)=LEFT($E1383,11),_xlfn.NUMBERVALUE(RIGHT($E1383:$E3381,2)))),TRUE)</f>
        <v>1</v>
      </c>
      <c r="G1383" s="336"/>
      <c r="H1383" s="336"/>
      <c r="I1383" s="336"/>
      <c r="J1383" s="336"/>
      <c r="K1383" s="336"/>
      <c r="L1383" s="336"/>
      <c r="M1383" s="336"/>
      <c r="N1383" s="336"/>
      <c r="O1383" s="336"/>
      <c r="P1383" s="336"/>
      <c r="Q1383" s="336"/>
      <c r="R1383" s="336"/>
      <c r="S1383" s="336"/>
      <c r="T1383" s="336"/>
    </row>
    <row r="1384" spans="1:20" x14ac:dyDescent="0.25">
      <c r="A1384" s="336"/>
      <c r="B1384" s="336"/>
      <c r="C1384" s="336"/>
      <c r="D1384" s="336"/>
      <c r="E1384" s="336"/>
      <c r="F1384" s="104" t="b">
        <f t="array" ref="F1384">IF(_xlfn.NUMBERVALUE(RIGHT($E1384,2))=MAX(IF(LEFT($E1384:$E3382,11)=LEFT($E1384,11),_xlfn.NUMBERVALUE(RIGHT($E1384:$E3382,2)))),TRUE)</f>
        <v>1</v>
      </c>
      <c r="G1384" s="336"/>
      <c r="H1384" s="336"/>
      <c r="I1384" s="336"/>
      <c r="J1384" s="336"/>
      <c r="K1384" s="336"/>
      <c r="L1384" s="336"/>
      <c r="M1384" s="336"/>
      <c r="N1384" s="336"/>
      <c r="O1384" s="336"/>
      <c r="P1384" s="336"/>
      <c r="Q1384" s="336"/>
      <c r="R1384" s="336"/>
      <c r="S1384" s="336"/>
      <c r="T1384" s="336"/>
    </row>
    <row r="1385" spans="1:20" x14ac:dyDescent="0.25">
      <c r="A1385" s="336"/>
      <c r="B1385" s="336"/>
      <c r="C1385" s="336"/>
      <c r="D1385" s="336"/>
      <c r="E1385" s="336"/>
      <c r="F1385" s="104" t="b">
        <f t="array" ref="F1385">IF(_xlfn.NUMBERVALUE(RIGHT($E1385,2))=MAX(IF(LEFT($E1385:$E3383,11)=LEFT($E1385,11),_xlfn.NUMBERVALUE(RIGHT($E1385:$E3383,2)))),TRUE)</f>
        <v>1</v>
      </c>
      <c r="G1385" s="336"/>
      <c r="H1385" s="336"/>
      <c r="I1385" s="336"/>
      <c r="J1385" s="336"/>
      <c r="K1385" s="336"/>
      <c r="L1385" s="336"/>
      <c r="M1385" s="336"/>
      <c r="N1385" s="336"/>
      <c r="O1385" s="336"/>
      <c r="P1385" s="336"/>
      <c r="Q1385" s="336"/>
      <c r="R1385" s="336"/>
      <c r="S1385" s="336"/>
      <c r="T1385" s="336"/>
    </row>
    <row r="1386" spans="1:20" x14ac:dyDescent="0.25">
      <c r="A1386" s="336"/>
      <c r="B1386" s="336"/>
      <c r="C1386" s="336"/>
      <c r="D1386" s="336"/>
      <c r="E1386" s="336"/>
      <c r="F1386" s="104" t="b">
        <f t="array" ref="F1386">IF(_xlfn.NUMBERVALUE(RIGHT($E1386,2))=MAX(IF(LEFT($E1386:$E3384,11)=LEFT($E1386,11),_xlfn.NUMBERVALUE(RIGHT($E1386:$E3384,2)))),TRUE)</f>
        <v>1</v>
      </c>
      <c r="G1386" s="336"/>
      <c r="H1386" s="336"/>
      <c r="I1386" s="336"/>
      <c r="J1386" s="336"/>
      <c r="K1386" s="336"/>
      <c r="L1386" s="336"/>
      <c r="M1386" s="336"/>
      <c r="N1386" s="336"/>
      <c r="O1386" s="336"/>
      <c r="P1386" s="336"/>
      <c r="Q1386" s="336"/>
      <c r="R1386" s="336"/>
      <c r="S1386" s="336"/>
      <c r="T1386" s="336"/>
    </row>
    <row r="1387" spans="1:20" x14ac:dyDescent="0.25">
      <c r="A1387" s="336"/>
      <c r="B1387" s="336"/>
      <c r="C1387" s="336"/>
      <c r="D1387" s="336"/>
      <c r="E1387" s="336"/>
      <c r="F1387" s="104" t="b">
        <f t="array" ref="F1387">IF(_xlfn.NUMBERVALUE(RIGHT($E1387,2))=MAX(IF(LEFT($E1387:$E3385,11)=LEFT($E1387,11),_xlfn.NUMBERVALUE(RIGHT($E1387:$E3385,2)))),TRUE)</f>
        <v>1</v>
      </c>
      <c r="G1387" s="336"/>
      <c r="H1387" s="336"/>
      <c r="I1387" s="336"/>
      <c r="J1387" s="336"/>
      <c r="K1387" s="336"/>
      <c r="L1387" s="336"/>
      <c r="M1387" s="336"/>
      <c r="N1387" s="336"/>
      <c r="O1387" s="336"/>
      <c r="P1387" s="336"/>
      <c r="Q1387" s="336"/>
      <c r="R1387" s="336"/>
      <c r="S1387" s="336"/>
      <c r="T1387" s="336"/>
    </row>
    <row r="1388" spans="1:20" x14ac:dyDescent="0.25">
      <c r="A1388" s="336"/>
      <c r="B1388" s="336"/>
      <c r="C1388" s="336"/>
      <c r="D1388" s="336"/>
      <c r="E1388" s="336"/>
      <c r="F1388" s="104" t="b">
        <f t="array" ref="F1388">IF(_xlfn.NUMBERVALUE(RIGHT($E1388,2))=MAX(IF(LEFT($E1388:$E3386,11)=LEFT($E1388,11),_xlfn.NUMBERVALUE(RIGHT($E1388:$E3386,2)))),TRUE)</f>
        <v>1</v>
      </c>
      <c r="G1388" s="336"/>
      <c r="H1388" s="336"/>
      <c r="I1388" s="336"/>
      <c r="J1388" s="336"/>
      <c r="K1388" s="336"/>
      <c r="L1388" s="336"/>
      <c r="M1388" s="336"/>
      <c r="N1388" s="336"/>
      <c r="O1388" s="336"/>
      <c r="P1388" s="336"/>
      <c r="Q1388" s="336"/>
      <c r="R1388" s="336"/>
      <c r="S1388" s="336"/>
      <c r="T1388" s="336"/>
    </row>
    <row r="1389" spans="1:20" x14ac:dyDescent="0.25">
      <c r="A1389" s="336"/>
      <c r="B1389" s="336"/>
      <c r="C1389" s="336"/>
      <c r="D1389" s="336"/>
      <c r="E1389" s="336"/>
      <c r="F1389" s="104" t="b">
        <f t="array" ref="F1389">IF(_xlfn.NUMBERVALUE(RIGHT($E1389,2))=MAX(IF(LEFT($E1389:$E3387,11)=LEFT($E1389,11),_xlfn.NUMBERVALUE(RIGHT($E1389:$E3387,2)))),TRUE)</f>
        <v>1</v>
      </c>
      <c r="G1389" s="336"/>
      <c r="H1389" s="336"/>
      <c r="I1389" s="336"/>
      <c r="J1389" s="336"/>
      <c r="K1389" s="336"/>
      <c r="L1389" s="336"/>
      <c r="M1389" s="336"/>
      <c r="N1389" s="336"/>
      <c r="O1389" s="336"/>
      <c r="P1389" s="336"/>
      <c r="Q1389" s="336"/>
      <c r="R1389" s="336"/>
      <c r="S1389" s="336"/>
      <c r="T1389" s="336"/>
    </row>
    <row r="1390" spans="1:20" x14ac:dyDescent="0.25">
      <c r="A1390" s="336"/>
      <c r="B1390" s="336"/>
      <c r="C1390" s="336"/>
      <c r="D1390" s="336"/>
      <c r="E1390" s="336"/>
      <c r="F1390" s="104" t="b">
        <f t="array" ref="F1390">IF(_xlfn.NUMBERVALUE(RIGHT($E1390,2))=MAX(IF(LEFT($E1390:$E3388,11)=LEFT($E1390,11),_xlfn.NUMBERVALUE(RIGHT($E1390:$E3388,2)))),TRUE)</f>
        <v>1</v>
      </c>
      <c r="G1390" s="336"/>
      <c r="H1390" s="336"/>
      <c r="I1390" s="336"/>
      <c r="J1390" s="336"/>
      <c r="K1390" s="336"/>
      <c r="L1390" s="336"/>
      <c r="M1390" s="336"/>
      <c r="N1390" s="336"/>
      <c r="O1390" s="336"/>
      <c r="P1390" s="336"/>
      <c r="Q1390" s="336"/>
      <c r="R1390" s="336"/>
      <c r="S1390" s="336"/>
      <c r="T1390" s="336"/>
    </row>
    <row r="1391" spans="1:20" x14ac:dyDescent="0.25">
      <c r="A1391" s="336"/>
      <c r="B1391" s="336"/>
      <c r="C1391" s="336"/>
      <c r="D1391" s="336"/>
      <c r="E1391" s="336"/>
      <c r="F1391" s="104" t="b">
        <f t="array" ref="F1391">IF(_xlfn.NUMBERVALUE(RIGHT($E1391,2))=MAX(IF(LEFT($E1391:$E3389,11)=LEFT($E1391,11),_xlfn.NUMBERVALUE(RIGHT($E1391:$E3389,2)))),TRUE)</f>
        <v>1</v>
      </c>
      <c r="G1391" s="336"/>
      <c r="H1391" s="336"/>
      <c r="I1391" s="336"/>
      <c r="J1391" s="336"/>
      <c r="K1391" s="336"/>
      <c r="L1391" s="336"/>
      <c r="M1391" s="336"/>
      <c r="N1391" s="336"/>
      <c r="O1391" s="336"/>
      <c r="P1391" s="336"/>
      <c r="Q1391" s="336"/>
      <c r="R1391" s="336"/>
      <c r="S1391" s="336"/>
      <c r="T1391" s="336"/>
    </row>
    <row r="1392" spans="1:20" x14ac:dyDescent="0.25">
      <c r="A1392" s="336"/>
      <c r="B1392" s="336"/>
      <c r="C1392" s="336"/>
      <c r="D1392" s="336"/>
      <c r="E1392" s="336"/>
      <c r="F1392" s="104" t="b">
        <f t="array" ref="F1392">IF(_xlfn.NUMBERVALUE(RIGHT($E1392,2))=MAX(IF(LEFT($E1392:$E3390,11)=LEFT($E1392,11),_xlfn.NUMBERVALUE(RIGHT($E1392:$E3390,2)))),TRUE)</f>
        <v>1</v>
      </c>
      <c r="G1392" s="336"/>
      <c r="H1392" s="336"/>
      <c r="I1392" s="336"/>
      <c r="J1392" s="336"/>
      <c r="K1392" s="336"/>
      <c r="L1392" s="336"/>
      <c r="M1392" s="336"/>
      <c r="N1392" s="336"/>
      <c r="O1392" s="336"/>
      <c r="P1392" s="336"/>
      <c r="Q1392" s="336"/>
      <c r="R1392" s="336"/>
      <c r="S1392" s="336"/>
      <c r="T1392" s="336"/>
    </row>
    <row r="1393" spans="1:20" x14ac:dyDescent="0.25">
      <c r="A1393" s="336"/>
      <c r="B1393" s="336"/>
      <c r="C1393" s="336"/>
      <c r="D1393" s="336"/>
      <c r="E1393" s="336"/>
      <c r="F1393" s="104" t="b">
        <f t="array" ref="F1393">IF(_xlfn.NUMBERVALUE(RIGHT($E1393,2))=MAX(IF(LEFT($E1393:$E3391,11)=LEFT($E1393,11),_xlfn.NUMBERVALUE(RIGHT($E1393:$E3391,2)))),TRUE)</f>
        <v>1</v>
      </c>
      <c r="G1393" s="336"/>
      <c r="H1393" s="336"/>
      <c r="I1393" s="336"/>
      <c r="J1393" s="336"/>
      <c r="K1393" s="336"/>
      <c r="L1393" s="336"/>
      <c r="M1393" s="336"/>
      <c r="N1393" s="336"/>
      <c r="O1393" s="336"/>
      <c r="P1393" s="336"/>
      <c r="Q1393" s="336"/>
      <c r="R1393" s="336"/>
      <c r="S1393" s="336"/>
      <c r="T1393" s="336"/>
    </row>
    <row r="1394" spans="1:20" x14ac:dyDescent="0.25">
      <c r="A1394" s="336"/>
      <c r="B1394" s="336"/>
      <c r="C1394" s="336"/>
      <c r="D1394" s="336"/>
      <c r="E1394" s="336"/>
      <c r="F1394" s="104" t="b">
        <f t="array" ref="F1394">IF(_xlfn.NUMBERVALUE(RIGHT($E1394,2))=MAX(IF(LEFT($E1394:$E3392,11)=LEFT($E1394,11),_xlfn.NUMBERVALUE(RIGHT($E1394:$E3392,2)))),TRUE)</f>
        <v>1</v>
      </c>
      <c r="G1394" s="336"/>
      <c r="H1394" s="336"/>
      <c r="I1394" s="336"/>
      <c r="J1394" s="336"/>
      <c r="K1394" s="336"/>
      <c r="L1394" s="336"/>
      <c r="M1394" s="336"/>
      <c r="N1394" s="336"/>
      <c r="O1394" s="336"/>
      <c r="P1394" s="336"/>
      <c r="Q1394" s="336"/>
      <c r="R1394" s="336"/>
      <c r="S1394" s="336"/>
      <c r="T1394" s="336"/>
    </row>
    <row r="1395" spans="1:20" x14ac:dyDescent="0.25">
      <c r="A1395" s="336"/>
      <c r="B1395" s="336"/>
      <c r="C1395" s="336"/>
      <c r="D1395" s="336"/>
      <c r="E1395" s="336"/>
      <c r="F1395" s="104" t="b">
        <f t="array" ref="F1395">IF(_xlfn.NUMBERVALUE(RIGHT($E1395,2))=MAX(IF(LEFT($E1395:$E3393,11)=LEFT($E1395,11),_xlfn.NUMBERVALUE(RIGHT($E1395:$E3393,2)))),TRUE)</f>
        <v>1</v>
      </c>
      <c r="G1395" s="336"/>
      <c r="H1395" s="336"/>
      <c r="I1395" s="336"/>
      <c r="J1395" s="336"/>
      <c r="K1395" s="336"/>
      <c r="L1395" s="336"/>
      <c r="M1395" s="336"/>
      <c r="N1395" s="336"/>
      <c r="O1395" s="336"/>
      <c r="P1395" s="336"/>
      <c r="Q1395" s="336"/>
      <c r="R1395" s="336"/>
      <c r="S1395" s="336"/>
      <c r="T1395" s="336"/>
    </row>
    <row r="1396" spans="1:20" x14ac:dyDescent="0.25">
      <c r="A1396" s="336"/>
      <c r="B1396" s="336"/>
      <c r="C1396" s="336"/>
      <c r="D1396" s="336"/>
      <c r="E1396" s="336"/>
      <c r="F1396" s="104" t="b">
        <f t="array" ref="F1396">IF(_xlfn.NUMBERVALUE(RIGHT($E1396,2))=MAX(IF(LEFT($E1396:$E3394,11)=LEFT($E1396,11),_xlfn.NUMBERVALUE(RIGHT($E1396:$E3394,2)))),TRUE)</f>
        <v>1</v>
      </c>
      <c r="G1396" s="336"/>
      <c r="H1396" s="336"/>
      <c r="I1396" s="336"/>
      <c r="J1396" s="336"/>
      <c r="K1396" s="336"/>
      <c r="L1396" s="336"/>
      <c r="M1396" s="336"/>
      <c r="N1396" s="336"/>
      <c r="O1396" s="336"/>
      <c r="P1396" s="336"/>
      <c r="Q1396" s="336"/>
      <c r="R1396" s="336"/>
      <c r="S1396" s="336"/>
      <c r="T1396" s="336"/>
    </row>
    <row r="1397" spans="1:20" x14ac:dyDescent="0.25">
      <c r="A1397" s="336"/>
      <c r="B1397" s="336"/>
      <c r="C1397" s="336"/>
      <c r="D1397" s="336"/>
      <c r="E1397" s="336"/>
      <c r="F1397" s="104" t="b">
        <f t="array" ref="F1397">IF(_xlfn.NUMBERVALUE(RIGHT($E1397,2))=MAX(IF(LEFT($E1397:$E3395,11)=LEFT($E1397,11),_xlfn.NUMBERVALUE(RIGHT($E1397:$E3395,2)))),TRUE)</f>
        <v>1</v>
      </c>
      <c r="G1397" s="336"/>
      <c r="H1397" s="336"/>
      <c r="I1397" s="336"/>
      <c r="J1397" s="336"/>
      <c r="K1397" s="336"/>
      <c r="L1397" s="336"/>
      <c r="M1397" s="336"/>
      <c r="N1397" s="336"/>
      <c r="O1397" s="336"/>
      <c r="P1397" s="336"/>
      <c r="Q1397" s="336"/>
      <c r="R1397" s="336"/>
      <c r="S1397" s="336"/>
      <c r="T1397" s="336"/>
    </row>
    <row r="1398" spans="1:20" x14ac:dyDescent="0.25">
      <c r="A1398" s="336"/>
      <c r="B1398" s="336"/>
      <c r="C1398" s="336"/>
      <c r="D1398" s="336"/>
      <c r="E1398" s="336"/>
      <c r="F1398" s="104" t="b">
        <f t="array" ref="F1398">IF(_xlfn.NUMBERVALUE(RIGHT($E1398,2))=MAX(IF(LEFT($E1398:$E3396,11)=LEFT($E1398,11),_xlfn.NUMBERVALUE(RIGHT($E1398:$E3396,2)))),TRUE)</f>
        <v>1</v>
      </c>
      <c r="G1398" s="336"/>
      <c r="H1398" s="336"/>
      <c r="I1398" s="336"/>
      <c r="J1398" s="336"/>
      <c r="K1398" s="336"/>
      <c r="L1398" s="336"/>
      <c r="M1398" s="336"/>
      <c r="N1398" s="336"/>
      <c r="O1398" s="336"/>
      <c r="P1398" s="336"/>
      <c r="Q1398" s="336"/>
      <c r="R1398" s="336"/>
      <c r="S1398" s="336"/>
      <c r="T1398" s="336"/>
    </row>
    <row r="1399" spans="1:20" x14ac:dyDescent="0.25">
      <c r="A1399" s="336"/>
      <c r="B1399" s="336"/>
      <c r="C1399" s="336"/>
      <c r="D1399" s="336"/>
      <c r="E1399" s="336"/>
      <c r="F1399" s="104" t="b">
        <f t="array" ref="F1399">IF(_xlfn.NUMBERVALUE(RIGHT($E1399,2))=MAX(IF(LEFT($E1399:$E3397,11)=LEFT($E1399,11),_xlfn.NUMBERVALUE(RIGHT($E1399:$E3397,2)))),TRUE)</f>
        <v>1</v>
      </c>
      <c r="G1399" s="336"/>
      <c r="H1399" s="336"/>
      <c r="I1399" s="336"/>
      <c r="J1399" s="336"/>
      <c r="K1399" s="336"/>
      <c r="L1399" s="336"/>
      <c r="M1399" s="336"/>
      <c r="N1399" s="336"/>
      <c r="O1399" s="336"/>
      <c r="P1399" s="336"/>
      <c r="Q1399" s="336"/>
      <c r="R1399" s="336"/>
      <c r="S1399" s="336"/>
      <c r="T1399" s="336"/>
    </row>
    <row r="1400" spans="1:20" x14ac:dyDescent="0.25">
      <c r="A1400" s="336"/>
      <c r="B1400" s="336"/>
      <c r="C1400" s="336"/>
      <c r="D1400" s="336"/>
      <c r="E1400" s="336"/>
      <c r="F1400" s="104" t="b">
        <f t="array" ref="F1400">IF(_xlfn.NUMBERVALUE(RIGHT($E1400,2))=MAX(IF(LEFT($E1400:$E3398,11)=LEFT($E1400,11),_xlfn.NUMBERVALUE(RIGHT($E1400:$E3398,2)))),TRUE)</f>
        <v>1</v>
      </c>
      <c r="G1400" s="336"/>
      <c r="H1400" s="336"/>
      <c r="I1400" s="336"/>
      <c r="J1400" s="336"/>
      <c r="K1400" s="336"/>
      <c r="L1400" s="336"/>
      <c r="M1400" s="336"/>
      <c r="N1400" s="336"/>
      <c r="O1400" s="336"/>
      <c r="P1400" s="336"/>
      <c r="Q1400" s="336"/>
      <c r="R1400" s="336"/>
      <c r="S1400" s="336"/>
      <c r="T1400" s="336"/>
    </row>
    <row r="1401" spans="1:20" x14ac:dyDescent="0.25">
      <c r="A1401" s="336"/>
      <c r="B1401" s="336"/>
      <c r="C1401" s="336"/>
      <c r="D1401" s="336"/>
      <c r="E1401" s="336"/>
      <c r="F1401" s="104" t="b">
        <f t="array" ref="F1401">IF(_xlfn.NUMBERVALUE(RIGHT($E1401,2))=MAX(IF(LEFT($E1401:$E3399,11)=LEFT($E1401,11),_xlfn.NUMBERVALUE(RIGHT($E1401:$E3399,2)))),TRUE)</f>
        <v>1</v>
      </c>
      <c r="G1401" s="336"/>
      <c r="H1401" s="336"/>
      <c r="I1401" s="336"/>
      <c r="J1401" s="336"/>
      <c r="K1401" s="336"/>
      <c r="L1401" s="336"/>
      <c r="M1401" s="336"/>
      <c r="N1401" s="336"/>
      <c r="O1401" s="336"/>
      <c r="P1401" s="336"/>
      <c r="Q1401" s="336"/>
      <c r="R1401" s="336"/>
      <c r="S1401" s="336"/>
      <c r="T1401" s="336"/>
    </row>
    <row r="1402" spans="1:20" x14ac:dyDescent="0.25">
      <c r="A1402" s="336"/>
      <c r="B1402" s="336"/>
      <c r="C1402" s="336"/>
      <c r="D1402" s="336"/>
      <c r="E1402" s="336"/>
      <c r="F1402" s="104" t="b">
        <f t="array" ref="F1402">IF(_xlfn.NUMBERVALUE(RIGHT($E1402,2))=MAX(IF(LEFT($E1402:$E3400,11)=LEFT($E1402,11),_xlfn.NUMBERVALUE(RIGHT($E1402:$E3400,2)))),TRUE)</f>
        <v>1</v>
      </c>
      <c r="G1402" s="336"/>
      <c r="H1402" s="336"/>
      <c r="I1402" s="336"/>
      <c r="J1402" s="336"/>
      <c r="K1402" s="336"/>
      <c r="L1402" s="336"/>
      <c r="M1402" s="336"/>
      <c r="N1402" s="336"/>
      <c r="O1402" s="336"/>
      <c r="P1402" s="336"/>
      <c r="Q1402" s="336"/>
      <c r="R1402" s="336"/>
      <c r="S1402" s="336"/>
      <c r="T1402" s="336"/>
    </row>
    <row r="1403" spans="1:20" x14ac:dyDescent="0.25">
      <c r="A1403" s="336"/>
      <c r="B1403" s="336"/>
      <c r="C1403" s="336"/>
      <c r="D1403" s="336"/>
      <c r="E1403" s="336"/>
      <c r="F1403" s="104" t="b">
        <f t="array" ref="F1403">IF(_xlfn.NUMBERVALUE(RIGHT($E1403,2))=MAX(IF(LEFT($E1403:$E3401,11)=LEFT($E1403,11),_xlfn.NUMBERVALUE(RIGHT($E1403:$E3401,2)))),TRUE)</f>
        <v>1</v>
      </c>
      <c r="G1403" s="336"/>
      <c r="H1403" s="336"/>
      <c r="I1403" s="336"/>
      <c r="J1403" s="336"/>
      <c r="K1403" s="336"/>
      <c r="L1403" s="336"/>
      <c r="M1403" s="336"/>
      <c r="N1403" s="336"/>
      <c r="O1403" s="336"/>
      <c r="P1403" s="336"/>
      <c r="Q1403" s="336"/>
      <c r="R1403" s="336"/>
      <c r="S1403" s="336"/>
      <c r="T1403" s="336"/>
    </row>
    <row r="1404" spans="1:20" x14ac:dyDescent="0.25">
      <c r="A1404" s="336"/>
      <c r="B1404" s="336"/>
      <c r="C1404" s="336"/>
      <c r="D1404" s="336"/>
      <c r="E1404" s="336"/>
      <c r="F1404" s="104" t="b">
        <f t="array" ref="F1404">IF(_xlfn.NUMBERVALUE(RIGHT($E1404,2))=MAX(IF(LEFT($E1404:$E3402,11)=LEFT($E1404,11),_xlfn.NUMBERVALUE(RIGHT($E1404:$E3402,2)))),TRUE)</f>
        <v>1</v>
      </c>
      <c r="G1404" s="336"/>
      <c r="H1404" s="336"/>
      <c r="I1404" s="336"/>
      <c r="J1404" s="336"/>
      <c r="K1404" s="336"/>
      <c r="L1404" s="336"/>
      <c r="M1404" s="336"/>
      <c r="N1404" s="336"/>
      <c r="O1404" s="336"/>
      <c r="P1404" s="336"/>
      <c r="Q1404" s="336"/>
      <c r="R1404" s="336"/>
      <c r="S1404" s="336"/>
      <c r="T1404" s="336"/>
    </row>
    <row r="1405" spans="1:20" x14ac:dyDescent="0.25">
      <c r="A1405" s="336"/>
      <c r="B1405" s="336"/>
      <c r="C1405" s="336"/>
      <c r="D1405" s="336"/>
      <c r="E1405" s="336"/>
      <c r="F1405" s="104" t="b">
        <f t="array" ref="F1405">IF(_xlfn.NUMBERVALUE(RIGHT($E1405,2))=MAX(IF(LEFT($E1405:$E3403,11)=LEFT($E1405,11),_xlfn.NUMBERVALUE(RIGHT($E1405:$E3403,2)))),TRUE)</f>
        <v>1</v>
      </c>
      <c r="G1405" s="336"/>
      <c r="H1405" s="336"/>
      <c r="I1405" s="336"/>
      <c r="J1405" s="336"/>
      <c r="K1405" s="336"/>
      <c r="L1405" s="336"/>
      <c r="M1405" s="336"/>
      <c r="N1405" s="336"/>
      <c r="O1405" s="336"/>
      <c r="P1405" s="336"/>
      <c r="Q1405" s="336"/>
      <c r="R1405" s="336"/>
      <c r="S1405" s="336"/>
      <c r="T1405" s="336"/>
    </row>
    <row r="1406" spans="1:20" x14ac:dyDescent="0.25">
      <c r="A1406" s="336"/>
      <c r="B1406" s="336"/>
      <c r="C1406" s="336"/>
      <c r="D1406" s="336"/>
      <c r="E1406" s="336"/>
      <c r="F1406" s="104" t="b">
        <f t="array" ref="F1406">IF(_xlfn.NUMBERVALUE(RIGHT($E1406,2))=MAX(IF(LEFT($E1406:$E3404,11)=LEFT($E1406,11),_xlfn.NUMBERVALUE(RIGHT($E1406:$E3404,2)))),TRUE)</f>
        <v>1</v>
      </c>
      <c r="G1406" s="336"/>
      <c r="H1406" s="336"/>
      <c r="I1406" s="336"/>
      <c r="J1406" s="336"/>
      <c r="K1406" s="336"/>
      <c r="L1406" s="336"/>
      <c r="M1406" s="336"/>
      <c r="N1406" s="336"/>
      <c r="O1406" s="336"/>
      <c r="P1406" s="336"/>
      <c r="Q1406" s="336"/>
      <c r="R1406" s="336"/>
      <c r="S1406" s="336"/>
      <c r="T1406" s="336"/>
    </row>
    <row r="1407" spans="1:20" x14ac:dyDescent="0.25">
      <c r="A1407" s="336"/>
      <c r="B1407" s="336"/>
      <c r="C1407" s="336"/>
      <c r="D1407" s="336"/>
      <c r="E1407" s="336"/>
      <c r="F1407" s="104" t="b">
        <f t="array" ref="F1407">IF(_xlfn.NUMBERVALUE(RIGHT($E1407,2))=MAX(IF(LEFT($E1407:$E3405,11)=LEFT($E1407,11),_xlfn.NUMBERVALUE(RIGHT($E1407:$E3405,2)))),TRUE)</f>
        <v>1</v>
      </c>
      <c r="G1407" s="336"/>
      <c r="H1407" s="336"/>
      <c r="I1407" s="336"/>
      <c r="J1407" s="336"/>
      <c r="K1407" s="336"/>
      <c r="L1407" s="336"/>
      <c r="M1407" s="336"/>
      <c r="N1407" s="336"/>
      <c r="O1407" s="336"/>
      <c r="P1407" s="336"/>
      <c r="Q1407" s="336"/>
      <c r="R1407" s="336"/>
      <c r="S1407" s="336"/>
      <c r="T1407" s="336"/>
    </row>
    <row r="1408" spans="1:20" x14ac:dyDescent="0.25">
      <c r="A1408" s="336"/>
      <c r="B1408" s="336"/>
      <c r="C1408" s="336"/>
      <c r="D1408" s="336"/>
      <c r="E1408" s="336"/>
      <c r="F1408" s="104" t="b">
        <f t="array" ref="F1408">IF(_xlfn.NUMBERVALUE(RIGHT($E1408,2))=MAX(IF(LEFT($E1408:$E3406,11)=LEFT($E1408,11),_xlfn.NUMBERVALUE(RIGHT($E1408:$E3406,2)))),TRUE)</f>
        <v>1</v>
      </c>
      <c r="G1408" s="336"/>
      <c r="H1408" s="336"/>
      <c r="I1408" s="336"/>
      <c r="J1408" s="336"/>
      <c r="K1408" s="336"/>
      <c r="L1408" s="336"/>
      <c r="M1408" s="336"/>
      <c r="N1408" s="336"/>
      <c r="O1408" s="336"/>
      <c r="P1408" s="336"/>
      <c r="Q1408" s="336"/>
      <c r="R1408" s="336"/>
      <c r="S1408" s="336"/>
      <c r="T1408" s="336"/>
    </row>
    <row r="1409" spans="1:20" x14ac:dyDescent="0.25">
      <c r="A1409" s="336"/>
      <c r="B1409" s="336"/>
      <c r="C1409" s="336"/>
      <c r="D1409" s="336"/>
      <c r="E1409" s="336"/>
      <c r="F1409" s="104" t="b">
        <f t="array" ref="F1409">IF(_xlfn.NUMBERVALUE(RIGHT($E1409,2))=MAX(IF(LEFT($E1409:$E3407,11)=LEFT($E1409,11),_xlfn.NUMBERVALUE(RIGHT($E1409:$E3407,2)))),TRUE)</f>
        <v>1</v>
      </c>
      <c r="G1409" s="336"/>
      <c r="H1409" s="336"/>
      <c r="I1409" s="336"/>
      <c r="J1409" s="336"/>
      <c r="K1409" s="336"/>
      <c r="L1409" s="336"/>
      <c r="M1409" s="336"/>
      <c r="N1409" s="336"/>
      <c r="O1409" s="336"/>
      <c r="P1409" s="336"/>
      <c r="Q1409" s="336"/>
      <c r="R1409" s="336"/>
      <c r="S1409" s="336"/>
      <c r="T1409" s="336"/>
    </row>
    <row r="1410" spans="1:20" x14ac:dyDescent="0.25">
      <c r="A1410" s="336"/>
      <c r="B1410" s="336"/>
      <c r="C1410" s="336"/>
      <c r="D1410" s="336"/>
      <c r="E1410" s="336"/>
      <c r="F1410" s="104" t="b">
        <f t="array" ref="F1410">IF(_xlfn.NUMBERVALUE(RIGHT($E1410,2))=MAX(IF(LEFT($E1410:$E3408,11)=LEFT($E1410,11),_xlfn.NUMBERVALUE(RIGHT($E1410:$E3408,2)))),TRUE)</f>
        <v>1</v>
      </c>
      <c r="G1410" s="336"/>
      <c r="H1410" s="336"/>
      <c r="I1410" s="336"/>
      <c r="J1410" s="336"/>
      <c r="K1410" s="336"/>
      <c r="L1410" s="336"/>
      <c r="M1410" s="336"/>
      <c r="N1410" s="336"/>
      <c r="O1410" s="336"/>
      <c r="P1410" s="336"/>
      <c r="Q1410" s="336"/>
      <c r="R1410" s="336"/>
      <c r="S1410" s="336"/>
      <c r="T1410" s="336"/>
    </row>
    <row r="1411" spans="1:20" x14ac:dyDescent="0.25">
      <c r="A1411" s="336"/>
      <c r="B1411" s="336"/>
      <c r="C1411" s="336"/>
      <c r="D1411" s="336"/>
      <c r="E1411" s="336"/>
      <c r="F1411" s="104" t="b">
        <f t="array" ref="F1411">IF(_xlfn.NUMBERVALUE(RIGHT($E1411,2))=MAX(IF(LEFT($E1411:$E3409,11)=LEFT($E1411,11),_xlfn.NUMBERVALUE(RIGHT($E1411:$E3409,2)))),TRUE)</f>
        <v>1</v>
      </c>
      <c r="G1411" s="336"/>
      <c r="H1411" s="336"/>
      <c r="I1411" s="336"/>
      <c r="J1411" s="336"/>
      <c r="K1411" s="336"/>
      <c r="L1411" s="336"/>
      <c r="M1411" s="336"/>
      <c r="N1411" s="336"/>
      <c r="O1411" s="336"/>
      <c r="P1411" s="336"/>
      <c r="Q1411" s="336"/>
      <c r="R1411" s="336"/>
      <c r="S1411" s="336"/>
      <c r="T1411" s="336"/>
    </row>
    <row r="1412" spans="1:20" x14ac:dyDescent="0.25">
      <c r="A1412" s="336"/>
      <c r="B1412" s="336"/>
      <c r="C1412" s="336"/>
      <c r="D1412" s="336"/>
      <c r="E1412" s="336"/>
      <c r="F1412" s="104" t="b">
        <f t="array" ref="F1412">IF(_xlfn.NUMBERVALUE(RIGHT($E1412,2))=MAX(IF(LEFT($E1412:$E3410,11)=LEFT($E1412,11),_xlfn.NUMBERVALUE(RIGHT($E1412:$E3410,2)))),TRUE)</f>
        <v>1</v>
      </c>
      <c r="G1412" s="336"/>
      <c r="H1412" s="336"/>
      <c r="I1412" s="336"/>
      <c r="J1412" s="336"/>
      <c r="K1412" s="336"/>
      <c r="L1412" s="336"/>
      <c r="M1412" s="336"/>
      <c r="N1412" s="336"/>
      <c r="O1412" s="336"/>
      <c r="P1412" s="336"/>
      <c r="Q1412" s="336"/>
      <c r="R1412" s="336"/>
      <c r="S1412" s="336"/>
      <c r="T1412" s="336"/>
    </row>
    <row r="1413" spans="1:20" x14ac:dyDescent="0.25">
      <c r="A1413" s="336"/>
      <c r="B1413" s="336"/>
      <c r="C1413" s="336"/>
      <c r="D1413" s="336"/>
      <c r="E1413" s="336"/>
      <c r="F1413" s="104" t="b">
        <f t="array" ref="F1413">IF(_xlfn.NUMBERVALUE(RIGHT($E1413,2))=MAX(IF(LEFT($E1413:$E3411,11)=LEFT($E1413,11),_xlfn.NUMBERVALUE(RIGHT($E1413:$E3411,2)))),TRUE)</f>
        <v>1</v>
      </c>
      <c r="G1413" s="336"/>
      <c r="H1413" s="336"/>
      <c r="I1413" s="336"/>
      <c r="J1413" s="336"/>
      <c r="K1413" s="336"/>
      <c r="L1413" s="336"/>
      <c r="M1413" s="336"/>
      <c r="N1413" s="336"/>
      <c r="O1413" s="336"/>
      <c r="P1413" s="336"/>
      <c r="Q1413" s="336"/>
      <c r="R1413" s="336"/>
      <c r="S1413" s="336"/>
      <c r="T1413" s="336"/>
    </row>
    <row r="1414" spans="1:20" x14ac:dyDescent="0.25">
      <c r="A1414" s="336"/>
      <c r="B1414" s="336"/>
      <c r="C1414" s="336"/>
      <c r="D1414" s="336"/>
      <c r="E1414" s="336"/>
      <c r="F1414" s="104" t="b">
        <f t="array" ref="F1414">IF(_xlfn.NUMBERVALUE(RIGHT($E1414,2))=MAX(IF(LEFT($E1414:$E3412,11)=LEFT($E1414,11),_xlfn.NUMBERVALUE(RIGHT($E1414:$E3412,2)))),TRUE)</f>
        <v>1</v>
      </c>
      <c r="G1414" s="336"/>
      <c r="H1414" s="336"/>
      <c r="I1414" s="336"/>
      <c r="J1414" s="336"/>
      <c r="K1414" s="336"/>
      <c r="L1414" s="336"/>
      <c r="M1414" s="336"/>
      <c r="N1414" s="336"/>
      <c r="O1414" s="336"/>
      <c r="P1414" s="336"/>
      <c r="Q1414" s="336"/>
      <c r="R1414" s="336"/>
      <c r="S1414" s="336"/>
      <c r="T1414" s="336"/>
    </row>
    <row r="1415" spans="1:20" x14ac:dyDescent="0.25">
      <c r="A1415" s="336"/>
      <c r="B1415" s="336"/>
      <c r="C1415" s="336"/>
      <c r="D1415" s="336"/>
      <c r="E1415" s="336"/>
      <c r="F1415" s="104" t="b">
        <f t="array" ref="F1415">IF(_xlfn.NUMBERVALUE(RIGHT($E1415,2))=MAX(IF(LEFT($E1415:$E3413,11)=LEFT($E1415,11),_xlfn.NUMBERVALUE(RIGHT($E1415:$E3413,2)))),TRUE)</f>
        <v>1</v>
      </c>
      <c r="G1415" s="336"/>
      <c r="H1415" s="336"/>
      <c r="I1415" s="336"/>
      <c r="J1415" s="336"/>
      <c r="K1415" s="336"/>
      <c r="L1415" s="336"/>
      <c r="M1415" s="336"/>
      <c r="N1415" s="336"/>
      <c r="O1415" s="336"/>
      <c r="P1415" s="336"/>
      <c r="Q1415" s="336"/>
      <c r="R1415" s="336"/>
      <c r="S1415" s="336"/>
      <c r="T1415" s="336"/>
    </row>
    <row r="1416" spans="1:20" x14ac:dyDescent="0.25">
      <c r="A1416" s="336"/>
      <c r="B1416" s="336"/>
      <c r="C1416" s="336"/>
      <c r="D1416" s="336"/>
      <c r="E1416" s="336"/>
      <c r="F1416" s="104" t="b">
        <f t="array" ref="F1416">IF(_xlfn.NUMBERVALUE(RIGHT($E1416,2))=MAX(IF(LEFT($E1416:$E3414,11)=LEFT($E1416,11),_xlfn.NUMBERVALUE(RIGHT($E1416:$E3414,2)))),TRUE)</f>
        <v>1</v>
      </c>
      <c r="G1416" s="336"/>
      <c r="H1416" s="336"/>
      <c r="I1416" s="336"/>
      <c r="J1416" s="336"/>
      <c r="K1416" s="336"/>
      <c r="L1416" s="336"/>
      <c r="M1416" s="336"/>
      <c r="N1416" s="336"/>
      <c r="O1416" s="336"/>
      <c r="P1416" s="336"/>
      <c r="Q1416" s="336"/>
      <c r="R1416" s="336"/>
      <c r="S1416" s="336"/>
      <c r="T1416" s="336"/>
    </row>
    <row r="1417" spans="1:20" x14ac:dyDescent="0.25">
      <c r="A1417" s="336"/>
      <c r="B1417" s="336"/>
      <c r="C1417" s="336"/>
      <c r="D1417" s="336"/>
      <c r="E1417" s="336"/>
      <c r="F1417" s="104" t="b">
        <f t="array" ref="F1417">IF(_xlfn.NUMBERVALUE(RIGHT($E1417,2))=MAX(IF(LEFT($E1417:$E3415,11)=LEFT($E1417,11),_xlfn.NUMBERVALUE(RIGHT($E1417:$E3415,2)))),TRUE)</f>
        <v>1</v>
      </c>
      <c r="G1417" s="336"/>
      <c r="H1417" s="336"/>
      <c r="I1417" s="336"/>
      <c r="J1417" s="336"/>
      <c r="K1417" s="336"/>
      <c r="L1417" s="336"/>
      <c r="M1417" s="336"/>
      <c r="N1417" s="336"/>
      <c r="O1417" s="336"/>
      <c r="P1417" s="336"/>
      <c r="Q1417" s="336"/>
      <c r="R1417" s="336"/>
      <c r="S1417" s="336"/>
      <c r="T1417" s="336"/>
    </row>
    <row r="1418" spans="1:20" x14ac:dyDescent="0.25">
      <c r="A1418" s="336"/>
      <c r="B1418" s="336"/>
      <c r="C1418" s="336"/>
      <c r="D1418" s="336"/>
      <c r="E1418" s="336"/>
      <c r="F1418" s="104" t="b">
        <f t="array" ref="F1418">IF(_xlfn.NUMBERVALUE(RIGHT($E1418,2))=MAX(IF(LEFT($E1418:$E3416,11)=LEFT($E1418,11),_xlfn.NUMBERVALUE(RIGHT($E1418:$E3416,2)))),TRUE)</f>
        <v>1</v>
      </c>
      <c r="G1418" s="336"/>
      <c r="H1418" s="336"/>
      <c r="I1418" s="336"/>
      <c r="J1418" s="336"/>
      <c r="K1418" s="336"/>
      <c r="L1418" s="336"/>
      <c r="M1418" s="336"/>
      <c r="N1418" s="336"/>
      <c r="O1418" s="336"/>
      <c r="P1418" s="336"/>
      <c r="Q1418" s="336"/>
      <c r="R1418" s="336"/>
      <c r="S1418" s="336"/>
      <c r="T1418" s="336"/>
    </row>
    <row r="1419" spans="1:20" x14ac:dyDescent="0.25">
      <c r="A1419" s="336"/>
      <c r="B1419" s="336"/>
      <c r="C1419" s="336"/>
      <c r="D1419" s="336"/>
      <c r="E1419" s="336"/>
      <c r="F1419" s="104" t="b">
        <f t="array" ref="F1419">IF(_xlfn.NUMBERVALUE(RIGHT($E1419,2))=MAX(IF(LEFT($E1419:$E3417,11)=LEFT($E1419,11),_xlfn.NUMBERVALUE(RIGHT($E1419:$E3417,2)))),TRUE)</f>
        <v>1</v>
      </c>
      <c r="G1419" s="336"/>
      <c r="H1419" s="336"/>
      <c r="I1419" s="336"/>
      <c r="J1419" s="336"/>
      <c r="K1419" s="336"/>
      <c r="L1419" s="336"/>
      <c r="M1419" s="336"/>
      <c r="N1419" s="336"/>
      <c r="O1419" s="336"/>
      <c r="P1419" s="336"/>
      <c r="Q1419" s="336"/>
      <c r="R1419" s="336"/>
      <c r="S1419" s="336"/>
      <c r="T1419" s="336"/>
    </row>
    <row r="1420" spans="1:20" x14ac:dyDescent="0.25">
      <c r="A1420" s="336"/>
      <c r="B1420" s="336"/>
      <c r="C1420" s="336"/>
      <c r="D1420" s="336"/>
      <c r="E1420" s="336"/>
      <c r="F1420" s="104" t="b">
        <f t="array" ref="F1420">IF(_xlfn.NUMBERVALUE(RIGHT($E1420,2))=MAX(IF(LEFT($E1420:$E3418,11)=LEFT($E1420,11),_xlfn.NUMBERVALUE(RIGHT($E1420:$E3418,2)))),TRUE)</f>
        <v>1</v>
      </c>
      <c r="G1420" s="336"/>
      <c r="H1420" s="336"/>
      <c r="I1420" s="336"/>
      <c r="J1420" s="336"/>
      <c r="K1420" s="336"/>
      <c r="L1420" s="336"/>
      <c r="M1420" s="336"/>
      <c r="N1420" s="336"/>
      <c r="O1420" s="336"/>
      <c r="P1420" s="336"/>
      <c r="Q1420" s="336"/>
      <c r="R1420" s="336"/>
      <c r="S1420" s="336"/>
      <c r="T1420" s="336"/>
    </row>
    <row r="1421" spans="1:20" x14ac:dyDescent="0.25">
      <c r="A1421" s="336"/>
      <c r="B1421" s="336"/>
      <c r="C1421" s="336"/>
      <c r="D1421" s="336"/>
      <c r="E1421" s="336"/>
      <c r="F1421" s="104" t="b">
        <f t="array" ref="F1421">IF(_xlfn.NUMBERVALUE(RIGHT($E1421,2))=MAX(IF(LEFT($E1421:$E3419,11)=LEFT($E1421,11),_xlfn.NUMBERVALUE(RIGHT($E1421:$E3419,2)))),TRUE)</f>
        <v>1</v>
      </c>
      <c r="G1421" s="336"/>
      <c r="H1421" s="336"/>
      <c r="I1421" s="336"/>
      <c r="J1421" s="336"/>
      <c r="K1421" s="336"/>
      <c r="L1421" s="336"/>
      <c r="M1421" s="336"/>
      <c r="N1421" s="336"/>
      <c r="O1421" s="336"/>
      <c r="P1421" s="336"/>
      <c r="Q1421" s="336"/>
      <c r="R1421" s="336"/>
      <c r="S1421" s="336"/>
      <c r="T1421" s="336"/>
    </row>
    <row r="1422" spans="1:20" x14ac:dyDescent="0.25">
      <c r="A1422" s="336"/>
      <c r="B1422" s="336"/>
      <c r="C1422" s="336"/>
      <c r="D1422" s="336"/>
      <c r="E1422" s="336"/>
      <c r="F1422" s="104" t="b">
        <f t="array" ref="F1422">IF(_xlfn.NUMBERVALUE(RIGHT($E1422,2))=MAX(IF(LEFT($E1422:$E3420,11)=LEFT($E1422,11),_xlfn.NUMBERVALUE(RIGHT($E1422:$E3420,2)))),TRUE)</f>
        <v>1</v>
      </c>
      <c r="G1422" s="336"/>
      <c r="H1422" s="336"/>
      <c r="I1422" s="336"/>
      <c r="J1422" s="336"/>
      <c r="K1422" s="336"/>
      <c r="L1422" s="336"/>
      <c r="M1422" s="336"/>
      <c r="N1422" s="336"/>
      <c r="O1422" s="336"/>
      <c r="P1422" s="336"/>
      <c r="Q1422" s="336"/>
      <c r="R1422" s="336"/>
      <c r="S1422" s="336"/>
      <c r="T1422" s="336"/>
    </row>
    <row r="1423" spans="1:20" x14ac:dyDescent="0.25">
      <c r="A1423" s="336"/>
      <c r="B1423" s="336"/>
      <c r="C1423" s="336"/>
      <c r="D1423" s="336"/>
      <c r="E1423" s="336"/>
      <c r="F1423" s="104" t="b">
        <f t="array" ref="F1423">IF(_xlfn.NUMBERVALUE(RIGHT($E1423,2))=MAX(IF(LEFT($E1423:$E3421,11)=LEFT($E1423,11),_xlfn.NUMBERVALUE(RIGHT($E1423:$E3421,2)))),TRUE)</f>
        <v>1</v>
      </c>
      <c r="G1423" s="336"/>
      <c r="H1423" s="336"/>
      <c r="I1423" s="336"/>
      <c r="J1423" s="336"/>
      <c r="K1423" s="336"/>
      <c r="L1423" s="336"/>
      <c r="M1423" s="336"/>
      <c r="N1423" s="336"/>
      <c r="O1423" s="336"/>
      <c r="P1423" s="336"/>
      <c r="Q1423" s="336"/>
      <c r="R1423" s="336"/>
      <c r="S1423" s="336"/>
      <c r="T1423" s="336"/>
    </row>
    <row r="1424" spans="1:20" x14ac:dyDescent="0.25">
      <c r="A1424" s="336"/>
      <c r="B1424" s="336"/>
      <c r="C1424" s="336"/>
      <c r="D1424" s="336"/>
      <c r="E1424" s="336"/>
      <c r="F1424" s="104" t="b">
        <f t="array" ref="F1424">IF(_xlfn.NUMBERVALUE(RIGHT($E1424,2))=MAX(IF(LEFT($E1424:$E3422,11)=LEFT($E1424,11),_xlfn.NUMBERVALUE(RIGHT($E1424:$E3422,2)))),TRUE)</f>
        <v>1</v>
      </c>
      <c r="G1424" s="336"/>
      <c r="H1424" s="336"/>
      <c r="I1424" s="336"/>
      <c r="J1424" s="336"/>
      <c r="K1424" s="336"/>
      <c r="L1424" s="336"/>
      <c r="M1424" s="336"/>
      <c r="N1424" s="336"/>
      <c r="O1424" s="336"/>
      <c r="P1424" s="336"/>
      <c r="Q1424" s="336"/>
      <c r="R1424" s="336"/>
      <c r="S1424" s="336"/>
      <c r="T1424" s="336"/>
    </row>
    <row r="1425" spans="1:20" x14ac:dyDescent="0.25">
      <c r="A1425" s="336"/>
      <c r="B1425" s="336"/>
      <c r="C1425" s="336"/>
      <c r="D1425" s="336"/>
      <c r="E1425" s="336"/>
      <c r="F1425" s="104" t="b">
        <f t="array" ref="F1425">IF(_xlfn.NUMBERVALUE(RIGHT($E1425,2))=MAX(IF(LEFT($E1425:$E3423,11)=LEFT($E1425,11),_xlfn.NUMBERVALUE(RIGHT($E1425:$E3423,2)))),TRUE)</f>
        <v>1</v>
      </c>
      <c r="G1425" s="336"/>
      <c r="H1425" s="336"/>
      <c r="I1425" s="336"/>
      <c r="J1425" s="336"/>
      <c r="K1425" s="336"/>
      <c r="L1425" s="336"/>
      <c r="M1425" s="336"/>
      <c r="N1425" s="336"/>
      <c r="O1425" s="336"/>
      <c r="P1425" s="336"/>
      <c r="Q1425" s="336"/>
      <c r="R1425" s="336"/>
      <c r="S1425" s="336"/>
      <c r="T1425" s="336"/>
    </row>
    <row r="1426" spans="1:20" x14ac:dyDescent="0.25">
      <c r="A1426" s="336"/>
      <c r="B1426" s="336"/>
      <c r="C1426" s="336"/>
      <c r="D1426" s="336"/>
      <c r="E1426" s="336"/>
      <c r="F1426" s="104" t="b">
        <f t="array" ref="F1426">IF(_xlfn.NUMBERVALUE(RIGHT($E1426,2))=MAX(IF(LEFT($E1426:$E3424,11)=LEFT($E1426,11),_xlfn.NUMBERVALUE(RIGHT($E1426:$E3424,2)))),TRUE)</f>
        <v>1</v>
      </c>
      <c r="G1426" s="336"/>
      <c r="H1426" s="336"/>
      <c r="I1426" s="336"/>
      <c r="J1426" s="336"/>
      <c r="K1426" s="336"/>
      <c r="L1426" s="336"/>
      <c r="M1426" s="336"/>
      <c r="N1426" s="336"/>
      <c r="O1426" s="336"/>
      <c r="P1426" s="336"/>
      <c r="Q1426" s="336"/>
      <c r="R1426" s="336"/>
      <c r="S1426" s="336"/>
      <c r="T1426" s="336"/>
    </row>
    <row r="1427" spans="1:20" x14ac:dyDescent="0.25">
      <c r="A1427" s="336"/>
      <c r="B1427" s="336"/>
      <c r="C1427" s="336"/>
      <c r="D1427" s="336"/>
      <c r="E1427" s="336"/>
      <c r="F1427" s="104" t="b">
        <f t="array" ref="F1427">IF(_xlfn.NUMBERVALUE(RIGHT($E1427,2))=MAX(IF(LEFT($E1427:$E3425,11)=LEFT($E1427,11),_xlfn.NUMBERVALUE(RIGHT($E1427:$E3425,2)))),TRUE)</f>
        <v>1</v>
      </c>
      <c r="G1427" s="336"/>
      <c r="H1427" s="336"/>
      <c r="I1427" s="336"/>
      <c r="J1427" s="336"/>
      <c r="K1427" s="336"/>
      <c r="L1427" s="336"/>
      <c r="M1427" s="336"/>
      <c r="N1427" s="336"/>
      <c r="O1427" s="336"/>
      <c r="P1427" s="336"/>
      <c r="Q1427" s="336"/>
      <c r="R1427" s="336"/>
      <c r="S1427" s="336"/>
      <c r="T1427" s="336"/>
    </row>
    <row r="1428" spans="1:20" x14ac:dyDescent="0.25">
      <c r="A1428" s="336"/>
      <c r="B1428" s="336"/>
      <c r="C1428" s="336"/>
      <c r="D1428" s="336"/>
      <c r="E1428" s="336"/>
      <c r="F1428" s="104" t="b">
        <f t="array" ref="F1428">IF(_xlfn.NUMBERVALUE(RIGHT($E1428,2))=MAX(IF(LEFT($E1428:$E3426,11)=LEFT($E1428,11),_xlfn.NUMBERVALUE(RIGHT($E1428:$E3426,2)))),TRUE)</f>
        <v>1</v>
      </c>
      <c r="G1428" s="336"/>
      <c r="H1428" s="336"/>
      <c r="I1428" s="336"/>
      <c r="J1428" s="336"/>
      <c r="K1428" s="336"/>
      <c r="L1428" s="336"/>
      <c r="M1428" s="336"/>
      <c r="N1428" s="336"/>
      <c r="O1428" s="336"/>
      <c r="P1428" s="336"/>
      <c r="Q1428" s="336"/>
      <c r="R1428" s="336"/>
      <c r="S1428" s="336"/>
      <c r="T1428" s="336"/>
    </row>
    <row r="1429" spans="1:20" x14ac:dyDescent="0.25">
      <c r="A1429" s="336"/>
      <c r="B1429" s="336"/>
      <c r="C1429" s="336"/>
      <c r="D1429" s="336"/>
      <c r="E1429" s="336"/>
      <c r="F1429" s="104" t="b">
        <f t="array" ref="F1429">IF(_xlfn.NUMBERVALUE(RIGHT($E1429,2))=MAX(IF(LEFT($E1429:$E3427,11)=LEFT($E1429,11),_xlfn.NUMBERVALUE(RIGHT($E1429:$E3427,2)))),TRUE)</f>
        <v>1</v>
      </c>
      <c r="G1429" s="336"/>
      <c r="H1429" s="336"/>
      <c r="I1429" s="336"/>
      <c r="J1429" s="336"/>
      <c r="K1429" s="336"/>
      <c r="L1429" s="336"/>
      <c r="M1429" s="336"/>
      <c r="N1429" s="336"/>
      <c r="O1429" s="336"/>
      <c r="P1429" s="336"/>
      <c r="Q1429" s="336"/>
      <c r="R1429" s="336"/>
      <c r="S1429" s="336"/>
      <c r="T1429" s="336"/>
    </row>
    <row r="1430" spans="1:20" x14ac:dyDescent="0.25">
      <c r="A1430" s="336"/>
      <c r="B1430" s="336"/>
      <c r="C1430" s="336"/>
      <c r="D1430" s="336"/>
      <c r="E1430" s="336"/>
      <c r="F1430" s="104" t="b">
        <f t="array" ref="F1430">IF(_xlfn.NUMBERVALUE(RIGHT($E1430,2))=MAX(IF(LEFT($E1430:$E3428,11)=LEFT($E1430,11),_xlfn.NUMBERVALUE(RIGHT($E1430:$E3428,2)))),TRUE)</f>
        <v>1</v>
      </c>
      <c r="G1430" s="336"/>
      <c r="H1430" s="336"/>
      <c r="I1430" s="336"/>
      <c r="J1430" s="336"/>
      <c r="K1430" s="336"/>
      <c r="L1430" s="336"/>
      <c r="M1430" s="336"/>
      <c r="N1430" s="336"/>
      <c r="O1430" s="336"/>
      <c r="P1430" s="336"/>
      <c r="Q1430" s="336"/>
      <c r="R1430" s="336"/>
      <c r="S1430" s="336"/>
      <c r="T1430" s="336"/>
    </row>
    <row r="1431" spans="1:20" x14ac:dyDescent="0.25">
      <c r="A1431" s="336"/>
      <c r="B1431" s="336"/>
      <c r="C1431" s="336"/>
      <c r="D1431" s="336"/>
      <c r="E1431" s="336"/>
      <c r="F1431" s="104" t="b">
        <f t="array" ref="F1431">IF(_xlfn.NUMBERVALUE(RIGHT($E1431,2))=MAX(IF(LEFT($E1431:$E3429,11)=LEFT($E1431,11),_xlfn.NUMBERVALUE(RIGHT($E1431:$E3429,2)))),TRUE)</f>
        <v>1</v>
      </c>
      <c r="G1431" s="336"/>
      <c r="H1431" s="336"/>
      <c r="I1431" s="336"/>
      <c r="J1431" s="336"/>
      <c r="K1431" s="336"/>
      <c r="L1431" s="336"/>
      <c r="M1431" s="336"/>
      <c r="N1431" s="336"/>
      <c r="O1431" s="336"/>
      <c r="P1431" s="336"/>
      <c r="Q1431" s="336"/>
      <c r="R1431" s="336"/>
      <c r="S1431" s="336"/>
      <c r="T1431" s="336"/>
    </row>
    <row r="1432" spans="1:20" x14ac:dyDescent="0.25">
      <c r="A1432" s="336"/>
      <c r="B1432" s="336"/>
      <c r="C1432" s="336"/>
      <c r="D1432" s="336"/>
      <c r="E1432" s="336"/>
      <c r="F1432" s="104" t="b">
        <f t="array" ref="F1432">IF(_xlfn.NUMBERVALUE(RIGHT($E1432,2))=MAX(IF(LEFT($E1432:$E3430,11)=LEFT($E1432,11),_xlfn.NUMBERVALUE(RIGHT($E1432:$E3430,2)))),TRUE)</f>
        <v>1</v>
      </c>
      <c r="G1432" s="336"/>
      <c r="H1432" s="336"/>
      <c r="I1432" s="336"/>
      <c r="J1432" s="336"/>
      <c r="K1432" s="336"/>
      <c r="L1432" s="336"/>
      <c r="M1432" s="336"/>
      <c r="N1432" s="336"/>
      <c r="O1432" s="336"/>
      <c r="P1432" s="336"/>
      <c r="Q1432" s="336"/>
      <c r="R1432" s="336"/>
      <c r="S1432" s="336"/>
      <c r="T1432" s="336"/>
    </row>
    <row r="1433" spans="1:20" x14ac:dyDescent="0.25">
      <c r="A1433" s="336"/>
      <c r="B1433" s="336"/>
      <c r="C1433" s="336"/>
      <c r="D1433" s="336"/>
      <c r="E1433" s="336"/>
      <c r="F1433" s="104" t="b">
        <f t="array" ref="F1433">IF(_xlfn.NUMBERVALUE(RIGHT($E1433,2))=MAX(IF(LEFT($E1433:$E3431,11)=LEFT($E1433,11),_xlfn.NUMBERVALUE(RIGHT($E1433:$E3431,2)))),TRUE)</f>
        <v>1</v>
      </c>
      <c r="G1433" s="336"/>
      <c r="H1433" s="336"/>
      <c r="I1433" s="336"/>
      <c r="J1433" s="336"/>
      <c r="K1433" s="336"/>
      <c r="L1433" s="336"/>
      <c r="M1433" s="336"/>
      <c r="N1433" s="336"/>
      <c r="O1433" s="336"/>
      <c r="P1433" s="336"/>
      <c r="Q1433" s="336"/>
      <c r="R1433" s="336"/>
      <c r="S1433" s="336"/>
      <c r="T1433" s="336"/>
    </row>
    <row r="1434" spans="1:20" x14ac:dyDescent="0.25">
      <c r="A1434" s="336"/>
      <c r="B1434" s="336"/>
      <c r="C1434" s="336"/>
      <c r="D1434" s="336"/>
      <c r="E1434" s="336"/>
      <c r="F1434" s="104" t="b">
        <f t="array" ref="F1434">IF(_xlfn.NUMBERVALUE(RIGHT($E1434,2))=MAX(IF(LEFT($E1434:$E3432,11)=LEFT($E1434,11),_xlfn.NUMBERVALUE(RIGHT($E1434:$E3432,2)))),TRUE)</f>
        <v>1</v>
      </c>
      <c r="G1434" s="336"/>
      <c r="H1434" s="336"/>
      <c r="I1434" s="336"/>
      <c r="J1434" s="336"/>
      <c r="K1434" s="336"/>
      <c r="L1434" s="336"/>
      <c r="M1434" s="336"/>
      <c r="N1434" s="336"/>
      <c r="O1434" s="336"/>
      <c r="P1434" s="336"/>
      <c r="Q1434" s="336"/>
      <c r="R1434" s="336"/>
      <c r="S1434" s="336"/>
      <c r="T1434" s="336"/>
    </row>
    <row r="1435" spans="1:20" x14ac:dyDescent="0.25">
      <c r="A1435" s="336"/>
      <c r="B1435" s="336"/>
      <c r="C1435" s="336"/>
      <c r="D1435" s="336"/>
      <c r="E1435" s="336"/>
      <c r="F1435" s="104" t="b">
        <f t="array" ref="F1435">IF(_xlfn.NUMBERVALUE(RIGHT($E1435,2))=MAX(IF(LEFT($E1435:$E3433,11)=LEFT($E1435,11),_xlfn.NUMBERVALUE(RIGHT($E1435:$E3433,2)))),TRUE)</f>
        <v>1</v>
      </c>
      <c r="G1435" s="336"/>
      <c r="H1435" s="336"/>
      <c r="I1435" s="336"/>
      <c r="J1435" s="336"/>
      <c r="K1435" s="336"/>
      <c r="L1435" s="336"/>
      <c r="M1435" s="336"/>
      <c r="N1435" s="336"/>
      <c r="O1435" s="336"/>
      <c r="P1435" s="336"/>
      <c r="Q1435" s="336"/>
      <c r="R1435" s="336"/>
      <c r="S1435" s="336"/>
      <c r="T1435" s="336"/>
    </row>
    <row r="1436" spans="1:20" x14ac:dyDescent="0.25">
      <c r="A1436" s="336"/>
      <c r="B1436" s="336"/>
      <c r="C1436" s="336"/>
      <c r="D1436" s="336"/>
      <c r="E1436" s="336"/>
      <c r="F1436" s="104" t="b">
        <f t="array" ref="F1436">IF(_xlfn.NUMBERVALUE(RIGHT($E1436,2))=MAX(IF(LEFT($E1436:$E3434,11)=LEFT($E1436,11),_xlfn.NUMBERVALUE(RIGHT($E1436:$E3434,2)))),TRUE)</f>
        <v>1</v>
      </c>
      <c r="G1436" s="336"/>
      <c r="H1436" s="336"/>
      <c r="I1436" s="336"/>
      <c r="J1436" s="336"/>
      <c r="K1436" s="336"/>
      <c r="L1436" s="336"/>
      <c r="M1436" s="336"/>
      <c r="N1436" s="336"/>
      <c r="O1436" s="336"/>
      <c r="P1436" s="336"/>
      <c r="Q1436" s="336"/>
      <c r="R1436" s="336"/>
      <c r="S1436" s="336"/>
      <c r="T1436" s="336"/>
    </row>
    <row r="1437" spans="1:20" x14ac:dyDescent="0.25">
      <c r="A1437" s="336"/>
      <c r="B1437" s="336"/>
      <c r="C1437" s="336"/>
      <c r="D1437" s="336"/>
      <c r="E1437" s="336"/>
      <c r="F1437" s="104" t="b">
        <f t="array" ref="F1437">IF(_xlfn.NUMBERVALUE(RIGHT($E1437,2))=MAX(IF(LEFT($E1437:$E3435,11)=LEFT($E1437,11),_xlfn.NUMBERVALUE(RIGHT($E1437:$E3435,2)))),TRUE)</f>
        <v>1</v>
      </c>
      <c r="G1437" s="336"/>
      <c r="H1437" s="336"/>
      <c r="I1437" s="336"/>
      <c r="J1437" s="336"/>
      <c r="K1437" s="336"/>
      <c r="L1437" s="336"/>
      <c r="M1437" s="336"/>
      <c r="N1437" s="336"/>
      <c r="O1437" s="336"/>
      <c r="P1437" s="336"/>
      <c r="Q1437" s="336"/>
      <c r="R1437" s="336"/>
      <c r="S1437" s="336"/>
      <c r="T1437" s="336"/>
    </row>
    <row r="1438" spans="1:20" x14ac:dyDescent="0.25">
      <c r="A1438" s="336"/>
      <c r="B1438" s="336"/>
      <c r="C1438" s="336"/>
      <c r="D1438" s="336"/>
      <c r="E1438" s="336"/>
      <c r="F1438" s="104" t="b">
        <f t="array" ref="F1438">IF(_xlfn.NUMBERVALUE(RIGHT($E1438,2))=MAX(IF(LEFT($E1438:$E3436,11)=LEFT($E1438,11),_xlfn.NUMBERVALUE(RIGHT($E1438:$E3436,2)))),TRUE)</f>
        <v>1</v>
      </c>
      <c r="G1438" s="336"/>
      <c r="H1438" s="336"/>
      <c r="I1438" s="336"/>
      <c r="J1438" s="336"/>
      <c r="K1438" s="336"/>
      <c r="L1438" s="336"/>
      <c r="M1438" s="336"/>
      <c r="N1438" s="336"/>
      <c r="O1438" s="336"/>
      <c r="P1438" s="336"/>
      <c r="Q1438" s="336"/>
      <c r="R1438" s="336"/>
      <c r="S1438" s="336"/>
      <c r="T1438" s="336"/>
    </row>
    <row r="1439" spans="1:20" x14ac:dyDescent="0.25">
      <c r="A1439" s="336"/>
      <c r="B1439" s="336"/>
      <c r="C1439" s="336"/>
      <c r="D1439" s="336"/>
      <c r="E1439" s="336"/>
      <c r="F1439" s="104" t="b">
        <f t="array" ref="F1439">IF(_xlfn.NUMBERVALUE(RIGHT($E1439,2))=MAX(IF(LEFT($E1439:$E3437,11)=LEFT($E1439,11),_xlfn.NUMBERVALUE(RIGHT($E1439:$E3437,2)))),TRUE)</f>
        <v>1</v>
      </c>
      <c r="G1439" s="336"/>
      <c r="H1439" s="336"/>
      <c r="I1439" s="336"/>
      <c r="J1439" s="336"/>
      <c r="K1439" s="336"/>
      <c r="L1439" s="336"/>
      <c r="M1439" s="336"/>
      <c r="N1439" s="336"/>
      <c r="O1439" s="336"/>
      <c r="P1439" s="336"/>
      <c r="Q1439" s="336"/>
      <c r="R1439" s="336"/>
      <c r="S1439" s="336"/>
      <c r="T1439" s="336"/>
    </row>
    <row r="1440" spans="1:20" x14ac:dyDescent="0.25">
      <c r="A1440" s="336"/>
      <c r="B1440" s="336"/>
      <c r="C1440" s="336"/>
      <c r="D1440" s="336"/>
      <c r="E1440" s="336"/>
      <c r="F1440" s="104" t="b">
        <f t="array" ref="F1440">IF(_xlfn.NUMBERVALUE(RIGHT($E1440,2))=MAX(IF(LEFT($E1440:$E3438,11)=LEFT($E1440,11),_xlfn.NUMBERVALUE(RIGHT($E1440:$E3438,2)))),TRUE)</f>
        <v>1</v>
      </c>
      <c r="G1440" s="336"/>
      <c r="H1440" s="336"/>
      <c r="I1440" s="336"/>
      <c r="J1440" s="336"/>
      <c r="K1440" s="336"/>
      <c r="L1440" s="336"/>
      <c r="M1440" s="336"/>
      <c r="N1440" s="336"/>
      <c r="O1440" s="336"/>
      <c r="P1440" s="336"/>
      <c r="Q1440" s="336"/>
      <c r="R1440" s="336"/>
      <c r="S1440" s="336"/>
      <c r="T1440" s="336"/>
    </row>
    <row r="1441" spans="1:20" x14ac:dyDescent="0.25">
      <c r="A1441" s="336"/>
      <c r="B1441" s="336"/>
      <c r="C1441" s="336"/>
      <c r="D1441" s="336"/>
      <c r="E1441" s="336"/>
      <c r="F1441" s="104" t="b">
        <f t="array" ref="F1441">IF(_xlfn.NUMBERVALUE(RIGHT($E1441,2))=MAX(IF(LEFT($E1441:$E3439,11)=LEFT($E1441,11),_xlfn.NUMBERVALUE(RIGHT($E1441:$E3439,2)))),TRUE)</f>
        <v>1</v>
      </c>
      <c r="G1441" s="336"/>
      <c r="H1441" s="336"/>
      <c r="I1441" s="336"/>
      <c r="J1441" s="336"/>
      <c r="K1441" s="336"/>
      <c r="L1441" s="336"/>
      <c r="M1441" s="336"/>
      <c r="N1441" s="336"/>
      <c r="O1441" s="336"/>
      <c r="P1441" s="336"/>
      <c r="Q1441" s="336"/>
      <c r="R1441" s="336"/>
      <c r="S1441" s="336"/>
      <c r="T1441" s="336"/>
    </row>
    <row r="1442" spans="1:20" x14ac:dyDescent="0.25">
      <c r="A1442" s="336"/>
      <c r="B1442" s="336"/>
      <c r="C1442" s="336"/>
      <c r="D1442" s="336"/>
      <c r="E1442" s="336"/>
      <c r="F1442" s="104" t="b">
        <f t="array" ref="F1442">IF(_xlfn.NUMBERVALUE(RIGHT($E1442,2))=MAX(IF(LEFT($E1442:$E3440,11)=LEFT($E1442,11),_xlfn.NUMBERVALUE(RIGHT($E1442:$E3440,2)))),TRUE)</f>
        <v>1</v>
      </c>
      <c r="G1442" s="336"/>
      <c r="H1442" s="336"/>
      <c r="I1442" s="336"/>
      <c r="J1442" s="336"/>
      <c r="K1442" s="336"/>
      <c r="L1442" s="336"/>
      <c r="M1442" s="336"/>
      <c r="N1442" s="336"/>
      <c r="O1442" s="336"/>
      <c r="P1442" s="336"/>
      <c r="Q1442" s="336"/>
      <c r="R1442" s="336"/>
      <c r="S1442" s="336"/>
      <c r="T1442" s="336"/>
    </row>
    <row r="1443" spans="1:20" x14ac:dyDescent="0.25">
      <c r="A1443" s="336"/>
      <c r="B1443" s="336"/>
      <c r="C1443" s="336"/>
      <c r="D1443" s="336"/>
      <c r="E1443" s="336"/>
      <c r="F1443" s="104" t="b">
        <f t="array" ref="F1443">IF(_xlfn.NUMBERVALUE(RIGHT($E1443,2))=MAX(IF(LEFT($E1443:$E3441,11)=LEFT($E1443,11),_xlfn.NUMBERVALUE(RIGHT($E1443:$E3441,2)))),TRUE)</f>
        <v>1</v>
      </c>
      <c r="G1443" s="336"/>
      <c r="H1443" s="336"/>
      <c r="I1443" s="336"/>
      <c r="J1443" s="336"/>
      <c r="K1443" s="336"/>
      <c r="L1443" s="336"/>
      <c r="M1443" s="336"/>
      <c r="N1443" s="336"/>
      <c r="O1443" s="336"/>
      <c r="P1443" s="336"/>
      <c r="Q1443" s="336"/>
      <c r="R1443" s="336"/>
      <c r="S1443" s="336"/>
      <c r="T1443" s="336"/>
    </row>
    <row r="1444" spans="1:20" x14ac:dyDescent="0.25">
      <c r="A1444" s="336"/>
      <c r="B1444" s="336"/>
      <c r="C1444" s="336"/>
      <c r="D1444" s="336"/>
      <c r="E1444" s="336"/>
      <c r="F1444" s="104" t="b">
        <f t="array" ref="F1444">IF(_xlfn.NUMBERVALUE(RIGHT($E1444,2))=MAX(IF(LEFT($E1444:$E3442,11)=LEFT($E1444,11),_xlfn.NUMBERVALUE(RIGHT($E1444:$E3442,2)))),TRUE)</f>
        <v>1</v>
      </c>
      <c r="G1444" s="336"/>
      <c r="H1444" s="336"/>
      <c r="I1444" s="336"/>
      <c r="J1444" s="336"/>
      <c r="K1444" s="336"/>
      <c r="L1444" s="336"/>
      <c r="M1444" s="336"/>
      <c r="N1444" s="336"/>
      <c r="O1444" s="336"/>
      <c r="P1444" s="336"/>
      <c r="Q1444" s="336"/>
      <c r="R1444" s="336"/>
      <c r="S1444" s="336"/>
      <c r="T1444" s="336"/>
    </row>
    <row r="1445" spans="1:20" x14ac:dyDescent="0.25">
      <c r="A1445" s="336"/>
      <c r="B1445" s="336"/>
      <c r="C1445" s="336"/>
      <c r="D1445" s="336"/>
      <c r="E1445" s="336"/>
      <c r="F1445" s="104" t="b">
        <f t="array" ref="F1445">IF(_xlfn.NUMBERVALUE(RIGHT($E1445,2))=MAX(IF(LEFT($E1445:$E3443,11)=LEFT($E1445,11),_xlfn.NUMBERVALUE(RIGHT($E1445:$E3443,2)))),TRUE)</f>
        <v>1</v>
      </c>
      <c r="G1445" s="336"/>
      <c r="H1445" s="336"/>
      <c r="I1445" s="336"/>
      <c r="J1445" s="336"/>
      <c r="K1445" s="336"/>
      <c r="L1445" s="336"/>
      <c r="M1445" s="336"/>
      <c r="N1445" s="336"/>
      <c r="O1445" s="336"/>
      <c r="P1445" s="336"/>
      <c r="Q1445" s="336"/>
      <c r="R1445" s="336"/>
      <c r="S1445" s="336"/>
      <c r="T1445" s="336"/>
    </row>
    <row r="1446" spans="1:20" x14ac:dyDescent="0.25">
      <c r="A1446" s="336"/>
      <c r="B1446" s="336"/>
      <c r="C1446" s="336"/>
      <c r="D1446" s="336"/>
      <c r="E1446" s="336"/>
      <c r="F1446" s="104" t="b">
        <f t="array" ref="F1446">IF(_xlfn.NUMBERVALUE(RIGHT($E1446,2))=MAX(IF(LEFT($E1446:$E3444,11)=LEFT($E1446,11),_xlfn.NUMBERVALUE(RIGHT($E1446:$E3444,2)))),TRUE)</f>
        <v>1</v>
      </c>
      <c r="G1446" s="336"/>
      <c r="H1446" s="336"/>
      <c r="I1446" s="336"/>
      <c r="J1446" s="336"/>
      <c r="K1446" s="336"/>
      <c r="L1446" s="336"/>
      <c r="M1446" s="336"/>
      <c r="N1446" s="336"/>
      <c r="O1446" s="336"/>
      <c r="P1446" s="336"/>
      <c r="Q1446" s="336"/>
      <c r="R1446" s="336"/>
      <c r="S1446" s="336"/>
      <c r="T1446" s="336"/>
    </row>
    <row r="1447" spans="1:20" x14ac:dyDescent="0.25">
      <c r="A1447" s="336"/>
      <c r="B1447" s="336"/>
      <c r="C1447" s="336"/>
      <c r="D1447" s="336"/>
      <c r="E1447" s="336"/>
      <c r="F1447" s="104" t="b">
        <f t="array" ref="F1447">IF(_xlfn.NUMBERVALUE(RIGHT($E1447,2))=MAX(IF(LEFT($E1447:$E3445,11)=LEFT($E1447,11),_xlfn.NUMBERVALUE(RIGHT($E1447:$E3445,2)))),TRUE)</f>
        <v>1</v>
      </c>
      <c r="G1447" s="336"/>
      <c r="H1447" s="336"/>
      <c r="I1447" s="336"/>
      <c r="J1447" s="336"/>
      <c r="K1447" s="336"/>
      <c r="L1447" s="336"/>
      <c r="M1447" s="336"/>
      <c r="N1447" s="336"/>
      <c r="O1447" s="336"/>
      <c r="P1447" s="336"/>
      <c r="Q1447" s="336"/>
      <c r="R1447" s="336"/>
      <c r="S1447" s="336"/>
      <c r="T1447" s="336"/>
    </row>
    <row r="1448" spans="1:20" x14ac:dyDescent="0.25">
      <c r="A1448" s="336"/>
      <c r="B1448" s="336"/>
      <c r="C1448" s="336"/>
      <c r="D1448" s="336"/>
      <c r="E1448" s="336"/>
      <c r="F1448" s="104" t="b">
        <f t="array" ref="F1448">IF(_xlfn.NUMBERVALUE(RIGHT($E1448,2))=MAX(IF(LEFT($E1448:$E3446,11)=LEFT($E1448,11),_xlfn.NUMBERVALUE(RIGHT($E1448:$E3446,2)))),TRUE)</f>
        <v>1</v>
      </c>
      <c r="G1448" s="336"/>
      <c r="H1448" s="336"/>
      <c r="I1448" s="336"/>
      <c r="J1448" s="336"/>
      <c r="K1448" s="336"/>
      <c r="L1448" s="336"/>
      <c r="M1448" s="336"/>
      <c r="N1448" s="336"/>
      <c r="O1448" s="336"/>
      <c r="P1448" s="336"/>
      <c r="Q1448" s="336"/>
      <c r="R1448" s="336"/>
      <c r="S1448" s="336"/>
      <c r="T1448" s="336"/>
    </row>
    <row r="1449" spans="1:20" x14ac:dyDescent="0.25">
      <c r="A1449" s="336"/>
      <c r="B1449" s="336"/>
      <c r="C1449" s="336"/>
      <c r="D1449" s="336"/>
      <c r="E1449" s="336"/>
      <c r="F1449" s="104" t="b">
        <f t="array" ref="F1449">IF(_xlfn.NUMBERVALUE(RIGHT($E1449,2))=MAX(IF(LEFT($E1449:$E3447,11)=LEFT($E1449,11),_xlfn.NUMBERVALUE(RIGHT($E1449:$E3447,2)))),TRUE)</f>
        <v>1</v>
      </c>
      <c r="G1449" s="336"/>
      <c r="H1449" s="336"/>
      <c r="I1449" s="336"/>
      <c r="J1449" s="336"/>
      <c r="K1449" s="336"/>
      <c r="L1449" s="336"/>
      <c r="M1449" s="336"/>
      <c r="N1449" s="336"/>
      <c r="O1449" s="336"/>
      <c r="P1449" s="336"/>
      <c r="Q1449" s="336"/>
      <c r="R1449" s="336"/>
      <c r="S1449" s="336"/>
      <c r="T1449" s="336"/>
    </row>
    <row r="1450" spans="1:20" x14ac:dyDescent="0.25">
      <c r="A1450" s="336"/>
      <c r="B1450" s="336"/>
      <c r="C1450" s="336"/>
      <c r="D1450" s="336"/>
      <c r="E1450" s="336"/>
      <c r="F1450" s="104" t="b">
        <f t="array" ref="F1450">IF(_xlfn.NUMBERVALUE(RIGHT($E1450,2))=MAX(IF(LEFT($E1450:$E3448,11)=LEFT($E1450,11),_xlfn.NUMBERVALUE(RIGHT($E1450:$E3448,2)))),TRUE)</f>
        <v>1</v>
      </c>
      <c r="G1450" s="336"/>
      <c r="H1450" s="336"/>
      <c r="I1450" s="336"/>
      <c r="J1450" s="336"/>
      <c r="K1450" s="336"/>
      <c r="L1450" s="336"/>
      <c r="M1450" s="336"/>
      <c r="N1450" s="336"/>
      <c r="O1450" s="336"/>
      <c r="P1450" s="336"/>
      <c r="Q1450" s="336"/>
      <c r="R1450" s="336"/>
      <c r="S1450" s="336"/>
      <c r="T1450" s="336"/>
    </row>
    <row r="1451" spans="1:20" x14ac:dyDescent="0.25">
      <c r="A1451" s="336"/>
      <c r="B1451" s="336"/>
      <c r="C1451" s="336"/>
      <c r="D1451" s="336"/>
      <c r="E1451" s="336"/>
      <c r="F1451" s="104" t="b">
        <f t="array" ref="F1451">IF(_xlfn.NUMBERVALUE(RIGHT($E1451,2))=MAX(IF(LEFT($E1451:$E3449,11)=LEFT($E1451,11),_xlfn.NUMBERVALUE(RIGHT($E1451:$E3449,2)))),TRUE)</f>
        <v>1</v>
      </c>
      <c r="G1451" s="336"/>
      <c r="H1451" s="336"/>
      <c r="I1451" s="336"/>
      <c r="J1451" s="336"/>
      <c r="K1451" s="336"/>
      <c r="L1451" s="336"/>
      <c r="M1451" s="336"/>
      <c r="N1451" s="336"/>
      <c r="O1451" s="336"/>
      <c r="P1451" s="336"/>
      <c r="Q1451" s="336"/>
      <c r="R1451" s="336"/>
      <c r="S1451" s="336"/>
      <c r="T1451" s="336"/>
    </row>
    <row r="1452" spans="1:20" x14ac:dyDescent="0.25">
      <c r="A1452" s="336"/>
      <c r="B1452" s="336"/>
      <c r="C1452" s="336"/>
      <c r="D1452" s="336"/>
      <c r="E1452" s="336"/>
      <c r="F1452" s="104" t="b">
        <f t="array" ref="F1452">IF(_xlfn.NUMBERVALUE(RIGHT($E1452,2))=MAX(IF(LEFT($E1452:$E3450,11)=LEFT($E1452,11),_xlfn.NUMBERVALUE(RIGHT($E1452:$E3450,2)))),TRUE)</f>
        <v>1</v>
      </c>
      <c r="G1452" s="336"/>
      <c r="H1452" s="336"/>
      <c r="I1452" s="336"/>
      <c r="J1452" s="336"/>
      <c r="K1452" s="336"/>
      <c r="L1452" s="336"/>
      <c r="M1452" s="336"/>
      <c r="N1452" s="336"/>
      <c r="O1452" s="336"/>
      <c r="P1452" s="336"/>
      <c r="Q1452" s="336"/>
      <c r="R1452" s="336"/>
      <c r="S1452" s="336"/>
      <c r="T1452" s="336"/>
    </row>
    <row r="1453" spans="1:20" x14ac:dyDescent="0.25">
      <c r="A1453" s="336"/>
      <c r="B1453" s="336"/>
      <c r="C1453" s="336"/>
      <c r="D1453" s="336"/>
      <c r="E1453" s="336"/>
      <c r="F1453" s="104" t="b">
        <f t="array" ref="F1453">IF(_xlfn.NUMBERVALUE(RIGHT($E1453,2))=MAX(IF(LEFT($E1453:$E3451,11)=LEFT($E1453,11),_xlfn.NUMBERVALUE(RIGHT($E1453:$E3451,2)))),TRUE)</f>
        <v>1</v>
      </c>
      <c r="G1453" s="336"/>
      <c r="H1453" s="336"/>
      <c r="I1453" s="336"/>
      <c r="J1453" s="336"/>
      <c r="K1453" s="336"/>
      <c r="L1453" s="336"/>
      <c r="M1453" s="336"/>
      <c r="N1453" s="336"/>
      <c r="O1453" s="336"/>
      <c r="P1453" s="336"/>
      <c r="Q1453" s="336"/>
      <c r="R1453" s="336"/>
      <c r="S1453" s="336"/>
      <c r="T1453" s="336"/>
    </row>
    <row r="1454" spans="1:20" x14ac:dyDescent="0.25">
      <c r="A1454" s="336"/>
      <c r="B1454" s="336"/>
      <c r="C1454" s="336"/>
      <c r="D1454" s="336"/>
      <c r="E1454" s="336"/>
      <c r="F1454" s="104" t="b">
        <f t="array" ref="F1454">IF(_xlfn.NUMBERVALUE(RIGHT($E1454,2))=MAX(IF(LEFT($E1454:$E3452,11)=LEFT($E1454,11),_xlfn.NUMBERVALUE(RIGHT($E1454:$E3452,2)))),TRUE)</f>
        <v>1</v>
      </c>
      <c r="G1454" s="336"/>
      <c r="H1454" s="336"/>
      <c r="I1454" s="336"/>
      <c r="J1454" s="336"/>
      <c r="K1454" s="336"/>
      <c r="L1454" s="336"/>
      <c r="M1454" s="336"/>
      <c r="N1454" s="336"/>
      <c r="O1454" s="336"/>
      <c r="P1454" s="336"/>
      <c r="Q1454" s="336"/>
      <c r="R1454" s="336"/>
      <c r="S1454" s="336"/>
      <c r="T1454" s="336"/>
    </row>
    <row r="1455" spans="1:20" x14ac:dyDescent="0.25">
      <c r="A1455" s="336"/>
      <c r="B1455" s="336"/>
      <c r="C1455" s="336"/>
      <c r="D1455" s="336"/>
      <c r="E1455" s="336"/>
      <c r="F1455" s="104" t="b">
        <f t="array" ref="F1455">IF(_xlfn.NUMBERVALUE(RIGHT($E1455,2))=MAX(IF(LEFT($E1455:$E3453,11)=LEFT($E1455,11),_xlfn.NUMBERVALUE(RIGHT($E1455:$E3453,2)))),TRUE)</f>
        <v>1</v>
      </c>
      <c r="G1455" s="336"/>
      <c r="H1455" s="336"/>
      <c r="I1455" s="336"/>
      <c r="J1455" s="336"/>
      <c r="K1455" s="336"/>
      <c r="L1455" s="336"/>
      <c r="M1455" s="336"/>
      <c r="N1455" s="336"/>
      <c r="O1455" s="336"/>
      <c r="P1455" s="336"/>
      <c r="Q1455" s="336"/>
      <c r="R1455" s="336"/>
      <c r="S1455" s="336"/>
      <c r="T1455" s="336"/>
    </row>
    <row r="1456" spans="1:20" x14ac:dyDescent="0.25">
      <c r="A1456" s="336"/>
      <c r="B1456" s="336"/>
      <c r="C1456" s="336"/>
      <c r="D1456" s="336"/>
      <c r="E1456" s="336"/>
      <c r="F1456" s="104" t="b">
        <f t="array" ref="F1456">IF(_xlfn.NUMBERVALUE(RIGHT($E1456,2))=MAX(IF(LEFT($E1456:$E3454,11)=LEFT($E1456,11),_xlfn.NUMBERVALUE(RIGHT($E1456:$E3454,2)))),TRUE)</f>
        <v>1</v>
      </c>
      <c r="G1456" s="336"/>
      <c r="H1456" s="336"/>
      <c r="I1456" s="336"/>
      <c r="J1456" s="336"/>
      <c r="K1456" s="336"/>
      <c r="L1456" s="336"/>
      <c r="M1456" s="336"/>
      <c r="N1456" s="336"/>
      <c r="O1456" s="336"/>
      <c r="P1456" s="336"/>
      <c r="Q1456" s="336"/>
      <c r="R1456" s="336"/>
      <c r="S1456" s="336"/>
      <c r="T1456" s="336"/>
    </row>
    <row r="1457" spans="1:20" x14ac:dyDescent="0.25">
      <c r="A1457" s="336"/>
      <c r="B1457" s="336"/>
      <c r="C1457" s="336"/>
      <c r="D1457" s="336"/>
      <c r="E1457" s="336"/>
      <c r="F1457" s="104" t="b">
        <f t="array" ref="F1457">IF(_xlfn.NUMBERVALUE(RIGHT($E1457,2))=MAX(IF(LEFT($E1457:$E3455,11)=LEFT($E1457,11),_xlfn.NUMBERVALUE(RIGHT($E1457:$E3455,2)))),TRUE)</f>
        <v>1</v>
      </c>
      <c r="G1457" s="336"/>
      <c r="H1457" s="336"/>
      <c r="I1457" s="336"/>
      <c r="J1457" s="336"/>
      <c r="K1457" s="336"/>
      <c r="L1457" s="336"/>
      <c r="M1457" s="336"/>
      <c r="N1457" s="336"/>
      <c r="O1457" s="336"/>
      <c r="P1457" s="336"/>
      <c r="Q1457" s="336"/>
      <c r="R1457" s="336"/>
      <c r="S1457" s="336"/>
      <c r="T1457" s="336"/>
    </row>
    <row r="1458" spans="1:20" x14ac:dyDescent="0.25">
      <c r="A1458" s="336"/>
      <c r="B1458" s="336"/>
      <c r="C1458" s="336"/>
      <c r="D1458" s="336"/>
      <c r="E1458" s="336"/>
      <c r="F1458" s="104" t="b">
        <f t="array" ref="F1458">IF(_xlfn.NUMBERVALUE(RIGHT($E1458,2))=MAX(IF(LEFT($E1458:$E3456,11)=LEFT($E1458,11),_xlfn.NUMBERVALUE(RIGHT($E1458:$E3456,2)))),TRUE)</f>
        <v>1</v>
      </c>
      <c r="G1458" s="336"/>
      <c r="H1458" s="336"/>
      <c r="I1458" s="336"/>
      <c r="J1458" s="336"/>
      <c r="K1458" s="336"/>
      <c r="L1458" s="336"/>
      <c r="M1458" s="336"/>
      <c r="N1458" s="336"/>
      <c r="O1458" s="336"/>
      <c r="P1458" s="336"/>
      <c r="Q1458" s="336"/>
      <c r="R1458" s="336"/>
      <c r="S1458" s="336"/>
      <c r="T1458" s="336"/>
    </row>
    <row r="1459" spans="1:20" x14ac:dyDescent="0.25">
      <c r="A1459" s="336"/>
      <c r="B1459" s="336"/>
      <c r="C1459" s="336"/>
      <c r="D1459" s="336"/>
      <c r="E1459" s="336"/>
      <c r="F1459" s="104" t="b">
        <f t="array" ref="F1459">IF(_xlfn.NUMBERVALUE(RIGHT($E1459,2))=MAX(IF(LEFT($E1459:$E3457,11)=LEFT($E1459,11),_xlfn.NUMBERVALUE(RIGHT($E1459:$E3457,2)))),TRUE)</f>
        <v>1</v>
      </c>
      <c r="G1459" s="336"/>
      <c r="H1459" s="336"/>
      <c r="I1459" s="336"/>
      <c r="J1459" s="336"/>
      <c r="K1459" s="336"/>
      <c r="L1459" s="336"/>
      <c r="M1459" s="336"/>
      <c r="N1459" s="336"/>
      <c r="O1459" s="336"/>
      <c r="P1459" s="336"/>
      <c r="Q1459" s="336"/>
      <c r="R1459" s="336"/>
      <c r="S1459" s="336"/>
      <c r="T1459" s="336"/>
    </row>
    <row r="1460" spans="1:20" x14ac:dyDescent="0.25">
      <c r="A1460" s="336"/>
      <c r="B1460" s="336"/>
      <c r="C1460" s="336"/>
      <c r="D1460" s="336"/>
      <c r="E1460" s="336"/>
      <c r="F1460" s="104" t="b">
        <f t="array" ref="F1460">IF(_xlfn.NUMBERVALUE(RIGHT($E1460,2))=MAX(IF(LEFT($E1460:$E3458,11)=LEFT($E1460,11),_xlfn.NUMBERVALUE(RIGHT($E1460:$E3458,2)))),TRUE)</f>
        <v>1</v>
      </c>
      <c r="G1460" s="336"/>
      <c r="H1460" s="336"/>
      <c r="I1460" s="336"/>
      <c r="J1460" s="336"/>
      <c r="K1460" s="336"/>
      <c r="L1460" s="336"/>
      <c r="M1460" s="336"/>
      <c r="N1460" s="336"/>
      <c r="O1460" s="336"/>
      <c r="P1460" s="336"/>
      <c r="Q1460" s="336"/>
      <c r="R1460" s="336"/>
      <c r="S1460" s="336"/>
      <c r="T1460" s="336"/>
    </row>
    <row r="1461" spans="1:20" x14ac:dyDescent="0.25">
      <c r="A1461" s="336"/>
      <c r="B1461" s="336"/>
      <c r="C1461" s="336"/>
      <c r="D1461" s="336"/>
      <c r="E1461" s="336"/>
      <c r="F1461" s="104" t="b">
        <f t="array" ref="F1461">IF(_xlfn.NUMBERVALUE(RIGHT($E1461,2))=MAX(IF(LEFT($E1461:$E3459,11)=LEFT($E1461,11),_xlfn.NUMBERVALUE(RIGHT($E1461:$E3459,2)))),TRUE)</f>
        <v>1</v>
      </c>
      <c r="G1461" s="336"/>
      <c r="H1461" s="336"/>
      <c r="I1461" s="336"/>
      <c r="J1461" s="336"/>
      <c r="K1461" s="336"/>
      <c r="L1461" s="336"/>
      <c r="M1461" s="336"/>
      <c r="N1461" s="336"/>
      <c r="O1461" s="336"/>
      <c r="P1461" s="336"/>
      <c r="Q1461" s="336"/>
      <c r="R1461" s="336"/>
      <c r="S1461" s="336"/>
      <c r="T1461" s="336"/>
    </row>
    <row r="1462" spans="1:20" x14ac:dyDescent="0.25">
      <c r="A1462" s="336"/>
      <c r="B1462" s="336"/>
      <c r="C1462" s="336"/>
      <c r="D1462" s="336"/>
      <c r="E1462" s="336"/>
      <c r="F1462" s="104" t="b">
        <f t="array" ref="F1462">IF(_xlfn.NUMBERVALUE(RIGHT($E1462,2))=MAX(IF(LEFT($E1462:$E3460,11)=LEFT($E1462,11),_xlfn.NUMBERVALUE(RIGHT($E1462:$E3460,2)))),TRUE)</f>
        <v>1</v>
      </c>
      <c r="G1462" s="336"/>
      <c r="H1462" s="336"/>
      <c r="I1462" s="336"/>
      <c r="J1462" s="336"/>
      <c r="K1462" s="336"/>
      <c r="L1462" s="336"/>
      <c r="M1462" s="336"/>
      <c r="N1462" s="336"/>
      <c r="O1462" s="336"/>
      <c r="P1462" s="336"/>
      <c r="Q1462" s="336"/>
      <c r="R1462" s="336"/>
      <c r="S1462" s="336"/>
      <c r="T1462" s="336"/>
    </row>
    <row r="1463" spans="1:20" x14ac:dyDescent="0.25">
      <c r="A1463" s="336"/>
      <c r="B1463" s="336"/>
      <c r="C1463" s="336"/>
      <c r="D1463" s="336"/>
      <c r="E1463" s="336"/>
      <c r="F1463" s="104" t="b">
        <f t="array" ref="F1463">IF(_xlfn.NUMBERVALUE(RIGHT($E1463,2))=MAX(IF(LEFT($E1463:$E3461,11)=LEFT($E1463,11),_xlfn.NUMBERVALUE(RIGHT($E1463:$E3461,2)))),TRUE)</f>
        <v>1</v>
      </c>
      <c r="G1463" s="336"/>
      <c r="H1463" s="336"/>
      <c r="I1463" s="336"/>
      <c r="J1463" s="336"/>
      <c r="K1463" s="336"/>
      <c r="L1463" s="336"/>
      <c r="M1463" s="336"/>
      <c r="N1463" s="336"/>
      <c r="O1463" s="336"/>
      <c r="P1463" s="336"/>
      <c r="Q1463" s="336"/>
      <c r="R1463" s="336"/>
      <c r="S1463" s="336"/>
      <c r="T1463" s="336"/>
    </row>
    <row r="1464" spans="1:20" x14ac:dyDescent="0.25">
      <c r="A1464" s="336"/>
      <c r="B1464" s="336"/>
      <c r="C1464" s="336"/>
      <c r="D1464" s="336"/>
      <c r="E1464" s="336"/>
      <c r="F1464" s="104" t="b">
        <f t="array" ref="F1464">IF(_xlfn.NUMBERVALUE(RIGHT($E1464,2))=MAX(IF(LEFT($E1464:$E3462,11)=LEFT($E1464,11),_xlfn.NUMBERVALUE(RIGHT($E1464:$E3462,2)))),TRUE)</f>
        <v>1</v>
      </c>
      <c r="G1464" s="336"/>
      <c r="H1464" s="336"/>
      <c r="I1464" s="336"/>
      <c r="J1464" s="336"/>
      <c r="K1464" s="336"/>
      <c r="L1464" s="336"/>
      <c r="M1464" s="336"/>
      <c r="N1464" s="336"/>
      <c r="O1464" s="336"/>
      <c r="P1464" s="336"/>
      <c r="Q1464" s="336"/>
      <c r="R1464" s="336"/>
      <c r="S1464" s="336"/>
      <c r="T1464" s="336"/>
    </row>
    <row r="1465" spans="1:20" x14ac:dyDescent="0.25">
      <c r="A1465" s="336"/>
      <c r="B1465" s="336"/>
      <c r="C1465" s="336"/>
      <c r="D1465" s="336"/>
      <c r="E1465" s="336"/>
      <c r="F1465" s="104" t="b">
        <f t="array" ref="F1465">IF(_xlfn.NUMBERVALUE(RIGHT($E1465,2))=MAX(IF(LEFT($E1465:$E3463,11)=LEFT($E1465,11),_xlfn.NUMBERVALUE(RIGHT($E1465:$E3463,2)))),TRUE)</f>
        <v>1</v>
      </c>
      <c r="G1465" s="336"/>
      <c r="H1465" s="336"/>
      <c r="I1465" s="336"/>
      <c r="J1465" s="336"/>
      <c r="K1465" s="336"/>
      <c r="L1465" s="336"/>
      <c r="M1465" s="336"/>
      <c r="N1465" s="336"/>
      <c r="O1465" s="336"/>
      <c r="P1465" s="336"/>
      <c r="Q1465" s="336"/>
      <c r="R1465" s="336"/>
      <c r="S1465" s="336"/>
      <c r="T1465" s="336"/>
    </row>
    <row r="1466" spans="1:20" x14ac:dyDescent="0.25">
      <c r="A1466" s="336"/>
      <c r="B1466" s="336"/>
      <c r="C1466" s="336"/>
      <c r="D1466" s="336"/>
      <c r="E1466" s="336"/>
      <c r="F1466" s="104" t="b">
        <f t="array" ref="F1466">IF(_xlfn.NUMBERVALUE(RIGHT($E1466,2))=MAX(IF(LEFT($E1466:$E3464,11)=LEFT($E1466,11),_xlfn.NUMBERVALUE(RIGHT($E1466:$E3464,2)))),TRUE)</f>
        <v>1</v>
      </c>
      <c r="G1466" s="336"/>
      <c r="H1466" s="336"/>
      <c r="I1466" s="336"/>
      <c r="J1466" s="336"/>
      <c r="K1466" s="336"/>
      <c r="L1466" s="336"/>
      <c r="M1466" s="336"/>
      <c r="N1466" s="336"/>
      <c r="O1466" s="336"/>
      <c r="P1466" s="336"/>
      <c r="Q1466" s="336"/>
      <c r="R1466" s="336"/>
      <c r="S1466" s="336"/>
      <c r="T1466" s="336"/>
    </row>
    <row r="1467" spans="1:20" x14ac:dyDescent="0.25">
      <c r="A1467" s="336"/>
      <c r="B1467" s="336"/>
      <c r="C1467" s="336"/>
      <c r="D1467" s="336"/>
      <c r="E1467" s="336"/>
      <c r="F1467" s="104" t="b">
        <f t="array" ref="F1467">IF(_xlfn.NUMBERVALUE(RIGHT($E1467,2))=MAX(IF(LEFT($E1467:$E3465,11)=LEFT($E1467,11),_xlfn.NUMBERVALUE(RIGHT($E1467:$E3465,2)))),TRUE)</f>
        <v>1</v>
      </c>
      <c r="G1467" s="336"/>
      <c r="H1467" s="336"/>
      <c r="I1467" s="336"/>
      <c r="J1467" s="336"/>
      <c r="K1467" s="336"/>
      <c r="L1467" s="336"/>
      <c r="M1467" s="336"/>
      <c r="N1467" s="336"/>
      <c r="O1467" s="336"/>
      <c r="P1467" s="336"/>
      <c r="Q1467" s="336"/>
      <c r="R1467" s="336"/>
      <c r="S1467" s="336"/>
      <c r="T1467" s="336"/>
    </row>
    <row r="1468" spans="1:20" x14ac:dyDescent="0.25">
      <c r="A1468" s="336"/>
      <c r="B1468" s="336"/>
      <c r="C1468" s="336"/>
      <c r="D1468" s="336"/>
      <c r="E1468" s="336"/>
      <c r="F1468" s="104" t="b">
        <f t="array" ref="F1468">IF(_xlfn.NUMBERVALUE(RIGHT($E1468,2))=MAX(IF(LEFT($E1468:$E3466,11)=LEFT($E1468,11),_xlfn.NUMBERVALUE(RIGHT($E1468:$E3466,2)))),TRUE)</f>
        <v>1</v>
      </c>
      <c r="G1468" s="336"/>
      <c r="H1468" s="336"/>
      <c r="I1468" s="336"/>
      <c r="J1468" s="336"/>
      <c r="K1468" s="336"/>
      <c r="L1468" s="336"/>
      <c r="M1468" s="336"/>
      <c r="N1468" s="336"/>
      <c r="O1468" s="336"/>
      <c r="P1468" s="336"/>
      <c r="Q1468" s="336"/>
      <c r="R1468" s="336"/>
      <c r="S1468" s="336"/>
      <c r="T1468" s="336"/>
    </row>
    <row r="1469" spans="1:20" x14ac:dyDescent="0.25">
      <c r="A1469" s="336"/>
      <c r="B1469" s="336"/>
      <c r="C1469" s="336"/>
      <c r="D1469" s="336"/>
      <c r="E1469" s="336"/>
      <c r="F1469" s="104" t="b">
        <f t="array" ref="F1469">IF(_xlfn.NUMBERVALUE(RIGHT($E1469,2))=MAX(IF(LEFT($E1469:$E3467,11)=LEFT($E1469,11),_xlfn.NUMBERVALUE(RIGHT($E1469:$E3467,2)))),TRUE)</f>
        <v>1</v>
      </c>
      <c r="G1469" s="336"/>
      <c r="H1469" s="336"/>
      <c r="I1469" s="336"/>
      <c r="J1469" s="336"/>
      <c r="K1469" s="336"/>
      <c r="L1469" s="336"/>
      <c r="M1469" s="336"/>
      <c r="N1469" s="336"/>
      <c r="O1469" s="336"/>
      <c r="P1469" s="336"/>
      <c r="Q1469" s="336"/>
      <c r="R1469" s="336"/>
      <c r="S1469" s="336"/>
      <c r="T1469" s="336"/>
    </row>
    <row r="1470" spans="1:20" x14ac:dyDescent="0.25">
      <c r="A1470" s="336"/>
      <c r="B1470" s="336"/>
      <c r="C1470" s="336"/>
      <c r="D1470" s="336"/>
      <c r="E1470" s="336"/>
      <c r="F1470" s="104" t="b">
        <f t="array" ref="F1470">IF(_xlfn.NUMBERVALUE(RIGHT($E1470,2))=MAX(IF(LEFT($E1470:$E3468,11)=LEFT($E1470,11),_xlfn.NUMBERVALUE(RIGHT($E1470:$E3468,2)))),TRUE)</f>
        <v>1</v>
      </c>
      <c r="G1470" s="336"/>
      <c r="H1470" s="336"/>
      <c r="I1470" s="336"/>
      <c r="J1470" s="336"/>
      <c r="K1470" s="336"/>
      <c r="L1470" s="336"/>
      <c r="M1470" s="336"/>
      <c r="N1470" s="336"/>
      <c r="O1470" s="336"/>
      <c r="P1470" s="336"/>
      <c r="Q1470" s="336"/>
      <c r="R1470" s="336"/>
      <c r="S1470" s="336"/>
      <c r="T1470" s="336"/>
    </row>
    <row r="1471" spans="1:20" x14ac:dyDescent="0.25">
      <c r="A1471" s="336"/>
      <c r="B1471" s="336"/>
      <c r="C1471" s="336"/>
      <c r="D1471" s="336"/>
      <c r="E1471" s="336"/>
      <c r="F1471" s="104" t="b">
        <f t="array" ref="F1471">IF(_xlfn.NUMBERVALUE(RIGHT($E1471,2))=MAX(IF(LEFT($E1471:$E3469,11)=LEFT($E1471,11),_xlfn.NUMBERVALUE(RIGHT($E1471:$E3469,2)))),TRUE)</f>
        <v>1</v>
      </c>
      <c r="G1471" s="336"/>
      <c r="H1471" s="336"/>
      <c r="I1471" s="336"/>
      <c r="J1471" s="336"/>
      <c r="K1471" s="336"/>
      <c r="L1471" s="336"/>
      <c r="M1471" s="336"/>
      <c r="N1471" s="336"/>
      <c r="O1471" s="336"/>
      <c r="P1471" s="336"/>
      <c r="Q1471" s="336"/>
      <c r="R1471" s="336"/>
      <c r="S1471" s="336"/>
      <c r="T1471" s="336"/>
    </row>
    <row r="1472" spans="1:20" x14ac:dyDescent="0.25">
      <c r="A1472" s="336"/>
      <c r="B1472" s="336"/>
      <c r="C1472" s="336"/>
      <c r="D1472" s="336"/>
      <c r="E1472" s="336"/>
      <c r="F1472" s="104" t="b">
        <f t="array" ref="F1472">IF(_xlfn.NUMBERVALUE(RIGHT($E1472,2))=MAX(IF(LEFT($E1472:$E3470,11)=LEFT($E1472,11),_xlfn.NUMBERVALUE(RIGHT($E1472:$E3470,2)))),TRUE)</f>
        <v>1</v>
      </c>
      <c r="G1472" s="336"/>
      <c r="H1472" s="336"/>
      <c r="I1472" s="336"/>
      <c r="J1472" s="336"/>
      <c r="K1472" s="336"/>
      <c r="L1472" s="336"/>
      <c r="M1472" s="336"/>
      <c r="N1472" s="336"/>
      <c r="O1472" s="336"/>
      <c r="P1472" s="336"/>
      <c r="Q1472" s="336"/>
      <c r="R1472" s="336"/>
      <c r="S1472" s="336"/>
      <c r="T1472" s="336"/>
    </row>
    <row r="1473" spans="1:20" x14ac:dyDescent="0.25">
      <c r="A1473" s="336"/>
      <c r="B1473" s="336"/>
      <c r="C1473" s="336"/>
      <c r="D1473" s="336"/>
      <c r="E1473" s="336"/>
      <c r="F1473" s="104" t="b">
        <f t="array" ref="F1473">IF(_xlfn.NUMBERVALUE(RIGHT($E1473,2))=MAX(IF(LEFT($E1473:$E3471,11)=LEFT($E1473,11),_xlfn.NUMBERVALUE(RIGHT($E1473:$E3471,2)))),TRUE)</f>
        <v>1</v>
      </c>
      <c r="G1473" s="336"/>
      <c r="H1473" s="336"/>
      <c r="I1473" s="336"/>
      <c r="J1473" s="336"/>
      <c r="K1473" s="336"/>
      <c r="L1473" s="336"/>
      <c r="M1473" s="336"/>
      <c r="N1473" s="336"/>
      <c r="O1473" s="336"/>
      <c r="P1473" s="336"/>
      <c r="Q1473" s="336"/>
      <c r="R1473" s="336"/>
      <c r="S1473" s="336"/>
      <c r="T1473" s="336"/>
    </row>
    <row r="1474" spans="1:20" x14ac:dyDescent="0.25">
      <c r="A1474" s="336"/>
      <c r="B1474" s="336"/>
      <c r="C1474" s="336"/>
      <c r="D1474" s="336"/>
      <c r="E1474" s="336"/>
      <c r="F1474" s="104" t="b">
        <f t="array" ref="F1474">IF(_xlfn.NUMBERVALUE(RIGHT($E1474,2))=MAX(IF(LEFT($E1474:$E3472,11)=LEFT($E1474,11),_xlfn.NUMBERVALUE(RIGHT($E1474:$E3472,2)))),TRUE)</f>
        <v>1</v>
      </c>
      <c r="G1474" s="336"/>
      <c r="H1474" s="336"/>
      <c r="I1474" s="336"/>
      <c r="J1474" s="336"/>
      <c r="K1474" s="336"/>
      <c r="L1474" s="336"/>
      <c r="M1474" s="336"/>
      <c r="N1474" s="336"/>
      <c r="O1474" s="336"/>
      <c r="P1474" s="336"/>
      <c r="Q1474" s="336"/>
      <c r="R1474" s="336"/>
      <c r="S1474" s="336"/>
      <c r="T1474" s="336"/>
    </row>
    <row r="1475" spans="1:20" x14ac:dyDescent="0.25">
      <c r="A1475" s="336"/>
      <c r="B1475" s="336"/>
      <c r="C1475" s="336"/>
      <c r="D1475" s="336"/>
      <c r="E1475" s="336"/>
      <c r="F1475" s="104" t="b">
        <f t="array" ref="F1475">IF(_xlfn.NUMBERVALUE(RIGHT($E1475,2))=MAX(IF(LEFT($E1475:$E3473,11)=LEFT($E1475,11),_xlfn.NUMBERVALUE(RIGHT($E1475:$E3473,2)))),TRUE)</f>
        <v>1</v>
      </c>
      <c r="G1475" s="336"/>
      <c r="H1475" s="336"/>
      <c r="I1475" s="336"/>
      <c r="J1475" s="336"/>
      <c r="K1475" s="336"/>
      <c r="L1475" s="336"/>
      <c r="M1475" s="336"/>
      <c r="N1475" s="336"/>
      <c r="O1475" s="336"/>
      <c r="P1475" s="336"/>
      <c r="Q1475" s="336"/>
      <c r="R1475" s="336"/>
      <c r="S1475" s="336"/>
      <c r="T1475" s="336"/>
    </row>
    <row r="1476" spans="1:20" x14ac:dyDescent="0.25">
      <c r="A1476" s="336"/>
      <c r="B1476" s="336"/>
      <c r="C1476" s="336"/>
      <c r="D1476" s="336"/>
      <c r="E1476" s="336"/>
      <c r="F1476" s="104" t="b">
        <f t="array" ref="F1476">IF(_xlfn.NUMBERVALUE(RIGHT($E1476,2))=MAX(IF(LEFT($E1476:$E3474,11)=LEFT($E1476,11),_xlfn.NUMBERVALUE(RIGHT($E1476:$E3474,2)))),TRUE)</f>
        <v>1</v>
      </c>
      <c r="G1476" s="336"/>
      <c r="H1476" s="336"/>
      <c r="I1476" s="336"/>
      <c r="J1476" s="336"/>
      <c r="K1476" s="336"/>
      <c r="L1476" s="336"/>
      <c r="M1476" s="336"/>
      <c r="N1476" s="336"/>
      <c r="O1476" s="336"/>
      <c r="P1476" s="336"/>
      <c r="Q1476" s="336"/>
      <c r="R1476" s="336"/>
      <c r="S1476" s="336"/>
      <c r="T1476" s="336"/>
    </row>
    <row r="1477" spans="1:20" x14ac:dyDescent="0.25">
      <c r="A1477" s="336"/>
      <c r="B1477" s="336"/>
      <c r="C1477" s="336"/>
      <c r="D1477" s="336"/>
      <c r="E1477" s="336"/>
      <c r="F1477" s="104" t="b">
        <f t="array" ref="F1477">IF(_xlfn.NUMBERVALUE(RIGHT($E1477,2))=MAX(IF(LEFT($E1477:$E3475,11)=LEFT($E1477,11),_xlfn.NUMBERVALUE(RIGHT($E1477:$E3475,2)))),TRUE)</f>
        <v>1</v>
      </c>
      <c r="G1477" s="336"/>
      <c r="H1477" s="336"/>
      <c r="I1477" s="336"/>
      <c r="J1477" s="336"/>
      <c r="K1477" s="336"/>
      <c r="L1477" s="336"/>
      <c r="M1477" s="336"/>
      <c r="N1477" s="336"/>
      <c r="O1477" s="336"/>
      <c r="P1477" s="336"/>
      <c r="Q1477" s="336"/>
      <c r="R1477" s="336"/>
      <c r="S1477" s="336"/>
      <c r="T1477" s="336"/>
    </row>
    <row r="1478" spans="1:20" x14ac:dyDescent="0.25">
      <c r="A1478" s="336"/>
      <c r="B1478" s="336"/>
      <c r="C1478" s="336"/>
      <c r="D1478" s="336"/>
      <c r="E1478" s="336"/>
      <c r="F1478" s="104" t="b">
        <f t="array" ref="F1478">IF(_xlfn.NUMBERVALUE(RIGHT($E1478,2))=MAX(IF(LEFT($E1478:$E3476,11)=LEFT($E1478,11),_xlfn.NUMBERVALUE(RIGHT($E1478:$E3476,2)))),TRUE)</f>
        <v>1</v>
      </c>
      <c r="G1478" s="336"/>
      <c r="H1478" s="336"/>
      <c r="I1478" s="336"/>
      <c r="J1478" s="336"/>
      <c r="K1478" s="336"/>
      <c r="L1478" s="336"/>
      <c r="M1478" s="336"/>
      <c r="N1478" s="336"/>
      <c r="O1478" s="336"/>
      <c r="P1478" s="336"/>
      <c r="Q1478" s="336"/>
      <c r="R1478" s="336"/>
      <c r="S1478" s="336"/>
      <c r="T1478" s="336"/>
    </row>
    <row r="1479" spans="1:20" x14ac:dyDescent="0.25">
      <c r="A1479" s="336"/>
      <c r="B1479" s="336"/>
      <c r="C1479" s="336"/>
      <c r="D1479" s="336"/>
      <c r="E1479" s="336"/>
      <c r="F1479" s="104" t="b">
        <f t="array" ref="F1479">IF(_xlfn.NUMBERVALUE(RIGHT($E1479,2))=MAX(IF(LEFT($E1479:$E3477,11)=LEFT($E1479,11),_xlfn.NUMBERVALUE(RIGHT($E1479:$E3477,2)))),TRUE)</f>
        <v>1</v>
      </c>
      <c r="G1479" s="336"/>
      <c r="H1479" s="336"/>
      <c r="I1479" s="336"/>
      <c r="J1479" s="336"/>
      <c r="K1479" s="336"/>
      <c r="L1479" s="336"/>
      <c r="M1479" s="336"/>
      <c r="N1479" s="336"/>
      <c r="O1479" s="336"/>
      <c r="P1479" s="336"/>
      <c r="Q1479" s="336"/>
      <c r="R1479" s="336"/>
      <c r="S1479" s="336"/>
      <c r="T1479" s="336"/>
    </row>
    <row r="1480" spans="1:20" x14ac:dyDescent="0.25">
      <c r="A1480" s="336"/>
      <c r="B1480" s="336"/>
      <c r="C1480" s="336"/>
      <c r="D1480" s="336"/>
      <c r="E1480" s="336"/>
      <c r="F1480" s="104" t="b">
        <f t="array" ref="F1480">IF(_xlfn.NUMBERVALUE(RIGHT($E1480,2))=MAX(IF(LEFT($E1480:$E3478,11)=LEFT($E1480,11),_xlfn.NUMBERVALUE(RIGHT($E1480:$E3478,2)))),TRUE)</f>
        <v>1</v>
      </c>
      <c r="G1480" s="336"/>
      <c r="H1480" s="336"/>
      <c r="I1480" s="336"/>
      <c r="J1480" s="336"/>
      <c r="K1480" s="336"/>
      <c r="L1480" s="336"/>
      <c r="M1480" s="336"/>
      <c r="N1480" s="336"/>
      <c r="O1480" s="336"/>
      <c r="P1480" s="336"/>
      <c r="Q1480" s="336"/>
      <c r="R1480" s="336"/>
      <c r="S1480" s="336"/>
      <c r="T1480" s="336"/>
    </row>
    <row r="1481" spans="1:20" x14ac:dyDescent="0.25">
      <c r="A1481" s="336"/>
      <c r="B1481" s="336"/>
      <c r="C1481" s="336"/>
      <c r="D1481" s="336"/>
      <c r="E1481" s="336"/>
      <c r="F1481" s="104" t="b">
        <f t="array" ref="F1481">IF(_xlfn.NUMBERVALUE(RIGHT($E1481,2))=MAX(IF(LEFT($E1481:$E3479,11)=LEFT($E1481,11),_xlfn.NUMBERVALUE(RIGHT($E1481:$E3479,2)))),TRUE)</f>
        <v>1</v>
      </c>
      <c r="G1481" s="336"/>
      <c r="H1481" s="336"/>
      <c r="I1481" s="336"/>
      <c r="J1481" s="336"/>
      <c r="K1481" s="336"/>
      <c r="L1481" s="336"/>
      <c r="M1481" s="336"/>
      <c r="N1481" s="336"/>
      <c r="O1481" s="336"/>
      <c r="P1481" s="336"/>
      <c r="Q1481" s="336"/>
      <c r="R1481" s="336"/>
      <c r="S1481" s="336"/>
      <c r="T1481" s="336"/>
    </row>
    <row r="1482" spans="1:20" x14ac:dyDescent="0.25">
      <c r="A1482" s="336"/>
      <c r="B1482" s="336"/>
      <c r="C1482" s="336"/>
      <c r="D1482" s="336"/>
      <c r="E1482" s="336"/>
      <c r="F1482" s="104" t="b">
        <f t="array" ref="F1482">IF(_xlfn.NUMBERVALUE(RIGHT($E1482,2))=MAX(IF(LEFT($E1482:$E3480,11)=LEFT($E1482,11),_xlfn.NUMBERVALUE(RIGHT($E1482:$E3480,2)))),TRUE)</f>
        <v>1</v>
      </c>
      <c r="G1482" s="336"/>
      <c r="H1482" s="336"/>
      <c r="I1482" s="336"/>
      <c r="J1482" s="336"/>
      <c r="K1482" s="336"/>
      <c r="L1482" s="336"/>
      <c r="M1482" s="336"/>
      <c r="N1482" s="336"/>
      <c r="O1482" s="336"/>
      <c r="P1482" s="336"/>
      <c r="Q1482" s="336"/>
      <c r="R1482" s="336"/>
      <c r="S1482" s="336"/>
      <c r="T1482" s="336"/>
    </row>
    <row r="1483" spans="1:20" x14ac:dyDescent="0.25">
      <c r="A1483" s="336"/>
      <c r="B1483" s="336"/>
      <c r="C1483" s="336"/>
      <c r="D1483" s="336"/>
      <c r="E1483" s="336"/>
      <c r="F1483" s="104" t="b">
        <f t="array" ref="F1483">IF(_xlfn.NUMBERVALUE(RIGHT($E1483,2))=MAX(IF(LEFT($E1483:$E3481,11)=LEFT($E1483,11),_xlfn.NUMBERVALUE(RIGHT($E1483:$E3481,2)))),TRUE)</f>
        <v>1</v>
      </c>
      <c r="G1483" s="336"/>
      <c r="H1483" s="336"/>
      <c r="I1483" s="336"/>
      <c r="J1483" s="336"/>
      <c r="K1483" s="336"/>
      <c r="L1483" s="336"/>
      <c r="M1483" s="336"/>
      <c r="N1483" s="336"/>
      <c r="O1483" s="336"/>
      <c r="P1483" s="336"/>
      <c r="Q1483" s="336"/>
      <c r="R1483" s="336"/>
      <c r="S1483" s="336"/>
      <c r="T1483" s="336"/>
    </row>
    <row r="1484" spans="1:20" x14ac:dyDescent="0.25">
      <c r="A1484" s="336"/>
      <c r="B1484" s="336"/>
      <c r="C1484" s="336"/>
      <c r="D1484" s="336"/>
      <c r="E1484" s="336"/>
      <c r="F1484" s="104" t="b">
        <f t="array" ref="F1484">IF(_xlfn.NUMBERVALUE(RIGHT($E1484,2))=MAX(IF(LEFT($E1484:$E3482,11)=LEFT($E1484,11),_xlfn.NUMBERVALUE(RIGHT($E1484:$E3482,2)))),TRUE)</f>
        <v>1</v>
      </c>
      <c r="G1484" s="336"/>
      <c r="H1484" s="336"/>
      <c r="I1484" s="336"/>
      <c r="J1484" s="336"/>
      <c r="K1484" s="336"/>
      <c r="L1484" s="336"/>
      <c r="M1484" s="336"/>
      <c r="N1484" s="336"/>
      <c r="O1484" s="336"/>
      <c r="P1484" s="336"/>
      <c r="Q1484" s="336"/>
      <c r="R1484" s="336"/>
      <c r="S1484" s="336"/>
      <c r="T1484" s="336"/>
    </row>
    <row r="1485" spans="1:20" x14ac:dyDescent="0.25">
      <c r="A1485" s="336"/>
      <c r="B1485" s="336"/>
      <c r="C1485" s="336"/>
      <c r="D1485" s="336"/>
      <c r="E1485" s="336"/>
      <c r="F1485" s="104" t="b">
        <f t="array" ref="F1485">IF(_xlfn.NUMBERVALUE(RIGHT($E1485,2))=MAX(IF(LEFT($E1485:$E3483,11)=LEFT($E1485,11),_xlfn.NUMBERVALUE(RIGHT($E1485:$E3483,2)))),TRUE)</f>
        <v>1</v>
      </c>
      <c r="G1485" s="336"/>
      <c r="H1485" s="336"/>
      <c r="I1485" s="336"/>
      <c r="J1485" s="336"/>
      <c r="K1485" s="336"/>
      <c r="L1485" s="336"/>
      <c r="M1485" s="336"/>
      <c r="N1485" s="336"/>
      <c r="O1485" s="336"/>
      <c r="P1485" s="336"/>
      <c r="Q1485" s="336"/>
      <c r="R1485" s="336"/>
      <c r="S1485" s="336"/>
      <c r="T1485" s="336"/>
    </row>
    <row r="1486" spans="1:20" x14ac:dyDescent="0.25">
      <c r="A1486" s="336"/>
      <c r="B1486" s="336"/>
      <c r="C1486" s="336"/>
      <c r="D1486" s="336"/>
      <c r="E1486" s="336"/>
      <c r="F1486" s="104" t="b">
        <f t="array" ref="F1486">IF(_xlfn.NUMBERVALUE(RIGHT($E1486,2))=MAX(IF(LEFT($E1486:$E3484,11)=LEFT($E1486,11),_xlfn.NUMBERVALUE(RIGHT($E1486:$E3484,2)))),TRUE)</f>
        <v>1</v>
      </c>
      <c r="G1486" s="336"/>
      <c r="H1486" s="336"/>
      <c r="I1486" s="336"/>
      <c r="J1486" s="336"/>
      <c r="K1486" s="336"/>
      <c r="L1486" s="336"/>
      <c r="M1486" s="336"/>
      <c r="N1486" s="336"/>
      <c r="O1486" s="336"/>
      <c r="P1486" s="336"/>
      <c r="Q1486" s="336"/>
      <c r="R1486" s="336"/>
      <c r="S1486" s="336"/>
      <c r="T1486" s="336"/>
    </row>
    <row r="1487" spans="1:20" x14ac:dyDescent="0.25">
      <c r="A1487" s="336"/>
      <c r="B1487" s="336"/>
      <c r="C1487" s="336"/>
      <c r="D1487" s="336"/>
      <c r="E1487" s="336"/>
      <c r="F1487" s="104" t="b">
        <f t="array" ref="F1487">IF(_xlfn.NUMBERVALUE(RIGHT($E1487,2))=MAX(IF(LEFT($E1487:$E3485,11)=LEFT($E1487,11),_xlfn.NUMBERVALUE(RIGHT($E1487:$E3485,2)))),TRUE)</f>
        <v>1</v>
      </c>
      <c r="G1487" s="336"/>
      <c r="H1487" s="336"/>
      <c r="I1487" s="336"/>
      <c r="J1487" s="336"/>
      <c r="K1487" s="336"/>
      <c r="L1487" s="336"/>
      <c r="M1487" s="336"/>
      <c r="N1487" s="336"/>
      <c r="O1487" s="336"/>
      <c r="P1487" s="336"/>
      <c r="Q1487" s="336"/>
      <c r="R1487" s="336"/>
      <c r="S1487" s="336"/>
      <c r="T1487" s="336"/>
    </row>
    <row r="1488" spans="1:20" x14ac:dyDescent="0.25">
      <c r="A1488" s="336"/>
      <c r="B1488" s="336"/>
      <c r="C1488" s="336"/>
      <c r="D1488" s="336"/>
      <c r="E1488" s="336"/>
      <c r="F1488" s="104" t="b">
        <f t="array" ref="F1488">IF(_xlfn.NUMBERVALUE(RIGHT($E1488,2))=MAX(IF(LEFT($E1488:$E3486,11)=LEFT($E1488,11),_xlfn.NUMBERVALUE(RIGHT($E1488:$E3486,2)))),TRUE)</f>
        <v>1</v>
      </c>
      <c r="G1488" s="336"/>
      <c r="H1488" s="336"/>
      <c r="I1488" s="336"/>
      <c r="J1488" s="336"/>
      <c r="K1488" s="336"/>
      <c r="L1488" s="336"/>
      <c r="M1488" s="336"/>
      <c r="N1488" s="336"/>
      <c r="O1488" s="336"/>
      <c r="P1488" s="336"/>
      <c r="Q1488" s="336"/>
      <c r="R1488" s="336"/>
      <c r="S1488" s="336"/>
      <c r="T1488" s="336"/>
    </row>
    <row r="1489" spans="1:20" x14ac:dyDescent="0.25">
      <c r="A1489" s="336"/>
      <c r="B1489" s="336"/>
      <c r="C1489" s="336"/>
      <c r="D1489" s="336"/>
      <c r="E1489" s="336"/>
      <c r="F1489" s="104" t="b">
        <f t="array" ref="F1489">IF(_xlfn.NUMBERVALUE(RIGHT($E1489,2))=MAX(IF(LEFT($E1489:$E3487,11)=LEFT($E1489,11),_xlfn.NUMBERVALUE(RIGHT($E1489:$E3487,2)))),TRUE)</f>
        <v>1</v>
      </c>
      <c r="G1489" s="336"/>
      <c r="H1489" s="336"/>
      <c r="I1489" s="336"/>
      <c r="J1489" s="336"/>
      <c r="K1489" s="336"/>
      <c r="L1489" s="336"/>
      <c r="M1489" s="336"/>
      <c r="N1489" s="336"/>
      <c r="O1489" s="336"/>
      <c r="P1489" s="336"/>
      <c r="Q1489" s="336"/>
      <c r="R1489" s="336"/>
      <c r="S1489" s="336"/>
      <c r="T1489" s="336"/>
    </row>
    <row r="1490" spans="1:20" x14ac:dyDescent="0.25">
      <c r="A1490" s="336"/>
      <c r="B1490" s="336"/>
      <c r="C1490" s="336"/>
      <c r="D1490" s="336"/>
      <c r="E1490" s="336"/>
      <c r="F1490" s="104" t="b">
        <f t="array" ref="F1490">IF(_xlfn.NUMBERVALUE(RIGHT($E1490,2))=MAX(IF(LEFT($E1490:$E3488,11)=LEFT($E1490,11),_xlfn.NUMBERVALUE(RIGHT($E1490:$E3488,2)))),TRUE)</f>
        <v>1</v>
      </c>
      <c r="G1490" s="336"/>
      <c r="H1490" s="336"/>
      <c r="I1490" s="336"/>
      <c r="J1490" s="336"/>
      <c r="K1490" s="336"/>
      <c r="L1490" s="336"/>
      <c r="M1490" s="336"/>
      <c r="N1490" s="336"/>
      <c r="O1490" s="336"/>
      <c r="P1490" s="336"/>
      <c r="Q1490" s="336"/>
      <c r="R1490" s="336"/>
      <c r="S1490" s="336"/>
      <c r="T1490" s="336"/>
    </row>
    <row r="1491" spans="1:20" x14ac:dyDescent="0.25">
      <c r="A1491" s="336"/>
      <c r="B1491" s="336"/>
      <c r="C1491" s="336"/>
      <c r="D1491" s="336"/>
      <c r="E1491" s="336"/>
      <c r="F1491" s="104" t="b">
        <f t="array" ref="F1491">IF(_xlfn.NUMBERVALUE(RIGHT($E1491,2))=MAX(IF(LEFT($E1491:$E3489,11)=LEFT($E1491,11),_xlfn.NUMBERVALUE(RIGHT($E1491:$E3489,2)))),TRUE)</f>
        <v>1</v>
      </c>
      <c r="G1491" s="336"/>
      <c r="H1491" s="336"/>
      <c r="I1491" s="336"/>
      <c r="J1491" s="336"/>
      <c r="K1491" s="336"/>
      <c r="L1491" s="336"/>
      <c r="M1491" s="336"/>
      <c r="N1491" s="336"/>
      <c r="O1491" s="336"/>
      <c r="P1491" s="336"/>
      <c r="Q1491" s="336"/>
      <c r="R1491" s="336"/>
      <c r="S1491" s="336"/>
      <c r="T1491" s="336"/>
    </row>
    <row r="1492" spans="1:20" x14ac:dyDescent="0.25">
      <c r="A1492" s="336"/>
      <c r="B1492" s="336"/>
      <c r="C1492" s="336"/>
      <c r="D1492" s="336"/>
      <c r="E1492" s="336"/>
      <c r="F1492" s="104" t="b">
        <f t="array" ref="F1492">IF(_xlfn.NUMBERVALUE(RIGHT($E1492,2))=MAX(IF(LEFT($E1492:$E3490,11)=LEFT($E1492,11),_xlfn.NUMBERVALUE(RIGHT($E1492:$E3490,2)))),TRUE)</f>
        <v>1</v>
      </c>
      <c r="G1492" s="336"/>
      <c r="H1492" s="336"/>
      <c r="I1492" s="336"/>
      <c r="J1492" s="336"/>
      <c r="K1492" s="336"/>
      <c r="L1492" s="336"/>
      <c r="M1492" s="336"/>
      <c r="N1492" s="336"/>
      <c r="O1492" s="336"/>
      <c r="P1492" s="336"/>
      <c r="Q1492" s="336"/>
      <c r="R1492" s="336"/>
      <c r="S1492" s="336"/>
      <c r="T1492" s="336"/>
    </row>
    <row r="1493" spans="1:20" x14ac:dyDescent="0.25">
      <c r="A1493" s="336"/>
      <c r="B1493" s="336"/>
      <c r="C1493" s="336"/>
      <c r="D1493" s="336"/>
      <c r="E1493" s="336"/>
      <c r="F1493" s="104" t="b">
        <f t="array" ref="F1493">IF(_xlfn.NUMBERVALUE(RIGHT($E1493,2))=MAX(IF(LEFT($E1493:$E3491,11)=LEFT($E1493,11),_xlfn.NUMBERVALUE(RIGHT($E1493:$E3491,2)))),TRUE)</f>
        <v>1</v>
      </c>
      <c r="G1493" s="336"/>
      <c r="H1493" s="336"/>
      <c r="I1493" s="336"/>
      <c r="J1493" s="336"/>
      <c r="K1493" s="336"/>
      <c r="L1493" s="336"/>
      <c r="M1493" s="336"/>
      <c r="N1493" s="336"/>
      <c r="O1493" s="336"/>
      <c r="P1493" s="336"/>
      <c r="Q1493" s="336"/>
      <c r="R1493" s="336"/>
      <c r="S1493" s="336"/>
      <c r="T1493" s="336"/>
    </row>
    <row r="1494" spans="1:20" x14ac:dyDescent="0.25">
      <c r="A1494" s="336"/>
      <c r="B1494" s="336"/>
      <c r="C1494" s="336"/>
      <c r="D1494" s="336"/>
      <c r="E1494" s="336"/>
      <c r="F1494" s="104" t="b">
        <f t="array" ref="F1494">IF(_xlfn.NUMBERVALUE(RIGHT($E1494,2))=MAX(IF(LEFT($E1494:$E3492,11)=LEFT($E1494,11),_xlfn.NUMBERVALUE(RIGHT($E1494:$E3492,2)))),TRUE)</f>
        <v>1</v>
      </c>
      <c r="G1494" s="336"/>
      <c r="H1494" s="336"/>
      <c r="I1494" s="336"/>
      <c r="J1494" s="336"/>
      <c r="K1494" s="336"/>
      <c r="L1494" s="336"/>
      <c r="M1494" s="336"/>
      <c r="N1494" s="336"/>
      <c r="O1494" s="336"/>
      <c r="P1494" s="336"/>
      <c r="Q1494" s="336"/>
      <c r="R1494" s="336"/>
      <c r="S1494" s="336"/>
      <c r="T1494" s="336"/>
    </row>
    <row r="1495" spans="1:20" x14ac:dyDescent="0.25">
      <c r="A1495" s="336"/>
      <c r="B1495" s="336"/>
      <c r="C1495" s="336"/>
      <c r="D1495" s="336"/>
      <c r="E1495" s="336"/>
      <c r="F1495" s="104" t="b">
        <f t="array" ref="F1495">IF(_xlfn.NUMBERVALUE(RIGHT($E1495,2))=MAX(IF(LEFT($E1495:$E3493,11)=LEFT($E1495,11),_xlfn.NUMBERVALUE(RIGHT($E1495:$E3493,2)))),TRUE)</f>
        <v>1</v>
      </c>
      <c r="G1495" s="336"/>
      <c r="H1495" s="336"/>
      <c r="I1495" s="336"/>
      <c r="J1495" s="336"/>
      <c r="K1495" s="336"/>
      <c r="L1495" s="336"/>
      <c r="M1495" s="336"/>
      <c r="N1495" s="336"/>
      <c r="O1495" s="336"/>
      <c r="P1495" s="336"/>
      <c r="Q1495" s="336"/>
      <c r="R1495" s="336"/>
      <c r="S1495" s="336"/>
      <c r="T1495" s="336"/>
    </row>
    <row r="1496" spans="1:20" x14ac:dyDescent="0.25">
      <c r="A1496" s="336"/>
      <c r="B1496" s="336"/>
      <c r="C1496" s="336"/>
      <c r="D1496" s="336"/>
      <c r="E1496" s="336"/>
      <c r="F1496" s="104" t="b">
        <f t="array" ref="F1496">IF(_xlfn.NUMBERVALUE(RIGHT($E1496,2))=MAX(IF(LEFT($E1496:$E3494,11)=LEFT($E1496,11),_xlfn.NUMBERVALUE(RIGHT($E1496:$E3494,2)))),TRUE)</f>
        <v>1</v>
      </c>
      <c r="G1496" s="336"/>
      <c r="H1496" s="336"/>
      <c r="I1496" s="336"/>
      <c r="J1496" s="336"/>
      <c r="K1496" s="336"/>
      <c r="L1496" s="336"/>
      <c r="M1496" s="336"/>
      <c r="N1496" s="336"/>
      <c r="O1496" s="336"/>
      <c r="P1496" s="336"/>
      <c r="Q1496" s="336"/>
      <c r="R1496" s="336"/>
      <c r="S1496" s="336"/>
      <c r="T1496" s="336"/>
    </row>
    <row r="1497" spans="1:20" x14ac:dyDescent="0.25">
      <c r="A1497" s="336"/>
      <c r="B1497" s="336"/>
      <c r="C1497" s="336"/>
      <c r="D1497" s="336"/>
      <c r="E1497" s="336"/>
      <c r="F1497" s="104" t="b">
        <f t="array" ref="F1497">IF(_xlfn.NUMBERVALUE(RIGHT($E1497,2))=MAX(IF(LEFT($E1497:$E3495,11)=LEFT($E1497,11),_xlfn.NUMBERVALUE(RIGHT($E1497:$E3495,2)))),TRUE)</f>
        <v>1</v>
      </c>
      <c r="G1497" s="336"/>
      <c r="H1497" s="336"/>
      <c r="I1497" s="336"/>
      <c r="J1497" s="336"/>
      <c r="K1497" s="336"/>
      <c r="L1497" s="336"/>
      <c r="M1497" s="336"/>
      <c r="N1497" s="336"/>
      <c r="O1497" s="336"/>
      <c r="P1497" s="336"/>
      <c r="Q1497" s="336"/>
      <c r="R1497" s="336"/>
      <c r="S1497" s="336"/>
      <c r="T1497" s="336"/>
    </row>
    <row r="1498" spans="1:20" x14ac:dyDescent="0.25">
      <c r="A1498" s="336"/>
      <c r="B1498" s="336"/>
      <c r="C1498" s="336"/>
      <c r="D1498" s="336"/>
      <c r="E1498" s="336"/>
      <c r="F1498" s="104" t="b">
        <f t="array" ref="F1498">IF(_xlfn.NUMBERVALUE(RIGHT($E1498,2))=MAX(IF(LEFT($E1498:$E3496,11)=LEFT($E1498,11),_xlfn.NUMBERVALUE(RIGHT($E1498:$E3496,2)))),TRUE)</f>
        <v>1</v>
      </c>
      <c r="G1498" s="336"/>
      <c r="H1498" s="336"/>
      <c r="I1498" s="336"/>
      <c r="J1498" s="336"/>
      <c r="K1498" s="336"/>
      <c r="L1498" s="336"/>
      <c r="M1498" s="336"/>
      <c r="N1498" s="336"/>
      <c r="O1498" s="336"/>
      <c r="P1498" s="336"/>
      <c r="Q1498" s="336"/>
      <c r="R1498" s="336"/>
      <c r="S1498" s="336"/>
      <c r="T1498" s="336"/>
    </row>
    <row r="1499" spans="1:20" x14ac:dyDescent="0.25">
      <c r="A1499" s="336"/>
      <c r="B1499" s="336"/>
      <c r="C1499" s="336"/>
      <c r="D1499" s="336"/>
      <c r="E1499" s="336"/>
      <c r="F1499" s="104" t="b">
        <f t="array" ref="F1499">IF(_xlfn.NUMBERVALUE(RIGHT($E1499,2))=MAX(IF(LEFT($E1499:$E3497,11)=LEFT($E1499,11),_xlfn.NUMBERVALUE(RIGHT($E1499:$E3497,2)))),TRUE)</f>
        <v>1</v>
      </c>
      <c r="G1499" s="336"/>
      <c r="H1499" s="336"/>
      <c r="I1499" s="336"/>
      <c r="J1499" s="336"/>
      <c r="K1499" s="336"/>
      <c r="L1499" s="336"/>
      <c r="M1499" s="336"/>
      <c r="N1499" s="336"/>
      <c r="O1499" s="336"/>
      <c r="P1499" s="336"/>
      <c r="Q1499" s="336"/>
      <c r="R1499" s="336"/>
      <c r="S1499" s="336"/>
      <c r="T1499" s="336"/>
    </row>
    <row r="1500" spans="1:20" x14ac:dyDescent="0.25">
      <c r="A1500" s="336"/>
      <c r="B1500" s="336"/>
      <c r="C1500" s="336"/>
      <c r="D1500" s="336"/>
      <c r="E1500" s="336"/>
      <c r="F1500" s="104" t="b">
        <f t="array" ref="F1500">IF(_xlfn.NUMBERVALUE(RIGHT($E1500,2))=MAX(IF(LEFT($E1500:$E3498,11)=LEFT($E1500,11),_xlfn.NUMBERVALUE(RIGHT($E1500:$E3498,2)))),TRUE)</f>
        <v>1</v>
      </c>
      <c r="G1500" s="336"/>
      <c r="H1500" s="336"/>
      <c r="I1500" s="336"/>
      <c r="J1500" s="336"/>
      <c r="K1500" s="336"/>
      <c r="L1500" s="336"/>
      <c r="M1500" s="336"/>
      <c r="N1500" s="336"/>
      <c r="O1500" s="336"/>
      <c r="P1500" s="336"/>
      <c r="Q1500" s="336"/>
      <c r="R1500" s="336"/>
      <c r="S1500" s="336"/>
      <c r="T1500" s="336"/>
    </row>
    <row r="1501" spans="1:20" x14ac:dyDescent="0.25">
      <c r="A1501" s="336"/>
      <c r="B1501" s="336"/>
      <c r="C1501" s="336"/>
      <c r="D1501" s="336"/>
      <c r="E1501" s="336"/>
      <c r="F1501" s="104" t="b">
        <f t="array" ref="F1501">IF(_xlfn.NUMBERVALUE(RIGHT($E1501,2))=MAX(IF(LEFT($E1501:$E3499,11)=LEFT($E1501,11),_xlfn.NUMBERVALUE(RIGHT($E1501:$E3499,2)))),TRUE)</f>
        <v>1</v>
      </c>
      <c r="G1501" s="336"/>
      <c r="H1501" s="336"/>
      <c r="I1501" s="336"/>
      <c r="J1501" s="336"/>
      <c r="K1501" s="336"/>
      <c r="L1501" s="336"/>
      <c r="M1501" s="336"/>
      <c r="N1501" s="336"/>
      <c r="O1501" s="336"/>
      <c r="P1501" s="336"/>
      <c r="Q1501" s="336"/>
      <c r="R1501" s="336"/>
      <c r="S1501" s="336"/>
      <c r="T1501" s="336"/>
    </row>
    <row r="1502" spans="1:20" x14ac:dyDescent="0.25">
      <c r="A1502" s="336"/>
      <c r="B1502" s="336"/>
      <c r="C1502" s="336"/>
      <c r="D1502" s="336"/>
      <c r="E1502" s="336"/>
      <c r="F1502" s="104" t="b">
        <f t="array" ref="F1502">IF(_xlfn.NUMBERVALUE(RIGHT($E1502,2))=MAX(IF(LEFT($E1502:$E3500,11)=LEFT($E1502,11),_xlfn.NUMBERVALUE(RIGHT($E1502:$E3500,2)))),TRUE)</f>
        <v>1</v>
      </c>
      <c r="G1502" s="336"/>
      <c r="H1502" s="336"/>
      <c r="I1502" s="336"/>
      <c r="J1502" s="336"/>
      <c r="K1502" s="336"/>
      <c r="L1502" s="336"/>
      <c r="M1502" s="336"/>
      <c r="N1502" s="336"/>
      <c r="O1502" s="336"/>
      <c r="P1502" s="336"/>
      <c r="Q1502" s="336"/>
      <c r="R1502" s="336"/>
      <c r="S1502" s="336"/>
      <c r="T1502" s="336"/>
    </row>
    <row r="1503" spans="1:20" x14ac:dyDescent="0.25">
      <c r="A1503" s="336"/>
      <c r="B1503" s="336"/>
      <c r="C1503" s="336"/>
      <c r="D1503" s="336"/>
      <c r="E1503" s="336"/>
      <c r="F1503" s="104" t="b">
        <f t="array" ref="F1503">IF(_xlfn.NUMBERVALUE(RIGHT($E1503,2))=MAX(IF(LEFT($E1503:$E3501,11)=LEFT($E1503,11),_xlfn.NUMBERVALUE(RIGHT($E1503:$E3501,2)))),TRUE)</f>
        <v>1</v>
      </c>
      <c r="G1503" s="336"/>
      <c r="H1503" s="336"/>
      <c r="I1503" s="336"/>
      <c r="J1503" s="336"/>
      <c r="K1503" s="336"/>
      <c r="L1503" s="336"/>
      <c r="M1503" s="336"/>
      <c r="N1503" s="336"/>
      <c r="O1503" s="336"/>
      <c r="P1503" s="336"/>
      <c r="Q1503" s="336"/>
      <c r="R1503" s="336"/>
      <c r="S1503" s="336"/>
      <c r="T1503" s="336"/>
    </row>
    <row r="1504" spans="1:20" x14ac:dyDescent="0.25">
      <c r="A1504" s="336"/>
      <c r="B1504" s="336"/>
      <c r="C1504" s="336"/>
      <c r="D1504" s="336"/>
      <c r="E1504" s="336"/>
      <c r="F1504" s="104" t="b">
        <f t="array" ref="F1504">IF(_xlfn.NUMBERVALUE(RIGHT($E1504,2))=MAX(IF(LEFT($E1504:$E3502,11)=LEFT($E1504,11),_xlfn.NUMBERVALUE(RIGHT($E1504:$E3502,2)))),TRUE)</f>
        <v>1</v>
      </c>
      <c r="G1504" s="336"/>
      <c r="H1504" s="336"/>
      <c r="I1504" s="336"/>
      <c r="J1504" s="336"/>
      <c r="K1504" s="336"/>
      <c r="L1504" s="336"/>
      <c r="M1504" s="336"/>
      <c r="N1504" s="336"/>
      <c r="O1504" s="336"/>
      <c r="P1504" s="336"/>
      <c r="Q1504" s="336"/>
      <c r="R1504" s="336"/>
      <c r="S1504" s="336"/>
      <c r="T1504" s="336"/>
    </row>
    <row r="1505" spans="1:20" x14ac:dyDescent="0.25">
      <c r="A1505" s="336"/>
      <c r="B1505" s="336"/>
      <c r="C1505" s="336"/>
      <c r="D1505" s="336"/>
      <c r="E1505" s="336"/>
      <c r="F1505" s="104" t="b">
        <f t="array" ref="F1505">IF(_xlfn.NUMBERVALUE(RIGHT($E1505,2))=MAX(IF(LEFT($E1505:$E3503,11)=LEFT($E1505,11),_xlfn.NUMBERVALUE(RIGHT($E1505:$E3503,2)))),TRUE)</f>
        <v>1</v>
      </c>
      <c r="G1505" s="336"/>
      <c r="H1505" s="336"/>
      <c r="I1505" s="336"/>
      <c r="J1505" s="336"/>
      <c r="K1505" s="336"/>
      <c r="L1505" s="336"/>
      <c r="M1505" s="336"/>
      <c r="N1505" s="336"/>
      <c r="O1505" s="336"/>
      <c r="P1505" s="336"/>
      <c r="Q1505" s="336"/>
      <c r="R1505" s="336"/>
      <c r="S1505" s="336"/>
      <c r="T1505" s="336"/>
    </row>
    <row r="1506" spans="1:20" x14ac:dyDescent="0.25">
      <c r="A1506" s="336"/>
      <c r="B1506" s="336"/>
      <c r="C1506" s="336"/>
      <c r="D1506" s="336"/>
      <c r="E1506" s="336"/>
      <c r="F1506" s="104" t="b">
        <f t="array" ref="F1506">IF(_xlfn.NUMBERVALUE(RIGHT($E1506,2))=MAX(IF(LEFT($E1506:$E3504,11)=LEFT($E1506,11),_xlfn.NUMBERVALUE(RIGHT($E1506:$E3504,2)))),TRUE)</f>
        <v>1</v>
      </c>
      <c r="G1506" s="336"/>
      <c r="H1506" s="336"/>
      <c r="I1506" s="336"/>
      <c r="J1506" s="336"/>
      <c r="K1506" s="336"/>
      <c r="L1506" s="336"/>
      <c r="M1506" s="336"/>
      <c r="N1506" s="336"/>
      <c r="O1506" s="336"/>
      <c r="P1506" s="336"/>
      <c r="Q1506" s="336"/>
      <c r="R1506" s="336"/>
      <c r="S1506" s="336"/>
      <c r="T1506" s="336"/>
    </row>
    <row r="1507" spans="1:20" x14ac:dyDescent="0.25">
      <c r="A1507" s="336"/>
      <c r="B1507" s="336"/>
      <c r="C1507" s="336"/>
      <c r="D1507" s="336"/>
      <c r="E1507" s="336"/>
      <c r="F1507" s="104" t="b">
        <f t="array" ref="F1507">IF(_xlfn.NUMBERVALUE(RIGHT($E1507,2))=MAX(IF(LEFT($E1507:$E3505,11)=LEFT($E1507,11),_xlfn.NUMBERVALUE(RIGHT($E1507:$E3505,2)))),TRUE)</f>
        <v>1</v>
      </c>
      <c r="G1507" s="336"/>
      <c r="H1507" s="336"/>
      <c r="I1507" s="336"/>
      <c r="J1507" s="336"/>
      <c r="K1507" s="336"/>
      <c r="L1507" s="336"/>
      <c r="M1507" s="336"/>
      <c r="N1507" s="336"/>
      <c r="O1507" s="336"/>
      <c r="P1507" s="336"/>
      <c r="Q1507" s="336"/>
      <c r="R1507" s="336"/>
      <c r="S1507" s="336"/>
      <c r="T1507" s="336"/>
    </row>
    <row r="1508" spans="1:20" x14ac:dyDescent="0.25">
      <c r="A1508" s="336"/>
      <c r="B1508" s="336"/>
      <c r="C1508" s="336"/>
      <c r="D1508" s="336"/>
      <c r="E1508" s="336"/>
      <c r="F1508" s="104" t="b">
        <f t="array" ref="F1508">IF(_xlfn.NUMBERVALUE(RIGHT($E1508,2))=MAX(IF(LEFT($E1508:$E3506,11)=LEFT($E1508,11),_xlfn.NUMBERVALUE(RIGHT($E1508:$E3506,2)))),TRUE)</f>
        <v>1</v>
      </c>
      <c r="G1508" s="336"/>
      <c r="H1508" s="336"/>
      <c r="I1508" s="336"/>
      <c r="J1508" s="336"/>
      <c r="K1508" s="336"/>
      <c r="L1508" s="336"/>
      <c r="M1508" s="336"/>
      <c r="N1508" s="336"/>
      <c r="O1508" s="336"/>
      <c r="P1508" s="336"/>
      <c r="Q1508" s="336"/>
      <c r="R1508" s="336"/>
      <c r="S1508" s="336"/>
      <c r="T1508" s="336"/>
    </row>
    <row r="1509" spans="1:20" x14ac:dyDescent="0.25">
      <c r="A1509" s="336"/>
      <c r="B1509" s="336"/>
      <c r="C1509" s="336"/>
      <c r="D1509" s="336"/>
      <c r="E1509" s="336"/>
      <c r="F1509" s="104" t="b">
        <f t="array" ref="F1509">IF(_xlfn.NUMBERVALUE(RIGHT($E1509,2))=MAX(IF(LEFT($E1509:$E3507,11)=LEFT($E1509,11),_xlfn.NUMBERVALUE(RIGHT($E1509:$E3507,2)))),TRUE)</f>
        <v>1</v>
      </c>
      <c r="G1509" s="336"/>
      <c r="H1509" s="336"/>
      <c r="I1509" s="336"/>
      <c r="J1509" s="336"/>
      <c r="K1509" s="336"/>
      <c r="L1509" s="336"/>
      <c r="M1509" s="336"/>
      <c r="N1509" s="336"/>
      <c r="O1509" s="336"/>
      <c r="P1509" s="336"/>
      <c r="Q1509" s="336"/>
      <c r="R1509" s="336"/>
      <c r="S1509" s="336"/>
      <c r="T1509" s="336"/>
    </row>
    <row r="1510" spans="1:20" x14ac:dyDescent="0.25">
      <c r="A1510" s="336"/>
      <c r="B1510" s="336"/>
      <c r="C1510" s="336"/>
      <c r="D1510" s="336"/>
      <c r="E1510" s="336"/>
      <c r="F1510" s="104" t="b">
        <f t="array" ref="F1510">IF(_xlfn.NUMBERVALUE(RIGHT($E1510,2))=MAX(IF(LEFT($E1510:$E3508,11)=LEFT($E1510,11),_xlfn.NUMBERVALUE(RIGHT($E1510:$E3508,2)))),TRUE)</f>
        <v>1</v>
      </c>
      <c r="G1510" s="336"/>
      <c r="H1510" s="336"/>
      <c r="I1510" s="336"/>
      <c r="J1510" s="336"/>
      <c r="K1510" s="336"/>
      <c r="L1510" s="336"/>
      <c r="M1510" s="336"/>
      <c r="N1510" s="336"/>
      <c r="O1510" s="336"/>
      <c r="P1510" s="336"/>
      <c r="Q1510" s="336"/>
      <c r="R1510" s="336"/>
      <c r="S1510" s="336"/>
      <c r="T1510" s="336"/>
    </row>
    <row r="1511" spans="1:20" x14ac:dyDescent="0.25">
      <c r="A1511" s="336"/>
      <c r="B1511" s="336"/>
      <c r="C1511" s="336"/>
      <c r="D1511" s="336"/>
      <c r="E1511" s="336"/>
      <c r="F1511" s="104" t="b">
        <f t="array" ref="F1511">IF(_xlfn.NUMBERVALUE(RIGHT($E1511,2))=MAX(IF(LEFT($E1511:$E3509,11)=LEFT($E1511,11),_xlfn.NUMBERVALUE(RIGHT($E1511:$E3509,2)))),TRUE)</f>
        <v>1</v>
      </c>
      <c r="G1511" s="336"/>
      <c r="H1511" s="336"/>
      <c r="I1511" s="336"/>
      <c r="J1511" s="336"/>
      <c r="K1511" s="336"/>
      <c r="L1511" s="336"/>
      <c r="M1511" s="336"/>
      <c r="N1511" s="336"/>
      <c r="O1511" s="336"/>
      <c r="P1511" s="336"/>
      <c r="Q1511" s="336"/>
      <c r="R1511" s="336"/>
      <c r="S1511" s="336"/>
      <c r="T1511" s="336"/>
    </row>
    <row r="1512" spans="1:20" x14ac:dyDescent="0.25">
      <c r="A1512" s="336"/>
      <c r="B1512" s="336"/>
      <c r="C1512" s="336"/>
      <c r="D1512" s="336"/>
      <c r="E1512" s="336"/>
      <c r="F1512" s="104" t="b">
        <f t="array" ref="F1512">IF(_xlfn.NUMBERVALUE(RIGHT($E1512,2))=MAX(IF(LEFT($E1512:$E3510,11)=LEFT($E1512,11),_xlfn.NUMBERVALUE(RIGHT($E1512:$E3510,2)))),TRUE)</f>
        <v>1</v>
      </c>
      <c r="G1512" s="336"/>
      <c r="H1512" s="336"/>
      <c r="I1512" s="336"/>
      <c r="J1512" s="336"/>
      <c r="K1512" s="336"/>
      <c r="L1512" s="336"/>
      <c r="M1512" s="336"/>
      <c r="N1512" s="336"/>
      <c r="O1512" s="336"/>
      <c r="P1512" s="336"/>
      <c r="Q1512" s="336"/>
      <c r="R1512" s="336"/>
      <c r="S1512" s="336"/>
      <c r="T1512" s="336"/>
    </row>
    <row r="1513" spans="1:20" x14ac:dyDescent="0.25">
      <c r="A1513" s="336"/>
      <c r="B1513" s="336"/>
      <c r="C1513" s="336"/>
      <c r="D1513" s="336"/>
      <c r="E1513" s="336"/>
      <c r="F1513" s="104" t="b">
        <f t="array" ref="F1513">IF(_xlfn.NUMBERVALUE(RIGHT($E1513,2))=MAX(IF(LEFT($E1513:$E3511,11)=LEFT($E1513,11),_xlfn.NUMBERVALUE(RIGHT($E1513:$E3511,2)))),TRUE)</f>
        <v>1</v>
      </c>
      <c r="G1513" s="336"/>
      <c r="H1513" s="336"/>
      <c r="I1513" s="336"/>
      <c r="J1513" s="336"/>
      <c r="K1513" s="336"/>
      <c r="L1513" s="336"/>
      <c r="M1513" s="336"/>
      <c r="N1513" s="336"/>
      <c r="O1513" s="336"/>
      <c r="P1513" s="336"/>
      <c r="Q1513" s="336"/>
      <c r="R1513" s="336"/>
      <c r="S1513" s="336"/>
      <c r="T1513" s="336"/>
    </row>
    <row r="1514" spans="1:20" x14ac:dyDescent="0.25">
      <c r="A1514" s="336"/>
      <c r="B1514" s="336"/>
      <c r="C1514" s="336"/>
      <c r="D1514" s="336"/>
      <c r="E1514" s="336"/>
      <c r="F1514" s="104" t="b">
        <f t="array" ref="F1514">IF(_xlfn.NUMBERVALUE(RIGHT($E1514,2))=MAX(IF(LEFT($E1514:$E3512,11)=LEFT($E1514,11),_xlfn.NUMBERVALUE(RIGHT($E1514:$E3512,2)))),TRUE)</f>
        <v>1</v>
      </c>
      <c r="G1514" s="336"/>
      <c r="H1514" s="336"/>
      <c r="I1514" s="336"/>
      <c r="J1514" s="336"/>
      <c r="K1514" s="336"/>
      <c r="L1514" s="336"/>
      <c r="M1514" s="336"/>
      <c r="N1514" s="336"/>
      <c r="O1514" s="336"/>
      <c r="P1514" s="336"/>
      <c r="Q1514" s="336"/>
      <c r="R1514" s="336"/>
      <c r="S1514" s="336"/>
      <c r="T1514" s="336"/>
    </row>
    <row r="1515" spans="1:20" x14ac:dyDescent="0.25">
      <c r="A1515" s="336"/>
      <c r="B1515" s="336"/>
      <c r="C1515" s="336"/>
      <c r="D1515" s="336"/>
      <c r="E1515" s="336"/>
      <c r="F1515" s="104" t="b">
        <f t="array" ref="F1515">IF(_xlfn.NUMBERVALUE(RIGHT($E1515,2))=MAX(IF(LEFT($E1515:$E3513,11)=LEFT($E1515,11),_xlfn.NUMBERVALUE(RIGHT($E1515:$E3513,2)))),TRUE)</f>
        <v>1</v>
      </c>
      <c r="G1515" s="336"/>
      <c r="H1515" s="336"/>
      <c r="I1515" s="336"/>
      <c r="J1515" s="336"/>
      <c r="K1515" s="336"/>
      <c r="L1515" s="336"/>
      <c r="M1515" s="336"/>
      <c r="N1515" s="336"/>
      <c r="O1515" s="336"/>
      <c r="P1515" s="336"/>
      <c r="Q1515" s="336"/>
      <c r="R1515" s="336"/>
      <c r="S1515" s="336"/>
      <c r="T1515" s="336"/>
    </row>
    <row r="1516" spans="1:20" x14ac:dyDescent="0.25">
      <c r="A1516" s="336"/>
      <c r="B1516" s="336"/>
      <c r="C1516" s="336"/>
      <c r="D1516" s="336"/>
      <c r="E1516" s="336"/>
      <c r="F1516" s="104" t="b">
        <f t="array" ref="F1516">IF(_xlfn.NUMBERVALUE(RIGHT($E1516,2))=MAX(IF(LEFT($E1516:$E3514,11)=LEFT($E1516,11),_xlfn.NUMBERVALUE(RIGHT($E1516:$E3514,2)))),TRUE)</f>
        <v>1</v>
      </c>
      <c r="G1516" s="336"/>
      <c r="H1516" s="336"/>
      <c r="I1516" s="336"/>
      <c r="J1516" s="336"/>
      <c r="K1516" s="336"/>
      <c r="L1516" s="336"/>
      <c r="M1516" s="336"/>
      <c r="N1516" s="336"/>
      <c r="O1516" s="336"/>
      <c r="P1516" s="336"/>
      <c r="Q1516" s="336"/>
      <c r="R1516" s="336"/>
      <c r="S1516" s="336"/>
      <c r="T1516" s="336"/>
    </row>
    <row r="1517" spans="1:20" x14ac:dyDescent="0.25">
      <c r="A1517" s="336"/>
      <c r="B1517" s="336"/>
      <c r="C1517" s="336"/>
      <c r="D1517" s="336"/>
      <c r="E1517" s="336"/>
      <c r="F1517" s="104" t="b">
        <f t="array" ref="F1517">IF(_xlfn.NUMBERVALUE(RIGHT($E1517,2))=MAX(IF(LEFT($E1517:$E3515,11)=LEFT($E1517,11),_xlfn.NUMBERVALUE(RIGHT($E1517:$E3515,2)))),TRUE)</f>
        <v>1</v>
      </c>
      <c r="G1517" s="336"/>
      <c r="H1517" s="336"/>
      <c r="I1517" s="336"/>
      <c r="J1517" s="336"/>
      <c r="K1517" s="336"/>
      <c r="L1517" s="336"/>
      <c r="M1517" s="336"/>
      <c r="N1517" s="336"/>
      <c r="O1517" s="336"/>
      <c r="P1517" s="336"/>
      <c r="Q1517" s="336"/>
      <c r="R1517" s="336"/>
      <c r="S1517" s="336"/>
      <c r="T1517" s="336"/>
    </row>
    <row r="1518" spans="1:20" x14ac:dyDescent="0.25">
      <c r="A1518" s="336"/>
      <c r="B1518" s="336"/>
      <c r="C1518" s="336"/>
      <c r="D1518" s="336"/>
      <c r="E1518" s="336"/>
      <c r="F1518" s="104" t="b">
        <f t="array" ref="F1518">IF(_xlfn.NUMBERVALUE(RIGHT($E1518,2))=MAX(IF(LEFT($E1518:$E3516,11)=LEFT($E1518,11),_xlfn.NUMBERVALUE(RIGHT($E1518:$E3516,2)))),TRUE)</f>
        <v>1</v>
      </c>
      <c r="G1518" s="336"/>
      <c r="H1518" s="336"/>
      <c r="I1518" s="336"/>
      <c r="J1518" s="336"/>
      <c r="K1518" s="336"/>
      <c r="L1518" s="336"/>
      <c r="M1518" s="336"/>
      <c r="N1518" s="336"/>
      <c r="O1518" s="336"/>
      <c r="P1518" s="336"/>
      <c r="Q1518" s="336"/>
      <c r="R1518" s="336"/>
      <c r="S1518" s="336"/>
      <c r="T1518" s="336"/>
    </row>
    <row r="1519" spans="1:20" x14ac:dyDescent="0.25">
      <c r="A1519" s="336"/>
      <c r="B1519" s="336"/>
      <c r="C1519" s="336"/>
      <c r="D1519" s="336"/>
      <c r="E1519" s="336"/>
      <c r="F1519" s="104" t="b">
        <f t="array" ref="F1519">IF(_xlfn.NUMBERVALUE(RIGHT($E1519,2))=MAX(IF(LEFT($E1519:$E3517,11)=LEFT($E1519,11),_xlfn.NUMBERVALUE(RIGHT($E1519:$E3517,2)))),TRUE)</f>
        <v>1</v>
      </c>
      <c r="G1519" s="336"/>
      <c r="H1519" s="336"/>
      <c r="I1519" s="336"/>
      <c r="J1519" s="336"/>
      <c r="K1519" s="336"/>
      <c r="L1519" s="336"/>
      <c r="M1519" s="336"/>
      <c r="N1519" s="336"/>
      <c r="O1519" s="336"/>
      <c r="P1519" s="336"/>
      <c r="Q1519" s="336"/>
      <c r="R1519" s="336"/>
      <c r="S1519" s="336"/>
      <c r="T1519" s="336"/>
    </row>
    <row r="1520" spans="1:20" x14ac:dyDescent="0.25">
      <c r="A1520" s="336"/>
      <c r="B1520" s="336"/>
      <c r="C1520" s="336"/>
      <c r="D1520" s="336"/>
      <c r="E1520" s="336"/>
      <c r="F1520" s="104" t="b">
        <f t="array" ref="F1520">IF(_xlfn.NUMBERVALUE(RIGHT($E1520,2))=MAX(IF(LEFT($E1520:$E3518,11)=LEFT($E1520,11),_xlfn.NUMBERVALUE(RIGHT($E1520:$E3518,2)))),TRUE)</f>
        <v>1</v>
      </c>
      <c r="G1520" s="336"/>
      <c r="H1520" s="336"/>
      <c r="I1520" s="336"/>
      <c r="J1520" s="336"/>
      <c r="K1520" s="336"/>
      <c r="L1520" s="336"/>
      <c r="M1520" s="336"/>
      <c r="N1520" s="336"/>
      <c r="O1520" s="336"/>
      <c r="P1520" s="336"/>
      <c r="Q1520" s="336"/>
      <c r="R1520" s="336"/>
      <c r="S1520" s="336"/>
      <c r="T1520" s="336"/>
    </row>
    <row r="1521" spans="1:20" x14ac:dyDescent="0.25">
      <c r="A1521" s="336"/>
      <c r="B1521" s="336"/>
      <c r="C1521" s="336"/>
      <c r="D1521" s="336"/>
      <c r="E1521" s="336"/>
      <c r="F1521" s="104" t="b">
        <f t="array" ref="F1521">IF(_xlfn.NUMBERVALUE(RIGHT($E1521,2))=MAX(IF(LEFT($E1521:$E3519,11)=LEFT($E1521,11),_xlfn.NUMBERVALUE(RIGHT($E1521:$E3519,2)))),TRUE)</f>
        <v>1</v>
      </c>
      <c r="G1521" s="336"/>
      <c r="H1521" s="336"/>
      <c r="I1521" s="336"/>
      <c r="J1521" s="336"/>
      <c r="K1521" s="336"/>
      <c r="L1521" s="336"/>
      <c r="M1521" s="336"/>
      <c r="N1521" s="336"/>
      <c r="O1521" s="336"/>
      <c r="P1521" s="336"/>
      <c r="Q1521" s="336"/>
      <c r="R1521" s="336"/>
      <c r="S1521" s="336"/>
      <c r="T1521" s="336"/>
    </row>
    <row r="1522" spans="1:20" x14ac:dyDescent="0.25">
      <c r="A1522" s="336"/>
      <c r="B1522" s="336"/>
      <c r="C1522" s="336"/>
      <c r="D1522" s="336"/>
      <c r="E1522" s="336"/>
      <c r="F1522" s="104" t="b">
        <f t="array" ref="F1522">IF(_xlfn.NUMBERVALUE(RIGHT($E1522,2))=MAX(IF(LEFT($E1522:$E3520,11)=LEFT($E1522,11),_xlfn.NUMBERVALUE(RIGHT($E1522:$E3520,2)))),TRUE)</f>
        <v>1</v>
      </c>
      <c r="G1522" s="336"/>
      <c r="H1522" s="336"/>
      <c r="I1522" s="336"/>
      <c r="J1522" s="336"/>
      <c r="K1522" s="336"/>
      <c r="L1522" s="336"/>
      <c r="M1522" s="336"/>
      <c r="N1522" s="336"/>
      <c r="O1522" s="336"/>
      <c r="P1522" s="336"/>
      <c r="Q1522" s="336"/>
      <c r="R1522" s="336"/>
      <c r="S1522" s="336"/>
      <c r="T1522" s="336"/>
    </row>
    <row r="1523" spans="1:20" x14ac:dyDescent="0.25">
      <c r="A1523" s="336"/>
      <c r="B1523" s="336"/>
      <c r="C1523" s="336"/>
      <c r="D1523" s="336"/>
      <c r="E1523" s="336"/>
      <c r="F1523" s="104" t="b">
        <f t="array" ref="F1523">IF(_xlfn.NUMBERVALUE(RIGHT($E1523,2))=MAX(IF(LEFT($E1523:$E3521,11)=LEFT($E1523,11),_xlfn.NUMBERVALUE(RIGHT($E1523:$E3521,2)))),TRUE)</f>
        <v>1</v>
      </c>
      <c r="G1523" s="336"/>
      <c r="H1523" s="336"/>
      <c r="I1523" s="336"/>
      <c r="J1523" s="336"/>
      <c r="K1523" s="336"/>
      <c r="L1523" s="336"/>
      <c r="M1523" s="336"/>
      <c r="N1523" s="336"/>
      <c r="O1523" s="336"/>
      <c r="P1523" s="336"/>
      <c r="Q1523" s="336"/>
      <c r="R1523" s="336"/>
      <c r="S1523" s="336"/>
      <c r="T1523" s="336"/>
    </row>
    <row r="1524" spans="1:20" x14ac:dyDescent="0.25">
      <c r="A1524" s="336"/>
      <c r="B1524" s="336"/>
      <c r="C1524" s="336"/>
      <c r="D1524" s="336"/>
      <c r="E1524" s="336"/>
      <c r="F1524" s="104" t="b">
        <f t="array" ref="F1524">IF(_xlfn.NUMBERVALUE(RIGHT($E1524,2))=MAX(IF(LEFT($E1524:$E3522,11)=LEFT($E1524,11),_xlfn.NUMBERVALUE(RIGHT($E1524:$E3522,2)))),TRUE)</f>
        <v>1</v>
      </c>
      <c r="G1524" s="336"/>
      <c r="H1524" s="336"/>
      <c r="I1524" s="336"/>
      <c r="J1524" s="336"/>
      <c r="K1524" s="336"/>
      <c r="L1524" s="336"/>
      <c r="M1524" s="336"/>
      <c r="N1524" s="336"/>
      <c r="O1524" s="336"/>
      <c r="P1524" s="336"/>
      <c r="Q1524" s="336"/>
      <c r="R1524" s="336"/>
      <c r="S1524" s="336"/>
      <c r="T1524" s="336"/>
    </row>
    <row r="1525" spans="1:20" x14ac:dyDescent="0.25">
      <c r="A1525" s="336"/>
      <c r="B1525" s="336"/>
      <c r="C1525" s="336"/>
      <c r="D1525" s="336"/>
      <c r="E1525" s="336"/>
      <c r="F1525" s="104" t="b">
        <f t="array" ref="F1525">IF(_xlfn.NUMBERVALUE(RIGHT($E1525,2))=MAX(IF(LEFT($E1525:$E3523,11)=LEFT($E1525,11),_xlfn.NUMBERVALUE(RIGHT($E1525:$E3523,2)))),TRUE)</f>
        <v>1</v>
      </c>
      <c r="G1525" s="336"/>
      <c r="H1525" s="336"/>
      <c r="I1525" s="336"/>
      <c r="J1525" s="336"/>
      <c r="K1525" s="336"/>
      <c r="L1525" s="336"/>
      <c r="M1525" s="336"/>
      <c r="N1525" s="336"/>
      <c r="O1525" s="336"/>
      <c r="P1525" s="336"/>
      <c r="Q1525" s="336"/>
      <c r="R1525" s="336"/>
      <c r="S1525" s="336"/>
      <c r="T1525" s="336"/>
    </row>
    <row r="1526" spans="1:20" x14ac:dyDescent="0.25">
      <c r="A1526" s="336"/>
      <c r="B1526" s="336"/>
      <c r="C1526" s="336"/>
      <c r="D1526" s="336"/>
      <c r="E1526" s="336"/>
      <c r="F1526" s="104" t="b">
        <f t="array" ref="F1526">IF(_xlfn.NUMBERVALUE(RIGHT($E1526,2))=MAX(IF(LEFT($E1526:$E3524,11)=LEFT($E1526,11),_xlfn.NUMBERVALUE(RIGHT($E1526:$E3524,2)))),TRUE)</f>
        <v>1</v>
      </c>
      <c r="G1526" s="336"/>
      <c r="H1526" s="336"/>
      <c r="I1526" s="336"/>
      <c r="J1526" s="336"/>
      <c r="K1526" s="336"/>
      <c r="L1526" s="336"/>
      <c r="M1526" s="336"/>
      <c r="N1526" s="336"/>
      <c r="O1526" s="336"/>
      <c r="P1526" s="336"/>
      <c r="Q1526" s="336"/>
      <c r="R1526" s="336"/>
      <c r="S1526" s="336"/>
      <c r="T1526" s="336"/>
    </row>
    <row r="1527" spans="1:20" x14ac:dyDescent="0.25">
      <c r="A1527" s="336"/>
      <c r="B1527" s="336"/>
      <c r="C1527" s="336"/>
      <c r="D1527" s="336"/>
      <c r="E1527" s="336"/>
      <c r="F1527" s="104" t="b">
        <f t="array" ref="F1527">IF(_xlfn.NUMBERVALUE(RIGHT($E1527,2))=MAX(IF(LEFT($E1527:$E3525,11)=LEFT($E1527,11),_xlfn.NUMBERVALUE(RIGHT($E1527:$E3525,2)))),TRUE)</f>
        <v>1</v>
      </c>
      <c r="G1527" s="336"/>
      <c r="H1527" s="336"/>
      <c r="I1527" s="336"/>
      <c r="J1527" s="336"/>
      <c r="K1527" s="336"/>
      <c r="L1527" s="336"/>
      <c r="M1527" s="336"/>
      <c r="N1527" s="336"/>
      <c r="O1527" s="336"/>
      <c r="P1527" s="336"/>
      <c r="Q1527" s="336"/>
      <c r="R1527" s="336"/>
      <c r="S1527" s="336"/>
      <c r="T1527" s="336"/>
    </row>
    <row r="1528" spans="1:20" x14ac:dyDescent="0.25">
      <c r="A1528" s="336"/>
      <c r="B1528" s="336"/>
      <c r="C1528" s="336"/>
      <c r="D1528" s="336"/>
      <c r="E1528" s="336"/>
      <c r="F1528" s="104" t="b">
        <f t="array" ref="F1528">IF(_xlfn.NUMBERVALUE(RIGHT($E1528,2))=MAX(IF(LEFT($E1528:$E3526,11)=LEFT($E1528,11),_xlfn.NUMBERVALUE(RIGHT($E1528:$E3526,2)))),TRUE)</f>
        <v>1</v>
      </c>
      <c r="G1528" s="336"/>
      <c r="H1528" s="336"/>
      <c r="I1528" s="336"/>
      <c r="J1528" s="336"/>
      <c r="K1528" s="336"/>
      <c r="L1528" s="336"/>
      <c r="M1528" s="336"/>
      <c r="N1528" s="336"/>
      <c r="O1528" s="336"/>
      <c r="P1528" s="336"/>
      <c r="Q1528" s="336"/>
      <c r="R1528" s="336"/>
      <c r="S1528" s="336"/>
      <c r="T1528" s="336"/>
    </row>
    <row r="1529" spans="1:20" x14ac:dyDescent="0.25">
      <c r="A1529" s="336"/>
      <c r="B1529" s="336"/>
      <c r="C1529" s="336"/>
      <c r="D1529" s="336"/>
      <c r="E1529" s="336"/>
      <c r="F1529" s="104" t="b">
        <f t="array" ref="F1529">IF(_xlfn.NUMBERVALUE(RIGHT($E1529,2))=MAX(IF(LEFT($E1529:$E3527,11)=LEFT($E1529,11),_xlfn.NUMBERVALUE(RIGHT($E1529:$E3527,2)))),TRUE)</f>
        <v>1</v>
      </c>
      <c r="G1529" s="336"/>
      <c r="H1529" s="336"/>
      <c r="I1529" s="336"/>
      <c r="J1529" s="336"/>
      <c r="K1529" s="336"/>
      <c r="L1529" s="336"/>
      <c r="M1529" s="336"/>
      <c r="N1529" s="336"/>
      <c r="O1529" s="336"/>
      <c r="P1529" s="336"/>
      <c r="Q1529" s="336"/>
      <c r="R1529" s="336"/>
      <c r="S1529" s="336"/>
      <c r="T1529" s="336"/>
    </row>
    <row r="1530" spans="1:20" x14ac:dyDescent="0.25">
      <c r="A1530" s="336"/>
      <c r="B1530" s="336"/>
      <c r="C1530" s="336"/>
      <c r="D1530" s="336"/>
      <c r="E1530" s="336"/>
      <c r="F1530" s="104" t="b">
        <f t="array" ref="F1530">IF(_xlfn.NUMBERVALUE(RIGHT($E1530,2))=MAX(IF(LEFT($E1530:$E3528,11)=LEFT($E1530,11),_xlfn.NUMBERVALUE(RIGHT($E1530:$E3528,2)))),TRUE)</f>
        <v>1</v>
      </c>
      <c r="G1530" s="336"/>
      <c r="H1530" s="336"/>
      <c r="I1530" s="336"/>
      <c r="J1530" s="336"/>
      <c r="K1530" s="336"/>
      <c r="L1530" s="336"/>
      <c r="M1530" s="336"/>
      <c r="N1530" s="336"/>
      <c r="O1530" s="336"/>
      <c r="P1530" s="336"/>
      <c r="Q1530" s="336"/>
      <c r="R1530" s="336"/>
      <c r="S1530" s="336"/>
      <c r="T1530" s="336"/>
    </row>
    <row r="1531" spans="1:20" x14ac:dyDescent="0.25">
      <c r="A1531" s="336"/>
      <c r="B1531" s="336"/>
      <c r="C1531" s="336"/>
      <c r="D1531" s="336"/>
      <c r="E1531" s="336"/>
      <c r="F1531" s="104" t="b">
        <f t="array" ref="F1531">IF(_xlfn.NUMBERVALUE(RIGHT($E1531,2))=MAX(IF(LEFT($E1531:$E3529,11)=LEFT($E1531,11),_xlfn.NUMBERVALUE(RIGHT($E1531:$E3529,2)))),TRUE)</f>
        <v>1</v>
      </c>
      <c r="G1531" s="336"/>
      <c r="H1531" s="336"/>
      <c r="I1531" s="336"/>
      <c r="J1531" s="336"/>
      <c r="K1531" s="336"/>
      <c r="L1531" s="336"/>
      <c r="M1531" s="336"/>
      <c r="N1531" s="336"/>
      <c r="O1531" s="336"/>
      <c r="P1531" s="336"/>
      <c r="Q1531" s="336"/>
      <c r="R1531" s="336"/>
      <c r="S1531" s="336"/>
      <c r="T1531" s="336"/>
    </row>
    <row r="1532" spans="1:20" x14ac:dyDescent="0.25">
      <c r="A1532" s="336"/>
      <c r="B1532" s="336"/>
      <c r="C1532" s="336"/>
      <c r="D1532" s="336"/>
      <c r="E1532" s="336"/>
      <c r="F1532" s="104" t="b">
        <f t="array" ref="F1532">IF(_xlfn.NUMBERVALUE(RIGHT($E1532,2))=MAX(IF(LEFT($E1532:$E3530,11)=LEFT($E1532,11),_xlfn.NUMBERVALUE(RIGHT($E1532:$E3530,2)))),TRUE)</f>
        <v>1</v>
      </c>
      <c r="G1532" s="336"/>
      <c r="H1532" s="336"/>
      <c r="I1532" s="336"/>
      <c r="J1532" s="336"/>
      <c r="K1532" s="336"/>
      <c r="L1532" s="336"/>
      <c r="M1532" s="336"/>
      <c r="N1532" s="336"/>
      <c r="O1532" s="336"/>
      <c r="P1532" s="336"/>
      <c r="Q1532" s="336"/>
      <c r="R1532" s="336"/>
      <c r="S1532" s="336"/>
      <c r="T1532" s="336"/>
    </row>
    <row r="1533" spans="1:20" x14ac:dyDescent="0.25">
      <c r="A1533" s="336"/>
      <c r="B1533" s="336"/>
      <c r="C1533" s="336"/>
      <c r="D1533" s="336"/>
      <c r="E1533" s="336"/>
      <c r="F1533" s="104" t="b">
        <f t="array" ref="F1533">IF(_xlfn.NUMBERVALUE(RIGHT($E1533,2))=MAX(IF(LEFT($E1533:$E3531,11)=LEFT($E1533,11),_xlfn.NUMBERVALUE(RIGHT($E1533:$E3531,2)))),TRUE)</f>
        <v>1</v>
      </c>
      <c r="G1533" s="336"/>
      <c r="H1533" s="336"/>
      <c r="I1533" s="336"/>
      <c r="J1533" s="336"/>
      <c r="K1533" s="336"/>
      <c r="L1533" s="336"/>
      <c r="M1533" s="336"/>
      <c r="N1533" s="336"/>
      <c r="O1533" s="336"/>
      <c r="P1533" s="336"/>
      <c r="Q1533" s="336"/>
      <c r="R1533" s="336"/>
      <c r="S1533" s="336"/>
      <c r="T1533" s="336"/>
    </row>
    <row r="1534" spans="1:20" x14ac:dyDescent="0.25">
      <c r="A1534" s="336"/>
      <c r="B1534" s="336"/>
      <c r="C1534" s="336"/>
      <c r="D1534" s="336"/>
      <c r="E1534" s="336"/>
      <c r="F1534" s="104" t="b">
        <f t="array" ref="F1534">IF(_xlfn.NUMBERVALUE(RIGHT($E1534,2))=MAX(IF(LEFT($E1534:$E3532,11)=LEFT($E1534,11),_xlfn.NUMBERVALUE(RIGHT($E1534:$E3532,2)))),TRUE)</f>
        <v>1</v>
      </c>
      <c r="G1534" s="336"/>
      <c r="H1534" s="336"/>
      <c r="I1534" s="336"/>
      <c r="J1534" s="336"/>
      <c r="K1534" s="336"/>
      <c r="L1534" s="336"/>
      <c r="M1534" s="336"/>
      <c r="N1534" s="336"/>
      <c r="O1534" s="336"/>
      <c r="P1534" s="336"/>
      <c r="Q1534" s="336"/>
      <c r="R1534" s="336"/>
      <c r="S1534" s="336"/>
      <c r="T1534" s="336"/>
    </row>
    <row r="1535" spans="1:20" x14ac:dyDescent="0.25">
      <c r="A1535" s="336"/>
      <c r="B1535" s="336"/>
      <c r="C1535" s="336"/>
      <c r="D1535" s="336"/>
      <c r="E1535" s="336"/>
      <c r="F1535" s="104" t="b">
        <f t="array" ref="F1535">IF(_xlfn.NUMBERVALUE(RIGHT($E1535,2))=MAX(IF(LEFT($E1535:$E3533,11)=LEFT($E1535,11),_xlfn.NUMBERVALUE(RIGHT($E1535:$E3533,2)))),TRUE)</f>
        <v>1</v>
      </c>
      <c r="G1535" s="336"/>
      <c r="H1535" s="336"/>
      <c r="I1535" s="336"/>
      <c r="J1535" s="336"/>
      <c r="K1535" s="336"/>
      <c r="L1535" s="336"/>
      <c r="M1535" s="336"/>
      <c r="N1535" s="336"/>
      <c r="O1535" s="336"/>
      <c r="P1535" s="336"/>
      <c r="Q1535" s="336"/>
      <c r="R1535" s="336"/>
      <c r="S1535" s="336"/>
      <c r="T1535" s="336"/>
    </row>
    <row r="1536" spans="1:20" x14ac:dyDescent="0.25">
      <c r="A1536" s="336"/>
      <c r="B1536" s="336"/>
      <c r="C1536" s="336"/>
      <c r="D1536" s="336"/>
      <c r="E1536" s="336"/>
      <c r="F1536" s="104" t="b">
        <f t="array" ref="F1536">IF(_xlfn.NUMBERVALUE(RIGHT($E1536,2))=MAX(IF(LEFT($E1536:$E3534,11)=LEFT($E1536,11),_xlfn.NUMBERVALUE(RIGHT($E1536:$E3534,2)))),TRUE)</f>
        <v>1</v>
      </c>
      <c r="G1536" s="336"/>
      <c r="H1536" s="336"/>
      <c r="I1536" s="336"/>
      <c r="J1536" s="336"/>
      <c r="K1536" s="336"/>
      <c r="L1536" s="336"/>
      <c r="M1536" s="336"/>
      <c r="N1536" s="336"/>
      <c r="O1536" s="336"/>
      <c r="P1536" s="336"/>
      <c r="Q1536" s="336"/>
      <c r="R1536" s="336"/>
      <c r="S1536" s="336"/>
      <c r="T1536" s="336"/>
    </row>
    <row r="1537" spans="1:20" x14ac:dyDescent="0.25">
      <c r="A1537" s="336"/>
      <c r="B1537" s="336"/>
      <c r="C1537" s="336"/>
      <c r="D1537" s="336"/>
      <c r="E1537" s="336"/>
      <c r="F1537" s="104" t="b">
        <f t="array" ref="F1537">IF(_xlfn.NUMBERVALUE(RIGHT($E1537,2))=MAX(IF(LEFT($E1537:$E3535,11)=LEFT($E1537,11),_xlfn.NUMBERVALUE(RIGHT($E1537:$E3535,2)))),TRUE)</f>
        <v>1</v>
      </c>
      <c r="G1537" s="336"/>
      <c r="H1537" s="336"/>
      <c r="I1537" s="336"/>
      <c r="J1537" s="336"/>
      <c r="K1537" s="336"/>
      <c r="L1537" s="336"/>
      <c r="M1537" s="336"/>
      <c r="N1537" s="336"/>
      <c r="O1537" s="336"/>
      <c r="P1537" s="336"/>
      <c r="Q1537" s="336"/>
      <c r="R1537" s="336"/>
      <c r="S1537" s="336"/>
      <c r="T1537" s="336"/>
    </row>
    <row r="1538" spans="1:20" x14ac:dyDescent="0.25">
      <c r="A1538" s="336"/>
      <c r="B1538" s="336"/>
      <c r="C1538" s="336"/>
      <c r="D1538" s="336"/>
      <c r="E1538" s="336"/>
      <c r="F1538" s="104" t="b">
        <f t="array" ref="F1538">IF(_xlfn.NUMBERVALUE(RIGHT($E1538,2))=MAX(IF(LEFT($E1538:$E3536,11)=LEFT($E1538,11),_xlfn.NUMBERVALUE(RIGHT($E1538:$E3536,2)))),TRUE)</f>
        <v>1</v>
      </c>
      <c r="G1538" s="336"/>
      <c r="H1538" s="336"/>
      <c r="I1538" s="336"/>
      <c r="J1538" s="336"/>
      <c r="K1538" s="336"/>
      <c r="L1538" s="336"/>
      <c r="M1538" s="336"/>
      <c r="N1538" s="336"/>
      <c r="O1538" s="336"/>
      <c r="P1538" s="336"/>
      <c r="Q1538" s="336"/>
      <c r="R1538" s="336"/>
      <c r="S1538" s="336"/>
      <c r="T1538" s="336"/>
    </row>
    <row r="1539" spans="1:20" x14ac:dyDescent="0.25">
      <c r="A1539" s="336"/>
      <c r="B1539" s="336"/>
      <c r="C1539" s="336"/>
      <c r="D1539" s="336"/>
      <c r="E1539" s="336"/>
      <c r="F1539" s="104" t="b">
        <f t="array" ref="F1539">IF(_xlfn.NUMBERVALUE(RIGHT($E1539,2))=MAX(IF(LEFT($E1539:$E3537,11)=LEFT($E1539,11),_xlfn.NUMBERVALUE(RIGHT($E1539:$E3537,2)))),TRUE)</f>
        <v>1</v>
      </c>
      <c r="G1539" s="336"/>
      <c r="H1539" s="336"/>
      <c r="I1539" s="336"/>
      <c r="J1539" s="336"/>
      <c r="K1539" s="336"/>
      <c r="L1539" s="336"/>
      <c r="M1539" s="336"/>
      <c r="N1539" s="336"/>
      <c r="O1539" s="336"/>
      <c r="P1539" s="336"/>
      <c r="Q1539" s="336"/>
      <c r="R1539" s="336"/>
      <c r="S1539" s="336"/>
      <c r="T1539" s="336"/>
    </row>
    <row r="1540" spans="1:20" x14ac:dyDescent="0.25">
      <c r="A1540" s="336"/>
      <c r="B1540" s="336"/>
      <c r="C1540" s="336"/>
      <c r="D1540" s="336"/>
      <c r="E1540" s="336"/>
      <c r="F1540" s="104" t="b">
        <f t="array" ref="F1540">IF(_xlfn.NUMBERVALUE(RIGHT($E1540,2))=MAX(IF(LEFT($E1540:$E3538,11)=LEFT($E1540,11),_xlfn.NUMBERVALUE(RIGHT($E1540:$E3538,2)))),TRUE)</f>
        <v>1</v>
      </c>
      <c r="G1540" s="336"/>
      <c r="H1540" s="336"/>
      <c r="I1540" s="336"/>
      <c r="J1540" s="336"/>
      <c r="K1540" s="336"/>
      <c r="L1540" s="336"/>
      <c r="M1540" s="336"/>
      <c r="N1540" s="336"/>
      <c r="O1540" s="336"/>
      <c r="P1540" s="336"/>
      <c r="Q1540" s="336"/>
      <c r="R1540" s="336"/>
      <c r="S1540" s="336"/>
      <c r="T1540" s="336"/>
    </row>
    <row r="1541" spans="1:20" x14ac:dyDescent="0.25">
      <c r="A1541" s="336"/>
      <c r="B1541" s="336"/>
      <c r="C1541" s="336"/>
      <c r="D1541" s="336"/>
      <c r="E1541" s="336"/>
      <c r="F1541" s="104" t="b">
        <f t="array" ref="F1541">IF(_xlfn.NUMBERVALUE(RIGHT($E1541,2))=MAX(IF(LEFT($E1541:$E3539,11)=LEFT($E1541,11),_xlfn.NUMBERVALUE(RIGHT($E1541:$E3539,2)))),TRUE)</f>
        <v>1</v>
      </c>
      <c r="G1541" s="336"/>
      <c r="H1541" s="336"/>
      <c r="I1541" s="336"/>
      <c r="J1541" s="336"/>
      <c r="K1541" s="336"/>
      <c r="L1541" s="336"/>
      <c r="M1541" s="336"/>
      <c r="N1541" s="336"/>
      <c r="O1541" s="336"/>
      <c r="P1541" s="336"/>
      <c r="Q1541" s="336"/>
      <c r="R1541" s="336"/>
      <c r="S1541" s="336"/>
      <c r="T1541" s="336"/>
    </row>
    <row r="1542" spans="1:20" x14ac:dyDescent="0.25">
      <c r="A1542" s="336"/>
      <c r="B1542" s="336"/>
      <c r="C1542" s="336"/>
      <c r="D1542" s="336"/>
      <c r="E1542" s="336"/>
      <c r="F1542" s="104" t="b">
        <f t="array" ref="F1542">IF(_xlfn.NUMBERVALUE(RIGHT($E1542,2))=MAX(IF(LEFT($E1542:$E3540,11)=LEFT($E1542,11),_xlfn.NUMBERVALUE(RIGHT($E1542:$E3540,2)))),TRUE)</f>
        <v>1</v>
      </c>
      <c r="G1542" s="336"/>
      <c r="H1542" s="336"/>
      <c r="I1542" s="336"/>
      <c r="J1542" s="336"/>
      <c r="K1542" s="336"/>
      <c r="L1542" s="336"/>
      <c r="M1542" s="336"/>
      <c r="N1542" s="336"/>
      <c r="O1542" s="336"/>
      <c r="P1542" s="336"/>
      <c r="Q1542" s="336"/>
      <c r="R1542" s="336"/>
      <c r="S1542" s="336"/>
      <c r="T1542" s="336"/>
    </row>
    <row r="1543" spans="1:20" x14ac:dyDescent="0.25">
      <c r="A1543" s="336"/>
      <c r="B1543" s="336"/>
      <c r="C1543" s="336"/>
      <c r="D1543" s="336"/>
      <c r="E1543" s="336"/>
      <c r="F1543" s="104" t="b">
        <f t="array" ref="F1543">IF(_xlfn.NUMBERVALUE(RIGHT($E1543,2))=MAX(IF(LEFT($E1543:$E3541,11)=LEFT($E1543,11),_xlfn.NUMBERVALUE(RIGHT($E1543:$E3541,2)))),TRUE)</f>
        <v>1</v>
      </c>
      <c r="G1543" s="336"/>
      <c r="H1543" s="336"/>
      <c r="I1543" s="336"/>
      <c r="J1543" s="336"/>
      <c r="K1543" s="336"/>
      <c r="L1543" s="336"/>
      <c r="M1543" s="336"/>
      <c r="N1543" s="336"/>
      <c r="O1543" s="336"/>
      <c r="P1543" s="336"/>
      <c r="Q1543" s="336"/>
      <c r="R1543" s="336"/>
      <c r="S1543" s="336"/>
      <c r="T1543" s="336"/>
    </row>
    <row r="1544" spans="1:20" x14ac:dyDescent="0.25">
      <c r="A1544" s="336"/>
      <c r="B1544" s="336"/>
      <c r="C1544" s="336"/>
      <c r="D1544" s="336"/>
      <c r="E1544" s="336"/>
      <c r="F1544" s="104" t="b">
        <f t="array" ref="F1544">IF(_xlfn.NUMBERVALUE(RIGHT($E1544,2))=MAX(IF(LEFT($E1544:$E3542,11)=LEFT($E1544,11),_xlfn.NUMBERVALUE(RIGHT($E1544:$E3542,2)))),TRUE)</f>
        <v>1</v>
      </c>
      <c r="G1544" s="336"/>
      <c r="H1544" s="336"/>
      <c r="I1544" s="336"/>
      <c r="J1544" s="336"/>
      <c r="K1544" s="336"/>
      <c r="L1544" s="336"/>
      <c r="M1544" s="336"/>
      <c r="N1544" s="336"/>
      <c r="O1544" s="336"/>
      <c r="P1544" s="336"/>
      <c r="Q1544" s="336"/>
      <c r="R1544" s="336"/>
      <c r="S1544" s="336"/>
      <c r="T1544" s="336"/>
    </row>
    <row r="1545" spans="1:20" x14ac:dyDescent="0.25">
      <c r="A1545" s="336"/>
      <c r="B1545" s="336"/>
      <c r="C1545" s="336"/>
      <c r="D1545" s="336"/>
      <c r="E1545" s="336"/>
      <c r="F1545" s="104" t="b">
        <f t="array" ref="F1545">IF(_xlfn.NUMBERVALUE(RIGHT($E1545,2))=MAX(IF(LEFT($E1545:$E3543,11)=LEFT($E1545,11),_xlfn.NUMBERVALUE(RIGHT($E1545:$E3543,2)))),TRUE)</f>
        <v>1</v>
      </c>
      <c r="G1545" s="336"/>
      <c r="H1545" s="336"/>
      <c r="I1545" s="336"/>
      <c r="J1545" s="336"/>
      <c r="K1545" s="336"/>
      <c r="L1545" s="336"/>
      <c r="M1545" s="336"/>
      <c r="N1545" s="336"/>
      <c r="O1545" s="336"/>
      <c r="P1545" s="336"/>
      <c r="Q1545" s="336"/>
      <c r="R1545" s="336"/>
      <c r="S1545" s="336"/>
      <c r="T1545" s="336"/>
    </row>
    <row r="1546" spans="1:20" x14ac:dyDescent="0.25">
      <c r="A1546" s="336"/>
      <c r="B1546" s="336"/>
      <c r="C1546" s="336"/>
      <c r="D1546" s="336"/>
      <c r="E1546" s="336"/>
      <c r="F1546" s="104" t="b">
        <f t="array" ref="F1546">IF(_xlfn.NUMBERVALUE(RIGHT($E1546,2))=MAX(IF(LEFT($E1546:$E3544,11)=LEFT($E1546,11),_xlfn.NUMBERVALUE(RIGHT($E1546:$E3544,2)))),TRUE)</f>
        <v>1</v>
      </c>
      <c r="G1546" s="336"/>
      <c r="H1546" s="336"/>
      <c r="I1546" s="336"/>
      <c r="J1546" s="336"/>
      <c r="K1546" s="336"/>
      <c r="L1546" s="336"/>
      <c r="M1546" s="336"/>
      <c r="N1546" s="336"/>
      <c r="O1546" s="336"/>
      <c r="P1546" s="336"/>
      <c r="Q1546" s="336"/>
      <c r="R1546" s="336"/>
      <c r="S1546" s="336"/>
      <c r="T1546" s="336"/>
    </row>
    <row r="1547" spans="1:20" x14ac:dyDescent="0.25">
      <c r="A1547" s="336"/>
      <c r="B1547" s="336"/>
      <c r="C1547" s="336"/>
      <c r="D1547" s="336"/>
      <c r="E1547" s="336"/>
      <c r="F1547" s="104" t="b">
        <f t="array" ref="F1547">IF(_xlfn.NUMBERVALUE(RIGHT($E1547,2))=MAX(IF(LEFT($E1547:$E3545,11)=LEFT($E1547,11),_xlfn.NUMBERVALUE(RIGHT($E1547:$E3545,2)))),TRUE)</f>
        <v>1</v>
      </c>
      <c r="G1547" s="336"/>
      <c r="H1547" s="336"/>
      <c r="I1547" s="336"/>
      <c r="J1547" s="336"/>
      <c r="K1547" s="336"/>
      <c r="L1547" s="336"/>
      <c r="M1547" s="336"/>
      <c r="N1547" s="336"/>
      <c r="O1547" s="336"/>
      <c r="P1547" s="336"/>
      <c r="Q1547" s="336"/>
      <c r="R1547" s="336"/>
      <c r="S1547" s="336"/>
      <c r="T1547" s="336"/>
    </row>
    <row r="1548" spans="1:20" x14ac:dyDescent="0.25">
      <c r="A1548" s="336"/>
      <c r="B1548" s="336"/>
      <c r="C1548" s="336"/>
      <c r="D1548" s="336"/>
      <c r="E1548" s="336"/>
      <c r="F1548" s="104" t="b">
        <f t="array" ref="F1548">IF(_xlfn.NUMBERVALUE(RIGHT($E1548,2))=MAX(IF(LEFT($E1548:$E3546,11)=LEFT($E1548,11),_xlfn.NUMBERVALUE(RIGHT($E1548:$E3546,2)))),TRUE)</f>
        <v>1</v>
      </c>
      <c r="G1548" s="336"/>
      <c r="H1548" s="336"/>
      <c r="I1548" s="336"/>
      <c r="J1548" s="336"/>
      <c r="K1548" s="336"/>
      <c r="L1548" s="336"/>
      <c r="M1548" s="336"/>
      <c r="N1548" s="336"/>
      <c r="O1548" s="336"/>
      <c r="P1548" s="336"/>
      <c r="Q1548" s="336"/>
      <c r="R1548" s="336"/>
      <c r="S1548" s="336"/>
      <c r="T1548" s="336"/>
    </row>
    <row r="1549" spans="1:20" x14ac:dyDescent="0.25">
      <c r="A1549" s="336"/>
      <c r="B1549" s="336"/>
      <c r="C1549" s="336"/>
      <c r="D1549" s="336"/>
      <c r="E1549" s="336"/>
      <c r="F1549" s="104" t="b">
        <f t="array" ref="F1549">IF(_xlfn.NUMBERVALUE(RIGHT($E1549,2))=MAX(IF(LEFT($E1549:$E3547,11)=LEFT($E1549,11),_xlfn.NUMBERVALUE(RIGHT($E1549:$E3547,2)))),TRUE)</f>
        <v>1</v>
      </c>
      <c r="G1549" s="336"/>
      <c r="H1549" s="336"/>
      <c r="I1549" s="336"/>
      <c r="J1549" s="336"/>
      <c r="K1549" s="336"/>
      <c r="L1549" s="336"/>
      <c r="M1549" s="336"/>
      <c r="N1549" s="336"/>
      <c r="O1549" s="336"/>
      <c r="P1549" s="336"/>
      <c r="Q1549" s="336"/>
      <c r="R1549" s="336"/>
      <c r="S1549" s="336"/>
      <c r="T1549" s="336"/>
    </row>
    <row r="1550" spans="1:20" x14ac:dyDescent="0.25">
      <c r="A1550" s="336"/>
      <c r="B1550" s="336"/>
      <c r="C1550" s="336"/>
      <c r="D1550" s="336"/>
      <c r="E1550" s="336"/>
      <c r="F1550" s="104" t="b">
        <f t="array" ref="F1550">IF(_xlfn.NUMBERVALUE(RIGHT($E1550,2))=MAX(IF(LEFT($E1550:$E3548,11)=LEFT($E1550,11),_xlfn.NUMBERVALUE(RIGHT($E1550:$E3548,2)))),TRUE)</f>
        <v>1</v>
      </c>
      <c r="G1550" s="336"/>
      <c r="H1550" s="336"/>
      <c r="I1550" s="336"/>
      <c r="J1550" s="336"/>
      <c r="K1550" s="336"/>
      <c r="L1550" s="336"/>
      <c r="M1550" s="336"/>
      <c r="N1550" s="336"/>
      <c r="O1550" s="336"/>
      <c r="P1550" s="336"/>
      <c r="Q1550" s="336"/>
      <c r="R1550" s="336"/>
      <c r="S1550" s="336"/>
      <c r="T1550" s="336"/>
    </row>
    <row r="1551" spans="1:20" x14ac:dyDescent="0.25">
      <c r="A1551" s="336"/>
      <c r="B1551" s="336"/>
      <c r="C1551" s="336"/>
      <c r="D1551" s="336"/>
      <c r="E1551" s="336"/>
      <c r="F1551" s="104" t="b">
        <f t="array" ref="F1551">IF(_xlfn.NUMBERVALUE(RIGHT($E1551,2))=MAX(IF(LEFT($E1551:$E3549,11)=LEFT($E1551,11),_xlfn.NUMBERVALUE(RIGHT($E1551:$E3549,2)))),TRUE)</f>
        <v>1</v>
      </c>
      <c r="G1551" s="336"/>
      <c r="H1551" s="336"/>
      <c r="I1551" s="336"/>
      <c r="J1551" s="336"/>
      <c r="K1551" s="336"/>
      <c r="L1551" s="336"/>
      <c r="M1551" s="336"/>
      <c r="N1551" s="336"/>
      <c r="O1551" s="336"/>
      <c r="P1551" s="336"/>
      <c r="Q1551" s="336"/>
      <c r="R1551" s="336"/>
      <c r="S1551" s="336"/>
      <c r="T1551" s="336"/>
    </row>
    <row r="1552" spans="1:20" x14ac:dyDescent="0.25">
      <c r="A1552" s="336"/>
      <c r="B1552" s="336"/>
      <c r="C1552" s="336"/>
      <c r="D1552" s="336"/>
      <c r="E1552" s="336"/>
      <c r="F1552" s="104" t="b">
        <f t="array" ref="F1552">IF(_xlfn.NUMBERVALUE(RIGHT($E1552,2))=MAX(IF(LEFT($E1552:$E3550,11)=LEFT($E1552,11),_xlfn.NUMBERVALUE(RIGHT($E1552:$E3550,2)))),TRUE)</f>
        <v>1</v>
      </c>
      <c r="G1552" s="336"/>
      <c r="H1552" s="336"/>
      <c r="I1552" s="336"/>
      <c r="J1552" s="336"/>
      <c r="K1552" s="336"/>
      <c r="L1552" s="336"/>
      <c r="M1552" s="336"/>
      <c r="N1552" s="336"/>
      <c r="O1552" s="336"/>
      <c r="P1552" s="336"/>
      <c r="Q1552" s="336"/>
      <c r="R1552" s="336"/>
      <c r="S1552" s="336"/>
      <c r="T1552" s="336"/>
    </row>
    <row r="1553" spans="1:20" x14ac:dyDescent="0.25">
      <c r="A1553" s="336"/>
      <c r="B1553" s="336"/>
      <c r="C1553" s="336"/>
      <c r="D1553" s="336"/>
      <c r="E1553" s="336"/>
      <c r="F1553" s="104" t="b">
        <f t="array" ref="F1553">IF(_xlfn.NUMBERVALUE(RIGHT($E1553,2))=MAX(IF(LEFT($E1553:$E3551,11)=LEFT($E1553,11),_xlfn.NUMBERVALUE(RIGHT($E1553:$E3551,2)))),TRUE)</f>
        <v>1</v>
      </c>
      <c r="G1553" s="336"/>
      <c r="H1553" s="336"/>
      <c r="I1553" s="336"/>
      <c r="J1553" s="336"/>
      <c r="K1553" s="336"/>
      <c r="L1553" s="336"/>
      <c r="M1553" s="336"/>
      <c r="N1553" s="336"/>
      <c r="O1553" s="336"/>
      <c r="P1553" s="336"/>
      <c r="Q1553" s="336"/>
      <c r="R1553" s="336"/>
      <c r="S1553" s="336"/>
      <c r="T1553" s="336"/>
    </row>
    <row r="1554" spans="1:20" x14ac:dyDescent="0.25">
      <c r="A1554" s="336"/>
      <c r="B1554" s="336"/>
      <c r="C1554" s="336"/>
      <c r="D1554" s="336"/>
      <c r="E1554" s="336"/>
      <c r="F1554" s="104" t="b">
        <f t="array" ref="F1554">IF(_xlfn.NUMBERVALUE(RIGHT($E1554,2))=MAX(IF(LEFT($E1554:$E3552,11)=LEFT($E1554,11),_xlfn.NUMBERVALUE(RIGHT($E1554:$E3552,2)))),TRUE)</f>
        <v>1</v>
      </c>
      <c r="G1554" s="336"/>
      <c r="H1554" s="336"/>
      <c r="I1554" s="336"/>
      <c r="J1554" s="336"/>
      <c r="K1554" s="336"/>
      <c r="L1554" s="336"/>
      <c r="M1554" s="336"/>
      <c r="N1554" s="336"/>
      <c r="O1554" s="336"/>
      <c r="P1554" s="336"/>
      <c r="Q1554" s="336"/>
      <c r="R1554" s="336"/>
      <c r="S1554" s="336"/>
      <c r="T1554" s="336"/>
    </row>
    <row r="1555" spans="1:20" x14ac:dyDescent="0.25">
      <c r="A1555" s="336"/>
      <c r="B1555" s="336"/>
      <c r="C1555" s="336"/>
      <c r="D1555" s="336"/>
      <c r="E1555" s="336"/>
      <c r="F1555" s="104" t="b">
        <f t="array" ref="F1555">IF(_xlfn.NUMBERVALUE(RIGHT($E1555,2))=MAX(IF(LEFT($E1555:$E3553,11)=LEFT($E1555,11),_xlfn.NUMBERVALUE(RIGHT($E1555:$E3553,2)))),TRUE)</f>
        <v>1</v>
      </c>
      <c r="G1555" s="336"/>
      <c r="H1555" s="336"/>
      <c r="I1555" s="336"/>
      <c r="J1555" s="336"/>
      <c r="K1555" s="336"/>
      <c r="L1555" s="336"/>
      <c r="M1555" s="336"/>
      <c r="N1555" s="336"/>
      <c r="O1555" s="336"/>
      <c r="P1555" s="336"/>
      <c r="Q1555" s="336"/>
      <c r="R1555" s="336"/>
      <c r="S1555" s="336"/>
      <c r="T1555" s="336"/>
    </row>
    <row r="1556" spans="1:20" x14ac:dyDescent="0.25">
      <c r="A1556" s="336"/>
      <c r="B1556" s="336"/>
      <c r="C1556" s="336"/>
      <c r="D1556" s="336"/>
      <c r="E1556" s="336"/>
      <c r="F1556" s="104" t="b">
        <f t="array" ref="F1556">IF(_xlfn.NUMBERVALUE(RIGHT($E1556,2))=MAX(IF(LEFT($E1556:$E3554,11)=LEFT($E1556,11),_xlfn.NUMBERVALUE(RIGHT($E1556:$E3554,2)))),TRUE)</f>
        <v>1</v>
      </c>
      <c r="G1556" s="336"/>
      <c r="H1556" s="336"/>
      <c r="I1556" s="336"/>
      <c r="J1556" s="336"/>
      <c r="K1556" s="336"/>
      <c r="L1556" s="336"/>
      <c r="M1556" s="336"/>
      <c r="N1556" s="336"/>
      <c r="O1556" s="336"/>
      <c r="P1556" s="336"/>
      <c r="Q1556" s="336"/>
      <c r="R1556" s="336"/>
      <c r="S1556" s="336"/>
      <c r="T1556" s="336"/>
    </row>
    <row r="1557" spans="1:20" x14ac:dyDescent="0.25">
      <c r="A1557" s="336"/>
      <c r="B1557" s="336"/>
      <c r="C1557" s="336"/>
      <c r="D1557" s="336"/>
      <c r="E1557" s="336"/>
      <c r="F1557" s="104" t="b">
        <f t="array" ref="F1557">IF(_xlfn.NUMBERVALUE(RIGHT($E1557,2))=MAX(IF(LEFT($E1557:$E3555,11)=LEFT($E1557,11),_xlfn.NUMBERVALUE(RIGHT($E1557:$E3555,2)))),TRUE)</f>
        <v>1</v>
      </c>
      <c r="G1557" s="336"/>
      <c r="H1557" s="336"/>
      <c r="I1557" s="336"/>
      <c r="J1557" s="336"/>
      <c r="K1557" s="336"/>
      <c r="L1557" s="336"/>
      <c r="M1557" s="336"/>
      <c r="N1557" s="336"/>
      <c r="O1557" s="336"/>
      <c r="P1557" s="336"/>
      <c r="Q1557" s="336"/>
      <c r="R1557" s="336"/>
      <c r="S1557" s="336"/>
      <c r="T1557" s="336"/>
    </row>
    <row r="1558" spans="1:20" x14ac:dyDescent="0.25">
      <c r="A1558" s="336"/>
      <c r="B1558" s="336"/>
      <c r="C1558" s="336"/>
      <c r="D1558" s="336"/>
      <c r="E1558" s="336"/>
      <c r="F1558" s="104" t="b">
        <f t="array" ref="F1558">IF(_xlfn.NUMBERVALUE(RIGHT($E1558,2))=MAX(IF(LEFT($E1558:$E3556,11)=LEFT($E1558,11),_xlfn.NUMBERVALUE(RIGHT($E1558:$E3556,2)))),TRUE)</f>
        <v>1</v>
      </c>
      <c r="G1558" s="336"/>
      <c r="H1558" s="336"/>
      <c r="I1558" s="336"/>
      <c r="J1558" s="336"/>
      <c r="K1558" s="336"/>
      <c r="L1558" s="336"/>
      <c r="M1558" s="336"/>
      <c r="N1558" s="336"/>
      <c r="O1558" s="336"/>
      <c r="P1558" s="336"/>
      <c r="Q1558" s="336"/>
      <c r="R1558" s="336"/>
      <c r="S1558" s="336"/>
      <c r="T1558" s="336"/>
    </row>
    <row r="1559" spans="1:20" x14ac:dyDescent="0.25">
      <c r="A1559" s="336"/>
      <c r="B1559" s="336"/>
      <c r="C1559" s="336"/>
      <c r="D1559" s="336"/>
      <c r="E1559" s="336"/>
      <c r="F1559" s="104" t="b">
        <f t="array" ref="F1559">IF(_xlfn.NUMBERVALUE(RIGHT($E1559,2))=MAX(IF(LEFT($E1559:$E3557,11)=LEFT($E1559,11),_xlfn.NUMBERVALUE(RIGHT($E1559:$E3557,2)))),TRUE)</f>
        <v>1</v>
      </c>
      <c r="G1559" s="336"/>
      <c r="H1559" s="336"/>
      <c r="I1559" s="336"/>
      <c r="J1559" s="336"/>
      <c r="K1559" s="336"/>
      <c r="L1559" s="336"/>
      <c r="M1559" s="336"/>
      <c r="N1559" s="336"/>
      <c r="O1559" s="336"/>
      <c r="P1559" s="336"/>
      <c r="Q1559" s="336"/>
      <c r="R1559" s="336"/>
      <c r="S1559" s="336"/>
      <c r="T1559" s="336"/>
    </row>
    <row r="1560" spans="1:20" x14ac:dyDescent="0.25">
      <c r="A1560" s="336"/>
      <c r="B1560" s="336"/>
      <c r="C1560" s="336"/>
      <c r="D1560" s="336"/>
      <c r="E1560" s="336"/>
      <c r="F1560" s="104" t="b">
        <f t="array" ref="F1560">IF(_xlfn.NUMBERVALUE(RIGHT($E1560,2))=MAX(IF(LEFT($E1560:$E3558,11)=LEFT($E1560,11),_xlfn.NUMBERVALUE(RIGHT($E1560:$E3558,2)))),TRUE)</f>
        <v>1</v>
      </c>
      <c r="G1560" s="336"/>
      <c r="H1560" s="336"/>
      <c r="I1560" s="336"/>
      <c r="J1560" s="336"/>
      <c r="K1560" s="336"/>
      <c r="L1560" s="336"/>
      <c r="M1560" s="336"/>
      <c r="N1560" s="336"/>
      <c r="O1560" s="336"/>
      <c r="P1560" s="336"/>
      <c r="Q1560" s="336"/>
      <c r="R1560" s="336"/>
      <c r="S1560" s="336"/>
      <c r="T1560" s="336"/>
    </row>
    <row r="1561" spans="1:20" x14ac:dyDescent="0.25">
      <c r="A1561" s="336"/>
      <c r="B1561" s="336"/>
      <c r="C1561" s="336"/>
      <c r="D1561" s="336"/>
      <c r="E1561" s="336"/>
      <c r="F1561" s="104" t="b">
        <f t="array" ref="F1561">IF(_xlfn.NUMBERVALUE(RIGHT($E1561,2))=MAX(IF(LEFT($E1561:$E3559,11)=LEFT($E1561,11),_xlfn.NUMBERVALUE(RIGHT($E1561:$E3559,2)))),TRUE)</f>
        <v>1</v>
      </c>
      <c r="G1561" s="336"/>
      <c r="H1561" s="336"/>
      <c r="I1561" s="336"/>
      <c r="J1561" s="336"/>
      <c r="K1561" s="336"/>
      <c r="L1561" s="336"/>
      <c r="M1561" s="336"/>
      <c r="N1561" s="336"/>
      <c r="O1561" s="336"/>
      <c r="P1561" s="336"/>
      <c r="Q1561" s="336"/>
      <c r="R1561" s="336"/>
      <c r="S1561" s="336"/>
      <c r="T1561" s="336"/>
    </row>
    <row r="1562" spans="1:20" x14ac:dyDescent="0.25">
      <c r="A1562" s="336"/>
      <c r="B1562" s="336"/>
      <c r="C1562" s="336"/>
      <c r="D1562" s="336"/>
      <c r="E1562" s="336"/>
      <c r="F1562" s="104" t="b">
        <f t="array" ref="F1562">IF(_xlfn.NUMBERVALUE(RIGHT($E1562,2))=MAX(IF(LEFT($E1562:$E3560,11)=LEFT($E1562,11),_xlfn.NUMBERVALUE(RIGHT($E1562:$E3560,2)))),TRUE)</f>
        <v>1</v>
      </c>
      <c r="G1562" s="336"/>
      <c r="H1562" s="336"/>
      <c r="I1562" s="336"/>
      <c r="J1562" s="336"/>
      <c r="K1562" s="336"/>
      <c r="L1562" s="336"/>
      <c r="M1562" s="336"/>
      <c r="N1562" s="336"/>
      <c r="O1562" s="336"/>
      <c r="P1562" s="336"/>
      <c r="Q1562" s="336"/>
      <c r="R1562" s="336"/>
      <c r="S1562" s="336"/>
      <c r="T1562" s="336"/>
    </row>
    <row r="1563" spans="1:20" x14ac:dyDescent="0.25">
      <c r="A1563" s="336"/>
      <c r="B1563" s="336"/>
      <c r="C1563" s="336"/>
      <c r="D1563" s="336"/>
      <c r="E1563" s="336"/>
      <c r="F1563" s="104" t="b">
        <f t="array" ref="F1563">IF(_xlfn.NUMBERVALUE(RIGHT($E1563,2))=MAX(IF(LEFT($E1563:$E3561,11)=LEFT($E1563,11),_xlfn.NUMBERVALUE(RIGHT($E1563:$E3561,2)))),TRUE)</f>
        <v>1</v>
      </c>
      <c r="G1563" s="336"/>
      <c r="H1563" s="336"/>
      <c r="I1563" s="336"/>
      <c r="J1563" s="336"/>
      <c r="K1563" s="336"/>
      <c r="L1563" s="336"/>
      <c r="M1563" s="336"/>
      <c r="N1563" s="336"/>
      <c r="O1563" s="336"/>
      <c r="P1563" s="336"/>
      <c r="Q1563" s="336"/>
      <c r="R1563" s="336"/>
      <c r="S1563" s="336"/>
      <c r="T1563" s="336"/>
    </row>
    <row r="1564" spans="1:20" x14ac:dyDescent="0.25">
      <c r="A1564" s="336"/>
      <c r="B1564" s="336"/>
      <c r="C1564" s="336"/>
      <c r="D1564" s="336"/>
      <c r="E1564" s="336"/>
      <c r="F1564" s="104" t="b">
        <f t="array" ref="F1564">IF(_xlfn.NUMBERVALUE(RIGHT($E1564,2))=MAX(IF(LEFT($E1564:$E3562,11)=LEFT($E1564,11),_xlfn.NUMBERVALUE(RIGHT($E1564:$E3562,2)))),TRUE)</f>
        <v>1</v>
      </c>
      <c r="G1564" s="336"/>
      <c r="H1564" s="336"/>
      <c r="I1564" s="336"/>
      <c r="J1564" s="336"/>
      <c r="K1564" s="336"/>
      <c r="L1564" s="336"/>
      <c r="M1564" s="336"/>
      <c r="N1564" s="336"/>
      <c r="O1564" s="336"/>
      <c r="P1564" s="336"/>
      <c r="Q1564" s="336"/>
      <c r="R1564" s="336"/>
      <c r="S1564" s="336"/>
      <c r="T1564" s="336"/>
    </row>
    <row r="1565" spans="1:20" x14ac:dyDescent="0.25">
      <c r="A1565" s="336"/>
      <c r="B1565" s="336"/>
      <c r="C1565" s="336"/>
      <c r="D1565" s="336"/>
      <c r="E1565" s="336"/>
      <c r="F1565" s="104" t="b">
        <f t="array" ref="F1565">IF(_xlfn.NUMBERVALUE(RIGHT($E1565,2))=MAX(IF(LEFT($E1565:$E3563,11)=LEFT($E1565,11),_xlfn.NUMBERVALUE(RIGHT($E1565:$E3563,2)))),TRUE)</f>
        <v>1</v>
      </c>
      <c r="G1565" s="336"/>
      <c r="H1565" s="336"/>
      <c r="I1565" s="336"/>
      <c r="J1565" s="336"/>
      <c r="K1565" s="336"/>
      <c r="L1565" s="336"/>
      <c r="M1565" s="336"/>
      <c r="N1565" s="336"/>
      <c r="O1565" s="336"/>
      <c r="P1565" s="336"/>
      <c r="Q1565" s="336"/>
      <c r="R1565" s="336"/>
      <c r="S1565" s="336"/>
      <c r="T1565" s="336"/>
    </row>
    <row r="1566" spans="1:20" x14ac:dyDescent="0.25">
      <c r="A1566" s="336"/>
      <c r="B1566" s="336"/>
      <c r="C1566" s="336"/>
      <c r="D1566" s="336"/>
      <c r="E1566" s="336"/>
      <c r="F1566" s="104" t="b">
        <f t="array" ref="F1566">IF(_xlfn.NUMBERVALUE(RIGHT($E1566,2))=MAX(IF(LEFT($E1566:$E3564,11)=LEFT($E1566,11),_xlfn.NUMBERVALUE(RIGHT($E1566:$E3564,2)))),TRUE)</f>
        <v>1</v>
      </c>
      <c r="G1566" s="336"/>
      <c r="H1566" s="336"/>
      <c r="I1566" s="336"/>
      <c r="J1566" s="336"/>
      <c r="K1566" s="336"/>
      <c r="L1566" s="336"/>
      <c r="M1566" s="336"/>
      <c r="N1566" s="336"/>
      <c r="O1566" s="336"/>
      <c r="P1566" s="336"/>
      <c r="Q1566" s="336"/>
      <c r="R1566" s="336"/>
      <c r="S1566" s="336"/>
      <c r="T1566" s="336"/>
    </row>
    <row r="1567" spans="1:20" x14ac:dyDescent="0.25">
      <c r="A1567" s="336"/>
      <c r="B1567" s="336"/>
      <c r="C1567" s="336"/>
      <c r="D1567" s="336"/>
      <c r="E1567" s="336"/>
      <c r="F1567" s="104" t="b">
        <f t="array" ref="F1567">IF(_xlfn.NUMBERVALUE(RIGHT($E1567,2))=MAX(IF(LEFT($E1567:$E3565,11)=LEFT($E1567,11),_xlfn.NUMBERVALUE(RIGHT($E1567:$E3565,2)))),TRUE)</f>
        <v>1</v>
      </c>
      <c r="G1567" s="336"/>
      <c r="H1567" s="336"/>
      <c r="I1567" s="336"/>
      <c r="J1567" s="336"/>
      <c r="K1567" s="336"/>
      <c r="L1567" s="336"/>
      <c r="M1567" s="336"/>
      <c r="N1567" s="336"/>
      <c r="O1567" s="336"/>
      <c r="P1567" s="336"/>
      <c r="Q1567" s="336"/>
      <c r="R1567" s="336"/>
      <c r="S1567" s="336"/>
      <c r="T1567" s="336"/>
    </row>
    <row r="1568" spans="1:20" x14ac:dyDescent="0.25">
      <c r="A1568" s="336"/>
      <c r="B1568" s="336"/>
      <c r="C1568" s="336"/>
      <c r="D1568" s="336"/>
      <c r="E1568" s="336"/>
      <c r="F1568" s="104" t="b">
        <f t="array" ref="F1568">IF(_xlfn.NUMBERVALUE(RIGHT($E1568,2))=MAX(IF(LEFT($E1568:$E3566,11)=LEFT($E1568,11),_xlfn.NUMBERVALUE(RIGHT($E1568:$E3566,2)))),TRUE)</f>
        <v>1</v>
      </c>
      <c r="G1568" s="336"/>
      <c r="H1568" s="336"/>
      <c r="I1568" s="336"/>
      <c r="J1568" s="336"/>
      <c r="K1568" s="336"/>
      <c r="L1568" s="336"/>
      <c r="M1568" s="336"/>
      <c r="N1568" s="336"/>
      <c r="O1568" s="336"/>
      <c r="P1568" s="336"/>
      <c r="Q1568" s="336"/>
      <c r="R1568" s="336"/>
      <c r="S1568" s="336"/>
      <c r="T1568" s="336"/>
    </row>
    <row r="1569" spans="1:20" x14ac:dyDescent="0.25">
      <c r="A1569" s="336"/>
      <c r="B1569" s="336"/>
      <c r="C1569" s="336"/>
      <c r="D1569" s="336"/>
      <c r="E1569" s="336"/>
      <c r="F1569" s="104" t="b">
        <f t="array" ref="F1569">IF(_xlfn.NUMBERVALUE(RIGHT($E1569,2))=MAX(IF(LEFT($E1569:$E3567,11)=LEFT($E1569,11),_xlfn.NUMBERVALUE(RIGHT($E1569:$E3567,2)))),TRUE)</f>
        <v>1</v>
      </c>
      <c r="G1569" s="336"/>
      <c r="H1569" s="336"/>
      <c r="I1569" s="336"/>
      <c r="J1569" s="336"/>
      <c r="K1569" s="336"/>
      <c r="L1569" s="336"/>
      <c r="M1569" s="336"/>
      <c r="N1569" s="336"/>
      <c r="O1569" s="336"/>
      <c r="P1569" s="336"/>
      <c r="Q1569" s="336"/>
      <c r="R1569" s="336"/>
      <c r="S1569" s="336"/>
      <c r="T1569" s="336"/>
    </row>
    <row r="1570" spans="1:20" x14ac:dyDescent="0.25">
      <c r="A1570" s="336"/>
      <c r="B1570" s="336"/>
      <c r="C1570" s="336"/>
      <c r="D1570" s="336"/>
      <c r="E1570" s="336"/>
      <c r="F1570" s="104" t="b">
        <f t="array" ref="F1570">IF(_xlfn.NUMBERVALUE(RIGHT($E1570,2))=MAX(IF(LEFT($E1570:$E3568,11)=LEFT($E1570,11),_xlfn.NUMBERVALUE(RIGHT($E1570:$E3568,2)))),TRUE)</f>
        <v>1</v>
      </c>
      <c r="G1570" s="336"/>
      <c r="H1570" s="336"/>
      <c r="I1570" s="336"/>
      <c r="J1570" s="336"/>
      <c r="K1570" s="336"/>
      <c r="L1570" s="336"/>
      <c r="M1570" s="336"/>
      <c r="N1570" s="336"/>
      <c r="O1570" s="336"/>
      <c r="P1570" s="336"/>
      <c r="Q1570" s="336"/>
      <c r="R1570" s="336"/>
      <c r="S1570" s="336"/>
      <c r="T1570" s="336"/>
    </row>
    <row r="1571" spans="1:20" x14ac:dyDescent="0.25">
      <c r="A1571" s="336"/>
      <c r="B1571" s="336"/>
      <c r="C1571" s="336"/>
      <c r="D1571" s="336"/>
      <c r="E1571" s="336"/>
      <c r="F1571" s="104" t="b">
        <f t="array" ref="F1571">IF(_xlfn.NUMBERVALUE(RIGHT($E1571,2))=MAX(IF(LEFT($E1571:$E3569,11)=LEFT($E1571,11),_xlfn.NUMBERVALUE(RIGHT($E1571:$E3569,2)))),TRUE)</f>
        <v>1</v>
      </c>
      <c r="G1571" s="336"/>
      <c r="H1571" s="336"/>
      <c r="I1571" s="336"/>
      <c r="J1571" s="336"/>
      <c r="K1571" s="336"/>
      <c r="L1571" s="336"/>
      <c r="M1571" s="336"/>
      <c r="N1571" s="336"/>
      <c r="O1571" s="336"/>
      <c r="P1571" s="336"/>
      <c r="Q1571" s="336"/>
      <c r="R1571" s="336"/>
      <c r="S1571" s="336"/>
      <c r="T1571" s="336"/>
    </row>
    <row r="1572" spans="1:20" x14ac:dyDescent="0.25">
      <c r="A1572" s="336"/>
      <c r="B1572" s="336"/>
      <c r="C1572" s="336"/>
      <c r="D1572" s="336"/>
      <c r="E1572" s="336"/>
      <c r="F1572" s="104" t="b">
        <f t="array" ref="F1572">IF(_xlfn.NUMBERVALUE(RIGHT($E1572,2))=MAX(IF(LEFT($E1572:$E3570,11)=LEFT($E1572,11),_xlfn.NUMBERVALUE(RIGHT($E1572:$E3570,2)))),TRUE)</f>
        <v>1</v>
      </c>
      <c r="G1572" s="336"/>
      <c r="H1572" s="336"/>
      <c r="I1572" s="336"/>
      <c r="J1572" s="336"/>
      <c r="K1572" s="336"/>
      <c r="L1572" s="336"/>
      <c r="M1572" s="336"/>
      <c r="N1572" s="336"/>
      <c r="O1572" s="336"/>
      <c r="P1572" s="336"/>
      <c r="Q1572" s="336"/>
      <c r="R1572" s="336"/>
      <c r="S1572" s="336"/>
      <c r="T1572" s="336"/>
    </row>
    <row r="1573" spans="1:20" x14ac:dyDescent="0.25">
      <c r="A1573" s="336"/>
      <c r="B1573" s="336"/>
      <c r="C1573" s="336"/>
      <c r="D1573" s="336"/>
      <c r="E1573" s="336"/>
      <c r="F1573" s="104" t="b">
        <f t="array" ref="F1573">IF(_xlfn.NUMBERVALUE(RIGHT($E1573,2))=MAX(IF(LEFT($E1573:$E3571,11)=LEFT($E1573,11),_xlfn.NUMBERVALUE(RIGHT($E1573:$E3571,2)))),TRUE)</f>
        <v>1</v>
      </c>
      <c r="G1573" s="336"/>
      <c r="H1573" s="336"/>
      <c r="I1573" s="336"/>
      <c r="J1573" s="336"/>
      <c r="K1573" s="336"/>
      <c r="L1573" s="336"/>
      <c r="M1573" s="336"/>
      <c r="N1573" s="336"/>
      <c r="O1573" s="336"/>
      <c r="P1573" s="336"/>
      <c r="Q1573" s="336"/>
      <c r="R1573" s="336"/>
      <c r="S1573" s="336"/>
      <c r="T1573" s="336"/>
    </row>
    <row r="1574" spans="1:20" x14ac:dyDescent="0.25">
      <c r="A1574" s="336"/>
      <c r="B1574" s="336"/>
      <c r="C1574" s="336"/>
      <c r="D1574" s="336"/>
      <c r="E1574" s="336"/>
      <c r="F1574" s="104" t="b">
        <f t="array" ref="F1574">IF(_xlfn.NUMBERVALUE(RIGHT($E1574,2))=MAX(IF(LEFT($E1574:$E3572,11)=LEFT($E1574,11),_xlfn.NUMBERVALUE(RIGHT($E1574:$E3572,2)))),TRUE)</f>
        <v>1</v>
      </c>
      <c r="G1574" s="336"/>
      <c r="H1574" s="336"/>
      <c r="I1574" s="336"/>
      <c r="J1574" s="336"/>
      <c r="K1574" s="336"/>
      <c r="L1574" s="336"/>
      <c r="M1574" s="336"/>
      <c r="N1574" s="336"/>
      <c r="O1574" s="336"/>
      <c r="P1574" s="336"/>
      <c r="Q1574" s="336"/>
      <c r="R1574" s="336"/>
      <c r="S1574" s="336"/>
      <c r="T1574" s="336"/>
    </row>
    <row r="1575" spans="1:20" x14ac:dyDescent="0.25">
      <c r="A1575" s="336"/>
      <c r="B1575" s="336"/>
      <c r="C1575" s="336"/>
      <c r="D1575" s="336"/>
      <c r="E1575" s="336"/>
      <c r="F1575" s="104" t="b">
        <f t="array" ref="F1575">IF(_xlfn.NUMBERVALUE(RIGHT($E1575,2))=MAX(IF(LEFT($E1575:$E3573,11)=LEFT($E1575,11),_xlfn.NUMBERVALUE(RIGHT($E1575:$E3573,2)))),TRUE)</f>
        <v>1</v>
      </c>
      <c r="G1575" s="336"/>
      <c r="H1575" s="336"/>
      <c r="I1575" s="336"/>
      <c r="J1575" s="336"/>
      <c r="K1575" s="336"/>
      <c r="L1575" s="336"/>
      <c r="M1575" s="336"/>
      <c r="N1575" s="336"/>
      <c r="O1575" s="336"/>
      <c r="P1575" s="336"/>
      <c r="Q1575" s="336"/>
      <c r="R1575" s="336"/>
      <c r="S1575" s="336"/>
      <c r="T1575" s="336"/>
    </row>
    <row r="1576" spans="1:20" x14ac:dyDescent="0.25">
      <c r="A1576" s="336"/>
      <c r="B1576" s="336"/>
      <c r="C1576" s="336"/>
      <c r="D1576" s="336"/>
      <c r="E1576" s="336"/>
      <c r="F1576" s="104" t="b">
        <f t="array" ref="F1576">IF(_xlfn.NUMBERVALUE(RIGHT($E1576,2))=MAX(IF(LEFT($E1576:$E3574,11)=LEFT($E1576,11),_xlfn.NUMBERVALUE(RIGHT($E1576:$E3574,2)))),TRUE)</f>
        <v>1</v>
      </c>
      <c r="G1576" s="336"/>
      <c r="H1576" s="336"/>
      <c r="I1576" s="336"/>
      <c r="J1576" s="336"/>
      <c r="K1576" s="336"/>
      <c r="L1576" s="336"/>
      <c r="M1576" s="336"/>
      <c r="N1576" s="336"/>
      <c r="O1576" s="336"/>
      <c r="P1576" s="336"/>
      <c r="Q1576" s="336"/>
      <c r="R1576" s="336"/>
      <c r="S1576" s="336"/>
      <c r="T1576" s="336"/>
    </row>
    <row r="1577" spans="1:20" x14ac:dyDescent="0.25">
      <c r="A1577" s="336"/>
      <c r="B1577" s="336"/>
      <c r="C1577" s="336"/>
      <c r="D1577" s="336"/>
      <c r="E1577" s="336"/>
      <c r="F1577" s="104" t="b">
        <f t="array" ref="F1577">IF(_xlfn.NUMBERVALUE(RIGHT($E1577,2))=MAX(IF(LEFT($E1577:$E3575,11)=LEFT($E1577,11),_xlfn.NUMBERVALUE(RIGHT($E1577:$E3575,2)))),TRUE)</f>
        <v>1</v>
      </c>
      <c r="G1577" s="336"/>
      <c r="H1577" s="336"/>
      <c r="I1577" s="336"/>
      <c r="J1577" s="336"/>
      <c r="K1577" s="336"/>
      <c r="L1577" s="336"/>
      <c r="M1577" s="336"/>
      <c r="N1577" s="336"/>
      <c r="O1577" s="336"/>
      <c r="P1577" s="336"/>
      <c r="Q1577" s="336"/>
      <c r="R1577" s="336"/>
      <c r="S1577" s="336"/>
      <c r="T1577" s="336"/>
    </row>
    <row r="1578" spans="1:20" x14ac:dyDescent="0.25">
      <c r="A1578" s="336"/>
      <c r="B1578" s="336"/>
      <c r="C1578" s="336"/>
      <c r="D1578" s="336"/>
      <c r="E1578" s="336"/>
      <c r="F1578" s="104" t="b">
        <f t="array" ref="F1578">IF(_xlfn.NUMBERVALUE(RIGHT($E1578,2))=MAX(IF(LEFT($E1578:$E3576,11)=LEFT($E1578,11),_xlfn.NUMBERVALUE(RIGHT($E1578:$E3576,2)))),TRUE)</f>
        <v>1</v>
      </c>
      <c r="G1578" s="336"/>
      <c r="H1578" s="336"/>
      <c r="I1578" s="336"/>
      <c r="J1578" s="336"/>
      <c r="K1578" s="336"/>
      <c r="L1578" s="336"/>
      <c r="M1578" s="336"/>
      <c r="N1578" s="336"/>
      <c r="O1578" s="336"/>
      <c r="P1578" s="336"/>
      <c r="Q1578" s="336"/>
      <c r="R1578" s="336"/>
      <c r="S1578" s="336"/>
      <c r="T1578" s="336"/>
    </row>
    <row r="1579" spans="1:20" x14ac:dyDescent="0.25">
      <c r="A1579" s="336"/>
      <c r="B1579" s="336"/>
      <c r="C1579" s="336"/>
      <c r="D1579" s="336"/>
      <c r="E1579" s="336"/>
      <c r="F1579" s="104" t="b">
        <f t="array" ref="F1579">IF(_xlfn.NUMBERVALUE(RIGHT($E1579,2))=MAX(IF(LEFT($E1579:$E3577,11)=LEFT($E1579,11),_xlfn.NUMBERVALUE(RIGHT($E1579:$E3577,2)))),TRUE)</f>
        <v>1</v>
      </c>
      <c r="G1579" s="336"/>
      <c r="H1579" s="336"/>
      <c r="I1579" s="336"/>
      <c r="J1579" s="336"/>
      <c r="K1579" s="336"/>
      <c r="L1579" s="336"/>
      <c r="M1579" s="336"/>
      <c r="N1579" s="336"/>
      <c r="O1579" s="336"/>
      <c r="P1579" s="336"/>
      <c r="Q1579" s="336"/>
      <c r="R1579" s="336"/>
      <c r="S1579" s="336"/>
      <c r="T1579" s="336"/>
    </row>
    <row r="1580" spans="1:20" x14ac:dyDescent="0.25">
      <c r="A1580" s="336"/>
      <c r="B1580" s="336"/>
      <c r="C1580" s="336"/>
      <c r="D1580" s="336"/>
      <c r="E1580" s="336"/>
      <c r="F1580" s="104" t="b">
        <f t="array" ref="F1580">IF(_xlfn.NUMBERVALUE(RIGHT($E1580,2))=MAX(IF(LEFT($E1580:$E3578,11)=LEFT($E1580,11),_xlfn.NUMBERVALUE(RIGHT($E1580:$E3578,2)))),TRUE)</f>
        <v>1</v>
      </c>
      <c r="G1580" s="336"/>
      <c r="H1580" s="336"/>
      <c r="I1580" s="336"/>
      <c r="J1580" s="336"/>
      <c r="K1580" s="336"/>
      <c r="L1580" s="336"/>
      <c r="M1580" s="336"/>
      <c r="N1580" s="336"/>
      <c r="O1580" s="336"/>
      <c r="P1580" s="336"/>
      <c r="Q1580" s="336"/>
      <c r="R1580" s="336"/>
      <c r="S1580" s="336"/>
      <c r="T1580" s="336"/>
    </row>
    <row r="1581" spans="1:20" x14ac:dyDescent="0.25">
      <c r="A1581" s="336"/>
      <c r="B1581" s="336"/>
      <c r="C1581" s="336"/>
      <c r="D1581" s="336"/>
      <c r="E1581" s="336"/>
      <c r="F1581" s="104" t="b">
        <f t="array" ref="F1581">IF(_xlfn.NUMBERVALUE(RIGHT($E1581,2))=MAX(IF(LEFT($E1581:$E3579,11)=LEFT($E1581,11),_xlfn.NUMBERVALUE(RIGHT($E1581:$E3579,2)))),TRUE)</f>
        <v>1</v>
      </c>
      <c r="G1581" s="336"/>
      <c r="H1581" s="336"/>
      <c r="I1581" s="336"/>
      <c r="J1581" s="336"/>
      <c r="K1581" s="336"/>
      <c r="L1581" s="336"/>
      <c r="M1581" s="336"/>
      <c r="N1581" s="336"/>
      <c r="O1581" s="336"/>
      <c r="P1581" s="336"/>
      <c r="Q1581" s="336"/>
      <c r="R1581" s="336"/>
      <c r="S1581" s="336"/>
      <c r="T1581" s="336"/>
    </row>
    <row r="1582" spans="1:20" x14ac:dyDescent="0.25">
      <c r="A1582" s="336"/>
      <c r="B1582" s="336"/>
      <c r="C1582" s="336"/>
      <c r="D1582" s="336"/>
      <c r="E1582" s="336"/>
      <c r="F1582" s="104" t="b">
        <f t="array" ref="F1582">IF(_xlfn.NUMBERVALUE(RIGHT($E1582,2))=MAX(IF(LEFT($E1582:$E3580,11)=LEFT($E1582,11),_xlfn.NUMBERVALUE(RIGHT($E1582:$E3580,2)))),TRUE)</f>
        <v>1</v>
      </c>
      <c r="G1582" s="336"/>
      <c r="H1582" s="336"/>
      <c r="I1582" s="336"/>
      <c r="J1582" s="336"/>
      <c r="K1582" s="336"/>
      <c r="L1582" s="336"/>
      <c r="M1582" s="336"/>
      <c r="N1582" s="336"/>
      <c r="O1582" s="336"/>
      <c r="P1582" s="336"/>
      <c r="Q1582" s="336"/>
      <c r="R1582" s="336"/>
      <c r="S1582" s="336"/>
      <c r="T1582" s="336"/>
    </row>
    <row r="1583" spans="1:20" x14ac:dyDescent="0.25">
      <c r="A1583" s="336"/>
      <c r="B1583" s="336"/>
      <c r="C1583" s="336"/>
      <c r="D1583" s="336"/>
      <c r="E1583" s="336"/>
      <c r="F1583" s="104" t="b">
        <f t="array" ref="F1583">IF(_xlfn.NUMBERVALUE(RIGHT($E1583,2))=MAX(IF(LEFT($E1583:$E3581,11)=LEFT($E1583,11),_xlfn.NUMBERVALUE(RIGHT($E1583:$E3581,2)))),TRUE)</f>
        <v>1</v>
      </c>
      <c r="G1583" s="336"/>
      <c r="H1583" s="336"/>
      <c r="I1583" s="336"/>
      <c r="J1583" s="336"/>
      <c r="K1583" s="336"/>
      <c r="L1583" s="336"/>
      <c r="M1583" s="336"/>
      <c r="N1583" s="336"/>
      <c r="O1583" s="336"/>
      <c r="P1583" s="336"/>
      <c r="Q1583" s="336"/>
      <c r="R1583" s="336"/>
      <c r="S1583" s="336"/>
      <c r="T1583" s="336"/>
    </row>
    <row r="1584" spans="1:20" x14ac:dyDescent="0.25">
      <c r="A1584" s="336"/>
      <c r="B1584" s="336"/>
      <c r="C1584" s="336"/>
      <c r="D1584" s="336"/>
      <c r="E1584" s="336"/>
      <c r="F1584" s="104" t="b">
        <f t="array" ref="F1584">IF(_xlfn.NUMBERVALUE(RIGHT($E1584,2))=MAX(IF(LEFT($E1584:$E3582,11)=LEFT($E1584,11),_xlfn.NUMBERVALUE(RIGHT($E1584:$E3582,2)))),TRUE)</f>
        <v>1</v>
      </c>
      <c r="G1584" s="336"/>
      <c r="H1584" s="336"/>
      <c r="I1584" s="336"/>
      <c r="J1584" s="336"/>
      <c r="K1584" s="336"/>
      <c r="L1584" s="336"/>
      <c r="M1584" s="336"/>
      <c r="N1584" s="336"/>
      <c r="O1584" s="336"/>
      <c r="P1584" s="336"/>
      <c r="Q1584" s="336"/>
      <c r="R1584" s="336"/>
      <c r="S1584" s="336"/>
      <c r="T1584" s="336"/>
    </row>
    <row r="1585" spans="1:20" x14ac:dyDescent="0.25">
      <c r="A1585" s="336"/>
      <c r="B1585" s="336"/>
      <c r="C1585" s="336"/>
      <c r="D1585" s="336"/>
      <c r="E1585" s="336"/>
      <c r="F1585" s="104" t="b">
        <f t="array" ref="F1585">IF(_xlfn.NUMBERVALUE(RIGHT($E1585,2))=MAX(IF(LEFT($E1585:$E3583,11)=LEFT($E1585,11),_xlfn.NUMBERVALUE(RIGHT($E1585:$E3583,2)))),TRUE)</f>
        <v>1</v>
      </c>
      <c r="G1585" s="336"/>
      <c r="H1585" s="336"/>
      <c r="I1585" s="336"/>
      <c r="J1585" s="336"/>
      <c r="K1585" s="336"/>
      <c r="L1585" s="336"/>
      <c r="M1585" s="336"/>
      <c r="N1585" s="336"/>
      <c r="O1585" s="336"/>
      <c r="P1585" s="336"/>
      <c r="Q1585" s="336"/>
      <c r="R1585" s="336"/>
      <c r="S1585" s="336"/>
      <c r="T1585" s="336"/>
    </row>
    <row r="1586" spans="1:20" x14ac:dyDescent="0.25">
      <c r="A1586" s="336"/>
      <c r="B1586" s="336"/>
      <c r="C1586" s="336"/>
      <c r="D1586" s="336"/>
      <c r="E1586" s="336"/>
      <c r="F1586" s="104" t="b">
        <f t="array" ref="F1586">IF(_xlfn.NUMBERVALUE(RIGHT($E1586,2))=MAX(IF(LEFT($E1586:$E3584,11)=LEFT($E1586,11),_xlfn.NUMBERVALUE(RIGHT($E1586:$E3584,2)))),TRUE)</f>
        <v>1</v>
      </c>
      <c r="G1586" s="336"/>
      <c r="H1586" s="336"/>
      <c r="I1586" s="336"/>
      <c r="J1586" s="336"/>
      <c r="K1586" s="336"/>
      <c r="L1586" s="336"/>
      <c r="M1586" s="336"/>
      <c r="N1586" s="336"/>
      <c r="O1586" s="336"/>
      <c r="P1586" s="336"/>
      <c r="Q1586" s="336"/>
      <c r="R1586" s="336"/>
      <c r="S1586" s="336"/>
      <c r="T1586" s="336"/>
    </row>
    <row r="1587" spans="1:20" x14ac:dyDescent="0.25">
      <c r="A1587" s="336"/>
      <c r="B1587" s="336"/>
      <c r="C1587" s="336"/>
      <c r="D1587" s="336"/>
      <c r="E1587" s="336"/>
      <c r="F1587" s="104" t="b">
        <f t="array" ref="F1587">IF(_xlfn.NUMBERVALUE(RIGHT($E1587,2))=MAX(IF(LEFT($E1587:$E3585,11)=LEFT($E1587,11),_xlfn.NUMBERVALUE(RIGHT($E1587:$E3585,2)))),TRUE)</f>
        <v>1</v>
      </c>
      <c r="G1587" s="336"/>
      <c r="H1587" s="336"/>
      <c r="I1587" s="336"/>
      <c r="J1587" s="336"/>
      <c r="K1587" s="336"/>
      <c r="L1587" s="336"/>
      <c r="M1587" s="336"/>
      <c r="N1587" s="336"/>
      <c r="O1587" s="336"/>
      <c r="P1587" s="336"/>
      <c r="Q1587" s="336"/>
      <c r="R1587" s="336"/>
      <c r="S1587" s="336"/>
      <c r="T1587" s="336"/>
    </row>
    <row r="1588" spans="1:20" x14ac:dyDescent="0.25">
      <c r="A1588" s="336"/>
      <c r="B1588" s="336"/>
      <c r="C1588" s="336"/>
      <c r="D1588" s="336"/>
      <c r="E1588" s="336"/>
      <c r="F1588" s="104" t="b">
        <f t="array" ref="F1588">IF(_xlfn.NUMBERVALUE(RIGHT($E1588,2))=MAX(IF(LEFT($E1588:$E3586,11)=LEFT($E1588,11),_xlfn.NUMBERVALUE(RIGHT($E1588:$E3586,2)))),TRUE)</f>
        <v>1</v>
      </c>
      <c r="G1588" s="336"/>
      <c r="H1588" s="336"/>
      <c r="I1588" s="336"/>
      <c r="J1588" s="336"/>
      <c r="K1588" s="336"/>
      <c r="L1588" s="336"/>
      <c r="M1588" s="336"/>
      <c r="N1588" s="336"/>
      <c r="O1588" s="336"/>
      <c r="P1588" s="336"/>
      <c r="Q1588" s="336"/>
      <c r="R1588" s="336"/>
      <c r="S1588" s="336"/>
      <c r="T1588" s="336"/>
    </row>
    <row r="1589" spans="1:20" x14ac:dyDescent="0.25">
      <c r="A1589" s="336"/>
      <c r="B1589" s="336"/>
      <c r="C1589" s="336"/>
      <c r="D1589" s="336"/>
      <c r="E1589" s="336"/>
      <c r="F1589" s="104" t="b">
        <f t="array" ref="F1589">IF(_xlfn.NUMBERVALUE(RIGHT($E1589,2))=MAX(IF(LEFT($E1589:$E3587,11)=LEFT($E1589,11),_xlfn.NUMBERVALUE(RIGHT($E1589:$E3587,2)))),TRUE)</f>
        <v>1</v>
      </c>
      <c r="G1589" s="336"/>
      <c r="H1589" s="336"/>
      <c r="I1589" s="336"/>
      <c r="J1589" s="336"/>
      <c r="K1589" s="336"/>
      <c r="L1589" s="336"/>
      <c r="M1589" s="336"/>
      <c r="N1589" s="336"/>
      <c r="O1589" s="336"/>
      <c r="P1589" s="336"/>
      <c r="Q1589" s="336"/>
      <c r="R1589" s="336"/>
      <c r="S1589" s="336"/>
      <c r="T1589" s="336"/>
    </row>
    <row r="1590" spans="1:20" x14ac:dyDescent="0.25">
      <c r="A1590" s="336"/>
      <c r="B1590" s="336"/>
      <c r="C1590" s="336"/>
      <c r="D1590" s="336"/>
      <c r="E1590" s="336"/>
      <c r="F1590" s="104" t="b">
        <f t="array" ref="F1590">IF(_xlfn.NUMBERVALUE(RIGHT($E1590,2))=MAX(IF(LEFT($E1590:$E3588,11)=LEFT($E1590,11),_xlfn.NUMBERVALUE(RIGHT($E1590:$E3588,2)))),TRUE)</f>
        <v>1</v>
      </c>
      <c r="G1590" s="336"/>
      <c r="H1590" s="336"/>
      <c r="I1590" s="336"/>
      <c r="J1590" s="336"/>
      <c r="K1590" s="336"/>
      <c r="L1590" s="336"/>
      <c r="M1590" s="336"/>
      <c r="N1590" s="336"/>
      <c r="O1590" s="336"/>
      <c r="P1590" s="336"/>
      <c r="Q1590" s="336"/>
      <c r="R1590" s="336"/>
      <c r="S1590" s="336"/>
      <c r="T1590" s="336"/>
    </row>
    <row r="1591" spans="1:20" x14ac:dyDescent="0.25">
      <c r="A1591" s="336"/>
      <c r="B1591" s="336"/>
      <c r="C1591" s="336"/>
      <c r="D1591" s="336"/>
      <c r="E1591" s="336"/>
      <c r="F1591" s="104" t="b">
        <f t="array" ref="F1591">IF(_xlfn.NUMBERVALUE(RIGHT($E1591,2))=MAX(IF(LEFT($E1591:$E3589,11)=LEFT($E1591,11),_xlfn.NUMBERVALUE(RIGHT($E1591:$E3589,2)))),TRUE)</f>
        <v>1</v>
      </c>
      <c r="G1591" s="336"/>
      <c r="H1591" s="336"/>
      <c r="I1591" s="336"/>
      <c r="J1591" s="336"/>
      <c r="K1591" s="336"/>
      <c r="L1591" s="336"/>
      <c r="M1591" s="336"/>
      <c r="N1591" s="336"/>
      <c r="O1591" s="336"/>
      <c r="P1591" s="336"/>
      <c r="Q1591" s="336"/>
      <c r="R1591" s="336"/>
      <c r="S1591" s="336"/>
      <c r="T1591" s="336"/>
    </row>
    <row r="1592" spans="1:20" x14ac:dyDescent="0.25">
      <c r="A1592" s="336"/>
      <c r="B1592" s="336"/>
      <c r="C1592" s="336"/>
      <c r="D1592" s="336"/>
      <c r="E1592" s="336"/>
      <c r="F1592" s="104" t="b">
        <f t="array" ref="F1592">IF(_xlfn.NUMBERVALUE(RIGHT($E1592,2))=MAX(IF(LEFT($E1592:$E3590,11)=LEFT($E1592,11),_xlfn.NUMBERVALUE(RIGHT($E1592:$E3590,2)))),TRUE)</f>
        <v>1</v>
      </c>
      <c r="G1592" s="336"/>
      <c r="H1592" s="336"/>
      <c r="I1592" s="336"/>
      <c r="J1592" s="336"/>
      <c r="K1592" s="336"/>
      <c r="L1592" s="336"/>
      <c r="M1592" s="336"/>
      <c r="N1592" s="336"/>
      <c r="O1592" s="336"/>
      <c r="P1592" s="336"/>
      <c r="Q1592" s="336"/>
      <c r="R1592" s="336"/>
      <c r="S1592" s="336"/>
      <c r="T1592" s="336"/>
    </row>
    <row r="1593" spans="1:20" x14ac:dyDescent="0.25">
      <c r="A1593" s="336"/>
      <c r="B1593" s="336"/>
      <c r="C1593" s="336"/>
      <c r="D1593" s="336"/>
      <c r="E1593" s="336"/>
      <c r="F1593" s="104" t="b">
        <f t="array" ref="F1593">IF(_xlfn.NUMBERVALUE(RIGHT($E1593,2))=MAX(IF(LEFT($E1593:$E3591,11)=LEFT($E1593,11),_xlfn.NUMBERVALUE(RIGHT($E1593:$E3591,2)))),TRUE)</f>
        <v>1</v>
      </c>
      <c r="G1593" s="336"/>
      <c r="H1593" s="336"/>
      <c r="I1593" s="336"/>
      <c r="J1593" s="336"/>
      <c r="K1593" s="336"/>
      <c r="L1593" s="336"/>
      <c r="M1593" s="336"/>
      <c r="N1593" s="336"/>
      <c r="O1593" s="336"/>
      <c r="P1593" s="336"/>
      <c r="Q1593" s="336"/>
      <c r="R1593" s="336"/>
      <c r="S1593" s="336"/>
      <c r="T1593" s="336"/>
    </row>
    <row r="1594" spans="1:20" x14ac:dyDescent="0.25">
      <c r="A1594" s="336"/>
      <c r="B1594" s="336"/>
      <c r="C1594" s="336"/>
      <c r="D1594" s="336"/>
      <c r="E1594" s="336"/>
      <c r="F1594" s="104" t="b">
        <f t="array" ref="F1594">IF(_xlfn.NUMBERVALUE(RIGHT($E1594,2))=MAX(IF(LEFT($E1594:$E3592,11)=LEFT($E1594,11),_xlfn.NUMBERVALUE(RIGHT($E1594:$E3592,2)))),TRUE)</f>
        <v>1</v>
      </c>
      <c r="G1594" s="336"/>
      <c r="H1594" s="336"/>
      <c r="I1594" s="336"/>
      <c r="J1594" s="336"/>
      <c r="K1594" s="336"/>
      <c r="L1594" s="336"/>
      <c r="M1594" s="336"/>
      <c r="N1594" s="336"/>
      <c r="O1594" s="336"/>
      <c r="P1594" s="336"/>
      <c r="Q1594" s="336"/>
      <c r="R1594" s="336"/>
      <c r="S1594" s="336"/>
      <c r="T1594" s="336"/>
    </row>
    <row r="1595" spans="1:20" x14ac:dyDescent="0.25">
      <c r="A1595" s="336"/>
      <c r="B1595" s="336"/>
      <c r="C1595" s="336"/>
      <c r="D1595" s="336"/>
      <c r="E1595" s="336"/>
      <c r="F1595" s="104" t="b">
        <f t="array" ref="F1595">IF(_xlfn.NUMBERVALUE(RIGHT($E1595,2))=MAX(IF(LEFT($E1595:$E3593,11)=LEFT($E1595,11),_xlfn.NUMBERVALUE(RIGHT($E1595:$E3593,2)))),TRUE)</f>
        <v>1</v>
      </c>
      <c r="G1595" s="336"/>
      <c r="H1595" s="336"/>
      <c r="I1595" s="336"/>
      <c r="J1595" s="336"/>
      <c r="K1595" s="336"/>
      <c r="L1595" s="336"/>
      <c r="M1595" s="336"/>
      <c r="N1595" s="336"/>
      <c r="O1595" s="336"/>
      <c r="P1595" s="336"/>
      <c r="Q1595" s="336"/>
      <c r="R1595" s="336"/>
      <c r="S1595" s="336"/>
      <c r="T1595" s="336"/>
    </row>
    <row r="1596" spans="1:20" x14ac:dyDescent="0.25">
      <c r="A1596" s="336"/>
      <c r="B1596" s="336"/>
      <c r="C1596" s="336"/>
      <c r="D1596" s="336"/>
      <c r="E1596" s="336"/>
      <c r="F1596" s="104" t="b">
        <f t="array" ref="F1596">IF(_xlfn.NUMBERVALUE(RIGHT($E1596,2))=MAX(IF(LEFT($E1596:$E3594,11)=LEFT($E1596,11),_xlfn.NUMBERVALUE(RIGHT($E1596:$E3594,2)))),TRUE)</f>
        <v>1</v>
      </c>
      <c r="G1596" s="336"/>
      <c r="H1596" s="336"/>
      <c r="I1596" s="336"/>
      <c r="J1596" s="336"/>
      <c r="K1596" s="336"/>
      <c r="L1596" s="336"/>
      <c r="M1596" s="336"/>
      <c r="N1596" s="336"/>
      <c r="O1596" s="336"/>
      <c r="P1596" s="336"/>
      <c r="Q1596" s="336"/>
      <c r="R1596" s="336"/>
      <c r="S1596" s="336"/>
      <c r="T1596" s="336"/>
    </row>
    <row r="1597" spans="1:20" x14ac:dyDescent="0.25">
      <c r="A1597" s="336"/>
      <c r="B1597" s="336"/>
      <c r="C1597" s="336"/>
      <c r="D1597" s="336"/>
      <c r="E1597" s="336"/>
      <c r="F1597" s="104" t="b">
        <f t="array" ref="F1597">IF(_xlfn.NUMBERVALUE(RIGHT($E1597,2))=MAX(IF(LEFT($E1597:$E3595,11)=LEFT($E1597,11),_xlfn.NUMBERVALUE(RIGHT($E1597:$E3595,2)))),TRUE)</f>
        <v>1</v>
      </c>
      <c r="G1597" s="336"/>
      <c r="H1597" s="336"/>
      <c r="I1597" s="336"/>
      <c r="J1597" s="336"/>
      <c r="K1597" s="336"/>
      <c r="L1597" s="336"/>
      <c r="M1597" s="336"/>
      <c r="N1597" s="336"/>
      <c r="O1597" s="336"/>
      <c r="P1597" s="336"/>
      <c r="Q1597" s="336"/>
      <c r="R1597" s="336"/>
      <c r="S1597" s="336"/>
      <c r="T1597" s="336"/>
    </row>
    <row r="1598" spans="1:20" x14ac:dyDescent="0.25">
      <c r="A1598" s="336"/>
      <c r="B1598" s="336"/>
      <c r="C1598" s="336"/>
      <c r="D1598" s="336"/>
      <c r="E1598" s="336"/>
      <c r="F1598" s="104" t="b">
        <f t="array" ref="F1598">IF(_xlfn.NUMBERVALUE(RIGHT($E1598,2))=MAX(IF(LEFT($E1598:$E3596,11)=LEFT($E1598,11),_xlfn.NUMBERVALUE(RIGHT($E1598:$E3596,2)))),TRUE)</f>
        <v>1</v>
      </c>
      <c r="G1598" s="336"/>
      <c r="H1598" s="336"/>
      <c r="I1598" s="336"/>
      <c r="J1598" s="336"/>
      <c r="K1598" s="336"/>
      <c r="L1598" s="336"/>
      <c r="M1598" s="336"/>
      <c r="N1598" s="336"/>
      <c r="O1598" s="336"/>
      <c r="P1598" s="336"/>
      <c r="Q1598" s="336"/>
      <c r="R1598" s="336"/>
      <c r="S1598" s="336"/>
      <c r="T1598" s="336"/>
    </row>
    <row r="1599" spans="1:20" x14ac:dyDescent="0.25">
      <c r="A1599" s="336"/>
      <c r="B1599" s="336"/>
      <c r="C1599" s="336"/>
      <c r="D1599" s="336"/>
      <c r="E1599" s="336"/>
      <c r="F1599" s="104" t="b">
        <f t="array" ref="F1599">IF(_xlfn.NUMBERVALUE(RIGHT($E1599,2))=MAX(IF(LEFT($E1599:$E3597,11)=LEFT($E1599,11),_xlfn.NUMBERVALUE(RIGHT($E1599:$E3597,2)))),TRUE)</f>
        <v>1</v>
      </c>
      <c r="G1599" s="336"/>
      <c r="H1599" s="336"/>
      <c r="I1599" s="336"/>
      <c r="J1599" s="336"/>
      <c r="K1599" s="336"/>
      <c r="L1599" s="336"/>
      <c r="M1599" s="336"/>
      <c r="N1599" s="336"/>
      <c r="O1599" s="336"/>
      <c r="P1599" s="336"/>
      <c r="Q1599" s="336"/>
      <c r="R1599" s="336"/>
      <c r="S1599" s="336"/>
      <c r="T1599" s="336"/>
    </row>
    <row r="1600" spans="1:20" x14ac:dyDescent="0.25">
      <c r="A1600" s="336"/>
      <c r="B1600" s="336"/>
      <c r="C1600" s="336"/>
      <c r="D1600" s="336"/>
      <c r="E1600" s="336"/>
      <c r="F1600" s="104" t="b">
        <f t="array" ref="F1600">IF(_xlfn.NUMBERVALUE(RIGHT($E1600,2))=MAX(IF(LEFT($E1600:$E3598,11)=LEFT($E1600,11),_xlfn.NUMBERVALUE(RIGHT($E1600:$E3598,2)))),TRUE)</f>
        <v>1</v>
      </c>
      <c r="G1600" s="336"/>
      <c r="H1600" s="336"/>
      <c r="I1600" s="336"/>
      <c r="J1600" s="336"/>
      <c r="K1600" s="336"/>
      <c r="L1600" s="336"/>
      <c r="M1600" s="336"/>
      <c r="N1600" s="336"/>
      <c r="O1600" s="336"/>
      <c r="P1600" s="336"/>
      <c r="Q1600" s="336"/>
      <c r="R1600" s="336"/>
      <c r="S1600" s="336"/>
      <c r="T1600" s="336"/>
    </row>
    <row r="1601" spans="1:20" x14ac:dyDescent="0.25">
      <c r="A1601" s="336"/>
      <c r="B1601" s="336"/>
      <c r="C1601" s="336"/>
      <c r="D1601" s="336"/>
      <c r="E1601" s="336"/>
      <c r="F1601" s="104" t="b">
        <f t="array" ref="F1601">IF(_xlfn.NUMBERVALUE(RIGHT($E1601,2))=MAX(IF(LEFT($E1601:$E3599,11)=LEFT($E1601,11),_xlfn.NUMBERVALUE(RIGHT($E1601:$E3599,2)))),TRUE)</f>
        <v>1</v>
      </c>
      <c r="G1601" s="336"/>
      <c r="H1601" s="336"/>
      <c r="I1601" s="336"/>
      <c r="J1601" s="336"/>
      <c r="K1601" s="336"/>
      <c r="L1601" s="336"/>
      <c r="M1601" s="336"/>
      <c r="N1601" s="336"/>
      <c r="O1601" s="336"/>
      <c r="P1601" s="336"/>
      <c r="Q1601" s="336"/>
      <c r="R1601" s="336"/>
      <c r="S1601" s="336"/>
      <c r="T1601" s="336"/>
    </row>
    <row r="1602" spans="1:20" x14ac:dyDescent="0.25">
      <c r="A1602" s="336"/>
      <c r="B1602" s="336"/>
      <c r="C1602" s="336"/>
      <c r="D1602" s="336"/>
      <c r="E1602" s="336"/>
      <c r="F1602" s="104" t="b">
        <f t="array" ref="F1602">IF(_xlfn.NUMBERVALUE(RIGHT($E1602,2))=MAX(IF(LEFT($E1602:$E3600,11)=LEFT($E1602,11),_xlfn.NUMBERVALUE(RIGHT($E1602:$E3600,2)))),TRUE)</f>
        <v>1</v>
      </c>
      <c r="G1602" s="336"/>
      <c r="H1602" s="336"/>
      <c r="I1602" s="336"/>
      <c r="J1602" s="336"/>
      <c r="K1602" s="336"/>
      <c r="L1602" s="336"/>
      <c r="M1602" s="336"/>
      <c r="N1602" s="336"/>
      <c r="O1602" s="336"/>
      <c r="P1602" s="336"/>
      <c r="Q1602" s="336"/>
      <c r="R1602" s="336"/>
      <c r="S1602" s="336"/>
      <c r="T1602" s="336"/>
    </row>
    <row r="1603" spans="1:20" x14ac:dyDescent="0.25">
      <c r="A1603" s="336"/>
      <c r="B1603" s="336"/>
      <c r="C1603" s="336"/>
      <c r="D1603" s="336"/>
      <c r="E1603" s="336"/>
      <c r="F1603" s="104" t="b">
        <f t="array" ref="F1603">IF(_xlfn.NUMBERVALUE(RIGHT($E1603,2))=MAX(IF(LEFT($E1603:$E3601,11)=LEFT($E1603,11),_xlfn.NUMBERVALUE(RIGHT($E1603:$E3601,2)))),TRUE)</f>
        <v>1</v>
      </c>
      <c r="G1603" s="336"/>
      <c r="H1603" s="336"/>
      <c r="I1603" s="336"/>
      <c r="J1603" s="336"/>
      <c r="K1603" s="336"/>
      <c r="L1603" s="336"/>
      <c r="M1603" s="336"/>
      <c r="N1603" s="336"/>
      <c r="O1603" s="336"/>
      <c r="P1603" s="336"/>
      <c r="Q1603" s="336"/>
      <c r="R1603" s="336"/>
      <c r="S1603" s="336"/>
      <c r="T1603" s="336"/>
    </row>
    <row r="1604" spans="1:20" x14ac:dyDescent="0.25">
      <c r="A1604" s="336"/>
      <c r="B1604" s="336"/>
      <c r="C1604" s="336"/>
      <c r="D1604" s="336"/>
      <c r="E1604" s="336"/>
      <c r="F1604" s="104" t="b">
        <f t="array" ref="F1604">IF(_xlfn.NUMBERVALUE(RIGHT($E1604,2))=MAX(IF(LEFT($E1604:$E3602,11)=LEFT($E1604,11),_xlfn.NUMBERVALUE(RIGHT($E1604:$E3602,2)))),TRUE)</f>
        <v>1</v>
      </c>
      <c r="G1604" s="336"/>
      <c r="H1604" s="336"/>
      <c r="I1604" s="336"/>
      <c r="J1604" s="336"/>
      <c r="K1604" s="336"/>
      <c r="L1604" s="336"/>
      <c r="M1604" s="336"/>
      <c r="N1604" s="336"/>
      <c r="O1604" s="336"/>
      <c r="P1604" s="336"/>
      <c r="Q1604" s="336"/>
      <c r="R1604" s="336"/>
      <c r="S1604" s="336"/>
      <c r="T1604" s="336"/>
    </row>
    <row r="1605" spans="1:20" x14ac:dyDescent="0.25">
      <c r="A1605" s="336"/>
      <c r="B1605" s="336"/>
      <c r="C1605" s="336"/>
      <c r="D1605" s="336"/>
      <c r="E1605" s="336"/>
      <c r="F1605" s="104" t="b">
        <f t="array" ref="F1605">IF(_xlfn.NUMBERVALUE(RIGHT($E1605,2))=MAX(IF(LEFT($E1605:$E3603,11)=LEFT($E1605,11),_xlfn.NUMBERVALUE(RIGHT($E1605:$E3603,2)))),TRUE)</f>
        <v>1</v>
      </c>
      <c r="G1605" s="336"/>
      <c r="H1605" s="336"/>
      <c r="I1605" s="336"/>
      <c r="J1605" s="336"/>
      <c r="K1605" s="336"/>
      <c r="L1605" s="336"/>
      <c r="M1605" s="336"/>
      <c r="N1605" s="336"/>
      <c r="O1605" s="336"/>
      <c r="P1605" s="336"/>
      <c r="Q1605" s="336"/>
      <c r="R1605" s="336"/>
      <c r="S1605" s="336"/>
      <c r="T1605" s="336"/>
    </row>
    <row r="1606" spans="1:20" x14ac:dyDescent="0.25">
      <c r="A1606" s="336"/>
      <c r="B1606" s="336"/>
      <c r="C1606" s="336"/>
      <c r="D1606" s="336"/>
      <c r="E1606" s="336"/>
      <c r="F1606" s="104" t="b">
        <f t="array" ref="F1606">IF(_xlfn.NUMBERVALUE(RIGHT($E1606,2))=MAX(IF(LEFT($E1606:$E3604,11)=LEFT($E1606,11),_xlfn.NUMBERVALUE(RIGHT($E1606:$E3604,2)))),TRUE)</f>
        <v>1</v>
      </c>
      <c r="G1606" s="336"/>
      <c r="H1606" s="336"/>
      <c r="I1606" s="336"/>
      <c r="J1606" s="336"/>
      <c r="K1606" s="336"/>
      <c r="L1606" s="336"/>
      <c r="M1606" s="336"/>
      <c r="N1606" s="336"/>
      <c r="O1606" s="336"/>
      <c r="P1606" s="336"/>
      <c r="Q1606" s="336"/>
      <c r="R1606" s="336"/>
      <c r="S1606" s="336"/>
      <c r="T1606" s="336"/>
    </row>
    <row r="1607" spans="1:20" x14ac:dyDescent="0.25">
      <c r="A1607" s="336"/>
      <c r="B1607" s="336"/>
      <c r="C1607" s="336"/>
      <c r="D1607" s="336"/>
      <c r="E1607" s="336"/>
      <c r="F1607" s="104" t="b">
        <f t="array" ref="F1607">IF(_xlfn.NUMBERVALUE(RIGHT($E1607,2))=MAX(IF(LEFT($E1607:$E3605,11)=LEFT($E1607,11),_xlfn.NUMBERVALUE(RIGHT($E1607:$E3605,2)))),TRUE)</f>
        <v>1</v>
      </c>
      <c r="G1607" s="336"/>
      <c r="H1607" s="336"/>
      <c r="I1607" s="336"/>
      <c r="J1607" s="336"/>
      <c r="K1607" s="336"/>
      <c r="L1607" s="336"/>
      <c r="M1607" s="336"/>
      <c r="N1607" s="336"/>
      <c r="O1607" s="336"/>
      <c r="P1607" s="336"/>
      <c r="Q1607" s="336"/>
      <c r="R1607" s="336"/>
      <c r="S1607" s="336"/>
      <c r="T1607" s="336"/>
    </row>
    <row r="1608" spans="1:20" x14ac:dyDescent="0.25">
      <c r="A1608" s="336"/>
      <c r="B1608" s="336"/>
      <c r="C1608" s="336"/>
      <c r="D1608" s="336"/>
      <c r="E1608" s="336"/>
      <c r="F1608" s="104" t="b">
        <f t="array" ref="F1608">IF(_xlfn.NUMBERVALUE(RIGHT($E1608,2))=MAX(IF(LEFT($E1608:$E3606,11)=LEFT($E1608,11),_xlfn.NUMBERVALUE(RIGHT($E1608:$E3606,2)))),TRUE)</f>
        <v>1</v>
      </c>
      <c r="G1608" s="336"/>
      <c r="H1608" s="336"/>
      <c r="I1608" s="336"/>
      <c r="J1608" s="336"/>
      <c r="K1608" s="336"/>
      <c r="L1608" s="336"/>
      <c r="M1608" s="336"/>
      <c r="N1608" s="336"/>
      <c r="O1608" s="336"/>
      <c r="P1608" s="336"/>
      <c r="Q1608" s="336"/>
      <c r="R1608" s="336"/>
      <c r="S1608" s="336"/>
      <c r="T1608" s="336"/>
    </row>
    <row r="1609" spans="1:20" x14ac:dyDescent="0.25">
      <c r="A1609" s="336"/>
      <c r="B1609" s="336"/>
      <c r="C1609" s="336"/>
      <c r="D1609" s="336"/>
      <c r="E1609" s="336"/>
      <c r="F1609" s="104" t="b">
        <f t="array" ref="F1609">IF(_xlfn.NUMBERVALUE(RIGHT($E1609,2))=MAX(IF(LEFT($E1609:$E3607,11)=LEFT($E1609,11),_xlfn.NUMBERVALUE(RIGHT($E1609:$E3607,2)))),TRUE)</f>
        <v>1</v>
      </c>
      <c r="G1609" s="336"/>
      <c r="H1609" s="336"/>
      <c r="I1609" s="336"/>
      <c r="J1609" s="336"/>
      <c r="K1609" s="336"/>
      <c r="L1609" s="336"/>
      <c r="M1609" s="336"/>
      <c r="N1609" s="336"/>
      <c r="O1609" s="336"/>
      <c r="P1609" s="336"/>
      <c r="Q1609" s="336"/>
      <c r="R1609" s="336"/>
      <c r="S1609" s="336"/>
      <c r="T1609" s="336"/>
    </row>
    <row r="1610" spans="1:20" x14ac:dyDescent="0.25">
      <c r="A1610" s="336"/>
      <c r="B1610" s="336"/>
      <c r="C1610" s="336"/>
      <c r="D1610" s="336"/>
      <c r="E1610" s="336"/>
      <c r="F1610" s="104" t="b">
        <f t="array" ref="F1610">IF(_xlfn.NUMBERVALUE(RIGHT($E1610,2))=MAX(IF(LEFT($E1610:$E3608,11)=LEFT($E1610,11),_xlfn.NUMBERVALUE(RIGHT($E1610:$E3608,2)))),TRUE)</f>
        <v>1</v>
      </c>
      <c r="G1610" s="336"/>
      <c r="H1610" s="336"/>
      <c r="I1610" s="336"/>
      <c r="J1610" s="336"/>
      <c r="K1610" s="336"/>
      <c r="L1610" s="336"/>
      <c r="M1610" s="336"/>
      <c r="N1610" s="336"/>
      <c r="O1610" s="336"/>
      <c r="P1610" s="336"/>
      <c r="Q1610" s="336"/>
      <c r="R1610" s="336"/>
      <c r="S1610" s="336"/>
      <c r="T1610" s="336"/>
    </row>
    <row r="1611" spans="1:20" x14ac:dyDescent="0.25">
      <c r="A1611" s="336"/>
      <c r="B1611" s="336"/>
      <c r="C1611" s="336"/>
      <c r="D1611" s="336"/>
      <c r="E1611" s="336"/>
      <c r="F1611" s="104" t="b">
        <f t="array" ref="F1611">IF(_xlfn.NUMBERVALUE(RIGHT($E1611,2))=MAX(IF(LEFT($E1611:$E3609,11)=LEFT($E1611,11),_xlfn.NUMBERVALUE(RIGHT($E1611:$E3609,2)))),TRUE)</f>
        <v>1</v>
      </c>
      <c r="G1611" s="336"/>
      <c r="H1611" s="336"/>
      <c r="I1611" s="336"/>
      <c r="J1611" s="336"/>
      <c r="K1611" s="336"/>
      <c r="L1611" s="336"/>
      <c r="M1611" s="336"/>
      <c r="N1611" s="336"/>
      <c r="O1611" s="336"/>
      <c r="P1611" s="336"/>
      <c r="Q1611" s="336"/>
      <c r="R1611" s="336"/>
      <c r="S1611" s="336"/>
      <c r="T1611" s="336"/>
    </row>
    <row r="1612" spans="1:20" x14ac:dyDescent="0.25">
      <c r="A1612" s="336"/>
      <c r="B1612" s="336"/>
      <c r="C1612" s="336"/>
      <c r="D1612" s="336"/>
      <c r="E1612" s="336"/>
      <c r="F1612" s="104" t="b">
        <f t="array" ref="F1612">IF(_xlfn.NUMBERVALUE(RIGHT($E1612,2))=MAX(IF(LEFT($E1612:$E3610,11)=LEFT($E1612,11),_xlfn.NUMBERVALUE(RIGHT($E1612:$E3610,2)))),TRUE)</f>
        <v>1</v>
      </c>
      <c r="G1612" s="336"/>
      <c r="H1612" s="336"/>
      <c r="I1612" s="336"/>
      <c r="J1612" s="336"/>
      <c r="K1612" s="336"/>
      <c r="L1612" s="336"/>
      <c r="M1612" s="336"/>
      <c r="N1612" s="336"/>
      <c r="O1612" s="336"/>
      <c r="P1612" s="336"/>
      <c r="Q1612" s="336"/>
      <c r="R1612" s="336"/>
      <c r="S1612" s="336"/>
      <c r="T1612" s="336"/>
    </row>
    <row r="1613" spans="1:20" x14ac:dyDescent="0.25">
      <c r="A1613" s="336"/>
      <c r="B1613" s="336"/>
      <c r="C1613" s="336"/>
      <c r="D1613" s="336"/>
      <c r="E1613" s="336"/>
      <c r="F1613" s="104" t="b">
        <f t="array" ref="F1613">IF(_xlfn.NUMBERVALUE(RIGHT($E1613,2))=MAX(IF(LEFT($E1613:$E3611,11)=LEFT($E1613,11),_xlfn.NUMBERVALUE(RIGHT($E1613:$E3611,2)))),TRUE)</f>
        <v>1</v>
      </c>
      <c r="G1613" s="336"/>
      <c r="H1613" s="336"/>
      <c r="I1613" s="336"/>
      <c r="J1613" s="336"/>
      <c r="K1613" s="336"/>
      <c r="L1613" s="336"/>
      <c r="M1613" s="336"/>
      <c r="N1613" s="336"/>
      <c r="O1613" s="336"/>
      <c r="P1613" s="336"/>
      <c r="Q1613" s="336"/>
      <c r="R1613" s="336"/>
      <c r="S1613" s="336"/>
      <c r="T1613" s="336"/>
    </row>
    <row r="1614" spans="1:20" x14ac:dyDescent="0.25">
      <c r="A1614" s="336"/>
      <c r="B1614" s="336"/>
      <c r="C1614" s="336"/>
      <c r="D1614" s="336"/>
      <c r="E1614" s="336"/>
      <c r="F1614" s="104" t="b">
        <f t="array" ref="F1614">IF(_xlfn.NUMBERVALUE(RIGHT($E1614,2))=MAX(IF(LEFT($E1614:$E3612,11)=LEFT($E1614,11),_xlfn.NUMBERVALUE(RIGHT($E1614:$E3612,2)))),TRUE)</f>
        <v>1</v>
      </c>
      <c r="G1614" s="336"/>
      <c r="H1614" s="336"/>
      <c r="I1614" s="336"/>
      <c r="J1614" s="336"/>
      <c r="K1614" s="336"/>
      <c r="L1614" s="336"/>
      <c r="M1614" s="336"/>
      <c r="N1614" s="336"/>
      <c r="O1614" s="336"/>
      <c r="P1614" s="336"/>
      <c r="Q1614" s="336"/>
      <c r="R1614" s="336"/>
      <c r="S1614" s="336"/>
      <c r="T1614" s="336"/>
    </row>
    <row r="1615" spans="1:20" x14ac:dyDescent="0.25">
      <c r="A1615" s="336"/>
      <c r="B1615" s="336"/>
      <c r="C1615" s="336"/>
      <c r="D1615" s="336"/>
      <c r="E1615" s="336"/>
      <c r="F1615" s="104" t="b">
        <f t="array" ref="F1615">IF(_xlfn.NUMBERVALUE(RIGHT($E1615,2))=MAX(IF(LEFT($E1615:$E3613,11)=LEFT($E1615,11),_xlfn.NUMBERVALUE(RIGHT($E1615:$E3613,2)))),TRUE)</f>
        <v>1</v>
      </c>
      <c r="G1615" s="336"/>
      <c r="H1615" s="336"/>
      <c r="I1615" s="336"/>
      <c r="J1615" s="336"/>
      <c r="K1615" s="336"/>
      <c r="L1615" s="336"/>
      <c r="M1615" s="336"/>
      <c r="N1615" s="336"/>
      <c r="O1615" s="336"/>
      <c r="P1615" s="336"/>
      <c r="Q1615" s="336"/>
      <c r="R1615" s="336"/>
      <c r="S1615" s="336"/>
      <c r="T1615" s="336"/>
    </row>
    <row r="1616" spans="1:20" x14ac:dyDescent="0.25">
      <c r="A1616" s="336"/>
      <c r="B1616" s="336"/>
      <c r="C1616" s="336"/>
      <c r="D1616" s="336"/>
      <c r="E1616" s="336"/>
      <c r="F1616" s="104" t="b">
        <f t="array" ref="F1616">IF(_xlfn.NUMBERVALUE(RIGHT($E1616,2))=MAX(IF(LEFT($E1616:$E3614,11)=LEFT($E1616,11),_xlfn.NUMBERVALUE(RIGHT($E1616:$E3614,2)))),TRUE)</f>
        <v>1</v>
      </c>
      <c r="G1616" s="336"/>
      <c r="H1616" s="336"/>
      <c r="I1616" s="336"/>
      <c r="J1616" s="336"/>
      <c r="K1616" s="336"/>
      <c r="L1616" s="336"/>
      <c r="M1616" s="336"/>
      <c r="N1616" s="336"/>
      <c r="O1616" s="336"/>
      <c r="P1616" s="336"/>
      <c r="Q1616" s="336"/>
      <c r="R1616" s="336"/>
      <c r="S1616" s="336"/>
      <c r="T1616" s="336"/>
    </row>
    <row r="1617" spans="1:20" x14ac:dyDescent="0.25">
      <c r="A1617" s="336"/>
      <c r="B1617" s="336"/>
      <c r="C1617" s="336"/>
      <c r="D1617" s="336"/>
      <c r="E1617" s="336"/>
      <c r="F1617" s="104" t="b">
        <f t="array" ref="F1617">IF(_xlfn.NUMBERVALUE(RIGHT($E1617,2))=MAX(IF(LEFT($E1617:$E3615,11)=LEFT($E1617,11),_xlfn.NUMBERVALUE(RIGHT($E1617:$E3615,2)))),TRUE)</f>
        <v>1</v>
      </c>
      <c r="G1617" s="336"/>
      <c r="H1617" s="336"/>
      <c r="I1617" s="336"/>
      <c r="J1617" s="336"/>
      <c r="K1617" s="336"/>
      <c r="L1617" s="336"/>
      <c r="M1617" s="336"/>
      <c r="N1617" s="336"/>
      <c r="O1617" s="336"/>
      <c r="P1617" s="336"/>
      <c r="Q1617" s="336"/>
      <c r="R1617" s="336"/>
      <c r="S1617" s="336"/>
      <c r="T1617" s="336"/>
    </row>
    <row r="1618" spans="1:20" x14ac:dyDescent="0.25">
      <c r="A1618" s="336"/>
      <c r="B1618" s="336"/>
      <c r="C1618" s="336"/>
      <c r="D1618" s="336"/>
      <c r="E1618" s="336"/>
      <c r="F1618" s="104" t="b">
        <f t="array" ref="F1618">IF(_xlfn.NUMBERVALUE(RIGHT($E1618,2))=MAX(IF(LEFT($E1618:$E3616,11)=LEFT($E1618,11),_xlfn.NUMBERVALUE(RIGHT($E1618:$E3616,2)))),TRUE)</f>
        <v>1</v>
      </c>
      <c r="G1618" s="336"/>
      <c r="H1618" s="336"/>
      <c r="I1618" s="336"/>
      <c r="J1618" s="336"/>
      <c r="K1618" s="336"/>
      <c r="L1618" s="336"/>
      <c r="M1618" s="336"/>
      <c r="N1618" s="336"/>
      <c r="O1618" s="336"/>
      <c r="P1618" s="336"/>
      <c r="Q1618" s="336"/>
      <c r="R1618" s="336"/>
      <c r="S1618" s="336"/>
      <c r="T1618" s="336"/>
    </row>
    <row r="1619" spans="1:20" x14ac:dyDescent="0.25">
      <c r="A1619" s="336"/>
      <c r="B1619" s="336"/>
      <c r="C1619" s="336"/>
      <c r="D1619" s="336"/>
      <c r="E1619" s="336"/>
      <c r="F1619" s="104" t="b">
        <f t="array" ref="F1619">IF(_xlfn.NUMBERVALUE(RIGHT($E1619,2))=MAX(IF(LEFT($E1619:$E3617,11)=LEFT($E1619,11),_xlfn.NUMBERVALUE(RIGHT($E1619:$E3617,2)))),TRUE)</f>
        <v>1</v>
      </c>
      <c r="G1619" s="336"/>
      <c r="H1619" s="336"/>
      <c r="I1619" s="336"/>
      <c r="J1619" s="336"/>
      <c r="K1619" s="336"/>
      <c r="L1619" s="336"/>
      <c r="M1619" s="336"/>
      <c r="N1619" s="336"/>
      <c r="O1619" s="336"/>
      <c r="P1619" s="336"/>
      <c r="Q1619" s="336"/>
      <c r="R1619" s="336"/>
      <c r="S1619" s="336"/>
      <c r="T1619" s="336"/>
    </row>
    <row r="1620" spans="1:20" x14ac:dyDescent="0.25">
      <c r="A1620" s="336"/>
      <c r="B1620" s="336"/>
      <c r="C1620" s="336"/>
      <c r="D1620" s="336"/>
      <c r="E1620" s="336"/>
      <c r="F1620" s="104" t="b">
        <f t="array" ref="F1620">IF(_xlfn.NUMBERVALUE(RIGHT($E1620,2))=MAX(IF(LEFT($E1620:$E3618,11)=LEFT($E1620,11),_xlfn.NUMBERVALUE(RIGHT($E1620:$E3618,2)))),TRUE)</f>
        <v>1</v>
      </c>
      <c r="G1620" s="336"/>
      <c r="H1620" s="336"/>
      <c r="I1620" s="336"/>
      <c r="J1620" s="336"/>
      <c r="K1620" s="336"/>
      <c r="L1620" s="336"/>
      <c r="M1620" s="336"/>
      <c r="N1620" s="336"/>
      <c r="O1620" s="336"/>
      <c r="P1620" s="336"/>
      <c r="Q1620" s="336"/>
      <c r="R1620" s="336"/>
      <c r="S1620" s="336"/>
      <c r="T1620" s="336"/>
    </row>
    <row r="1621" spans="1:20" x14ac:dyDescent="0.25">
      <c r="A1621" s="336"/>
      <c r="B1621" s="336"/>
      <c r="C1621" s="336"/>
      <c r="D1621" s="336"/>
      <c r="E1621" s="336"/>
      <c r="F1621" s="104" t="b">
        <f t="array" ref="F1621">IF(_xlfn.NUMBERVALUE(RIGHT($E1621,2))=MAX(IF(LEFT($E1621:$E3619,11)=LEFT($E1621,11),_xlfn.NUMBERVALUE(RIGHT($E1621:$E3619,2)))),TRUE)</f>
        <v>1</v>
      </c>
      <c r="G1621" s="336"/>
      <c r="H1621" s="336"/>
      <c r="I1621" s="336"/>
      <c r="J1621" s="336"/>
      <c r="K1621" s="336"/>
      <c r="L1621" s="336"/>
      <c r="M1621" s="336"/>
      <c r="N1621" s="336"/>
      <c r="O1621" s="336"/>
      <c r="P1621" s="336"/>
      <c r="Q1621" s="336"/>
      <c r="R1621" s="336"/>
      <c r="S1621" s="336"/>
      <c r="T1621" s="336"/>
    </row>
    <row r="1622" spans="1:20" x14ac:dyDescent="0.25">
      <c r="A1622" s="336"/>
      <c r="B1622" s="336"/>
      <c r="C1622" s="336"/>
      <c r="D1622" s="336"/>
      <c r="E1622" s="336"/>
      <c r="F1622" s="104" t="b">
        <f t="array" ref="F1622">IF(_xlfn.NUMBERVALUE(RIGHT($E1622,2))=MAX(IF(LEFT($E1622:$E3620,11)=LEFT($E1622,11),_xlfn.NUMBERVALUE(RIGHT($E1622:$E3620,2)))),TRUE)</f>
        <v>1</v>
      </c>
      <c r="G1622" s="336"/>
      <c r="H1622" s="336"/>
      <c r="I1622" s="336"/>
      <c r="J1622" s="336"/>
      <c r="K1622" s="336"/>
      <c r="L1622" s="336"/>
      <c r="M1622" s="336"/>
      <c r="N1622" s="336"/>
      <c r="O1622" s="336"/>
      <c r="P1622" s="336"/>
      <c r="Q1622" s="336"/>
      <c r="R1622" s="336"/>
      <c r="S1622" s="336"/>
      <c r="T1622" s="336"/>
    </row>
    <row r="1623" spans="1:20" x14ac:dyDescent="0.25">
      <c r="A1623" s="336"/>
      <c r="B1623" s="336"/>
      <c r="C1623" s="336"/>
      <c r="D1623" s="336"/>
      <c r="E1623" s="336"/>
      <c r="F1623" s="104" t="b">
        <f t="array" ref="F1623">IF(_xlfn.NUMBERVALUE(RIGHT($E1623,2))=MAX(IF(LEFT($E1623:$E3621,11)=LEFT($E1623,11),_xlfn.NUMBERVALUE(RIGHT($E1623:$E3621,2)))),TRUE)</f>
        <v>1</v>
      </c>
      <c r="G1623" s="336"/>
      <c r="H1623" s="336"/>
      <c r="I1623" s="336"/>
      <c r="J1623" s="336"/>
      <c r="K1623" s="336"/>
      <c r="L1623" s="336"/>
      <c r="M1623" s="336"/>
      <c r="N1623" s="336"/>
      <c r="O1623" s="336"/>
      <c r="P1623" s="336"/>
      <c r="Q1623" s="336"/>
      <c r="R1623" s="336"/>
      <c r="S1623" s="336"/>
      <c r="T1623" s="336"/>
    </row>
    <row r="1624" spans="1:20" x14ac:dyDescent="0.25">
      <c r="A1624" s="336"/>
      <c r="B1624" s="336"/>
      <c r="C1624" s="336"/>
      <c r="D1624" s="336"/>
      <c r="E1624" s="336"/>
      <c r="F1624" s="104" t="b">
        <f t="array" ref="F1624">IF(_xlfn.NUMBERVALUE(RIGHT($E1624,2))=MAX(IF(LEFT($E1624:$E3622,11)=LEFT($E1624,11),_xlfn.NUMBERVALUE(RIGHT($E1624:$E3622,2)))),TRUE)</f>
        <v>1</v>
      </c>
      <c r="G1624" s="336"/>
      <c r="H1624" s="336"/>
      <c r="I1624" s="336"/>
      <c r="J1624" s="336"/>
      <c r="K1624" s="336"/>
      <c r="L1624" s="336"/>
      <c r="M1624" s="336"/>
      <c r="N1624" s="336"/>
      <c r="O1624" s="336"/>
      <c r="P1624" s="336"/>
      <c r="Q1624" s="336"/>
      <c r="R1624" s="336"/>
      <c r="S1624" s="336"/>
      <c r="T1624" s="336"/>
    </row>
    <row r="1625" spans="1:20" x14ac:dyDescent="0.25">
      <c r="A1625" s="336"/>
      <c r="B1625" s="336"/>
      <c r="C1625" s="336"/>
      <c r="D1625" s="336"/>
      <c r="E1625" s="336"/>
      <c r="F1625" s="104" t="b">
        <f t="array" ref="F1625">IF(_xlfn.NUMBERVALUE(RIGHT($E1625,2))=MAX(IF(LEFT($E1625:$E3623,11)=LEFT($E1625,11),_xlfn.NUMBERVALUE(RIGHT($E1625:$E3623,2)))),TRUE)</f>
        <v>1</v>
      </c>
      <c r="G1625" s="336"/>
      <c r="H1625" s="336"/>
      <c r="I1625" s="336"/>
      <c r="J1625" s="336"/>
      <c r="K1625" s="336"/>
      <c r="L1625" s="336"/>
      <c r="M1625" s="336"/>
      <c r="N1625" s="336"/>
      <c r="O1625" s="336"/>
      <c r="P1625" s="336"/>
      <c r="Q1625" s="336"/>
      <c r="R1625" s="336"/>
      <c r="S1625" s="336"/>
      <c r="T1625" s="336"/>
    </row>
    <row r="1626" spans="1:20" x14ac:dyDescent="0.25">
      <c r="A1626" s="336"/>
      <c r="B1626" s="336"/>
      <c r="C1626" s="336"/>
      <c r="D1626" s="336"/>
      <c r="E1626" s="336"/>
      <c r="F1626" s="104" t="b">
        <f t="array" ref="F1626">IF(_xlfn.NUMBERVALUE(RIGHT($E1626,2))=MAX(IF(LEFT($E1626:$E3624,11)=LEFT($E1626,11),_xlfn.NUMBERVALUE(RIGHT($E1626:$E3624,2)))),TRUE)</f>
        <v>1</v>
      </c>
      <c r="G1626" s="336"/>
      <c r="H1626" s="336"/>
      <c r="I1626" s="336"/>
      <c r="J1626" s="336"/>
      <c r="K1626" s="336"/>
      <c r="L1626" s="336"/>
      <c r="M1626" s="336"/>
      <c r="N1626" s="336"/>
      <c r="O1626" s="336"/>
      <c r="P1626" s="336"/>
      <c r="Q1626" s="336"/>
      <c r="R1626" s="336"/>
      <c r="S1626" s="336"/>
      <c r="T1626" s="336"/>
    </row>
    <row r="1627" spans="1:20" x14ac:dyDescent="0.25">
      <c r="A1627" s="336"/>
      <c r="B1627" s="336"/>
      <c r="C1627" s="336"/>
      <c r="D1627" s="336"/>
      <c r="E1627" s="336"/>
      <c r="F1627" s="104" t="b">
        <f t="array" ref="F1627">IF(_xlfn.NUMBERVALUE(RIGHT($E1627,2))=MAX(IF(LEFT($E1627:$E3625,11)=LEFT($E1627,11),_xlfn.NUMBERVALUE(RIGHT($E1627:$E3625,2)))),TRUE)</f>
        <v>1</v>
      </c>
      <c r="G1627" s="336"/>
      <c r="H1627" s="336"/>
      <c r="I1627" s="336"/>
      <c r="J1627" s="336"/>
      <c r="K1627" s="336"/>
      <c r="L1627" s="336"/>
      <c r="M1627" s="336"/>
      <c r="N1627" s="336"/>
      <c r="O1627" s="336"/>
      <c r="P1627" s="336"/>
      <c r="Q1627" s="336"/>
      <c r="R1627" s="336"/>
      <c r="S1627" s="336"/>
      <c r="T1627" s="336"/>
    </row>
    <row r="1628" spans="1:20" x14ac:dyDescent="0.25">
      <c r="A1628" s="336"/>
      <c r="B1628" s="336"/>
      <c r="C1628" s="336"/>
      <c r="D1628" s="336"/>
      <c r="E1628" s="336"/>
      <c r="F1628" s="104" t="b">
        <f t="array" ref="F1628">IF(_xlfn.NUMBERVALUE(RIGHT($E1628,2))=MAX(IF(LEFT($E1628:$E3626,11)=LEFT($E1628,11),_xlfn.NUMBERVALUE(RIGHT($E1628:$E3626,2)))),TRUE)</f>
        <v>1</v>
      </c>
      <c r="G1628" s="336"/>
      <c r="H1628" s="336"/>
      <c r="I1628" s="336"/>
      <c r="J1628" s="336"/>
      <c r="K1628" s="336"/>
      <c r="L1628" s="336"/>
      <c r="M1628" s="336"/>
      <c r="N1628" s="336"/>
      <c r="O1628" s="336"/>
      <c r="P1628" s="336"/>
      <c r="Q1628" s="336"/>
      <c r="R1628" s="336"/>
      <c r="S1628" s="336"/>
      <c r="T1628" s="336"/>
    </row>
    <row r="1629" spans="1:20" x14ac:dyDescent="0.25">
      <c r="A1629" s="336"/>
      <c r="B1629" s="336"/>
      <c r="C1629" s="336"/>
      <c r="D1629" s="336"/>
      <c r="E1629" s="336"/>
      <c r="F1629" s="104" t="b">
        <f t="array" ref="F1629">IF(_xlfn.NUMBERVALUE(RIGHT($E1629,2))=MAX(IF(LEFT($E1629:$E3627,11)=LEFT($E1629,11),_xlfn.NUMBERVALUE(RIGHT($E1629:$E3627,2)))),TRUE)</f>
        <v>1</v>
      </c>
      <c r="G1629" s="336"/>
      <c r="H1629" s="336"/>
      <c r="I1629" s="336"/>
      <c r="J1629" s="336"/>
      <c r="K1629" s="336"/>
      <c r="L1629" s="336"/>
      <c r="M1629" s="336"/>
      <c r="N1629" s="336"/>
      <c r="O1629" s="336"/>
      <c r="P1629" s="336"/>
      <c r="Q1629" s="336"/>
      <c r="R1629" s="336"/>
      <c r="S1629" s="336"/>
      <c r="T1629" s="336"/>
    </row>
    <row r="1630" spans="1:20" x14ac:dyDescent="0.25">
      <c r="A1630" s="336"/>
      <c r="B1630" s="336"/>
      <c r="C1630" s="336"/>
      <c r="D1630" s="336"/>
      <c r="E1630" s="336"/>
      <c r="F1630" s="104" t="b">
        <f t="array" ref="F1630">IF(_xlfn.NUMBERVALUE(RIGHT($E1630,2))=MAX(IF(LEFT($E1630:$E3628,11)=LEFT($E1630,11),_xlfn.NUMBERVALUE(RIGHT($E1630:$E3628,2)))),TRUE)</f>
        <v>1</v>
      </c>
      <c r="G1630" s="336"/>
      <c r="H1630" s="336"/>
      <c r="I1630" s="336"/>
      <c r="J1630" s="336"/>
      <c r="K1630" s="336"/>
      <c r="L1630" s="336"/>
      <c r="M1630" s="336"/>
      <c r="N1630" s="336"/>
      <c r="O1630" s="336"/>
      <c r="P1630" s="336"/>
      <c r="Q1630" s="336"/>
      <c r="R1630" s="336"/>
      <c r="S1630" s="336"/>
      <c r="T1630" s="336"/>
    </row>
    <row r="1631" spans="1:20" x14ac:dyDescent="0.25">
      <c r="A1631" s="336"/>
      <c r="B1631" s="336"/>
      <c r="C1631" s="336"/>
      <c r="D1631" s="336"/>
      <c r="E1631" s="336"/>
      <c r="F1631" s="104" t="b">
        <f t="array" ref="F1631">IF(_xlfn.NUMBERVALUE(RIGHT($E1631,2))=MAX(IF(LEFT($E1631:$E3629,11)=LEFT($E1631,11),_xlfn.NUMBERVALUE(RIGHT($E1631:$E3629,2)))),TRUE)</f>
        <v>1</v>
      </c>
      <c r="G1631" s="336"/>
      <c r="H1631" s="336"/>
      <c r="I1631" s="336"/>
      <c r="J1631" s="336"/>
      <c r="K1631" s="336"/>
      <c r="L1631" s="336"/>
      <c r="M1631" s="336"/>
      <c r="N1631" s="336"/>
      <c r="O1631" s="336"/>
      <c r="P1631" s="336"/>
      <c r="Q1631" s="336"/>
      <c r="R1631" s="336"/>
      <c r="S1631" s="336"/>
      <c r="T1631" s="336"/>
    </row>
    <row r="1632" spans="1:20" x14ac:dyDescent="0.25">
      <c r="A1632" s="336"/>
      <c r="B1632" s="336"/>
      <c r="C1632" s="336"/>
      <c r="D1632" s="336"/>
      <c r="E1632" s="336"/>
      <c r="F1632" s="104" t="b">
        <f t="array" ref="F1632">IF(_xlfn.NUMBERVALUE(RIGHT($E1632,2))=MAX(IF(LEFT($E1632:$E3630,11)=LEFT($E1632,11),_xlfn.NUMBERVALUE(RIGHT($E1632:$E3630,2)))),TRUE)</f>
        <v>1</v>
      </c>
      <c r="G1632" s="336"/>
      <c r="H1632" s="336"/>
      <c r="I1632" s="336"/>
      <c r="J1632" s="336"/>
      <c r="K1632" s="336"/>
      <c r="L1632" s="336"/>
      <c r="M1632" s="336"/>
      <c r="N1632" s="336"/>
      <c r="O1632" s="336"/>
      <c r="P1632" s="336"/>
      <c r="Q1632" s="336"/>
      <c r="R1632" s="336"/>
      <c r="S1632" s="336"/>
      <c r="T1632" s="336"/>
    </row>
    <row r="1633" spans="1:20" x14ac:dyDescent="0.25">
      <c r="A1633" s="336"/>
      <c r="B1633" s="336"/>
      <c r="C1633" s="336"/>
      <c r="D1633" s="336"/>
      <c r="E1633" s="336"/>
      <c r="F1633" s="104" t="b">
        <f t="array" ref="F1633">IF(_xlfn.NUMBERVALUE(RIGHT($E1633,2))=MAX(IF(LEFT($E1633:$E3631,11)=LEFT($E1633,11),_xlfn.NUMBERVALUE(RIGHT($E1633:$E3631,2)))),TRUE)</f>
        <v>1</v>
      </c>
      <c r="G1633" s="336"/>
      <c r="H1633" s="336"/>
      <c r="I1633" s="336"/>
      <c r="J1633" s="336"/>
      <c r="K1633" s="336"/>
      <c r="L1633" s="336"/>
      <c r="M1633" s="336"/>
      <c r="N1633" s="336"/>
      <c r="O1633" s="336"/>
      <c r="P1633" s="336"/>
      <c r="Q1633" s="336"/>
      <c r="R1633" s="336"/>
      <c r="S1633" s="336"/>
      <c r="T1633" s="336"/>
    </row>
    <row r="1634" spans="1:20" x14ac:dyDescent="0.25">
      <c r="A1634" s="336"/>
      <c r="B1634" s="336"/>
      <c r="C1634" s="336"/>
      <c r="D1634" s="336"/>
      <c r="E1634" s="336"/>
      <c r="F1634" s="104" t="b">
        <f t="array" ref="F1634">IF(_xlfn.NUMBERVALUE(RIGHT($E1634,2))=MAX(IF(LEFT($E1634:$E3632,11)=LEFT($E1634,11),_xlfn.NUMBERVALUE(RIGHT($E1634:$E3632,2)))),TRUE)</f>
        <v>1</v>
      </c>
      <c r="G1634" s="336"/>
      <c r="H1634" s="336"/>
      <c r="I1634" s="336"/>
      <c r="J1634" s="336"/>
      <c r="K1634" s="336"/>
      <c r="L1634" s="336"/>
      <c r="M1634" s="336"/>
      <c r="N1634" s="336"/>
      <c r="O1634" s="336"/>
      <c r="P1634" s="336"/>
      <c r="Q1634" s="336"/>
      <c r="R1634" s="336"/>
      <c r="S1634" s="336"/>
      <c r="T1634" s="336"/>
    </row>
    <row r="1635" spans="1:20" x14ac:dyDescent="0.25">
      <c r="A1635" s="336"/>
      <c r="B1635" s="336"/>
      <c r="C1635" s="336"/>
      <c r="D1635" s="336"/>
      <c r="E1635" s="336"/>
      <c r="F1635" s="104" t="b">
        <f t="array" ref="F1635">IF(_xlfn.NUMBERVALUE(RIGHT($E1635,2))=MAX(IF(LEFT($E1635:$E3633,11)=LEFT($E1635,11),_xlfn.NUMBERVALUE(RIGHT($E1635:$E3633,2)))),TRUE)</f>
        <v>1</v>
      </c>
      <c r="G1635" s="336"/>
      <c r="H1635" s="336"/>
      <c r="I1635" s="336"/>
      <c r="J1635" s="336"/>
      <c r="K1635" s="336"/>
      <c r="L1635" s="336"/>
      <c r="M1635" s="336"/>
      <c r="N1635" s="336"/>
      <c r="O1635" s="336"/>
      <c r="P1635" s="336"/>
      <c r="Q1635" s="336"/>
      <c r="R1635" s="336"/>
      <c r="S1635" s="336"/>
      <c r="T1635" s="336"/>
    </row>
    <row r="1636" spans="1:20" x14ac:dyDescent="0.25">
      <c r="A1636" s="336"/>
      <c r="B1636" s="336"/>
      <c r="C1636" s="336"/>
      <c r="D1636" s="336"/>
      <c r="E1636" s="336"/>
      <c r="F1636" s="104" t="b">
        <f t="array" ref="F1636">IF(_xlfn.NUMBERVALUE(RIGHT($E1636,2))=MAX(IF(LEFT($E1636:$E3634,11)=LEFT($E1636,11),_xlfn.NUMBERVALUE(RIGHT($E1636:$E3634,2)))),TRUE)</f>
        <v>1</v>
      </c>
      <c r="G1636" s="336"/>
      <c r="H1636" s="336"/>
      <c r="I1636" s="336"/>
      <c r="J1636" s="336"/>
      <c r="K1636" s="336"/>
      <c r="L1636" s="336"/>
      <c r="M1636" s="336"/>
      <c r="N1636" s="336"/>
      <c r="O1636" s="336"/>
      <c r="P1636" s="336"/>
      <c r="Q1636" s="336"/>
      <c r="R1636" s="336"/>
      <c r="S1636" s="336"/>
      <c r="T1636" s="336"/>
    </row>
    <row r="1637" spans="1:20" x14ac:dyDescent="0.25">
      <c r="A1637" s="336"/>
      <c r="B1637" s="336"/>
      <c r="C1637" s="336"/>
      <c r="D1637" s="336"/>
      <c r="E1637" s="336"/>
      <c r="F1637" s="104" t="b">
        <f t="array" ref="F1637">IF(_xlfn.NUMBERVALUE(RIGHT($E1637,2))=MAX(IF(LEFT($E1637:$E3635,11)=LEFT($E1637,11),_xlfn.NUMBERVALUE(RIGHT($E1637:$E3635,2)))),TRUE)</f>
        <v>1</v>
      </c>
      <c r="G1637" s="336"/>
      <c r="H1637" s="336"/>
      <c r="I1637" s="336"/>
      <c r="J1637" s="336"/>
      <c r="K1637" s="336"/>
      <c r="L1637" s="336"/>
      <c r="M1637" s="336"/>
      <c r="N1637" s="336"/>
      <c r="O1637" s="336"/>
      <c r="P1637" s="336"/>
      <c r="Q1637" s="336"/>
      <c r="R1637" s="336"/>
      <c r="S1637" s="336"/>
      <c r="T1637" s="336"/>
    </row>
    <row r="1638" spans="1:20" x14ac:dyDescent="0.25">
      <c r="A1638" s="336"/>
      <c r="B1638" s="336"/>
      <c r="C1638" s="336"/>
      <c r="D1638" s="336"/>
      <c r="E1638" s="336"/>
      <c r="F1638" s="104" t="b">
        <f t="array" ref="F1638">IF(_xlfn.NUMBERVALUE(RIGHT($E1638,2))=MAX(IF(LEFT($E1638:$E3636,11)=LEFT($E1638,11),_xlfn.NUMBERVALUE(RIGHT($E1638:$E3636,2)))),TRUE)</f>
        <v>1</v>
      </c>
      <c r="G1638" s="336"/>
      <c r="H1638" s="336"/>
      <c r="I1638" s="336"/>
      <c r="J1638" s="336"/>
      <c r="K1638" s="336"/>
      <c r="L1638" s="336"/>
      <c r="M1638" s="336"/>
      <c r="N1638" s="336"/>
      <c r="O1638" s="336"/>
      <c r="P1638" s="336"/>
      <c r="Q1638" s="336"/>
      <c r="R1638" s="336"/>
      <c r="S1638" s="336"/>
      <c r="T1638" s="336"/>
    </row>
    <row r="1639" spans="1:20" x14ac:dyDescent="0.25">
      <c r="A1639" s="336"/>
      <c r="B1639" s="336"/>
      <c r="C1639" s="336"/>
      <c r="D1639" s="336"/>
      <c r="E1639" s="336"/>
      <c r="F1639" s="104" t="b">
        <f t="array" ref="F1639">IF(_xlfn.NUMBERVALUE(RIGHT($E1639,2))=MAX(IF(LEFT($E1639:$E3637,11)=LEFT($E1639,11),_xlfn.NUMBERVALUE(RIGHT($E1639:$E3637,2)))),TRUE)</f>
        <v>1</v>
      </c>
      <c r="G1639" s="336"/>
      <c r="H1639" s="336"/>
      <c r="I1639" s="336"/>
      <c r="J1639" s="336"/>
      <c r="K1639" s="336"/>
      <c r="L1639" s="336"/>
      <c r="M1639" s="336"/>
      <c r="N1639" s="336"/>
      <c r="O1639" s="336"/>
      <c r="P1639" s="336"/>
      <c r="Q1639" s="336"/>
      <c r="R1639" s="336"/>
      <c r="S1639" s="336"/>
      <c r="T1639" s="336"/>
    </row>
    <row r="1640" spans="1:20" x14ac:dyDescent="0.25">
      <c r="A1640" s="336"/>
      <c r="B1640" s="336"/>
      <c r="C1640" s="336"/>
      <c r="D1640" s="336"/>
      <c r="E1640" s="336"/>
      <c r="F1640" s="104" t="b">
        <f t="array" ref="F1640">IF(_xlfn.NUMBERVALUE(RIGHT($E1640,2))=MAX(IF(LEFT($E1640:$E3638,11)=LEFT($E1640,11),_xlfn.NUMBERVALUE(RIGHT($E1640:$E3638,2)))),TRUE)</f>
        <v>1</v>
      </c>
      <c r="G1640" s="336"/>
      <c r="H1640" s="336"/>
      <c r="I1640" s="336"/>
      <c r="J1640" s="336"/>
      <c r="K1640" s="336"/>
      <c r="L1640" s="336"/>
      <c r="M1640" s="336"/>
      <c r="N1640" s="336"/>
      <c r="O1640" s="336"/>
      <c r="P1640" s="336"/>
      <c r="Q1640" s="336"/>
      <c r="R1640" s="336"/>
      <c r="S1640" s="336"/>
      <c r="T1640" s="336"/>
    </row>
    <row r="1641" spans="1:20" x14ac:dyDescent="0.25">
      <c r="A1641" s="336"/>
      <c r="B1641" s="336"/>
      <c r="C1641" s="336"/>
      <c r="D1641" s="336"/>
      <c r="E1641" s="336"/>
      <c r="F1641" s="104" t="b">
        <f t="array" ref="F1641">IF(_xlfn.NUMBERVALUE(RIGHT($E1641,2))=MAX(IF(LEFT($E1641:$E3639,11)=LEFT($E1641,11),_xlfn.NUMBERVALUE(RIGHT($E1641:$E3639,2)))),TRUE)</f>
        <v>1</v>
      </c>
      <c r="G1641" s="336"/>
      <c r="H1641" s="336"/>
      <c r="I1641" s="336"/>
      <c r="J1641" s="336"/>
      <c r="K1641" s="336"/>
      <c r="L1641" s="336"/>
      <c r="M1641" s="336"/>
      <c r="N1641" s="336"/>
      <c r="O1641" s="336"/>
      <c r="P1641" s="336"/>
      <c r="Q1641" s="336"/>
      <c r="R1641" s="336"/>
      <c r="S1641" s="336"/>
      <c r="T1641" s="336"/>
    </row>
    <row r="1642" spans="1:20" x14ac:dyDescent="0.25">
      <c r="A1642" s="336"/>
      <c r="B1642" s="336"/>
      <c r="C1642" s="336"/>
      <c r="D1642" s="336"/>
      <c r="E1642" s="336"/>
      <c r="F1642" s="104" t="b">
        <f t="array" ref="F1642">IF(_xlfn.NUMBERVALUE(RIGHT($E1642,2))=MAX(IF(LEFT($E1642:$E3640,11)=LEFT($E1642,11),_xlfn.NUMBERVALUE(RIGHT($E1642:$E3640,2)))),TRUE)</f>
        <v>1</v>
      </c>
      <c r="G1642" s="336"/>
      <c r="H1642" s="336"/>
      <c r="I1642" s="336"/>
      <c r="J1642" s="336"/>
      <c r="K1642" s="336"/>
      <c r="L1642" s="336"/>
      <c r="M1642" s="336"/>
      <c r="N1642" s="336"/>
      <c r="O1642" s="336"/>
      <c r="P1642" s="336"/>
      <c r="Q1642" s="336"/>
      <c r="R1642" s="336"/>
      <c r="S1642" s="336"/>
      <c r="T1642" s="336"/>
    </row>
    <row r="1643" spans="1:20" x14ac:dyDescent="0.25">
      <c r="A1643" s="336"/>
      <c r="B1643" s="336"/>
      <c r="C1643" s="336"/>
      <c r="D1643" s="336"/>
      <c r="E1643" s="336"/>
      <c r="F1643" s="104" t="b">
        <f t="array" ref="F1643">IF(_xlfn.NUMBERVALUE(RIGHT($E1643,2))=MAX(IF(LEFT($E1643:$E3641,11)=LEFT($E1643,11),_xlfn.NUMBERVALUE(RIGHT($E1643:$E3641,2)))),TRUE)</f>
        <v>1</v>
      </c>
      <c r="G1643" s="336"/>
      <c r="H1643" s="336"/>
      <c r="I1643" s="336"/>
      <c r="J1643" s="336"/>
      <c r="K1643" s="336"/>
      <c r="L1643" s="336"/>
      <c r="M1643" s="336"/>
      <c r="N1643" s="336"/>
      <c r="O1643" s="336"/>
      <c r="P1643" s="336"/>
      <c r="Q1643" s="336"/>
      <c r="R1643" s="336"/>
      <c r="S1643" s="336"/>
      <c r="T1643" s="336"/>
    </row>
    <row r="1644" spans="1:20" x14ac:dyDescent="0.25">
      <c r="A1644" s="336"/>
      <c r="B1644" s="336"/>
      <c r="C1644" s="336"/>
      <c r="D1644" s="336"/>
      <c r="E1644" s="336"/>
      <c r="F1644" s="104" t="b">
        <f t="array" ref="F1644">IF(_xlfn.NUMBERVALUE(RIGHT($E1644,2))=MAX(IF(LEFT($E1644:$E3642,11)=LEFT($E1644,11),_xlfn.NUMBERVALUE(RIGHT($E1644:$E3642,2)))),TRUE)</f>
        <v>1</v>
      </c>
      <c r="G1644" s="336"/>
      <c r="H1644" s="336"/>
      <c r="I1644" s="336"/>
      <c r="J1644" s="336"/>
      <c r="K1644" s="336"/>
      <c r="L1644" s="336"/>
      <c r="M1644" s="336"/>
      <c r="N1644" s="336"/>
      <c r="O1644" s="336"/>
      <c r="P1644" s="336"/>
      <c r="Q1644" s="336"/>
      <c r="R1644" s="336"/>
      <c r="S1644" s="336"/>
      <c r="T1644" s="336"/>
    </row>
    <row r="1645" spans="1:20" x14ac:dyDescent="0.25">
      <c r="A1645" s="336"/>
      <c r="B1645" s="336"/>
      <c r="C1645" s="336"/>
      <c r="D1645" s="336"/>
      <c r="E1645" s="336"/>
      <c r="F1645" s="104" t="b">
        <f t="array" ref="F1645">IF(_xlfn.NUMBERVALUE(RIGHT($E1645,2))=MAX(IF(LEFT($E1645:$E3643,11)=LEFT($E1645,11),_xlfn.NUMBERVALUE(RIGHT($E1645:$E3643,2)))),TRUE)</f>
        <v>1</v>
      </c>
      <c r="G1645" s="336"/>
      <c r="H1645" s="336"/>
      <c r="I1645" s="336"/>
      <c r="J1645" s="336"/>
      <c r="K1645" s="336"/>
      <c r="L1645" s="336"/>
      <c r="M1645" s="336"/>
      <c r="N1645" s="336"/>
      <c r="O1645" s="336"/>
      <c r="P1645" s="336"/>
      <c r="Q1645" s="336"/>
      <c r="R1645" s="336"/>
      <c r="S1645" s="336"/>
      <c r="T1645" s="336"/>
    </row>
    <row r="1646" spans="1:20" x14ac:dyDescent="0.25">
      <c r="A1646" s="336"/>
      <c r="B1646" s="336"/>
      <c r="C1646" s="336"/>
      <c r="D1646" s="336"/>
      <c r="E1646" s="336"/>
      <c r="F1646" s="104" t="b">
        <f t="array" ref="F1646">IF(_xlfn.NUMBERVALUE(RIGHT($E1646,2))=MAX(IF(LEFT($E1646:$E3644,11)=LEFT($E1646,11),_xlfn.NUMBERVALUE(RIGHT($E1646:$E3644,2)))),TRUE)</f>
        <v>1</v>
      </c>
      <c r="G1646" s="336"/>
      <c r="H1646" s="336"/>
      <c r="I1646" s="336"/>
      <c r="J1646" s="336"/>
      <c r="K1646" s="336"/>
      <c r="L1646" s="336"/>
      <c r="M1646" s="336"/>
      <c r="N1646" s="336"/>
      <c r="O1646" s="336"/>
      <c r="P1646" s="336"/>
      <c r="Q1646" s="336"/>
      <c r="R1646" s="336"/>
      <c r="S1646" s="336"/>
      <c r="T1646" s="336"/>
    </row>
    <row r="1647" spans="1:20" x14ac:dyDescent="0.25">
      <c r="A1647" s="336"/>
      <c r="B1647" s="336"/>
      <c r="C1647" s="336"/>
      <c r="D1647" s="336"/>
      <c r="E1647" s="336"/>
      <c r="F1647" s="104" t="b">
        <f t="array" ref="F1647">IF(_xlfn.NUMBERVALUE(RIGHT($E1647,2))=MAX(IF(LEFT($E1647:$E3645,11)=LEFT($E1647,11),_xlfn.NUMBERVALUE(RIGHT($E1647:$E3645,2)))),TRUE)</f>
        <v>1</v>
      </c>
      <c r="G1647" s="336"/>
      <c r="H1647" s="336"/>
      <c r="I1647" s="336"/>
      <c r="J1647" s="336"/>
      <c r="K1647" s="336"/>
      <c r="L1647" s="336"/>
      <c r="M1647" s="336"/>
      <c r="N1647" s="336"/>
      <c r="O1647" s="336"/>
      <c r="P1647" s="336"/>
      <c r="Q1647" s="336"/>
      <c r="R1647" s="336"/>
      <c r="S1647" s="336"/>
      <c r="T1647" s="336"/>
    </row>
    <row r="1648" spans="1:20" x14ac:dyDescent="0.25">
      <c r="A1648" s="336"/>
      <c r="B1648" s="336"/>
      <c r="C1648" s="336"/>
      <c r="D1648" s="336"/>
      <c r="E1648" s="336"/>
      <c r="F1648" s="104" t="b">
        <f t="array" ref="F1648">IF(_xlfn.NUMBERVALUE(RIGHT($E1648,2))=MAX(IF(LEFT($E1648:$E3646,11)=LEFT($E1648,11),_xlfn.NUMBERVALUE(RIGHT($E1648:$E3646,2)))),TRUE)</f>
        <v>1</v>
      </c>
      <c r="G1648" s="336"/>
      <c r="H1648" s="336"/>
      <c r="I1648" s="336"/>
      <c r="J1648" s="336"/>
      <c r="K1648" s="336"/>
      <c r="L1648" s="336"/>
      <c r="M1648" s="336"/>
      <c r="N1648" s="336"/>
      <c r="O1648" s="336"/>
      <c r="P1648" s="336"/>
      <c r="Q1648" s="336"/>
      <c r="R1648" s="336"/>
      <c r="S1648" s="336"/>
      <c r="T1648" s="336"/>
    </row>
    <row r="1649" spans="1:20" x14ac:dyDescent="0.25">
      <c r="A1649" s="336"/>
      <c r="B1649" s="336"/>
      <c r="C1649" s="336"/>
      <c r="D1649" s="336"/>
      <c r="E1649" s="336"/>
      <c r="F1649" s="104" t="b">
        <f t="array" ref="F1649">IF(_xlfn.NUMBERVALUE(RIGHT($E1649,2))=MAX(IF(LEFT($E1649:$E3647,11)=LEFT($E1649,11),_xlfn.NUMBERVALUE(RIGHT($E1649:$E3647,2)))),TRUE)</f>
        <v>1</v>
      </c>
      <c r="G1649" s="336"/>
      <c r="H1649" s="336"/>
      <c r="I1649" s="336"/>
      <c r="J1649" s="336"/>
      <c r="K1649" s="336"/>
      <c r="L1649" s="336"/>
      <c r="M1649" s="336"/>
      <c r="N1649" s="336"/>
      <c r="O1649" s="336"/>
      <c r="P1649" s="336"/>
      <c r="Q1649" s="336"/>
      <c r="R1649" s="336"/>
      <c r="S1649" s="336"/>
      <c r="T1649" s="336"/>
    </row>
    <row r="1650" spans="1:20" x14ac:dyDescent="0.25">
      <c r="A1650" s="336"/>
      <c r="B1650" s="336"/>
      <c r="C1650" s="336"/>
      <c r="D1650" s="336"/>
      <c r="E1650" s="336"/>
      <c r="F1650" s="104" t="b">
        <f t="array" ref="F1650">IF(_xlfn.NUMBERVALUE(RIGHT($E1650,2))=MAX(IF(LEFT($E1650:$E3648,11)=LEFT($E1650,11),_xlfn.NUMBERVALUE(RIGHT($E1650:$E3648,2)))),TRUE)</f>
        <v>1</v>
      </c>
      <c r="G1650" s="336"/>
      <c r="H1650" s="336"/>
      <c r="I1650" s="336"/>
      <c r="J1650" s="336"/>
      <c r="K1650" s="336"/>
      <c r="L1650" s="336"/>
      <c r="M1650" s="336"/>
      <c r="N1650" s="336"/>
      <c r="O1650" s="336"/>
      <c r="P1650" s="336"/>
      <c r="Q1650" s="336"/>
      <c r="R1650" s="336"/>
      <c r="S1650" s="336"/>
      <c r="T1650" s="336"/>
    </row>
    <row r="1651" spans="1:20" x14ac:dyDescent="0.25">
      <c r="A1651" s="336"/>
      <c r="B1651" s="336"/>
      <c r="C1651" s="336"/>
      <c r="D1651" s="336"/>
      <c r="E1651" s="336"/>
      <c r="F1651" s="104" t="b">
        <f t="array" ref="F1651">IF(_xlfn.NUMBERVALUE(RIGHT($E1651,2))=MAX(IF(LEFT($E1651:$E3649,11)=LEFT($E1651,11),_xlfn.NUMBERVALUE(RIGHT($E1651:$E3649,2)))),TRUE)</f>
        <v>1</v>
      </c>
      <c r="G1651" s="336"/>
      <c r="H1651" s="336"/>
      <c r="I1651" s="336"/>
      <c r="J1651" s="336"/>
      <c r="K1651" s="336"/>
      <c r="L1651" s="336"/>
      <c r="M1651" s="336"/>
      <c r="N1651" s="336"/>
      <c r="O1651" s="336"/>
      <c r="P1651" s="336"/>
      <c r="Q1651" s="336"/>
      <c r="R1651" s="336"/>
      <c r="S1651" s="336"/>
      <c r="T1651" s="336"/>
    </row>
    <row r="1652" spans="1:20" x14ac:dyDescent="0.25">
      <c r="A1652" s="336"/>
      <c r="B1652" s="336"/>
      <c r="C1652" s="336"/>
      <c r="D1652" s="336"/>
      <c r="E1652" s="336"/>
      <c r="F1652" s="104" t="b">
        <f t="array" ref="F1652">IF(_xlfn.NUMBERVALUE(RIGHT($E1652,2))=MAX(IF(LEFT($E1652:$E3650,11)=LEFT($E1652,11),_xlfn.NUMBERVALUE(RIGHT($E1652:$E3650,2)))),TRUE)</f>
        <v>1</v>
      </c>
      <c r="G1652" s="336"/>
      <c r="H1652" s="336"/>
      <c r="I1652" s="336"/>
      <c r="J1652" s="336"/>
      <c r="K1652" s="336"/>
      <c r="L1652" s="336"/>
      <c r="M1652" s="336"/>
      <c r="N1652" s="336"/>
      <c r="O1652" s="336"/>
      <c r="P1652" s="336"/>
      <c r="Q1652" s="336"/>
      <c r="R1652" s="336"/>
      <c r="S1652" s="336"/>
      <c r="T1652" s="336"/>
    </row>
    <row r="1653" spans="1:20" x14ac:dyDescent="0.25">
      <c r="A1653" s="336"/>
      <c r="B1653" s="336"/>
      <c r="C1653" s="336"/>
      <c r="D1653" s="336"/>
      <c r="E1653" s="336"/>
      <c r="F1653" s="104" t="b">
        <f t="array" ref="F1653">IF(_xlfn.NUMBERVALUE(RIGHT($E1653,2))=MAX(IF(LEFT($E1653:$E3651,11)=LEFT($E1653,11),_xlfn.NUMBERVALUE(RIGHT($E1653:$E3651,2)))),TRUE)</f>
        <v>1</v>
      </c>
      <c r="G1653" s="336"/>
      <c r="H1653" s="336"/>
      <c r="I1653" s="336"/>
      <c r="J1653" s="336"/>
      <c r="K1653" s="336"/>
      <c r="L1653" s="336"/>
      <c r="M1653" s="336"/>
      <c r="N1653" s="336"/>
      <c r="O1653" s="336"/>
      <c r="P1653" s="336"/>
      <c r="Q1653" s="336"/>
      <c r="R1653" s="336"/>
      <c r="S1653" s="336"/>
      <c r="T1653" s="336"/>
    </row>
    <row r="1654" spans="1:20" x14ac:dyDescent="0.25">
      <c r="A1654" s="336"/>
      <c r="B1654" s="336"/>
      <c r="C1654" s="336"/>
      <c r="D1654" s="336"/>
      <c r="E1654" s="336"/>
      <c r="F1654" s="104" t="b">
        <f t="array" ref="F1654">IF(_xlfn.NUMBERVALUE(RIGHT($E1654,2))=MAX(IF(LEFT($E1654:$E3652,11)=LEFT($E1654,11),_xlfn.NUMBERVALUE(RIGHT($E1654:$E3652,2)))),TRUE)</f>
        <v>1</v>
      </c>
      <c r="G1654" s="336"/>
      <c r="H1654" s="336"/>
      <c r="I1654" s="336"/>
      <c r="J1654" s="336"/>
      <c r="K1654" s="336"/>
      <c r="L1654" s="336"/>
      <c r="M1654" s="336"/>
      <c r="N1654" s="336"/>
      <c r="O1654" s="336"/>
      <c r="P1654" s="336"/>
      <c r="Q1654" s="336"/>
      <c r="R1654" s="336"/>
      <c r="S1654" s="336"/>
      <c r="T1654" s="336"/>
    </row>
    <row r="1655" spans="1:20" x14ac:dyDescent="0.25">
      <c r="A1655" s="336"/>
      <c r="B1655" s="336"/>
      <c r="C1655" s="336"/>
      <c r="D1655" s="336"/>
      <c r="E1655" s="336"/>
      <c r="F1655" s="104" t="b">
        <f t="array" ref="F1655">IF(_xlfn.NUMBERVALUE(RIGHT($E1655,2))=MAX(IF(LEFT($E1655:$E3653,11)=LEFT($E1655,11),_xlfn.NUMBERVALUE(RIGHT($E1655:$E3653,2)))),TRUE)</f>
        <v>1</v>
      </c>
      <c r="G1655" s="336"/>
      <c r="H1655" s="336"/>
      <c r="I1655" s="336"/>
      <c r="J1655" s="336"/>
      <c r="K1655" s="336"/>
      <c r="L1655" s="336"/>
      <c r="M1655" s="336"/>
      <c r="N1655" s="336"/>
      <c r="O1655" s="336"/>
      <c r="P1655" s="336"/>
      <c r="Q1655" s="336"/>
      <c r="R1655" s="336"/>
      <c r="S1655" s="336"/>
      <c r="T1655" s="336"/>
    </row>
    <row r="1656" spans="1:20" x14ac:dyDescent="0.25">
      <c r="A1656" s="336"/>
      <c r="B1656" s="336"/>
      <c r="C1656" s="336"/>
      <c r="D1656" s="336"/>
      <c r="E1656" s="336"/>
      <c r="F1656" s="104" t="b">
        <f t="array" ref="F1656">IF(_xlfn.NUMBERVALUE(RIGHT($E1656,2))=MAX(IF(LEFT($E1656:$E3654,11)=LEFT($E1656,11),_xlfn.NUMBERVALUE(RIGHT($E1656:$E3654,2)))),TRUE)</f>
        <v>1</v>
      </c>
      <c r="G1656" s="336"/>
      <c r="H1656" s="336"/>
      <c r="I1656" s="336"/>
      <c r="J1656" s="336"/>
      <c r="K1656" s="336"/>
      <c r="L1656" s="336"/>
      <c r="M1656" s="336"/>
      <c r="N1656" s="336"/>
      <c r="O1656" s="336"/>
      <c r="P1656" s="336"/>
      <c r="Q1656" s="336"/>
      <c r="R1656" s="336"/>
      <c r="S1656" s="336"/>
      <c r="T1656" s="336"/>
    </row>
    <row r="1657" spans="1:20" x14ac:dyDescent="0.25">
      <c r="A1657" s="336"/>
      <c r="B1657" s="336"/>
      <c r="C1657" s="336"/>
      <c r="D1657" s="336"/>
      <c r="E1657" s="336"/>
      <c r="F1657" s="104" t="b">
        <f t="array" ref="F1657">IF(_xlfn.NUMBERVALUE(RIGHT($E1657,2))=MAX(IF(LEFT($E1657:$E3655,11)=LEFT($E1657,11),_xlfn.NUMBERVALUE(RIGHT($E1657:$E3655,2)))),TRUE)</f>
        <v>1</v>
      </c>
      <c r="G1657" s="336"/>
      <c r="H1657" s="336"/>
      <c r="I1657" s="336"/>
      <c r="J1657" s="336"/>
      <c r="K1657" s="336"/>
      <c r="L1657" s="336"/>
      <c r="M1657" s="336"/>
      <c r="N1657" s="336"/>
      <c r="O1657" s="336"/>
      <c r="P1657" s="336"/>
      <c r="Q1657" s="336"/>
      <c r="R1657" s="336"/>
      <c r="S1657" s="336"/>
      <c r="T1657" s="336"/>
    </row>
    <row r="1658" spans="1:20" x14ac:dyDescent="0.25">
      <c r="A1658" s="336"/>
      <c r="B1658" s="336"/>
      <c r="C1658" s="336"/>
      <c r="D1658" s="336"/>
      <c r="E1658" s="336"/>
      <c r="F1658" s="104" t="b">
        <f t="array" ref="F1658">IF(_xlfn.NUMBERVALUE(RIGHT($E1658,2))=MAX(IF(LEFT($E1658:$E3656,11)=LEFT($E1658,11),_xlfn.NUMBERVALUE(RIGHT($E1658:$E3656,2)))),TRUE)</f>
        <v>1</v>
      </c>
      <c r="G1658" s="336"/>
      <c r="H1658" s="336"/>
      <c r="I1658" s="336"/>
      <c r="J1658" s="336"/>
      <c r="K1658" s="336"/>
      <c r="L1658" s="336"/>
      <c r="M1658" s="336"/>
      <c r="N1658" s="336"/>
      <c r="O1658" s="336"/>
      <c r="P1658" s="336"/>
      <c r="Q1658" s="336"/>
      <c r="R1658" s="336"/>
      <c r="S1658" s="336"/>
      <c r="T1658" s="336"/>
    </row>
    <row r="1659" spans="1:20" x14ac:dyDescent="0.25">
      <c r="A1659" s="336"/>
      <c r="B1659" s="336"/>
      <c r="C1659" s="336"/>
      <c r="D1659" s="336"/>
      <c r="E1659" s="336"/>
      <c r="F1659" s="104" t="b">
        <f t="array" ref="F1659">IF(_xlfn.NUMBERVALUE(RIGHT($E1659,2))=MAX(IF(LEFT($E1659:$E3657,11)=LEFT($E1659,11),_xlfn.NUMBERVALUE(RIGHT($E1659:$E3657,2)))),TRUE)</f>
        <v>1</v>
      </c>
      <c r="G1659" s="336"/>
      <c r="H1659" s="336"/>
      <c r="I1659" s="336"/>
      <c r="J1659" s="336"/>
      <c r="K1659" s="336"/>
      <c r="L1659" s="336"/>
      <c r="M1659" s="336"/>
      <c r="N1659" s="336"/>
      <c r="O1659" s="336"/>
      <c r="P1659" s="336"/>
      <c r="Q1659" s="336"/>
      <c r="R1659" s="336"/>
      <c r="S1659" s="336"/>
      <c r="T1659" s="336"/>
    </row>
    <row r="1660" spans="1:20" x14ac:dyDescent="0.25">
      <c r="A1660" s="336"/>
      <c r="B1660" s="336"/>
      <c r="C1660" s="336"/>
      <c r="D1660" s="336"/>
      <c r="E1660" s="336"/>
      <c r="F1660" s="104" t="b">
        <f t="array" ref="F1660">IF(_xlfn.NUMBERVALUE(RIGHT($E1660,2))=MAX(IF(LEFT($E1660:$E3658,11)=LEFT($E1660,11),_xlfn.NUMBERVALUE(RIGHT($E1660:$E3658,2)))),TRUE)</f>
        <v>1</v>
      </c>
      <c r="G1660" s="336"/>
      <c r="H1660" s="336"/>
      <c r="I1660" s="336"/>
      <c r="J1660" s="336"/>
      <c r="K1660" s="336"/>
      <c r="L1660" s="336"/>
      <c r="M1660" s="336"/>
      <c r="N1660" s="336"/>
      <c r="O1660" s="336"/>
      <c r="P1660" s="336"/>
      <c r="Q1660" s="336"/>
      <c r="R1660" s="336"/>
      <c r="S1660" s="336"/>
      <c r="T1660" s="336"/>
    </row>
    <row r="1661" spans="1:20" x14ac:dyDescent="0.25">
      <c r="A1661" s="336"/>
      <c r="B1661" s="336"/>
      <c r="C1661" s="336"/>
      <c r="D1661" s="336"/>
      <c r="E1661" s="336"/>
      <c r="F1661" s="104" t="b">
        <f t="array" ref="F1661">IF(_xlfn.NUMBERVALUE(RIGHT($E1661,2))=MAX(IF(LEFT($E1661:$E3659,11)=LEFT($E1661,11),_xlfn.NUMBERVALUE(RIGHT($E1661:$E3659,2)))),TRUE)</f>
        <v>1</v>
      </c>
      <c r="G1661" s="336"/>
      <c r="H1661" s="336"/>
      <c r="I1661" s="336"/>
      <c r="J1661" s="336"/>
      <c r="K1661" s="336"/>
      <c r="L1661" s="336"/>
      <c r="M1661" s="336"/>
      <c r="N1661" s="336"/>
      <c r="O1661" s="336"/>
      <c r="P1661" s="336"/>
      <c r="Q1661" s="336"/>
      <c r="R1661" s="336"/>
      <c r="S1661" s="336"/>
      <c r="T1661" s="336"/>
    </row>
    <row r="1662" spans="1:20" x14ac:dyDescent="0.25">
      <c r="A1662" s="336"/>
      <c r="B1662" s="336"/>
      <c r="C1662" s="336"/>
      <c r="D1662" s="336"/>
      <c r="E1662" s="336"/>
      <c r="F1662" s="104" t="b">
        <f t="array" ref="F1662">IF(_xlfn.NUMBERVALUE(RIGHT($E1662,2))=MAX(IF(LEFT($E1662:$E3660,11)=LEFT($E1662,11),_xlfn.NUMBERVALUE(RIGHT($E1662:$E3660,2)))),TRUE)</f>
        <v>1</v>
      </c>
      <c r="G1662" s="336"/>
      <c r="H1662" s="336"/>
      <c r="I1662" s="336"/>
      <c r="J1662" s="336"/>
      <c r="K1662" s="336"/>
      <c r="L1662" s="336"/>
      <c r="M1662" s="336"/>
      <c r="N1662" s="336"/>
      <c r="O1662" s="336"/>
      <c r="P1662" s="336"/>
      <c r="Q1662" s="336"/>
      <c r="R1662" s="336"/>
      <c r="S1662" s="336"/>
      <c r="T1662" s="336"/>
    </row>
    <row r="1663" spans="1:20" x14ac:dyDescent="0.25">
      <c r="A1663" s="336"/>
      <c r="B1663" s="336"/>
      <c r="C1663" s="336"/>
      <c r="D1663" s="336"/>
      <c r="E1663" s="336"/>
      <c r="F1663" s="104" t="b">
        <f t="array" ref="F1663">IF(_xlfn.NUMBERVALUE(RIGHT($E1663,2))=MAX(IF(LEFT($E1663:$E3661,11)=LEFT($E1663,11),_xlfn.NUMBERVALUE(RIGHT($E1663:$E3661,2)))),TRUE)</f>
        <v>1</v>
      </c>
      <c r="G1663" s="336"/>
      <c r="H1663" s="336"/>
      <c r="I1663" s="336"/>
      <c r="J1663" s="336"/>
      <c r="K1663" s="336"/>
      <c r="L1663" s="336"/>
      <c r="M1663" s="336"/>
      <c r="N1663" s="336"/>
      <c r="O1663" s="336"/>
      <c r="P1663" s="336"/>
      <c r="Q1663" s="336"/>
      <c r="R1663" s="336"/>
      <c r="S1663" s="336"/>
      <c r="T1663" s="336"/>
    </row>
    <row r="1664" spans="1:20" x14ac:dyDescent="0.25">
      <c r="A1664" s="336"/>
      <c r="B1664" s="336"/>
      <c r="C1664" s="336"/>
      <c r="D1664" s="336"/>
      <c r="E1664" s="336"/>
      <c r="F1664" s="104" t="b">
        <f t="array" ref="F1664">IF(_xlfn.NUMBERVALUE(RIGHT($E1664,2))=MAX(IF(LEFT($E1664:$E3662,11)=LEFT($E1664,11),_xlfn.NUMBERVALUE(RIGHT($E1664:$E3662,2)))),TRUE)</f>
        <v>1</v>
      </c>
      <c r="G1664" s="336"/>
      <c r="H1664" s="336"/>
      <c r="I1664" s="336"/>
      <c r="J1664" s="336"/>
      <c r="K1664" s="336"/>
      <c r="L1664" s="336"/>
      <c r="M1664" s="336"/>
      <c r="N1664" s="336"/>
      <c r="O1664" s="336"/>
      <c r="P1664" s="336"/>
      <c r="Q1664" s="336"/>
      <c r="R1664" s="336"/>
      <c r="S1664" s="336"/>
      <c r="T1664" s="336"/>
    </row>
    <row r="1665" spans="1:20" x14ac:dyDescent="0.25">
      <c r="A1665" s="336"/>
      <c r="B1665" s="336"/>
      <c r="C1665" s="336"/>
      <c r="D1665" s="336"/>
      <c r="E1665" s="336"/>
      <c r="F1665" s="104" t="b">
        <f t="array" ref="F1665">IF(_xlfn.NUMBERVALUE(RIGHT($E1665,2))=MAX(IF(LEFT($E1665:$E3663,11)=LEFT($E1665,11),_xlfn.NUMBERVALUE(RIGHT($E1665:$E3663,2)))),TRUE)</f>
        <v>1</v>
      </c>
      <c r="G1665" s="336"/>
      <c r="H1665" s="336"/>
      <c r="I1665" s="336"/>
      <c r="J1665" s="336"/>
      <c r="K1665" s="336"/>
      <c r="L1665" s="336"/>
      <c r="M1665" s="336"/>
      <c r="N1665" s="336"/>
      <c r="O1665" s="336"/>
      <c r="P1665" s="336"/>
      <c r="Q1665" s="336"/>
      <c r="R1665" s="336"/>
      <c r="S1665" s="336"/>
      <c r="T1665" s="336"/>
    </row>
    <row r="1666" spans="1:20" x14ac:dyDescent="0.25">
      <c r="A1666" s="336"/>
      <c r="B1666" s="336"/>
      <c r="C1666" s="336"/>
      <c r="D1666" s="336"/>
      <c r="E1666" s="336"/>
      <c r="F1666" s="104" t="b">
        <f t="array" ref="F1666">IF(_xlfn.NUMBERVALUE(RIGHT($E1666,2))=MAX(IF(LEFT($E1666:$E3664,11)=LEFT($E1666,11),_xlfn.NUMBERVALUE(RIGHT($E1666:$E3664,2)))),TRUE)</f>
        <v>1</v>
      </c>
      <c r="G1666" s="336"/>
      <c r="H1666" s="336"/>
      <c r="I1666" s="336"/>
      <c r="J1666" s="336"/>
      <c r="K1666" s="336"/>
      <c r="L1666" s="336"/>
      <c r="M1666" s="336"/>
      <c r="N1666" s="336"/>
      <c r="O1666" s="336"/>
      <c r="P1666" s="336"/>
      <c r="Q1666" s="336"/>
      <c r="R1666" s="336"/>
      <c r="S1666" s="336"/>
      <c r="T1666" s="336"/>
    </row>
    <row r="1667" spans="1:20" x14ac:dyDescent="0.25">
      <c r="A1667" s="336"/>
      <c r="B1667" s="336"/>
      <c r="C1667" s="336"/>
      <c r="D1667" s="336"/>
      <c r="E1667" s="336"/>
      <c r="F1667" s="104" t="b">
        <f t="array" ref="F1667">IF(_xlfn.NUMBERVALUE(RIGHT($E1667,2))=MAX(IF(LEFT($E1667:$E3665,11)=LEFT($E1667,11),_xlfn.NUMBERVALUE(RIGHT($E1667:$E3665,2)))),TRUE)</f>
        <v>1</v>
      </c>
      <c r="G1667" s="336"/>
      <c r="H1667" s="336"/>
      <c r="I1667" s="336"/>
      <c r="J1667" s="336"/>
      <c r="K1667" s="336"/>
      <c r="L1667" s="336"/>
      <c r="M1667" s="336"/>
      <c r="N1667" s="336"/>
      <c r="O1667" s="336"/>
      <c r="P1667" s="336"/>
      <c r="Q1667" s="336"/>
      <c r="R1667" s="336"/>
      <c r="S1667" s="336"/>
      <c r="T1667" s="336"/>
    </row>
    <row r="1668" spans="1:20" x14ac:dyDescent="0.25">
      <c r="A1668" s="336"/>
      <c r="B1668" s="336"/>
      <c r="C1668" s="336"/>
      <c r="D1668" s="336"/>
      <c r="E1668" s="336"/>
      <c r="F1668" s="104" t="b">
        <f t="array" ref="F1668">IF(_xlfn.NUMBERVALUE(RIGHT($E1668,2))=MAX(IF(LEFT($E1668:$E3666,11)=LEFT($E1668,11),_xlfn.NUMBERVALUE(RIGHT($E1668:$E3666,2)))),TRUE)</f>
        <v>1</v>
      </c>
      <c r="G1668" s="336"/>
      <c r="H1668" s="336"/>
      <c r="I1668" s="336"/>
      <c r="J1668" s="336"/>
      <c r="K1668" s="336"/>
      <c r="L1668" s="336"/>
      <c r="M1668" s="336"/>
      <c r="N1668" s="336"/>
      <c r="O1668" s="336"/>
      <c r="P1668" s="336"/>
      <c r="Q1668" s="336"/>
      <c r="R1668" s="336"/>
      <c r="S1668" s="336"/>
      <c r="T1668" s="336"/>
    </row>
    <row r="1669" spans="1:20" x14ac:dyDescent="0.25">
      <c r="A1669" s="336"/>
      <c r="B1669" s="336"/>
      <c r="C1669" s="336"/>
      <c r="D1669" s="336"/>
      <c r="E1669" s="336"/>
      <c r="F1669" s="104" t="b">
        <f t="array" ref="F1669">IF(_xlfn.NUMBERVALUE(RIGHT($E1669,2))=MAX(IF(LEFT($E1669:$E3667,11)=LEFT($E1669,11),_xlfn.NUMBERVALUE(RIGHT($E1669:$E3667,2)))),TRUE)</f>
        <v>1</v>
      </c>
      <c r="G1669" s="336"/>
      <c r="H1669" s="336"/>
      <c r="I1669" s="336"/>
      <c r="J1669" s="336"/>
      <c r="K1669" s="336"/>
      <c r="L1669" s="336"/>
      <c r="M1669" s="336"/>
      <c r="N1669" s="336"/>
      <c r="O1669" s="336"/>
      <c r="P1669" s="336"/>
      <c r="Q1669" s="336"/>
      <c r="R1669" s="336"/>
      <c r="S1669" s="336"/>
      <c r="T1669" s="336"/>
    </row>
    <row r="1670" spans="1:20" x14ac:dyDescent="0.25">
      <c r="A1670" s="336"/>
      <c r="B1670" s="336"/>
      <c r="C1670" s="336"/>
      <c r="D1670" s="336"/>
      <c r="E1670" s="336"/>
      <c r="F1670" s="104" t="b">
        <f t="array" ref="F1670">IF(_xlfn.NUMBERVALUE(RIGHT($E1670,2))=MAX(IF(LEFT($E1670:$E3668,11)=LEFT($E1670,11),_xlfn.NUMBERVALUE(RIGHT($E1670:$E3668,2)))),TRUE)</f>
        <v>1</v>
      </c>
      <c r="G1670" s="336"/>
      <c r="H1670" s="336"/>
      <c r="I1670" s="336"/>
      <c r="J1670" s="336"/>
      <c r="K1670" s="336"/>
      <c r="L1670" s="336"/>
      <c r="M1670" s="336"/>
      <c r="N1670" s="336"/>
      <c r="O1670" s="336"/>
      <c r="P1670" s="336"/>
      <c r="Q1670" s="336"/>
      <c r="R1670" s="336"/>
      <c r="S1670" s="336"/>
      <c r="T1670" s="336"/>
    </row>
    <row r="1671" spans="1:20" x14ac:dyDescent="0.25">
      <c r="A1671" s="336"/>
      <c r="B1671" s="336"/>
      <c r="C1671" s="336"/>
      <c r="D1671" s="336"/>
      <c r="E1671" s="336"/>
      <c r="F1671" s="104" t="b">
        <f t="array" ref="F1671">IF(_xlfn.NUMBERVALUE(RIGHT($E1671,2))=MAX(IF(LEFT($E1671:$E3669,11)=LEFT($E1671,11),_xlfn.NUMBERVALUE(RIGHT($E1671:$E3669,2)))),TRUE)</f>
        <v>1</v>
      </c>
      <c r="G1671" s="336"/>
      <c r="H1671" s="336"/>
      <c r="I1671" s="336"/>
      <c r="J1671" s="336"/>
      <c r="K1671" s="336"/>
      <c r="L1671" s="336"/>
      <c r="M1671" s="336"/>
      <c r="N1671" s="336"/>
      <c r="O1671" s="336"/>
      <c r="P1671" s="336"/>
      <c r="Q1671" s="336"/>
      <c r="R1671" s="336"/>
      <c r="S1671" s="336"/>
      <c r="T1671" s="336"/>
    </row>
    <row r="1672" spans="1:20" x14ac:dyDescent="0.25">
      <c r="A1672" s="336"/>
      <c r="B1672" s="336"/>
      <c r="C1672" s="336"/>
      <c r="D1672" s="336"/>
      <c r="E1672" s="336"/>
      <c r="F1672" s="104" t="b">
        <f t="array" ref="F1672">IF(_xlfn.NUMBERVALUE(RIGHT($E1672,2))=MAX(IF(LEFT($E1672:$E3670,11)=LEFT($E1672,11),_xlfn.NUMBERVALUE(RIGHT($E1672:$E3670,2)))),TRUE)</f>
        <v>1</v>
      </c>
      <c r="G1672" s="336"/>
      <c r="H1672" s="336"/>
      <c r="I1672" s="336"/>
      <c r="J1672" s="336"/>
      <c r="K1672" s="336"/>
      <c r="L1672" s="336"/>
      <c r="M1672" s="336"/>
      <c r="N1672" s="336"/>
      <c r="O1672" s="336"/>
      <c r="P1672" s="336"/>
      <c r="Q1672" s="336"/>
      <c r="R1672" s="336"/>
      <c r="S1672" s="336"/>
      <c r="T1672" s="336"/>
    </row>
    <row r="1673" spans="1:20" x14ac:dyDescent="0.25">
      <c r="A1673" s="336"/>
      <c r="B1673" s="336"/>
      <c r="C1673" s="336"/>
      <c r="D1673" s="336"/>
      <c r="E1673" s="336"/>
      <c r="F1673" s="104" t="b">
        <f t="array" ref="F1673">IF(_xlfn.NUMBERVALUE(RIGHT($E1673,2))=MAX(IF(LEFT($E1673:$E3671,11)=LEFT($E1673,11),_xlfn.NUMBERVALUE(RIGHT($E1673:$E3671,2)))),TRUE)</f>
        <v>1</v>
      </c>
      <c r="G1673" s="336"/>
      <c r="H1673" s="336"/>
      <c r="I1673" s="336"/>
      <c r="J1673" s="336"/>
      <c r="K1673" s="336"/>
      <c r="L1673" s="336"/>
      <c r="M1673" s="336"/>
      <c r="N1673" s="336"/>
      <c r="O1673" s="336"/>
      <c r="P1673" s="336"/>
      <c r="Q1673" s="336"/>
      <c r="R1673" s="336"/>
      <c r="S1673" s="336"/>
      <c r="T1673" s="336"/>
    </row>
    <row r="1674" spans="1:20" x14ac:dyDescent="0.25">
      <c r="A1674" s="336"/>
      <c r="B1674" s="336"/>
      <c r="C1674" s="336"/>
      <c r="D1674" s="336"/>
      <c r="E1674" s="336"/>
      <c r="F1674" s="104" t="b">
        <f t="array" ref="F1674">IF(_xlfn.NUMBERVALUE(RIGHT($E1674,2))=MAX(IF(LEFT($E1674:$E3672,11)=LEFT($E1674,11),_xlfn.NUMBERVALUE(RIGHT($E1674:$E3672,2)))),TRUE)</f>
        <v>1</v>
      </c>
      <c r="G1674" s="336"/>
      <c r="H1674" s="336"/>
      <c r="I1674" s="336"/>
      <c r="J1674" s="336"/>
      <c r="K1674" s="336"/>
      <c r="L1674" s="336"/>
      <c r="M1674" s="336"/>
      <c r="N1674" s="336"/>
      <c r="O1674" s="336"/>
      <c r="P1674" s="336"/>
      <c r="Q1674" s="336"/>
      <c r="R1674" s="336"/>
      <c r="S1674" s="336"/>
      <c r="T1674" s="336"/>
    </row>
    <row r="1675" spans="1:20" x14ac:dyDescent="0.25">
      <c r="A1675" s="336"/>
      <c r="B1675" s="336"/>
      <c r="C1675" s="336"/>
      <c r="D1675" s="336"/>
      <c r="E1675" s="336"/>
      <c r="F1675" s="104" t="b">
        <f t="array" ref="F1675">IF(_xlfn.NUMBERVALUE(RIGHT($E1675,2))=MAX(IF(LEFT($E1675:$E3673,11)=LEFT($E1675,11),_xlfn.NUMBERVALUE(RIGHT($E1675:$E3673,2)))),TRUE)</f>
        <v>1</v>
      </c>
      <c r="G1675" s="336"/>
      <c r="H1675" s="336"/>
      <c r="I1675" s="336"/>
      <c r="J1675" s="336"/>
      <c r="K1675" s="336"/>
      <c r="L1675" s="336"/>
      <c r="M1675" s="336"/>
      <c r="N1675" s="336"/>
      <c r="O1675" s="336"/>
      <c r="P1675" s="336"/>
      <c r="Q1675" s="336"/>
      <c r="R1675" s="336"/>
      <c r="S1675" s="336"/>
      <c r="T1675" s="336"/>
    </row>
    <row r="1676" spans="1:20" x14ac:dyDescent="0.25">
      <c r="A1676" s="336"/>
      <c r="B1676" s="336"/>
      <c r="C1676" s="336"/>
      <c r="D1676" s="336"/>
      <c r="E1676" s="336"/>
      <c r="F1676" s="104" t="b">
        <f t="array" ref="F1676">IF(_xlfn.NUMBERVALUE(RIGHT($E1676,2))=MAX(IF(LEFT($E1676:$E3674,11)=LEFT($E1676,11),_xlfn.NUMBERVALUE(RIGHT($E1676:$E3674,2)))),TRUE)</f>
        <v>1</v>
      </c>
      <c r="G1676" s="336"/>
      <c r="H1676" s="336"/>
      <c r="I1676" s="336"/>
      <c r="J1676" s="336"/>
      <c r="K1676" s="336"/>
      <c r="L1676" s="336"/>
      <c r="M1676" s="336"/>
      <c r="N1676" s="336"/>
      <c r="O1676" s="336"/>
      <c r="P1676" s="336"/>
      <c r="Q1676" s="336"/>
      <c r="R1676" s="336"/>
      <c r="S1676" s="336"/>
      <c r="T1676" s="336"/>
    </row>
    <row r="1677" spans="1:20" x14ac:dyDescent="0.25">
      <c r="A1677" s="336"/>
      <c r="B1677" s="336"/>
      <c r="C1677" s="336"/>
      <c r="D1677" s="336"/>
      <c r="E1677" s="336"/>
      <c r="F1677" s="104" t="b">
        <f t="array" ref="F1677">IF(_xlfn.NUMBERVALUE(RIGHT($E1677,2))=MAX(IF(LEFT($E1677:$E3675,11)=LEFT($E1677,11),_xlfn.NUMBERVALUE(RIGHT($E1677:$E3675,2)))),TRUE)</f>
        <v>1</v>
      </c>
      <c r="G1677" s="336"/>
      <c r="H1677" s="336"/>
      <c r="I1677" s="336"/>
      <c r="J1677" s="336"/>
      <c r="K1677" s="336"/>
      <c r="L1677" s="336"/>
      <c r="M1677" s="336"/>
      <c r="N1677" s="336"/>
      <c r="O1677" s="336"/>
      <c r="P1677" s="336"/>
      <c r="Q1677" s="336"/>
      <c r="R1677" s="336"/>
      <c r="S1677" s="336"/>
      <c r="T1677" s="336"/>
    </row>
    <row r="1678" spans="1:20" x14ac:dyDescent="0.25">
      <c r="A1678" s="336"/>
      <c r="B1678" s="336"/>
      <c r="C1678" s="336"/>
      <c r="D1678" s="336"/>
      <c r="E1678" s="336"/>
      <c r="F1678" s="104" t="b">
        <f t="array" ref="F1678">IF(_xlfn.NUMBERVALUE(RIGHT($E1678,2))=MAX(IF(LEFT($E1678:$E3676,11)=LEFT($E1678,11),_xlfn.NUMBERVALUE(RIGHT($E1678:$E3676,2)))),TRUE)</f>
        <v>1</v>
      </c>
      <c r="G1678" s="336"/>
      <c r="H1678" s="336"/>
      <c r="I1678" s="336"/>
      <c r="J1678" s="336"/>
      <c r="K1678" s="336"/>
      <c r="L1678" s="336"/>
      <c r="M1678" s="336"/>
      <c r="N1678" s="336"/>
      <c r="O1678" s="336"/>
      <c r="P1678" s="336"/>
      <c r="Q1678" s="336"/>
      <c r="R1678" s="336"/>
      <c r="S1678" s="336"/>
      <c r="T1678" s="336"/>
    </row>
    <row r="1679" spans="1:20" x14ac:dyDescent="0.25">
      <c r="A1679" s="336"/>
      <c r="B1679" s="336"/>
      <c r="C1679" s="336"/>
      <c r="D1679" s="336"/>
      <c r="E1679" s="336"/>
      <c r="F1679" s="104" t="b">
        <f t="array" ref="F1679">IF(_xlfn.NUMBERVALUE(RIGHT($E1679,2))=MAX(IF(LEFT($E1679:$E3677,11)=LEFT($E1679,11),_xlfn.NUMBERVALUE(RIGHT($E1679:$E3677,2)))),TRUE)</f>
        <v>1</v>
      </c>
      <c r="G1679" s="336"/>
      <c r="H1679" s="336"/>
      <c r="I1679" s="336"/>
      <c r="J1679" s="336"/>
      <c r="K1679" s="336"/>
      <c r="L1679" s="336"/>
      <c r="M1679" s="336"/>
      <c r="N1679" s="336"/>
      <c r="O1679" s="336"/>
      <c r="P1679" s="336"/>
      <c r="Q1679" s="336"/>
      <c r="R1679" s="336"/>
      <c r="S1679" s="336"/>
      <c r="T1679" s="336"/>
    </row>
    <row r="1680" spans="1:20" x14ac:dyDescent="0.25">
      <c r="A1680" s="336"/>
      <c r="B1680" s="336"/>
      <c r="C1680" s="336"/>
      <c r="D1680" s="336"/>
      <c r="E1680" s="336"/>
      <c r="F1680" s="104" t="b">
        <f t="array" ref="F1680">IF(_xlfn.NUMBERVALUE(RIGHT($E1680,2))=MAX(IF(LEFT($E1680:$E3678,11)=LEFT($E1680,11),_xlfn.NUMBERVALUE(RIGHT($E1680:$E3678,2)))),TRUE)</f>
        <v>1</v>
      </c>
      <c r="G1680" s="336"/>
      <c r="H1680" s="336"/>
      <c r="I1680" s="336"/>
      <c r="J1680" s="336"/>
      <c r="K1680" s="336"/>
      <c r="L1680" s="336"/>
      <c r="M1680" s="336"/>
      <c r="N1680" s="336"/>
      <c r="O1680" s="336"/>
      <c r="P1680" s="336"/>
      <c r="Q1680" s="336"/>
      <c r="R1680" s="336"/>
      <c r="S1680" s="336"/>
      <c r="T1680" s="336"/>
    </row>
    <row r="1681" spans="1:20" x14ac:dyDescent="0.25">
      <c r="A1681" s="336"/>
      <c r="B1681" s="336"/>
      <c r="C1681" s="336"/>
      <c r="D1681" s="336"/>
      <c r="E1681" s="336"/>
      <c r="F1681" s="104" t="b">
        <f t="array" ref="F1681">IF(_xlfn.NUMBERVALUE(RIGHT($E1681,2))=MAX(IF(LEFT($E1681:$E3679,11)=LEFT($E1681,11),_xlfn.NUMBERVALUE(RIGHT($E1681:$E3679,2)))),TRUE)</f>
        <v>1</v>
      </c>
      <c r="G1681" s="336"/>
      <c r="H1681" s="336"/>
      <c r="I1681" s="336"/>
      <c r="J1681" s="336"/>
      <c r="K1681" s="336"/>
      <c r="L1681" s="336"/>
      <c r="M1681" s="336"/>
      <c r="N1681" s="336"/>
      <c r="O1681" s="336"/>
      <c r="P1681" s="336"/>
      <c r="Q1681" s="336"/>
      <c r="R1681" s="336"/>
      <c r="S1681" s="336"/>
      <c r="T1681" s="336"/>
    </row>
    <row r="1682" spans="1:20" x14ac:dyDescent="0.25">
      <c r="A1682" s="336"/>
      <c r="B1682" s="336"/>
      <c r="C1682" s="336"/>
      <c r="D1682" s="336"/>
      <c r="E1682" s="336"/>
      <c r="F1682" s="104" t="b">
        <f t="array" ref="F1682">IF(_xlfn.NUMBERVALUE(RIGHT($E1682,2))=MAX(IF(LEFT($E1682:$E3680,11)=LEFT($E1682,11),_xlfn.NUMBERVALUE(RIGHT($E1682:$E3680,2)))),TRUE)</f>
        <v>1</v>
      </c>
      <c r="G1682" s="336"/>
      <c r="H1682" s="336"/>
      <c r="I1682" s="336"/>
      <c r="J1682" s="336"/>
      <c r="K1682" s="336"/>
      <c r="L1682" s="336"/>
      <c r="M1682" s="336"/>
      <c r="N1682" s="336"/>
      <c r="O1682" s="336"/>
      <c r="P1682" s="336"/>
      <c r="Q1682" s="336"/>
      <c r="R1682" s="336"/>
      <c r="S1682" s="336"/>
      <c r="T1682" s="336"/>
    </row>
    <row r="1683" spans="1:20" x14ac:dyDescent="0.25">
      <c r="A1683" s="336"/>
      <c r="B1683" s="336"/>
      <c r="C1683" s="336"/>
      <c r="D1683" s="336"/>
      <c r="E1683" s="336"/>
      <c r="F1683" s="104" t="b">
        <f t="array" ref="F1683">IF(_xlfn.NUMBERVALUE(RIGHT($E1683,2))=MAX(IF(LEFT($E1683:$E3681,11)=LEFT($E1683,11),_xlfn.NUMBERVALUE(RIGHT($E1683:$E3681,2)))),TRUE)</f>
        <v>1</v>
      </c>
      <c r="G1683" s="336"/>
      <c r="H1683" s="336"/>
      <c r="I1683" s="336"/>
      <c r="J1683" s="336"/>
      <c r="K1683" s="336"/>
      <c r="L1683" s="336"/>
      <c r="M1683" s="336"/>
      <c r="N1683" s="336"/>
      <c r="O1683" s="336"/>
      <c r="P1683" s="336"/>
      <c r="Q1683" s="336"/>
      <c r="R1683" s="336"/>
      <c r="S1683" s="336"/>
      <c r="T1683" s="336"/>
    </row>
    <row r="1684" spans="1:20" x14ac:dyDescent="0.25">
      <c r="A1684" s="336"/>
      <c r="B1684" s="336"/>
      <c r="C1684" s="336"/>
      <c r="D1684" s="336"/>
      <c r="E1684" s="336"/>
      <c r="F1684" s="104" t="b">
        <f t="array" ref="F1684">IF(_xlfn.NUMBERVALUE(RIGHT($E1684,2))=MAX(IF(LEFT($E1684:$E3682,11)=LEFT($E1684,11),_xlfn.NUMBERVALUE(RIGHT($E1684:$E3682,2)))),TRUE)</f>
        <v>1</v>
      </c>
      <c r="G1684" s="336"/>
      <c r="H1684" s="336"/>
      <c r="I1684" s="336"/>
      <c r="J1684" s="336"/>
      <c r="K1684" s="336"/>
      <c r="L1684" s="336"/>
      <c r="M1684" s="336"/>
      <c r="N1684" s="336"/>
      <c r="O1684" s="336"/>
      <c r="P1684" s="336"/>
      <c r="Q1684" s="336"/>
      <c r="R1684" s="336"/>
      <c r="S1684" s="336"/>
      <c r="T1684" s="336"/>
    </row>
    <row r="1685" spans="1:20" x14ac:dyDescent="0.25">
      <c r="A1685" s="336"/>
      <c r="B1685" s="336"/>
      <c r="C1685" s="336"/>
      <c r="D1685" s="336"/>
      <c r="E1685" s="336"/>
      <c r="F1685" s="104" t="b">
        <f t="array" ref="F1685">IF(_xlfn.NUMBERVALUE(RIGHT($E1685,2))=MAX(IF(LEFT($E1685:$E3683,11)=LEFT($E1685,11),_xlfn.NUMBERVALUE(RIGHT($E1685:$E3683,2)))),TRUE)</f>
        <v>1</v>
      </c>
      <c r="G1685" s="336"/>
      <c r="H1685" s="336"/>
      <c r="I1685" s="336"/>
      <c r="J1685" s="336"/>
      <c r="K1685" s="336"/>
      <c r="L1685" s="336"/>
      <c r="M1685" s="336"/>
      <c r="N1685" s="336"/>
      <c r="O1685" s="336"/>
      <c r="P1685" s="336"/>
      <c r="Q1685" s="336"/>
      <c r="R1685" s="336"/>
      <c r="S1685" s="336"/>
      <c r="T1685" s="336"/>
    </row>
    <row r="1686" spans="1:20" x14ac:dyDescent="0.25">
      <c r="A1686" s="336"/>
      <c r="B1686" s="336"/>
      <c r="C1686" s="336"/>
      <c r="D1686" s="336"/>
      <c r="E1686" s="336"/>
      <c r="F1686" s="104" t="b">
        <f t="array" ref="F1686">IF(_xlfn.NUMBERVALUE(RIGHT($E1686,2))=MAX(IF(LEFT($E1686:$E3684,11)=LEFT($E1686,11),_xlfn.NUMBERVALUE(RIGHT($E1686:$E3684,2)))),TRUE)</f>
        <v>1</v>
      </c>
      <c r="G1686" s="336"/>
      <c r="H1686" s="336"/>
      <c r="I1686" s="336"/>
      <c r="J1686" s="336"/>
      <c r="K1686" s="336"/>
      <c r="L1686" s="336"/>
      <c r="M1686" s="336"/>
      <c r="N1686" s="336"/>
      <c r="O1686" s="336"/>
      <c r="P1686" s="336"/>
      <c r="Q1686" s="336"/>
      <c r="R1686" s="336"/>
      <c r="S1686" s="336"/>
      <c r="T1686" s="336"/>
    </row>
    <row r="1687" spans="1:20" x14ac:dyDescent="0.25">
      <c r="A1687" s="336"/>
      <c r="B1687" s="336"/>
      <c r="C1687" s="336"/>
      <c r="D1687" s="336"/>
      <c r="E1687" s="336"/>
      <c r="F1687" s="104" t="b">
        <f t="array" ref="F1687">IF(_xlfn.NUMBERVALUE(RIGHT($E1687,2))=MAX(IF(LEFT($E1687:$E3685,11)=LEFT($E1687,11),_xlfn.NUMBERVALUE(RIGHT($E1687:$E3685,2)))),TRUE)</f>
        <v>1</v>
      </c>
      <c r="G1687" s="336"/>
      <c r="H1687" s="336"/>
      <c r="I1687" s="336"/>
      <c r="J1687" s="336"/>
      <c r="K1687" s="336"/>
      <c r="L1687" s="336"/>
      <c r="M1687" s="336"/>
      <c r="N1687" s="336"/>
      <c r="O1687" s="336"/>
      <c r="P1687" s="336"/>
      <c r="Q1687" s="336"/>
      <c r="R1687" s="336"/>
      <c r="S1687" s="336"/>
      <c r="T1687" s="336"/>
    </row>
    <row r="1688" spans="1:20" x14ac:dyDescent="0.25">
      <c r="A1688" s="336"/>
      <c r="B1688" s="336"/>
      <c r="C1688" s="336"/>
      <c r="D1688" s="336"/>
      <c r="E1688" s="336"/>
      <c r="F1688" s="104" t="b">
        <f t="array" ref="F1688">IF(_xlfn.NUMBERVALUE(RIGHT($E1688,2))=MAX(IF(LEFT($E1688:$E3686,11)=LEFT($E1688,11),_xlfn.NUMBERVALUE(RIGHT($E1688:$E3686,2)))),TRUE)</f>
        <v>1</v>
      </c>
      <c r="G1688" s="336"/>
      <c r="H1688" s="336"/>
      <c r="I1688" s="336"/>
      <c r="J1688" s="336"/>
      <c r="K1688" s="336"/>
      <c r="L1688" s="336"/>
      <c r="M1688" s="336"/>
      <c r="N1688" s="336"/>
      <c r="O1688" s="336"/>
      <c r="P1688" s="336"/>
      <c r="Q1688" s="336"/>
      <c r="R1688" s="336"/>
      <c r="S1688" s="336"/>
      <c r="T1688" s="336"/>
    </row>
    <row r="1689" spans="1:20" x14ac:dyDescent="0.25">
      <c r="A1689" s="336"/>
      <c r="B1689" s="336"/>
      <c r="C1689" s="336"/>
      <c r="D1689" s="336"/>
      <c r="E1689" s="336"/>
      <c r="F1689" s="104" t="b">
        <f t="array" ref="F1689">IF(_xlfn.NUMBERVALUE(RIGHT($E1689,2))=MAX(IF(LEFT($E1689:$E3687,11)=LEFT($E1689,11),_xlfn.NUMBERVALUE(RIGHT($E1689:$E3687,2)))),TRUE)</f>
        <v>1</v>
      </c>
      <c r="G1689" s="336"/>
      <c r="H1689" s="336"/>
      <c r="I1689" s="336"/>
      <c r="J1689" s="336"/>
      <c r="K1689" s="336"/>
      <c r="L1689" s="336"/>
      <c r="M1689" s="336"/>
      <c r="N1689" s="336"/>
      <c r="O1689" s="336"/>
      <c r="P1689" s="336"/>
      <c r="Q1689" s="336"/>
      <c r="R1689" s="336"/>
      <c r="S1689" s="336"/>
      <c r="T1689" s="336"/>
    </row>
    <row r="1690" spans="1:20" x14ac:dyDescent="0.25">
      <c r="A1690" s="336"/>
      <c r="B1690" s="336"/>
      <c r="C1690" s="336"/>
      <c r="D1690" s="336"/>
      <c r="E1690" s="336"/>
      <c r="F1690" s="104" t="b">
        <f t="array" ref="F1690">IF(_xlfn.NUMBERVALUE(RIGHT($E1690,2))=MAX(IF(LEFT($E1690:$E3688,11)=LEFT($E1690,11),_xlfn.NUMBERVALUE(RIGHT($E1690:$E3688,2)))),TRUE)</f>
        <v>1</v>
      </c>
      <c r="G1690" s="336"/>
      <c r="H1690" s="336"/>
      <c r="I1690" s="336"/>
      <c r="J1690" s="336"/>
      <c r="K1690" s="336"/>
      <c r="L1690" s="336"/>
      <c r="M1690" s="336"/>
      <c r="N1690" s="336"/>
      <c r="O1690" s="336"/>
      <c r="P1690" s="336"/>
      <c r="Q1690" s="336"/>
      <c r="R1690" s="336"/>
      <c r="S1690" s="336"/>
      <c r="T1690" s="336"/>
    </row>
    <row r="1691" spans="1:20" x14ac:dyDescent="0.25">
      <c r="A1691" s="336"/>
      <c r="B1691" s="336"/>
      <c r="C1691" s="336"/>
      <c r="D1691" s="336"/>
      <c r="E1691" s="336"/>
      <c r="F1691" s="104" t="b">
        <f t="array" ref="F1691">IF(_xlfn.NUMBERVALUE(RIGHT($E1691,2))=MAX(IF(LEFT($E1691:$E3689,11)=LEFT($E1691,11),_xlfn.NUMBERVALUE(RIGHT($E1691:$E3689,2)))),TRUE)</f>
        <v>1</v>
      </c>
      <c r="G1691" s="336"/>
      <c r="H1691" s="336"/>
      <c r="I1691" s="336"/>
      <c r="J1691" s="336"/>
      <c r="K1691" s="336"/>
      <c r="L1691" s="336"/>
      <c r="M1691" s="336"/>
      <c r="N1691" s="336"/>
      <c r="O1691" s="336"/>
      <c r="P1691" s="336"/>
      <c r="Q1691" s="336"/>
      <c r="R1691" s="336"/>
      <c r="S1691" s="336"/>
      <c r="T1691" s="336"/>
    </row>
    <row r="1692" spans="1:20" x14ac:dyDescent="0.25">
      <c r="A1692" s="336"/>
      <c r="B1692" s="336"/>
      <c r="C1692" s="336"/>
      <c r="D1692" s="336"/>
      <c r="E1692" s="336"/>
      <c r="F1692" s="104" t="b">
        <f t="array" ref="F1692">IF(_xlfn.NUMBERVALUE(RIGHT($E1692,2))=MAX(IF(LEFT($E1692:$E3690,11)=LEFT($E1692,11),_xlfn.NUMBERVALUE(RIGHT($E1692:$E3690,2)))),TRUE)</f>
        <v>1</v>
      </c>
      <c r="G1692" s="336"/>
      <c r="H1692" s="336"/>
      <c r="I1692" s="336"/>
      <c r="J1692" s="336"/>
      <c r="K1692" s="336"/>
      <c r="L1692" s="336"/>
      <c r="M1692" s="336"/>
      <c r="N1692" s="336"/>
      <c r="O1692" s="336"/>
      <c r="P1692" s="336"/>
      <c r="Q1692" s="336"/>
      <c r="R1692" s="336"/>
      <c r="S1692" s="336"/>
      <c r="T1692" s="336"/>
    </row>
    <row r="1693" spans="1:20" x14ac:dyDescent="0.25">
      <c r="A1693" s="336"/>
      <c r="B1693" s="336"/>
      <c r="C1693" s="336"/>
      <c r="D1693" s="336"/>
      <c r="E1693" s="336"/>
      <c r="F1693" s="104" t="b">
        <f t="array" ref="F1693">IF(_xlfn.NUMBERVALUE(RIGHT($E1693,2))=MAX(IF(LEFT($E1693:$E3691,11)=LEFT($E1693,11),_xlfn.NUMBERVALUE(RIGHT($E1693:$E3691,2)))),TRUE)</f>
        <v>1</v>
      </c>
      <c r="G1693" s="336"/>
      <c r="H1693" s="336"/>
      <c r="I1693" s="336"/>
      <c r="J1693" s="336"/>
      <c r="K1693" s="336"/>
      <c r="L1693" s="336"/>
      <c r="M1693" s="336"/>
      <c r="N1693" s="336"/>
      <c r="O1693" s="336"/>
      <c r="P1693" s="336"/>
      <c r="Q1693" s="336"/>
      <c r="R1693" s="336"/>
      <c r="S1693" s="336"/>
      <c r="T1693" s="336"/>
    </row>
    <row r="1694" spans="1:20" x14ac:dyDescent="0.25">
      <c r="A1694" s="336"/>
      <c r="B1694" s="336"/>
      <c r="C1694" s="336"/>
      <c r="D1694" s="336"/>
      <c r="E1694" s="336"/>
      <c r="F1694" s="104" t="b">
        <f t="array" ref="F1694">IF(_xlfn.NUMBERVALUE(RIGHT($E1694,2))=MAX(IF(LEFT($E1694:$E3692,11)=LEFT($E1694,11),_xlfn.NUMBERVALUE(RIGHT($E1694:$E3692,2)))),TRUE)</f>
        <v>1</v>
      </c>
      <c r="G1694" s="336"/>
      <c r="H1694" s="336"/>
      <c r="I1694" s="336"/>
      <c r="J1694" s="336"/>
      <c r="K1694" s="336"/>
      <c r="L1694" s="336"/>
      <c r="M1694" s="336"/>
      <c r="N1694" s="336"/>
      <c r="O1694" s="336"/>
      <c r="P1694" s="336"/>
      <c r="Q1694" s="336"/>
      <c r="R1694" s="336"/>
      <c r="S1694" s="336"/>
      <c r="T1694" s="336"/>
    </row>
    <row r="1695" spans="1:20" x14ac:dyDescent="0.25">
      <c r="A1695" s="336"/>
      <c r="B1695" s="336"/>
      <c r="C1695" s="336"/>
      <c r="D1695" s="336"/>
      <c r="E1695" s="336"/>
      <c r="F1695" s="104" t="b">
        <f t="array" ref="F1695">IF(_xlfn.NUMBERVALUE(RIGHT($E1695,2))=MAX(IF(LEFT($E1695:$E3693,11)=LEFT($E1695,11),_xlfn.NUMBERVALUE(RIGHT($E1695:$E3693,2)))),TRUE)</f>
        <v>1</v>
      </c>
      <c r="G1695" s="336"/>
      <c r="H1695" s="336"/>
      <c r="I1695" s="336"/>
      <c r="J1695" s="336"/>
      <c r="K1695" s="336"/>
      <c r="L1695" s="336"/>
      <c r="M1695" s="336"/>
      <c r="N1695" s="336"/>
      <c r="O1695" s="336"/>
      <c r="P1695" s="336"/>
      <c r="Q1695" s="336"/>
      <c r="R1695" s="336"/>
      <c r="S1695" s="336"/>
      <c r="T1695" s="336"/>
    </row>
    <row r="1696" spans="1:20" x14ac:dyDescent="0.25">
      <c r="A1696" s="336"/>
      <c r="B1696" s="336"/>
      <c r="C1696" s="336"/>
      <c r="D1696" s="336"/>
      <c r="E1696" s="336"/>
      <c r="F1696" s="104" t="b">
        <f t="array" ref="F1696">IF(_xlfn.NUMBERVALUE(RIGHT($E1696,2))=MAX(IF(LEFT($E1696:$E3694,11)=LEFT($E1696,11),_xlfn.NUMBERVALUE(RIGHT($E1696:$E3694,2)))),TRUE)</f>
        <v>1</v>
      </c>
      <c r="G1696" s="336"/>
      <c r="H1696" s="336"/>
      <c r="I1696" s="336"/>
      <c r="J1696" s="336"/>
      <c r="K1696" s="336"/>
      <c r="L1696" s="336"/>
      <c r="M1696" s="336"/>
      <c r="N1696" s="336"/>
      <c r="O1696" s="336"/>
      <c r="P1696" s="336"/>
      <c r="Q1696" s="336"/>
      <c r="R1696" s="336"/>
      <c r="S1696" s="336"/>
      <c r="T1696" s="336"/>
    </row>
    <row r="1697" spans="1:20" x14ac:dyDescent="0.25">
      <c r="A1697" s="336"/>
      <c r="B1697" s="336"/>
      <c r="C1697" s="336"/>
      <c r="D1697" s="336"/>
      <c r="E1697" s="336"/>
      <c r="F1697" s="104" t="b">
        <f t="array" ref="F1697">IF(_xlfn.NUMBERVALUE(RIGHT($E1697,2))=MAX(IF(LEFT($E1697:$E3695,11)=LEFT($E1697,11),_xlfn.NUMBERVALUE(RIGHT($E1697:$E3695,2)))),TRUE)</f>
        <v>1</v>
      </c>
      <c r="G1697" s="336"/>
      <c r="H1697" s="336"/>
      <c r="I1697" s="336"/>
      <c r="J1697" s="336"/>
      <c r="K1697" s="336"/>
      <c r="L1697" s="336"/>
      <c r="M1697" s="336"/>
      <c r="N1697" s="336"/>
      <c r="O1697" s="336"/>
      <c r="P1697" s="336"/>
      <c r="Q1697" s="336"/>
      <c r="R1697" s="336"/>
      <c r="S1697" s="336"/>
      <c r="T1697" s="336"/>
    </row>
    <row r="1698" spans="1:20" x14ac:dyDescent="0.25">
      <c r="A1698" s="336"/>
      <c r="B1698" s="336"/>
      <c r="C1698" s="336"/>
      <c r="D1698" s="336"/>
      <c r="E1698" s="336"/>
      <c r="F1698" s="104" t="b">
        <f t="array" ref="F1698">IF(_xlfn.NUMBERVALUE(RIGHT($E1698,2))=MAX(IF(LEFT($E1698:$E3696,11)=LEFT($E1698,11),_xlfn.NUMBERVALUE(RIGHT($E1698:$E3696,2)))),TRUE)</f>
        <v>1</v>
      </c>
      <c r="G1698" s="336"/>
      <c r="H1698" s="336"/>
      <c r="I1698" s="336"/>
      <c r="J1698" s="336"/>
      <c r="K1698" s="336"/>
      <c r="L1698" s="336"/>
      <c r="M1698" s="336"/>
      <c r="N1698" s="336"/>
      <c r="O1698" s="336"/>
      <c r="P1698" s="336"/>
      <c r="Q1698" s="336"/>
      <c r="R1698" s="336"/>
      <c r="S1698" s="336"/>
      <c r="T1698" s="336"/>
    </row>
    <row r="1699" spans="1:20" x14ac:dyDescent="0.25">
      <c r="A1699" s="336"/>
      <c r="B1699" s="336"/>
      <c r="C1699" s="336"/>
      <c r="D1699" s="336"/>
      <c r="E1699" s="336"/>
      <c r="F1699" s="104" t="b">
        <f t="array" ref="F1699">IF(_xlfn.NUMBERVALUE(RIGHT($E1699,2))=MAX(IF(LEFT($E1699:$E3697,11)=LEFT($E1699,11),_xlfn.NUMBERVALUE(RIGHT($E1699:$E3697,2)))),TRUE)</f>
        <v>1</v>
      </c>
      <c r="G1699" s="336"/>
      <c r="H1699" s="336"/>
      <c r="I1699" s="336"/>
      <c r="J1699" s="336"/>
      <c r="K1699" s="336"/>
      <c r="L1699" s="336"/>
      <c r="M1699" s="336"/>
      <c r="N1699" s="336"/>
      <c r="O1699" s="336"/>
      <c r="P1699" s="336"/>
      <c r="Q1699" s="336"/>
      <c r="R1699" s="336"/>
      <c r="S1699" s="336"/>
      <c r="T1699" s="336"/>
    </row>
    <row r="1700" spans="1:20" x14ac:dyDescent="0.25">
      <c r="A1700" s="336"/>
      <c r="B1700" s="336"/>
      <c r="C1700" s="336"/>
      <c r="D1700" s="336"/>
      <c r="E1700" s="336"/>
      <c r="F1700" s="104" t="b">
        <f t="array" ref="F1700">IF(_xlfn.NUMBERVALUE(RIGHT($E1700,2))=MAX(IF(LEFT($E1700:$E3698,11)=LEFT($E1700,11),_xlfn.NUMBERVALUE(RIGHT($E1700:$E3698,2)))),TRUE)</f>
        <v>1</v>
      </c>
      <c r="G1700" s="336"/>
      <c r="H1700" s="336"/>
      <c r="I1700" s="336"/>
      <c r="J1700" s="336"/>
      <c r="K1700" s="336"/>
      <c r="L1700" s="336"/>
      <c r="M1700" s="336"/>
      <c r="N1700" s="336"/>
      <c r="O1700" s="336"/>
      <c r="P1700" s="336"/>
      <c r="Q1700" s="336"/>
      <c r="R1700" s="336"/>
      <c r="S1700" s="336"/>
      <c r="T1700" s="336"/>
    </row>
    <row r="1701" spans="1:20" x14ac:dyDescent="0.25">
      <c r="A1701" s="336"/>
      <c r="B1701" s="336"/>
      <c r="C1701" s="336"/>
      <c r="D1701" s="336"/>
      <c r="E1701" s="336"/>
      <c r="F1701" s="104" t="b">
        <f t="array" ref="F1701">IF(_xlfn.NUMBERVALUE(RIGHT($E1701,2))=MAX(IF(LEFT($E1701:$E3699,11)=LEFT($E1701,11),_xlfn.NUMBERVALUE(RIGHT($E1701:$E3699,2)))),TRUE)</f>
        <v>1</v>
      </c>
      <c r="G1701" s="336"/>
      <c r="H1701" s="336"/>
      <c r="I1701" s="336"/>
      <c r="J1701" s="336"/>
      <c r="K1701" s="336"/>
      <c r="L1701" s="336"/>
      <c r="M1701" s="336"/>
      <c r="N1701" s="336"/>
      <c r="O1701" s="336"/>
      <c r="P1701" s="336"/>
      <c r="Q1701" s="336"/>
      <c r="R1701" s="336"/>
      <c r="S1701" s="336"/>
      <c r="T1701" s="336"/>
    </row>
    <row r="1702" spans="1:20" x14ac:dyDescent="0.25">
      <c r="A1702" s="336"/>
      <c r="B1702" s="336"/>
      <c r="C1702" s="336"/>
      <c r="D1702" s="336"/>
      <c r="E1702" s="336"/>
      <c r="F1702" s="104" t="b">
        <f t="array" ref="F1702">IF(_xlfn.NUMBERVALUE(RIGHT($E1702,2))=MAX(IF(LEFT($E1702:$E3700,11)=LEFT($E1702,11),_xlfn.NUMBERVALUE(RIGHT($E1702:$E3700,2)))),TRUE)</f>
        <v>1</v>
      </c>
      <c r="G1702" s="336"/>
      <c r="H1702" s="336"/>
      <c r="I1702" s="336"/>
      <c r="J1702" s="336"/>
      <c r="K1702" s="336"/>
      <c r="L1702" s="336"/>
      <c r="M1702" s="336"/>
      <c r="N1702" s="336"/>
      <c r="O1702" s="336"/>
      <c r="P1702" s="336"/>
      <c r="Q1702" s="336"/>
      <c r="R1702" s="336"/>
      <c r="S1702" s="336"/>
      <c r="T1702" s="336"/>
    </row>
    <row r="1703" spans="1:20" x14ac:dyDescent="0.25">
      <c r="A1703" s="336"/>
      <c r="B1703" s="336"/>
      <c r="C1703" s="336"/>
      <c r="D1703" s="336"/>
      <c r="E1703" s="336"/>
      <c r="F1703" s="104" t="b">
        <f t="array" ref="F1703">IF(_xlfn.NUMBERVALUE(RIGHT($E1703,2))=MAX(IF(LEFT($E1703:$E3701,11)=LEFT($E1703,11),_xlfn.NUMBERVALUE(RIGHT($E1703:$E3701,2)))),TRUE)</f>
        <v>1</v>
      </c>
      <c r="G1703" s="336"/>
      <c r="H1703" s="336"/>
      <c r="I1703" s="336"/>
      <c r="J1703" s="336"/>
      <c r="K1703" s="336"/>
      <c r="L1703" s="336"/>
      <c r="M1703" s="336"/>
      <c r="N1703" s="336"/>
      <c r="O1703" s="336"/>
      <c r="P1703" s="336"/>
      <c r="Q1703" s="336"/>
      <c r="R1703" s="336"/>
      <c r="S1703" s="336"/>
      <c r="T1703" s="336"/>
    </row>
    <row r="1704" spans="1:20" x14ac:dyDescent="0.25">
      <c r="A1704" s="336"/>
      <c r="B1704" s="336"/>
      <c r="C1704" s="336"/>
      <c r="D1704" s="336"/>
      <c r="E1704" s="336"/>
      <c r="F1704" s="104" t="b">
        <f t="array" ref="F1704">IF(_xlfn.NUMBERVALUE(RIGHT($E1704,2))=MAX(IF(LEFT($E1704:$E3702,11)=LEFT($E1704,11),_xlfn.NUMBERVALUE(RIGHT($E1704:$E3702,2)))),TRUE)</f>
        <v>1</v>
      </c>
      <c r="G1704" s="336"/>
      <c r="H1704" s="336"/>
      <c r="I1704" s="336"/>
      <c r="J1704" s="336"/>
      <c r="K1704" s="336"/>
      <c r="L1704" s="336"/>
      <c r="M1704" s="336"/>
      <c r="N1704" s="336"/>
      <c r="O1704" s="336"/>
      <c r="P1704" s="336"/>
      <c r="Q1704" s="336"/>
      <c r="R1704" s="336"/>
      <c r="S1704" s="336"/>
      <c r="T1704" s="336"/>
    </row>
    <row r="1705" spans="1:20" x14ac:dyDescent="0.25">
      <c r="A1705" s="336"/>
      <c r="B1705" s="336"/>
      <c r="C1705" s="336"/>
      <c r="D1705" s="336"/>
      <c r="E1705" s="336"/>
      <c r="F1705" s="104" t="b">
        <f t="array" ref="F1705">IF(_xlfn.NUMBERVALUE(RIGHT($E1705,2))=MAX(IF(LEFT($E1705:$E3703,11)=LEFT($E1705,11),_xlfn.NUMBERVALUE(RIGHT($E1705:$E3703,2)))),TRUE)</f>
        <v>1</v>
      </c>
      <c r="G1705" s="336"/>
      <c r="H1705" s="336"/>
      <c r="I1705" s="336"/>
      <c r="J1705" s="336"/>
      <c r="K1705" s="336"/>
      <c r="L1705" s="336"/>
      <c r="M1705" s="336"/>
      <c r="N1705" s="336"/>
      <c r="O1705" s="336"/>
      <c r="P1705" s="336"/>
      <c r="Q1705" s="336"/>
      <c r="R1705" s="336"/>
      <c r="S1705" s="336"/>
      <c r="T1705" s="336"/>
    </row>
    <row r="1706" spans="1:20" x14ac:dyDescent="0.25">
      <c r="A1706" s="336"/>
      <c r="B1706" s="336"/>
      <c r="C1706" s="336"/>
      <c r="D1706" s="336"/>
      <c r="E1706" s="336"/>
      <c r="F1706" s="104" t="b">
        <f t="array" ref="F1706">IF(_xlfn.NUMBERVALUE(RIGHT($E1706,2))=MAX(IF(LEFT($E1706:$E3704,11)=LEFT($E1706,11),_xlfn.NUMBERVALUE(RIGHT($E1706:$E3704,2)))),TRUE)</f>
        <v>1</v>
      </c>
      <c r="G1706" s="336"/>
      <c r="H1706" s="336"/>
      <c r="I1706" s="336"/>
      <c r="J1706" s="336"/>
      <c r="K1706" s="336"/>
      <c r="L1706" s="336"/>
      <c r="M1706" s="336"/>
      <c r="N1706" s="336"/>
      <c r="O1706" s="336"/>
      <c r="P1706" s="336"/>
      <c r="Q1706" s="336"/>
      <c r="R1706" s="336"/>
      <c r="S1706" s="336"/>
      <c r="T1706" s="336"/>
    </row>
    <row r="1707" spans="1:20" x14ac:dyDescent="0.25">
      <c r="A1707" s="336"/>
      <c r="B1707" s="336"/>
      <c r="C1707" s="336"/>
      <c r="D1707" s="336"/>
      <c r="E1707" s="336"/>
      <c r="F1707" s="104" t="b">
        <f t="array" ref="F1707">IF(_xlfn.NUMBERVALUE(RIGHT($E1707,2))=MAX(IF(LEFT($E1707:$E3705,11)=LEFT($E1707,11),_xlfn.NUMBERVALUE(RIGHT($E1707:$E3705,2)))),TRUE)</f>
        <v>1</v>
      </c>
      <c r="G1707" s="336"/>
      <c r="H1707" s="336"/>
      <c r="I1707" s="336"/>
      <c r="J1707" s="336"/>
      <c r="K1707" s="336"/>
      <c r="L1707" s="336"/>
      <c r="M1707" s="336"/>
      <c r="N1707" s="336"/>
      <c r="O1707" s="336"/>
      <c r="P1707" s="336"/>
      <c r="Q1707" s="336"/>
      <c r="R1707" s="336"/>
      <c r="S1707" s="336"/>
      <c r="T1707" s="336"/>
    </row>
    <row r="1708" spans="1:20" x14ac:dyDescent="0.25">
      <c r="A1708" s="336"/>
      <c r="B1708" s="336"/>
      <c r="C1708" s="336"/>
      <c r="D1708" s="336"/>
      <c r="E1708" s="336"/>
      <c r="F1708" s="104" t="b">
        <f t="array" ref="F1708">IF(_xlfn.NUMBERVALUE(RIGHT($E1708,2))=MAX(IF(LEFT($E1708:$E3706,11)=LEFT($E1708,11),_xlfn.NUMBERVALUE(RIGHT($E1708:$E3706,2)))),TRUE)</f>
        <v>1</v>
      </c>
      <c r="G1708" s="336"/>
      <c r="H1708" s="336"/>
      <c r="I1708" s="336"/>
      <c r="J1708" s="336"/>
      <c r="K1708" s="336"/>
      <c r="L1708" s="336"/>
      <c r="M1708" s="336"/>
      <c r="N1708" s="336"/>
      <c r="O1708" s="336"/>
      <c r="P1708" s="336"/>
      <c r="Q1708" s="336"/>
      <c r="R1708" s="336"/>
      <c r="S1708" s="336"/>
      <c r="T1708" s="336"/>
    </row>
    <row r="1709" spans="1:20" x14ac:dyDescent="0.25">
      <c r="A1709" s="336"/>
      <c r="B1709" s="336"/>
      <c r="C1709" s="336"/>
      <c r="D1709" s="336"/>
      <c r="E1709" s="336"/>
      <c r="F1709" s="104" t="b">
        <f t="array" ref="F1709">IF(_xlfn.NUMBERVALUE(RIGHT($E1709,2))=MAX(IF(LEFT($E1709:$E3707,11)=LEFT($E1709,11),_xlfn.NUMBERVALUE(RIGHT($E1709:$E3707,2)))),TRUE)</f>
        <v>1</v>
      </c>
      <c r="G1709" s="336"/>
      <c r="H1709" s="336"/>
      <c r="I1709" s="336"/>
      <c r="J1709" s="336"/>
      <c r="K1709" s="336"/>
      <c r="L1709" s="336"/>
      <c r="M1709" s="336"/>
      <c r="N1709" s="336"/>
      <c r="O1709" s="336"/>
      <c r="P1709" s="336"/>
      <c r="Q1709" s="336"/>
      <c r="R1709" s="336"/>
      <c r="S1709" s="336"/>
      <c r="T1709" s="336"/>
    </row>
    <row r="1710" spans="1:20" x14ac:dyDescent="0.25">
      <c r="A1710" s="336"/>
      <c r="B1710" s="336"/>
      <c r="C1710" s="336"/>
      <c r="D1710" s="336"/>
      <c r="E1710" s="336"/>
      <c r="F1710" s="104" t="b">
        <f t="array" ref="F1710">IF(_xlfn.NUMBERVALUE(RIGHT($E1710,2))=MAX(IF(LEFT($E1710:$E3708,11)=LEFT($E1710,11),_xlfn.NUMBERVALUE(RIGHT($E1710:$E3708,2)))),TRUE)</f>
        <v>1</v>
      </c>
      <c r="G1710" s="336"/>
      <c r="H1710" s="336"/>
      <c r="I1710" s="336"/>
      <c r="J1710" s="336"/>
      <c r="K1710" s="336"/>
      <c r="L1710" s="336"/>
      <c r="M1710" s="336"/>
      <c r="N1710" s="336"/>
      <c r="O1710" s="336"/>
      <c r="P1710" s="336"/>
      <c r="Q1710" s="336"/>
      <c r="R1710" s="336"/>
      <c r="S1710" s="336"/>
      <c r="T1710" s="336"/>
    </row>
    <row r="1711" spans="1:20" x14ac:dyDescent="0.25">
      <c r="A1711" s="336"/>
      <c r="B1711" s="336"/>
      <c r="C1711" s="336"/>
      <c r="D1711" s="336"/>
      <c r="E1711" s="336"/>
      <c r="F1711" s="104" t="b">
        <f t="array" ref="F1711">IF(_xlfn.NUMBERVALUE(RIGHT($E1711,2))=MAX(IF(LEFT($E1711:$E3709,11)=LEFT($E1711,11),_xlfn.NUMBERVALUE(RIGHT($E1711:$E3709,2)))),TRUE)</f>
        <v>1</v>
      </c>
      <c r="G1711" s="336"/>
      <c r="H1711" s="336"/>
      <c r="I1711" s="336"/>
      <c r="J1711" s="336"/>
      <c r="K1711" s="336"/>
      <c r="L1711" s="336"/>
      <c r="M1711" s="336"/>
      <c r="N1711" s="336"/>
      <c r="O1711" s="336"/>
      <c r="P1711" s="336"/>
      <c r="Q1711" s="336"/>
      <c r="R1711" s="336"/>
      <c r="S1711" s="336"/>
      <c r="T1711" s="336"/>
    </row>
    <row r="1712" spans="1:20" x14ac:dyDescent="0.25">
      <c r="A1712" s="336"/>
      <c r="B1712" s="336"/>
      <c r="C1712" s="336"/>
      <c r="D1712" s="336"/>
      <c r="E1712" s="336"/>
      <c r="F1712" s="104" t="b">
        <f t="array" ref="F1712">IF(_xlfn.NUMBERVALUE(RIGHT($E1712,2))=MAX(IF(LEFT($E1712:$E3710,11)=LEFT($E1712,11),_xlfn.NUMBERVALUE(RIGHT($E1712:$E3710,2)))),TRUE)</f>
        <v>1</v>
      </c>
      <c r="G1712" s="336"/>
      <c r="H1712" s="336"/>
      <c r="I1712" s="336"/>
      <c r="J1712" s="336"/>
      <c r="K1712" s="336"/>
      <c r="L1712" s="336"/>
      <c r="M1712" s="336"/>
      <c r="N1712" s="336"/>
      <c r="O1712" s="336"/>
      <c r="P1712" s="336"/>
      <c r="Q1712" s="336"/>
      <c r="R1712" s="336"/>
      <c r="S1712" s="336"/>
      <c r="T1712" s="336"/>
    </row>
    <row r="1713" spans="1:20" x14ac:dyDescent="0.25">
      <c r="A1713" s="336"/>
      <c r="B1713" s="336"/>
      <c r="C1713" s="336"/>
      <c r="D1713" s="336"/>
      <c r="E1713" s="336"/>
      <c r="F1713" s="104" t="b">
        <f t="array" ref="F1713">IF(_xlfn.NUMBERVALUE(RIGHT($E1713,2))=MAX(IF(LEFT($E1713:$E3711,11)=LEFT($E1713,11),_xlfn.NUMBERVALUE(RIGHT($E1713:$E3711,2)))),TRUE)</f>
        <v>1</v>
      </c>
      <c r="G1713" s="336"/>
      <c r="H1713" s="336"/>
      <c r="I1713" s="336"/>
      <c r="J1713" s="336"/>
      <c r="K1713" s="336"/>
      <c r="L1713" s="336"/>
      <c r="M1713" s="336"/>
      <c r="N1713" s="336"/>
      <c r="O1713" s="336"/>
      <c r="P1713" s="336"/>
      <c r="Q1713" s="336"/>
      <c r="R1713" s="336"/>
      <c r="S1713" s="336"/>
      <c r="T1713" s="336"/>
    </row>
    <row r="1714" spans="1:20" x14ac:dyDescent="0.25">
      <c r="A1714" s="336"/>
      <c r="B1714" s="336"/>
      <c r="C1714" s="336"/>
      <c r="D1714" s="336"/>
      <c r="E1714" s="336"/>
      <c r="F1714" s="104" t="b">
        <f t="array" ref="F1714">IF(_xlfn.NUMBERVALUE(RIGHT($E1714,2))=MAX(IF(LEFT($E1714:$E3712,11)=LEFT($E1714,11),_xlfn.NUMBERVALUE(RIGHT($E1714:$E3712,2)))),TRUE)</f>
        <v>1</v>
      </c>
      <c r="G1714" s="336"/>
      <c r="H1714" s="336"/>
      <c r="I1714" s="336"/>
      <c r="J1714" s="336"/>
      <c r="K1714" s="336"/>
      <c r="L1714" s="336"/>
      <c r="M1714" s="336"/>
      <c r="N1714" s="336"/>
      <c r="O1714" s="336"/>
      <c r="P1714" s="336"/>
      <c r="Q1714" s="336"/>
      <c r="R1714" s="336"/>
      <c r="S1714" s="336"/>
      <c r="T1714" s="336"/>
    </row>
    <row r="1715" spans="1:20" x14ac:dyDescent="0.25">
      <c r="A1715" s="336"/>
      <c r="B1715" s="336"/>
      <c r="C1715" s="336"/>
      <c r="D1715" s="336"/>
      <c r="E1715" s="336"/>
      <c r="F1715" s="104" t="b">
        <f t="array" ref="F1715">IF(_xlfn.NUMBERVALUE(RIGHT($E1715,2))=MAX(IF(LEFT($E1715:$E3713,11)=LEFT($E1715,11),_xlfn.NUMBERVALUE(RIGHT($E1715:$E3713,2)))),TRUE)</f>
        <v>1</v>
      </c>
      <c r="G1715" s="336"/>
      <c r="H1715" s="336"/>
      <c r="I1715" s="336"/>
      <c r="J1715" s="336"/>
      <c r="K1715" s="336"/>
      <c r="L1715" s="336"/>
      <c r="M1715" s="336"/>
      <c r="N1715" s="336"/>
      <c r="O1715" s="336"/>
      <c r="P1715" s="336"/>
      <c r="Q1715" s="336"/>
      <c r="R1715" s="336"/>
      <c r="S1715" s="336"/>
      <c r="T1715" s="336"/>
    </row>
    <row r="1716" spans="1:20" x14ac:dyDescent="0.25">
      <c r="A1716" s="336"/>
      <c r="B1716" s="336"/>
      <c r="C1716" s="336"/>
      <c r="D1716" s="336"/>
      <c r="E1716" s="336"/>
      <c r="F1716" s="104" t="b">
        <f t="array" ref="F1716">IF(_xlfn.NUMBERVALUE(RIGHT($E1716,2))=MAX(IF(LEFT($E1716:$E3714,11)=LEFT($E1716,11),_xlfn.NUMBERVALUE(RIGHT($E1716:$E3714,2)))),TRUE)</f>
        <v>1</v>
      </c>
      <c r="G1716" s="336"/>
      <c r="H1716" s="336"/>
      <c r="I1716" s="336"/>
      <c r="J1716" s="336"/>
      <c r="K1716" s="336"/>
      <c r="L1716" s="336"/>
      <c r="M1716" s="336"/>
      <c r="N1716" s="336"/>
      <c r="O1716" s="336"/>
      <c r="P1716" s="336"/>
      <c r="Q1716" s="336"/>
      <c r="R1716" s="336"/>
      <c r="S1716" s="336"/>
      <c r="T1716" s="336"/>
    </row>
    <row r="1717" spans="1:20" x14ac:dyDescent="0.25">
      <c r="A1717" s="336"/>
      <c r="B1717" s="336"/>
      <c r="C1717" s="336"/>
      <c r="D1717" s="336"/>
      <c r="E1717" s="336"/>
      <c r="F1717" s="104" t="b">
        <f t="array" ref="F1717">IF(_xlfn.NUMBERVALUE(RIGHT($E1717,2))=MAX(IF(LEFT($E1717:$E3715,11)=LEFT($E1717,11),_xlfn.NUMBERVALUE(RIGHT($E1717:$E3715,2)))),TRUE)</f>
        <v>1</v>
      </c>
      <c r="G1717" s="336"/>
      <c r="H1717" s="336"/>
      <c r="I1717" s="336"/>
      <c r="J1717" s="336"/>
      <c r="K1717" s="336"/>
      <c r="L1717" s="336"/>
      <c r="M1717" s="336"/>
      <c r="N1717" s="336"/>
      <c r="O1717" s="336"/>
      <c r="P1717" s="336"/>
      <c r="Q1717" s="336"/>
      <c r="R1717" s="336"/>
      <c r="S1717" s="336"/>
      <c r="T1717" s="336"/>
    </row>
    <row r="1718" spans="1:20" x14ac:dyDescent="0.25">
      <c r="A1718" s="336"/>
      <c r="B1718" s="336"/>
      <c r="C1718" s="336"/>
      <c r="D1718" s="336"/>
      <c r="E1718" s="336"/>
      <c r="F1718" s="104" t="b">
        <f t="array" ref="F1718">IF(_xlfn.NUMBERVALUE(RIGHT($E1718,2))=MAX(IF(LEFT($E1718:$E3716,11)=LEFT($E1718,11),_xlfn.NUMBERVALUE(RIGHT($E1718:$E3716,2)))),TRUE)</f>
        <v>1</v>
      </c>
      <c r="G1718" s="336"/>
      <c r="H1718" s="336"/>
      <c r="I1718" s="336"/>
      <c r="J1718" s="336"/>
      <c r="K1718" s="336"/>
      <c r="L1718" s="336"/>
      <c r="M1718" s="336"/>
      <c r="N1718" s="336"/>
      <c r="O1718" s="336"/>
      <c r="P1718" s="336"/>
      <c r="Q1718" s="336"/>
      <c r="R1718" s="336"/>
      <c r="S1718" s="336"/>
      <c r="T1718" s="336"/>
    </row>
    <row r="1719" spans="1:20" x14ac:dyDescent="0.25">
      <c r="A1719" s="336"/>
      <c r="B1719" s="336"/>
      <c r="C1719" s="336"/>
      <c r="D1719" s="336"/>
      <c r="E1719" s="336"/>
      <c r="F1719" s="104" t="b">
        <f t="array" ref="F1719">IF(_xlfn.NUMBERVALUE(RIGHT($E1719,2))=MAX(IF(LEFT($E1719:$E3717,11)=LEFT($E1719,11),_xlfn.NUMBERVALUE(RIGHT($E1719:$E3717,2)))),TRUE)</f>
        <v>1</v>
      </c>
      <c r="G1719" s="336"/>
      <c r="H1719" s="336"/>
      <c r="I1719" s="336"/>
      <c r="J1719" s="336"/>
      <c r="K1719" s="336"/>
      <c r="L1719" s="336"/>
      <c r="M1719" s="336"/>
      <c r="N1719" s="336"/>
      <c r="O1719" s="336"/>
      <c r="P1719" s="336"/>
      <c r="Q1719" s="336"/>
      <c r="R1719" s="336"/>
      <c r="S1719" s="336"/>
      <c r="T1719" s="336"/>
    </row>
    <row r="1720" spans="1:20" x14ac:dyDescent="0.25">
      <c r="A1720" s="336"/>
      <c r="B1720" s="336"/>
      <c r="C1720" s="336"/>
      <c r="D1720" s="336"/>
      <c r="E1720" s="336"/>
      <c r="F1720" s="104" t="b">
        <f t="array" ref="F1720">IF(_xlfn.NUMBERVALUE(RIGHT($E1720,2))=MAX(IF(LEFT($E1720:$E3718,11)=LEFT($E1720,11),_xlfn.NUMBERVALUE(RIGHT($E1720:$E3718,2)))),TRUE)</f>
        <v>1</v>
      </c>
      <c r="G1720" s="336"/>
      <c r="H1720" s="336"/>
      <c r="I1720" s="336"/>
      <c r="J1720" s="336"/>
      <c r="K1720" s="336"/>
      <c r="L1720" s="336"/>
      <c r="M1720" s="336"/>
      <c r="N1720" s="336"/>
      <c r="O1720" s="336"/>
      <c r="P1720" s="336"/>
      <c r="Q1720" s="336"/>
      <c r="R1720" s="336"/>
      <c r="S1720" s="336"/>
      <c r="T1720" s="336"/>
    </row>
    <row r="1721" spans="1:20" x14ac:dyDescent="0.25">
      <c r="A1721" s="336"/>
      <c r="B1721" s="336"/>
      <c r="C1721" s="336"/>
      <c r="D1721" s="336"/>
      <c r="E1721" s="336"/>
      <c r="F1721" s="104" t="b">
        <f t="array" ref="F1721">IF(_xlfn.NUMBERVALUE(RIGHT($E1721,2))=MAX(IF(LEFT($E1721:$E3719,11)=LEFT($E1721,11),_xlfn.NUMBERVALUE(RIGHT($E1721:$E3719,2)))),TRUE)</f>
        <v>1</v>
      </c>
      <c r="G1721" s="336"/>
      <c r="H1721" s="336"/>
      <c r="I1721" s="336"/>
      <c r="J1721" s="336"/>
      <c r="K1721" s="336"/>
      <c r="L1721" s="336"/>
      <c r="M1721" s="336"/>
      <c r="N1721" s="336"/>
      <c r="O1721" s="336"/>
      <c r="P1721" s="336"/>
      <c r="Q1721" s="336"/>
      <c r="R1721" s="336"/>
      <c r="S1721" s="336"/>
      <c r="T1721" s="336"/>
    </row>
    <row r="1722" spans="1:20" x14ac:dyDescent="0.25">
      <c r="A1722" s="336"/>
      <c r="B1722" s="336"/>
      <c r="C1722" s="336"/>
      <c r="D1722" s="336"/>
      <c r="E1722" s="336"/>
      <c r="F1722" s="104" t="b">
        <f t="array" ref="F1722">IF(_xlfn.NUMBERVALUE(RIGHT($E1722,2))=MAX(IF(LEFT($E1722:$E3720,11)=LEFT($E1722,11),_xlfn.NUMBERVALUE(RIGHT($E1722:$E3720,2)))),TRUE)</f>
        <v>1</v>
      </c>
      <c r="G1722" s="336"/>
      <c r="H1722" s="336"/>
      <c r="I1722" s="336"/>
      <c r="J1722" s="336"/>
      <c r="K1722" s="336"/>
      <c r="L1722" s="336"/>
      <c r="M1722" s="336"/>
      <c r="N1722" s="336"/>
      <c r="O1722" s="336"/>
      <c r="P1722" s="336"/>
      <c r="Q1722" s="336"/>
      <c r="R1722" s="336"/>
      <c r="S1722" s="336"/>
      <c r="T1722" s="336"/>
    </row>
    <row r="1723" spans="1:20" x14ac:dyDescent="0.25">
      <c r="A1723" s="336"/>
      <c r="B1723" s="336"/>
      <c r="C1723" s="336"/>
      <c r="D1723" s="336"/>
      <c r="E1723" s="336"/>
      <c r="F1723" s="104" t="b">
        <f t="array" ref="F1723">IF(_xlfn.NUMBERVALUE(RIGHT($E1723,2))=MAX(IF(LEFT($E1723:$E3721,11)=LEFT($E1723,11),_xlfn.NUMBERVALUE(RIGHT($E1723:$E3721,2)))),TRUE)</f>
        <v>1</v>
      </c>
      <c r="G1723" s="336"/>
      <c r="H1723" s="336"/>
      <c r="I1723" s="336"/>
      <c r="J1723" s="336"/>
      <c r="K1723" s="336"/>
      <c r="L1723" s="336"/>
      <c r="M1723" s="336"/>
      <c r="N1723" s="336"/>
      <c r="O1723" s="336"/>
      <c r="P1723" s="336"/>
      <c r="Q1723" s="336"/>
      <c r="R1723" s="336"/>
      <c r="S1723" s="336"/>
      <c r="T1723" s="336"/>
    </row>
    <row r="1724" spans="1:20" x14ac:dyDescent="0.25">
      <c r="A1724" s="336"/>
      <c r="B1724" s="336"/>
      <c r="C1724" s="336"/>
      <c r="D1724" s="336"/>
      <c r="E1724" s="336"/>
      <c r="F1724" s="104" t="b">
        <f t="array" ref="F1724">IF(_xlfn.NUMBERVALUE(RIGHT($E1724,2))=MAX(IF(LEFT($E1724:$E3722,11)=LEFT($E1724,11),_xlfn.NUMBERVALUE(RIGHT($E1724:$E3722,2)))),TRUE)</f>
        <v>1</v>
      </c>
      <c r="G1724" s="336"/>
      <c r="H1724" s="336"/>
      <c r="I1724" s="336"/>
      <c r="J1724" s="336"/>
      <c r="K1724" s="336"/>
      <c r="L1724" s="336"/>
      <c r="M1724" s="336"/>
      <c r="N1724" s="336"/>
      <c r="O1724" s="336"/>
      <c r="P1724" s="336"/>
      <c r="Q1724" s="336"/>
      <c r="R1724" s="336"/>
      <c r="S1724" s="336"/>
      <c r="T1724" s="336"/>
    </row>
    <row r="1725" spans="1:20" x14ac:dyDescent="0.25">
      <c r="A1725" s="336"/>
      <c r="B1725" s="336"/>
      <c r="C1725" s="336"/>
      <c r="D1725" s="336"/>
      <c r="E1725" s="336"/>
      <c r="F1725" s="104" t="b">
        <f t="array" ref="F1725">IF(_xlfn.NUMBERVALUE(RIGHT($E1725,2))=MAX(IF(LEFT($E1725:$E3723,11)=LEFT($E1725,11),_xlfn.NUMBERVALUE(RIGHT($E1725:$E3723,2)))),TRUE)</f>
        <v>1</v>
      </c>
      <c r="G1725" s="336"/>
      <c r="H1725" s="336"/>
      <c r="I1725" s="336"/>
      <c r="J1725" s="336"/>
      <c r="K1725" s="336"/>
      <c r="L1725" s="336"/>
      <c r="M1725" s="336"/>
      <c r="N1725" s="336"/>
      <c r="O1725" s="336"/>
      <c r="P1725" s="336"/>
      <c r="Q1725" s="336"/>
      <c r="R1725" s="336"/>
      <c r="S1725" s="336"/>
      <c r="T1725" s="336"/>
    </row>
    <row r="1726" spans="1:20" x14ac:dyDescent="0.25">
      <c r="A1726" s="336"/>
      <c r="B1726" s="336"/>
      <c r="C1726" s="336"/>
      <c r="D1726" s="336"/>
      <c r="E1726" s="336"/>
      <c r="F1726" s="104" t="b">
        <f t="array" ref="F1726">IF(_xlfn.NUMBERVALUE(RIGHT($E1726,2))=MAX(IF(LEFT($E1726:$E3724,11)=LEFT($E1726,11),_xlfn.NUMBERVALUE(RIGHT($E1726:$E3724,2)))),TRUE)</f>
        <v>1</v>
      </c>
      <c r="G1726" s="336"/>
      <c r="H1726" s="336"/>
      <c r="I1726" s="336"/>
      <c r="J1726" s="336"/>
      <c r="K1726" s="336"/>
      <c r="L1726" s="336"/>
      <c r="M1726" s="336"/>
      <c r="N1726" s="336"/>
      <c r="O1726" s="336"/>
      <c r="P1726" s="336"/>
      <c r="Q1726" s="336"/>
      <c r="R1726" s="336"/>
      <c r="S1726" s="336"/>
      <c r="T1726" s="336"/>
    </row>
    <row r="1727" spans="1:20" x14ac:dyDescent="0.25">
      <c r="A1727" s="336"/>
      <c r="B1727" s="336"/>
      <c r="C1727" s="336"/>
      <c r="D1727" s="336"/>
      <c r="E1727" s="336"/>
      <c r="F1727" s="104" t="b">
        <f t="array" ref="F1727">IF(_xlfn.NUMBERVALUE(RIGHT($E1727,2))=MAX(IF(LEFT($E1727:$E3725,11)=LEFT($E1727,11),_xlfn.NUMBERVALUE(RIGHT($E1727:$E3725,2)))),TRUE)</f>
        <v>1</v>
      </c>
      <c r="G1727" s="336"/>
      <c r="H1727" s="336"/>
      <c r="I1727" s="336"/>
      <c r="J1727" s="336"/>
      <c r="K1727" s="336"/>
      <c r="L1727" s="336"/>
      <c r="M1727" s="336"/>
      <c r="N1727" s="336"/>
      <c r="O1727" s="336"/>
      <c r="P1727" s="336"/>
      <c r="Q1727" s="336"/>
      <c r="R1727" s="336"/>
      <c r="S1727" s="336"/>
      <c r="T1727" s="336"/>
    </row>
    <row r="1728" spans="1:20" x14ac:dyDescent="0.25">
      <c r="A1728" s="336"/>
      <c r="B1728" s="336"/>
      <c r="C1728" s="336"/>
      <c r="D1728" s="336"/>
      <c r="E1728" s="336"/>
      <c r="F1728" s="104" t="b">
        <f t="array" ref="F1728">IF(_xlfn.NUMBERVALUE(RIGHT($E1728,2))=MAX(IF(LEFT($E1728:$E3726,11)=LEFT($E1728,11),_xlfn.NUMBERVALUE(RIGHT($E1728:$E3726,2)))),TRUE)</f>
        <v>1</v>
      </c>
      <c r="G1728" s="336"/>
      <c r="H1728" s="336"/>
      <c r="I1728" s="336"/>
      <c r="J1728" s="336"/>
      <c r="K1728" s="336"/>
      <c r="L1728" s="336"/>
      <c r="M1728" s="336"/>
      <c r="N1728" s="336"/>
      <c r="O1728" s="336"/>
      <c r="P1728" s="336"/>
      <c r="Q1728" s="336"/>
      <c r="R1728" s="336"/>
      <c r="S1728" s="336"/>
      <c r="T1728" s="336"/>
    </row>
    <row r="1729" spans="1:20" x14ac:dyDescent="0.25">
      <c r="A1729" s="336"/>
      <c r="B1729" s="336"/>
      <c r="C1729" s="336"/>
      <c r="D1729" s="336"/>
      <c r="E1729" s="336"/>
      <c r="F1729" s="104" t="b">
        <f t="array" ref="F1729">IF(_xlfn.NUMBERVALUE(RIGHT($E1729,2))=MAX(IF(LEFT($E1729:$E3727,11)=LEFT($E1729,11),_xlfn.NUMBERVALUE(RIGHT($E1729:$E3727,2)))),TRUE)</f>
        <v>1</v>
      </c>
      <c r="G1729" s="336"/>
      <c r="H1729" s="336"/>
      <c r="I1729" s="336"/>
      <c r="J1729" s="336"/>
      <c r="K1729" s="336"/>
      <c r="L1729" s="336"/>
      <c r="M1729" s="336"/>
      <c r="N1729" s="336"/>
      <c r="O1729" s="336"/>
      <c r="P1729" s="336"/>
      <c r="Q1729" s="336"/>
      <c r="R1729" s="336"/>
      <c r="S1729" s="336"/>
      <c r="T1729" s="336"/>
    </row>
    <row r="1730" spans="1:20" x14ac:dyDescent="0.25">
      <c r="A1730" s="336"/>
      <c r="B1730" s="336"/>
      <c r="C1730" s="336"/>
      <c r="D1730" s="336"/>
      <c r="E1730" s="336"/>
      <c r="F1730" s="104" t="b">
        <f t="array" ref="F1730">IF(_xlfn.NUMBERVALUE(RIGHT($E1730,2))=MAX(IF(LEFT($E1730:$E3728,11)=LEFT($E1730,11),_xlfn.NUMBERVALUE(RIGHT($E1730:$E3728,2)))),TRUE)</f>
        <v>1</v>
      </c>
      <c r="G1730" s="336"/>
      <c r="H1730" s="336"/>
      <c r="I1730" s="336"/>
      <c r="J1730" s="336"/>
      <c r="K1730" s="336"/>
      <c r="L1730" s="336"/>
      <c r="M1730" s="336"/>
      <c r="N1730" s="336"/>
      <c r="O1730" s="336"/>
      <c r="P1730" s="336"/>
      <c r="Q1730" s="336"/>
      <c r="R1730" s="336"/>
      <c r="S1730" s="336"/>
      <c r="T1730" s="336"/>
    </row>
    <row r="1731" spans="1:20" x14ac:dyDescent="0.25">
      <c r="A1731" s="336"/>
      <c r="B1731" s="336"/>
      <c r="C1731" s="336"/>
      <c r="D1731" s="336"/>
      <c r="E1731" s="336"/>
      <c r="F1731" s="104" t="b">
        <f t="array" ref="F1731">IF(_xlfn.NUMBERVALUE(RIGHT($E1731,2))=MAX(IF(LEFT($E1731:$E3729,11)=LEFT($E1731,11),_xlfn.NUMBERVALUE(RIGHT($E1731:$E3729,2)))),TRUE)</f>
        <v>1</v>
      </c>
      <c r="G1731" s="336"/>
      <c r="H1731" s="336"/>
      <c r="I1731" s="336"/>
      <c r="J1731" s="336"/>
      <c r="K1731" s="336"/>
      <c r="L1731" s="336"/>
      <c r="M1731" s="336"/>
      <c r="N1731" s="336"/>
      <c r="O1731" s="336"/>
      <c r="P1731" s="336"/>
      <c r="Q1731" s="336"/>
      <c r="R1731" s="336"/>
      <c r="S1731" s="336"/>
      <c r="T1731" s="336"/>
    </row>
    <row r="1732" spans="1:20" x14ac:dyDescent="0.25">
      <c r="A1732" s="336"/>
      <c r="B1732" s="336"/>
      <c r="C1732" s="336"/>
      <c r="D1732" s="336"/>
      <c r="E1732" s="336"/>
      <c r="F1732" s="104" t="b">
        <f t="array" ref="F1732">IF(_xlfn.NUMBERVALUE(RIGHT($E1732,2))=MAX(IF(LEFT($E1732:$E3730,11)=LEFT($E1732,11),_xlfn.NUMBERVALUE(RIGHT($E1732:$E3730,2)))),TRUE)</f>
        <v>1</v>
      </c>
      <c r="G1732" s="336"/>
      <c r="H1732" s="336"/>
      <c r="I1732" s="336"/>
      <c r="J1732" s="336"/>
      <c r="K1732" s="336"/>
      <c r="L1732" s="336"/>
      <c r="M1732" s="336"/>
      <c r="N1732" s="336"/>
      <c r="O1732" s="336"/>
      <c r="P1732" s="336"/>
      <c r="Q1732" s="336"/>
      <c r="R1732" s="336"/>
      <c r="S1732" s="336"/>
      <c r="T1732" s="336"/>
    </row>
    <row r="1733" spans="1:20" x14ac:dyDescent="0.25">
      <c r="A1733" s="336"/>
      <c r="B1733" s="336"/>
      <c r="C1733" s="336"/>
      <c r="D1733" s="336"/>
      <c r="E1733" s="336"/>
      <c r="F1733" s="104" t="b">
        <f t="array" ref="F1733">IF(_xlfn.NUMBERVALUE(RIGHT($E1733,2))=MAX(IF(LEFT($E1733:$E3731,11)=LEFT($E1733,11),_xlfn.NUMBERVALUE(RIGHT($E1733:$E3731,2)))),TRUE)</f>
        <v>1</v>
      </c>
      <c r="G1733" s="336"/>
      <c r="H1733" s="336"/>
      <c r="I1733" s="336"/>
      <c r="J1733" s="336"/>
      <c r="K1733" s="336"/>
      <c r="L1733" s="336"/>
      <c r="M1733" s="336"/>
      <c r="N1733" s="336"/>
      <c r="O1733" s="336"/>
      <c r="P1733" s="336"/>
      <c r="Q1733" s="336"/>
      <c r="R1733" s="336"/>
      <c r="S1733" s="336"/>
      <c r="T1733" s="336"/>
    </row>
    <row r="1734" spans="1:20" x14ac:dyDescent="0.25">
      <c r="A1734" s="336"/>
      <c r="B1734" s="336"/>
      <c r="C1734" s="336"/>
      <c r="D1734" s="336"/>
      <c r="E1734" s="336"/>
      <c r="F1734" s="104" t="b">
        <f t="array" ref="F1734">IF(_xlfn.NUMBERVALUE(RIGHT($E1734,2))=MAX(IF(LEFT($E1734:$E3732,11)=LEFT($E1734,11),_xlfn.NUMBERVALUE(RIGHT($E1734:$E3732,2)))),TRUE)</f>
        <v>1</v>
      </c>
      <c r="G1734" s="336"/>
      <c r="H1734" s="336"/>
      <c r="I1734" s="336"/>
      <c r="J1734" s="336"/>
      <c r="K1734" s="336"/>
      <c r="L1734" s="336"/>
      <c r="M1734" s="336"/>
      <c r="N1734" s="336"/>
      <c r="O1734" s="336"/>
      <c r="P1734" s="336"/>
      <c r="Q1734" s="336"/>
      <c r="R1734" s="336"/>
      <c r="S1734" s="336"/>
      <c r="T1734" s="336"/>
    </row>
    <row r="1735" spans="1:20" x14ac:dyDescent="0.25">
      <c r="A1735" s="336"/>
      <c r="B1735" s="336"/>
      <c r="C1735" s="336"/>
      <c r="D1735" s="336"/>
      <c r="E1735" s="336"/>
      <c r="F1735" s="104" t="b">
        <f t="array" ref="F1735">IF(_xlfn.NUMBERVALUE(RIGHT($E1735,2))=MAX(IF(LEFT($E1735:$E3733,11)=LEFT($E1735,11),_xlfn.NUMBERVALUE(RIGHT($E1735:$E3733,2)))),TRUE)</f>
        <v>1</v>
      </c>
      <c r="G1735" s="336"/>
      <c r="H1735" s="336"/>
      <c r="I1735" s="336"/>
      <c r="J1735" s="336"/>
      <c r="K1735" s="336"/>
      <c r="L1735" s="336"/>
      <c r="M1735" s="336"/>
      <c r="N1735" s="336"/>
      <c r="O1735" s="336"/>
      <c r="P1735" s="336"/>
      <c r="Q1735" s="336"/>
      <c r="R1735" s="336"/>
      <c r="S1735" s="336"/>
      <c r="T1735" s="336"/>
    </row>
    <row r="1736" spans="1:20" x14ac:dyDescent="0.25">
      <c r="A1736" s="336"/>
      <c r="B1736" s="336"/>
      <c r="C1736" s="336"/>
      <c r="D1736" s="336"/>
      <c r="E1736" s="336"/>
      <c r="F1736" s="104" t="b">
        <f t="array" ref="F1736">IF(_xlfn.NUMBERVALUE(RIGHT($E1736,2))=MAX(IF(LEFT($E1736:$E3734,11)=LEFT($E1736,11),_xlfn.NUMBERVALUE(RIGHT($E1736:$E3734,2)))),TRUE)</f>
        <v>1</v>
      </c>
      <c r="G1736" s="336"/>
      <c r="H1736" s="336"/>
      <c r="I1736" s="336"/>
      <c r="J1736" s="336"/>
      <c r="K1736" s="336"/>
      <c r="L1736" s="336"/>
      <c r="M1736" s="336"/>
      <c r="N1736" s="336"/>
      <c r="O1736" s="336"/>
      <c r="P1736" s="336"/>
      <c r="Q1736" s="336"/>
      <c r="R1736" s="336"/>
      <c r="S1736" s="336"/>
      <c r="T1736" s="336"/>
    </row>
    <row r="1737" spans="1:20" x14ac:dyDescent="0.25">
      <c r="A1737" s="336"/>
      <c r="B1737" s="336"/>
      <c r="C1737" s="336"/>
      <c r="D1737" s="336"/>
      <c r="E1737" s="336"/>
      <c r="F1737" s="104" t="b">
        <f t="array" ref="F1737">IF(_xlfn.NUMBERVALUE(RIGHT($E1737,2))=MAX(IF(LEFT($E1737:$E3735,11)=LEFT($E1737,11),_xlfn.NUMBERVALUE(RIGHT($E1737:$E3735,2)))),TRUE)</f>
        <v>1</v>
      </c>
      <c r="G1737" s="336"/>
      <c r="H1737" s="336"/>
      <c r="I1737" s="336"/>
      <c r="J1737" s="336"/>
      <c r="K1737" s="336"/>
      <c r="L1737" s="336"/>
      <c r="M1737" s="336"/>
      <c r="N1737" s="336"/>
      <c r="O1737" s="336"/>
      <c r="P1737" s="336"/>
      <c r="Q1737" s="336"/>
      <c r="R1737" s="336"/>
      <c r="S1737" s="336"/>
      <c r="T1737" s="336"/>
    </row>
    <row r="1738" spans="1:20" x14ac:dyDescent="0.25">
      <c r="A1738" s="336"/>
      <c r="B1738" s="336"/>
      <c r="C1738" s="336"/>
      <c r="D1738" s="336"/>
      <c r="E1738" s="336"/>
      <c r="F1738" s="104" t="b">
        <f t="array" ref="F1738">IF(_xlfn.NUMBERVALUE(RIGHT($E1738,2))=MAX(IF(LEFT($E1738:$E3736,11)=LEFT($E1738,11),_xlfn.NUMBERVALUE(RIGHT($E1738:$E3736,2)))),TRUE)</f>
        <v>1</v>
      </c>
      <c r="G1738" s="336"/>
      <c r="H1738" s="336"/>
      <c r="I1738" s="336"/>
      <c r="J1738" s="336"/>
      <c r="K1738" s="336"/>
      <c r="L1738" s="336"/>
      <c r="M1738" s="336"/>
      <c r="N1738" s="336"/>
      <c r="O1738" s="336"/>
      <c r="P1738" s="336"/>
      <c r="Q1738" s="336"/>
      <c r="R1738" s="336"/>
      <c r="S1738" s="336"/>
      <c r="T1738" s="336"/>
    </row>
    <row r="1739" spans="1:20" x14ac:dyDescent="0.25">
      <c r="A1739" s="336"/>
      <c r="B1739" s="336"/>
      <c r="C1739" s="336"/>
      <c r="D1739" s="336"/>
      <c r="E1739" s="336"/>
      <c r="F1739" s="104" t="b">
        <f t="array" ref="F1739">IF(_xlfn.NUMBERVALUE(RIGHT($E1739,2))=MAX(IF(LEFT($E1739:$E3737,11)=LEFT($E1739,11),_xlfn.NUMBERVALUE(RIGHT($E1739:$E3737,2)))),TRUE)</f>
        <v>1</v>
      </c>
      <c r="G1739" s="336"/>
      <c r="H1739" s="336"/>
      <c r="I1739" s="336"/>
      <c r="J1739" s="336"/>
      <c r="K1739" s="336"/>
      <c r="L1739" s="336"/>
      <c r="M1739" s="336"/>
      <c r="N1739" s="336"/>
      <c r="O1739" s="336"/>
      <c r="P1739" s="336"/>
      <c r="Q1739" s="336"/>
      <c r="R1739" s="336"/>
      <c r="S1739" s="336"/>
      <c r="T1739" s="336"/>
    </row>
    <row r="1740" spans="1:20" x14ac:dyDescent="0.25">
      <c r="A1740" s="336"/>
      <c r="B1740" s="336"/>
      <c r="C1740" s="336"/>
      <c r="D1740" s="336"/>
      <c r="E1740" s="336"/>
      <c r="F1740" s="104" t="b">
        <f t="array" ref="F1740">IF(_xlfn.NUMBERVALUE(RIGHT($E1740,2))=MAX(IF(LEFT($E1740:$E3738,11)=LEFT($E1740,11),_xlfn.NUMBERVALUE(RIGHT($E1740:$E3738,2)))),TRUE)</f>
        <v>1</v>
      </c>
      <c r="G1740" s="336"/>
      <c r="H1740" s="336"/>
      <c r="I1740" s="336"/>
      <c r="J1740" s="336"/>
      <c r="K1740" s="336"/>
      <c r="L1740" s="336"/>
      <c r="M1740" s="336"/>
      <c r="N1740" s="336"/>
      <c r="O1740" s="336"/>
      <c r="P1740" s="336"/>
      <c r="Q1740" s="336"/>
      <c r="R1740" s="336"/>
      <c r="S1740" s="336"/>
      <c r="T1740" s="336"/>
    </row>
    <row r="1741" spans="1:20" x14ac:dyDescent="0.25">
      <c r="A1741" s="336"/>
      <c r="B1741" s="336"/>
      <c r="C1741" s="336"/>
      <c r="D1741" s="336"/>
      <c r="E1741" s="336"/>
      <c r="F1741" s="104" t="b">
        <f t="array" ref="F1741">IF(_xlfn.NUMBERVALUE(RIGHT($E1741,2))=MAX(IF(LEFT($E1741:$E3739,11)=LEFT($E1741,11),_xlfn.NUMBERVALUE(RIGHT($E1741:$E3739,2)))),TRUE)</f>
        <v>1</v>
      </c>
      <c r="G1741" s="336"/>
      <c r="H1741" s="336"/>
      <c r="I1741" s="336"/>
      <c r="J1741" s="336"/>
      <c r="K1741" s="336"/>
      <c r="L1741" s="336"/>
      <c r="M1741" s="336"/>
      <c r="N1741" s="336"/>
      <c r="O1741" s="336"/>
      <c r="P1741" s="336"/>
      <c r="Q1741" s="336"/>
      <c r="R1741" s="336"/>
      <c r="S1741" s="336"/>
      <c r="T1741" s="336"/>
    </row>
    <row r="1742" spans="1:20" x14ac:dyDescent="0.25">
      <c r="A1742" s="336"/>
      <c r="B1742" s="336"/>
      <c r="C1742" s="336"/>
      <c r="D1742" s="336"/>
      <c r="E1742" s="336"/>
      <c r="F1742" s="104" t="b">
        <f t="array" ref="F1742">IF(_xlfn.NUMBERVALUE(RIGHT($E1742,2))=MAX(IF(LEFT($E1742:$E3740,11)=LEFT($E1742,11),_xlfn.NUMBERVALUE(RIGHT($E1742:$E3740,2)))),TRUE)</f>
        <v>1</v>
      </c>
      <c r="G1742" s="336"/>
      <c r="H1742" s="336"/>
      <c r="I1742" s="336"/>
      <c r="J1742" s="336"/>
      <c r="K1742" s="336"/>
      <c r="L1742" s="336"/>
      <c r="M1742" s="336"/>
      <c r="N1742" s="336"/>
      <c r="O1742" s="336"/>
      <c r="P1742" s="336"/>
      <c r="Q1742" s="336"/>
      <c r="R1742" s="336"/>
      <c r="S1742" s="336"/>
      <c r="T1742" s="336"/>
    </row>
    <row r="1743" spans="1:20" x14ac:dyDescent="0.25">
      <c r="A1743" s="336"/>
      <c r="B1743" s="336"/>
      <c r="C1743" s="336"/>
      <c r="D1743" s="336"/>
      <c r="E1743" s="336"/>
      <c r="F1743" s="104" t="b">
        <f t="array" ref="F1743">IF(_xlfn.NUMBERVALUE(RIGHT($E1743,2))=MAX(IF(LEFT($E1743:$E3741,11)=LEFT($E1743,11),_xlfn.NUMBERVALUE(RIGHT($E1743:$E3741,2)))),TRUE)</f>
        <v>1</v>
      </c>
      <c r="G1743" s="336"/>
      <c r="H1743" s="336"/>
      <c r="I1743" s="336"/>
      <c r="J1743" s="336"/>
      <c r="K1743" s="336"/>
      <c r="L1743" s="336"/>
      <c r="M1743" s="336"/>
      <c r="N1743" s="336"/>
      <c r="O1743" s="336"/>
      <c r="P1743" s="336"/>
      <c r="Q1743" s="336"/>
      <c r="R1743" s="336"/>
      <c r="S1743" s="336"/>
      <c r="T1743" s="336"/>
    </row>
    <row r="1744" spans="1:20" x14ac:dyDescent="0.25">
      <c r="A1744" s="336"/>
      <c r="B1744" s="336"/>
      <c r="C1744" s="336"/>
      <c r="D1744" s="336"/>
      <c r="E1744" s="336"/>
      <c r="F1744" s="104" t="b">
        <f t="array" ref="F1744">IF(_xlfn.NUMBERVALUE(RIGHT($E1744,2))=MAX(IF(LEFT($E1744:$E3742,11)=LEFT($E1744,11),_xlfn.NUMBERVALUE(RIGHT($E1744:$E3742,2)))),TRUE)</f>
        <v>1</v>
      </c>
      <c r="G1744" s="336"/>
      <c r="H1744" s="336"/>
      <c r="I1744" s="336"/>
      <c r="J1744" s="336"/>
      <c r="K1744" s="336"/>
      <c r="L1744" s="336"/>
      <c r="M1744" s="336"/>
      <c r="N1744" s="336"/>
      <c r="O1744" s="336"/>
      <c r="P1744" s="336"/>
      <c r="Q1744" s="336"/>
      <c r="R1744" s="336"/>
      <c r="S1744" s="336"/>
      <c r="T1744" s="336"/>
    </row>
    <row r="1745" spans="1:20" x14ac:dyDescent="0.25">
      <c r="A1745" s="336"/>
      <c r="B1745" s="336"/>
      <c r="C1745" s="336"/>
      <c r="D1745" s="336"/>
      <c r="E1745" s="336"/>
      <c r="F1745" s="104" t="b">
        <f t="array" ref="F1745">IF(_xlfn.NUMBERVALUE(RIGHT($E1745,2))=MAX(IF(LEFT($E1745:$E3743,11)=LEFT($E1745,11),_xlfn.NUMBERVALUE(RIGHT($E1745:$E3743,2)))),TRUE)</f>
        <v>1</v>
      </c>
      <c r="G1745" s="336"/>
      <c r="H1745" s="336"/>
      <c r="I1745" s="336"/>
      <c r="J1745" s="336"/>
      <c r="K1745" s="336"/>
      <c r="L1745" s="336"/>
      <c r="M1745" s="336"/>
      <c r="N1745" s="336"/>
      <c r="O1745" s="336"/>
      <c r="P1745" s="336"/>
      <c r="Q1745" s="336"/>
      <c r="R1745" s="336"/>
      <c r="S1745" s="336"/>
      <c r="T1745" s="336"/>
    </row>
    <row r="1746" spans="1:20" x14ac:dyDescent="0.25">
      <c r="A1746" s="336"/>
      <c r="B1746" s="336"/>
      <c r="C1746" s="336"/>
      <c r="D1746" s="336"/>
      <c r="E1746" s="336"/>
      <c r="F1746" s="104" t="b">
        <f t="array" ref="F1746">IF(_xlfn.NUMBERVALUE(RIGHT($E1746,2))=MAX(IF(LEFT($E1746:$E3744,11)=LEFT($E1746,11),_xlfn.NUMBERVALUE(RIGHT($E1746:$E3744,2)))),TRUE)</f>
        <v>1</v>
      </c>
      <c r="G1746" s="336"/>
      <c r="H1746" s="336"/>
      <c r="I1746" s="336"/>
      <c r="J1746" s="336"/>
      <c r="K1746" s="336"/>
      <c r="L1746" s="336"/>
      <c r="M1746" s="336"/>
      <c r="N1746" s="336"/>
      <c r="O1746" s="336"/>
      <c r="P1746" s="336"/>
      <c r="Q1746" s="336"/>
      <c r="R1746" s="336"/>
      <c r="S1746" s="336"/>
      <c r="T1746" s="336"/>
    </row>
    <row r="1747" spans="1:20" x14ac:dyDescent="0.25">
      <c r="A1747" s="336"/>
      <c r="B1747" s="336"/>
      <c r="C1747" s="336"/>
      <c r="D1747" s="336"/>
      <c r="E1747" s="336"/>
      <c r="F1747" s="104" t="b">
        <f t="array" ref="F1747">IF(_xlfn.NUMBERVALUE(RIGHT($E1747,2))=MAX(IF(LEFT($E1747:$E3745,11)=LEFT($E1747,11),_xlfn.NUMBERVALUE(RIGHT($E1747:$E3745,2)))),TRUE)</f>
        <v>1</v>
      </c>
      <c r="G1747" s="336"/>
      <c r="H1747" s="336"/>
      <c r="I1747" s="336"/>
      <c r="J1747" s="336"/>
      <c r="K1747" s="336"/>
      <c r="L1747" s="336"/>
      <c r="M1747" s="336"/>
      <c r="N1747" s="336"/>
      <c r="O1747" s="336"/>
      <c r="P1747" s="336"/>
      <c r="Q1747" s="336"/>
      <c r="R1747" s="336"/>
      <c r="S1747" s="336"/>
      <c r="T1747" s="336"/>
    </row>
    <row r="1748" spans="1:20" x14ac:dyDescent="0.25">
      <c r="A1748" s="336"/>
      <c r="B1748" s="336"/>
      <c r="C1748" s="336"/>
      <c r="D1748" s="336"/>
      <c r="E1748" s="336"/>
      <c r="F1748" s="104" t="b">
        <f t="array" ref="F1748">IF(_xlfn.NUMBERVALUE(RIGHT($E1748,2))=MAX(IF(LEFT($E1748:$E3746,11)=LEFT($E1748,11),_xlfn.NUMBERVALUE(RIGHT($E1748:$E3746,2)))),TRUE)</f>
        <v>1</v>
      </c>
      <c r="G1748" s="336"/>
      <c r="H1748" s="336"/>
      <c r="I1748" s="336"/>
      <c r="J1748" s="336"/>
      <c r="K1748" s="336"/>
      <c r="L1748" s="336"/>
      <c r="M1748" s="336"/>
      <c r="N1748" s="336"/>
      <c r="O1748" s="336"/>
      <c r="P1748" s="336"/>
      <c r="Q1748" s="336"/>
      <c r="R1748" s="336"/>
      <c r="S1748" s="336"/>
      <c r="T1748" s="336"/>
    </row>
    <row r="1749" spans="1:20" x14ac:dyDescent="0.25">
      <c r="A1749" s="336"/>
      <c r="B1749" s="336"/>
      <c r="C1749" s="336"/>
      <c r="D1749" s="336"/>
      <c r="E1749" s="336"/>
      <c r="F1749" s="104" t="b">
        <f t="array" ref="F1749">IF(_xlfn.NUMBERVALUE(RIGHT($E1749,2))=MAX(IF(LEFT($E1749:$E3747,11)=LEFT($E1749,11),_xlfn.NUMBERVALUE(RIGHT($E1749:$E3747,2)))),TRUE)</f>
        <v>1</v>
      </c>
      <c r="G1749" s="336"/>
      <c r="H1749" s="336"/>
      <c r="I1749" s="336"/>
      <c r="J1749" s="336"/>
      <c r="K1749" s="336"/>
      <c r="L1749" s="336"/>
      <c r="M1749" s="336"/>
      <c r="N1749" s="336"/>
      <c r="O1749" s="336"/>
      <c r="P1749" s="336"/>
      <c r="Q1749" s="336"/>
      <c r="R1749" s="336"/>
      <c r="S1749" s="336"/>
      <c r="T1749" s="336"/>
    </row>
    <row r="1750" spans="1:20" x14ac:dyDescent="0.25">
      <c r="A1750" s="336"/>
      <c r="B1750" s="336"/>
      <c r="C1750" s="336"/>
      <c r="D1750" s="336"/>
      <c r="E1750" s="336"/>
      <c r="F1750" s="104" t="b">
        <f t="array" ref="F1750">IF(_xlfn.NUMBERVALUE(RIGHT($E1750,2))=MAX(IF(LEFT($E1750:$E3748,11)=LEFT($E1750,11),_xlfn.NUMBERVALUE(RIGHT($E1750:$E3748,2)))),TRUE)</f>
        <v>1</v>
      </c>
      <c r="G1750" s="336"/>
      <c r="H1750" s="336"/>
      <c r="I1750" s="336"/>
      <c r="J1750" s="336"/>
      <c r="K1750" s="336"/>
      <c r="L1750" s="336"/>
      <c r="M1750" s="336"/>
      <c r="N1750" s="336"/>
      <c r="O1750" s="336"/>
      <c r="P1750" s="336"/>
      <c r="Q1750" s="336"/>
      <c r="R1750" s="336"/>
      <c r="S1750" s="336"/>
      <c r="T1750" s="336"/>
    </row>
    <row r="1751" spans="1:20" x14ac:dyDescent="0.25">
      <c r="A1751" s="336"/>
      <c r="B1751" s="336"/>
      <c r="C1751" s="336"/>
      <c r="D1751" s="336"/>
      <c r="E1751" s="336"/>
      <c r="F1751" s="104" t="b">
        <f t="array" ref="F1751">IF(_xlfn.NUMBERVALUE(RIGHT($E1751,2))=MAX(IF(LEFT($E1751:$E3749,11)=LEFT($E1751,11),_xlfn.NUMBERVALUE(RIGHT($E1751:$E3749,2)))),TRUE)</f>
        <v>1</v>
      </c>
      <c r="G1751" s="336"/>
      <c r="H1751" s="336"/>
      <c r="I1751" s="336"/>
      <c r="J1751" s="336"/>
      <c r="K1751" s="336"/>
      <c r="L1751" s="336"/>
      <c r="M1751" s="336"/>
      <c r="N1751" s="336"/>
      <c r="O1751" s="336"/>
      <c r="P1751" s="336"/>
      <c r="Q1751" s="336"/>
      <c r="R1751" s="336"/>
      <c r="S1751" s="336"/>
      <c r="T1751" s="336"/>
    </row>
    <row r="1752" spans="1:20" x14ac:dyDescent="0.25">
      <c r="A1752" s="336"/>
      <c r="B1752" s="336"/>
      <c r="C1752" s="336"/>
      <c r="D1752" s="336"/>
      <c r="E1752" s="336"/>
      <c r="F1752" s="104" t="b">
        <f t="array" ref="F1752">IF(_xlfn.NUMBERVALUE(RIGHT($E1752,2))=MAX(IF(LEFT($E1752:$E3750,11)=LEFT($E1752,11),_xlfn.NUMBERVALUE(RIGHT($E1752:$E3750,2)))),TRUE)</f>
        <v>1</v>
      </c>
      <c r="G1752" s="336"/>
      <c r="H1752" s="336"/>
      <c r="I1752" s="336"/>
      <c r="J1752" s="336"/>
      <c r="K1752" s="336"/>
      <c r="L1752" s="336"/>
      <c r="M1752" s="336"/>
      <c r="N1752" s="336"/>
      <c r="O1752" s="336"/>
      <c r="P1752" s="336"/>
      <c r="Q1752" s="336"/>
      <c r="R1752" s="336"/>
      <c r="S1752" s="336"/>
      <c r="T1752" s="336"/>
    </row>
    <row r="1753" spans="1:20" x14ac:dyDescent="0.25">
      <c r="A1753" s="336"/>
      <c r="B1753" s="336"/>
      <c r="C1753" s="336"/>
      <c r="D1753" s="336"/>
      <c r="E1753" s="336"/>
      <c r="F1753" s="104" t="b">
        <f t="array" ref="F1753">IF(_xlfn.NUMBERVALUE(RIGHT($E1753,2))=MAX(IF(LEFT($E1753:$E3751,11)=LEFT($E1753,11),_xlfn.NUMBERVALUE(RIGHT($E1753:$E3751,2)))),TRUE)</f>
        <v>1</v>
      </c>
      <c r="G1753" s="336"/>
      <c r="H1753" s="336"/>
      <c r="I1753" s="336"/>
      <c r="J1753" s="336"/>
      <c r="K1753" s="336"/>
      <c r="L1753" s="336"/>
      <c r="M1753" s="336"/>
      <c r="N1753" s="336"/>
      <c r="O1753" s="336"/>
      <c r="P1753" s="336"/>
      <c r="Q1753" s="336"/>
      <c r="R1753" s="336"/>
      <c r="S1753" s="336"/>
      <c r="T1753" s="336"/>
    </row>
    <row r="1754" spans="1:20" x14ac:dyDescent="0.25">
      <c r="A1754" s="336"/>
      <c r="B1754" s="336"/>
      <c r="C1754" s="336"/>
      <c r="D1754" s="336"/>
      <c r="E1754" s="336"/>
      <c r="F1754" s="104" t="b">
        <f t="array" ref="F1754">IF(_xlfn.NUMBERVALUE(RIGHT($E1754,2))=MAX(IF(LEFT($E1754:$E3752,11)=LEFT($E1754,11),_xlfn.NUMBERVALUE(RIGHT($E1754:$E3752,2)))),TRUE)</f>
        <v>1</v>
      </c>
      <c r="G1754" s="336"/>
      <c r="H1754" s="336"/>
      <c r="I1754" s="336"/>
      <c r="J1754" s="336"/>
      <c r="K1754" s="336"/>
      <c r="L1754" s="336"/>
      <c r="M1754" s="336"/>
      <c r="N1754" s="336"/>
      <c r="O1754" s="336"/>
      <c r="P1754" s="336"/>
      <c r="Q1754" s="336"/>
      <c r="R1754" s="336"/>
      <c r="S1754" s="336"/>
      <c r="T1754" s="336"/>
    </row>
    <row r="1755" spans="1:20" x14ac:dyDescent="0.25">
      <c r="A1755" s="336"/>
      <c r="B1755" s="336"/>
      <c r="C1755" s="336"/>
      <c r="D1755" s="336"/>
      <c r="E1755" s="336"/>
      <c r="F1755" s="104" t="b">
        <f t="array" ref="F1755">IF(_xlfn.NUMBERVALUE(RIGHT($E1755,2))=MAX(IF(LEFT($E1755:$E3753,11)=LEFT($E1755,11),_xlfn.NUMBERVALUE(RIGHT($E1755:$E3753,2)))),TRUE)</f>
        <v>1</v>
      </c>
      <c r="G1755" s="336"/>
      <c r="H1755" s="336"/>
      <c r="I1755" s="336"/>
      <c r="J1755" s="336"/>
      <c r="K1755" s="336"/>
      <c r="L1755" s="336"/>
      <c r="M1755" s="336"/>
      <c r="N1755" s="336"/>
      <c r="O1755" s="336"/>
      <c r="P1755" s="336"/>
      <c r="Q1755" s="336"/>
      <c r="R1755" s="336"/>
      <c r="S1755" s="336"/>
      <c r="T1755" s="336"/>
    </row>
    <row r="1756" spans="1:20" x14ac:dyDescent="0.25">
      <c r="A1756" s="336"/>
      <c r="B1756" s="336"/>
      <c r="C1756" s="336"/>
      <c r="D1756" s="336"/>
      <c r="E1756" s="336"/>
      <c r="F1756" s="104" t="b">
        <f t="array" ref="F1756">IF(_xlfn.NUMBERVALUE(RIGHT($E1756,2))=MAX(IF(LEFT($E1756:$E3754,11)=LEFT($E1756,11),_xlfn.NUMBERVALUE(RIGHT($E1756:$E3754,2)))),TRUE)</f>
        <v>1</v>
      </c>
      <c r="G1756" s="336"/>
      <c r="H1756" s="336"/>
      <c r="I1756" s="336"/>
      <c r="J1756" s="336"/>
      <c r="K1756" s="336"/>
      <c r="L1756" s="336"/>
      <c r="M1756" s="336"/>
      <c r="N1756" s="336"/>
      <c r="O1756" s="336"/>
      <c r="P1756" s="336"/>
      <c r="Q1756" s="336"/>
      <c r="R1756" s="336"/>
      <c r="S1756" s="336"/>
      <c r="T1756" s="336"/>
    </row>
    <row r="1757" spans="1:20" x14ac:dyDescent="0.25">
      <c r="A1757" s="336"/>
      <c r="B1757" s="336"/>
      <c r="C1757" s="336"/>
      <c r="D1757" s="336"/>
      <c r="E1757" s="336"/>
      <c r="F1757" s="104" t="b">
        <f t="array" ref="F1757">IF(_xlfn.NUMBERVALUE(RIGHT($E1757,2))=MAX(IF(LEFT($E1757:$E3755,11)=LEFT($E1757,11),_xlfn.NUMBERVALUE(RIGHT($E1757:$E3755,2)))),TRUE)</f>
        <v>1</v>
      </c>
      <c r="G1757" s="336"/>
      <c r="H1757" s="336"/>
      <c r="I1757" s="336"/>
      <c r="J1757" s="336"/>
      <c r="K1757" s="336"/>
      <c r="L1757" s="336"/>
      <c r="M1757" s="336"/>
      <c r="N1757" s="336"/>
      <c r="O1757" s="336"/>
      <c r="P1757" s="336"/>
      <c r="Q1757" s="336"/>
      <c r="R1757" s="336"/>
      <c r="S1757" s="336"/>
      <c r="T1757" s="336"/>
    </row>
    <row r="1758" spans="1:20" x14ac:dyDescent="0.25">
      <c r="A1758" s="336"/>
      <c r="B1758" s="336"/>
      <c r="C1758" s="336"/>
      <c r="D1758" s="336"/>
      <c r="E1758" s="336"/>
      <c r="F1758" s="104" t="b">
        <f t="array" ref="F1758">IF(_xlfn.NUMBERVALUE(RIGHT($E1758,2))=MAX(IF(LEFT($E1758:$E3756,11)=LEFT($E1758,11),_xlfn.NUMBERVALUE(RIGHT($E1758:$E3756,2)))),TRUE)</f>
        <v>1</v>
      </c>
      <c r="G1758" s="336"/>
      <c r="H1758" s="336"/>
      <c r="I1758" s="336"/>
      <c r="J1758" s="336"/>
      <c r="K1758" s="336"/>
      <c r="L1758" s="336"/>
      <c r="M1758" s="336"/>
      <c r="N1758" s="336"/>
      <c r="O1758" s="336"/>
      <c r="P1758" s="336"/>
      <c r="Q1758" s="336"/>
      <c r="R1758" s="336"/>
      <c r="S1758" s="336"/>
      <c r="T1758" s="336"/>
    </row>
    <row r="1759" spans="1:20" x14ac:dyDescent="0.25">
      <c r="A1759" s="336"/>
      <c r="B1759" s="336"/>
      <c r="C1759" s="336"/>
      <c r="D1759" s="336"/>
      <c r="E1759" s="336"/>
      <c r="F1759" s="104" t="b">
        <f t="array" ref="F1759">IF(_xlfn.NUMBERVALUE(RIGHT($E1759,2))=MAX(IF(LEFT($E1759:$E3757,11)=LEFT($E1759,11),_xlfn.NUMBERVALUE(RIGHT($E1759:$E3757,2)))),TRUE)</f>
        <v>1</v>
      </c>
      <c r="G1759" s="336"/>
      <c r="H1759" s="336"/>
      <c r="I1759" s="336"/>
      <c r="J1759" s="336"/>
      <c r="K1759" s="336"/>
      <c r="L1759" s="336"/>
      <c r="M1759" s="336"/>
      <c r="N1759" s="336"/>
      <c r="O1759" s="336"/>
      <c r="P1759" s="336"/>
      <c r="Q1759" s="336"/>
      <c r="R1759" s="336"/>
      <c r="S1759" s="336"/>
      <c r="T1759" s="336"/>
    </row>
    <row r="1760" spans="1:20" x14ac:dyDescent="0.25">
      <c r="A1760" s="336"/>
      <c r="B1760" s="336"/>
      <c r="C1760" s="336"/>
      <c r="D1760" s="336"/>
      <c r="E1760" s="336"/>
      <c r="F1760" s="104" t="b">
        <f t="array" ref="F1760">IF(_xlfn.NUMBERVALUE(RIGHT($E1760,2))=MAX(IF(LEFT($E1760:$E3758,11)=LEFT($E1760,11),_xlfn.NUMBERVALUE(RIGHT($E1760:$E3758,2)))),TRUE)</f>
        <v>1</v>
      </c>
      <c r="G1760" s="336"/>
      <c r="H1760" s="336"/>
      <c r="I1760" s="336"/>
      <c r="J1760" s="336"/>
      <c r="K1760" s="336"/>
      <c r="L1760" s="336"/>
      <c r="M1760" s="336"/>
      <c r="N1760" s="336"/>
      <c r="O1760" s="336"/>
      <c r="P1760" s="336"/>
      <c r="Q1760" s="336"/>
      <c r="R1760" s="336"/>
      <c r="S1760" s="336"/>
      <c r="T1760" s="336"/>
    </row>
    <row r="1761" spans="1:20" x14ac:dyDescent="0.25">
      <c r="A1761" s="336"/>
      <c r="B1761" s="336"/>
      <c r="C1761" s="336"/>
      <c r="D1761" s="336"/>
      <c r="E1761" s="336"/>
      <c r="F1761" s="104" t="b">
        <f t="array" ref="F1761">IF(_xlfn.NUMBERVALUE(RIGHT($E1761,2))=MAX(IF(LEFT($E1761:$E3759,11)=LEFT($E1761,11),_xlfn.NUMBERVALUE(RIGHT($E1761:$E3759,2)))),TRUE)</f>
        <v>1</v>
      </c>
      <c r="G1761" s="336"/>
      <c r="H1761" s="336"/>
      <c r="I1761" s="336"/>
      <c r="J1761" s="336"/>
      <c r="K1761" s="336"/>
      <c r="L1761" s="336"/>
      <c r="M1761" s="336"/>
      <c r="N1761" s="336"/>
      <c r="O1761" s="336"/>
      <c r="P1761" s="336"/>
      <c r="Q1761" s="336"/>
      <c r="R1761" s="336"/>
      <c r="S1761" s="336"/>
      <c r="T1761" s="336"/>
    </row>
    <row r="1762" spans="1:20" x14ac:dyDescent="0.25">
      <c r="A1762" s="336"/>
      <c r="B1762" s="336"/>
      <c r="C1762" s="336"/>
      <c r="D1762" s="336"/>
      <c r="E1762" s="336"/>
      <c r="F1762" s="104" t="b">
        <f t="array" ref="F1762">IF(_xlfn.NUMBERVALUE(RIGHT($E1762,2))=MAX(IF(LEFT($E1762:$E3760,11)=LEFT($E1762,11),_xlfn.NUMBERVALUE(RIGHT($E1762:$E3760,2)))),TRUE)</f>
        <v>1</v>
      </c>
      <c r="G1762" s="336"/>
      <c r="H1762" s="336"/>
      <c r="I1762" s="336"/>
      <c r="J1762" s="336"/>
      <c r="K1762" s="336"/>
      <c r="L1762" s="336"/>
      <c r="M1762" s="336"/>
      <c r="N1762" s="336"/>
      <c r="O1762" s="336"/>
      <c r="P1762" s="336"/>
      <c r="Q1762" s="336"/>
      <c r="R1762" s="336"/>
      <c r="S1762" s="336"/>
      <c r="T1762" s="336"/>
    </row>
    <row r="1763" spans="1:20" x14ac:dyDescent="0.25">
      <c r="A1763" s="336"/>
      <c r="B1763" s="336"/>
      <c r="C1763" s="336"/>
      <c r="D1763" s="336"/>
      <c r="E1763" s="336"/>
      <c r="F1763" s="104" t="b">
        <f t="array" ref="F1763">IF(_xlfn.NUMBERVALUE(RIGHT($E1763,2))=MAX(IF(LEFT($E1763:$E3761,11)=LEFT($E1763,11),_xlfn.NUMBERVALUE(RIGHT($E1763:$E3761,2)))),TRUE)</f>
        <v>1</v>
      </c>
      <c r="G1763" s="336"/>
      <c r="H1763" s="336"/>
      <c r="I1763" s="336"/>
      <c r="J1763" s="336"/>
      <c r="K1763" s="336"/>
      <c r="L1763" s="336"/>
      <c r="M1763" s="336"/>
      <c r="N1763" s="336"/>
      <c r="O1763" s="336"/>
      <c r="P1763" s="336"/>
      <c r="Q1763" s="336"/>
      <c r="R1763" s="336"/>
      <c r="S1763" s="336"/>
      <c r="T1763" s="336"/>
    </row>
    <row r="1764" spans="1:20" x14ac:dyDescent="0.25">
      <c r="A1764" s="336"/>
      <c r="B1764" s="336"/>
      <c r="C1764" s="336"/>
      <c r="D1764" s="336"/>
      <c r="E1764" s="336"/>
      <c r="F1764" s="104" t="b">
        <f t="array" ref="F1764">IF(_xlfn.NUMBERVALUE(RIGHT($E1764,2))=MAX(IF(LEFT($E1764:$E3762,11)=LEFT($E1764,11),_xlfn.NUMBERVALUE(RIGHT($E1764:$E3762,2)))),TRUE)</f>
        <v>1</v>
      </c>
      <c r="G1764" s="336"/>
      <c r="H1764" s="336"/>
      <c r="I1764" s="336"/>
      <c r="J1764" s="336"/>
      <c r="K1764" s="336"/>
      <c r="L1764" s="336"/>
      <c r="M1764" s="336"/>
      <c r="N1764" s="336"/>
      <c r="O1764" s="336"/>
      <c r="P1764" s="336"/>
      <c r="Q1764" s="336"/>
      <c r="R1764" s="336"/>
      <c r="S1764" s="336"/>
      <c r="T1764" s="336"/>
    </row>
    <row r="1765" spans="1:20" x14ac:dyDescent="0.25">
      <c r="A1765" s="336"/>
      <c r="B1765" s="336"/>
      <c r="C1765" s="336"/>
      <c r="D1765" s="336"/>
      <c r="E1765" s="336"/>
      <c r="F1765" s="104" t="b">
        <f t="array" ref="F1765">IF(_xlfn.NUMBERVALUE(RIGHT($E1765,2))=MAX(IF(LEFT($E1765:$E3763,11)=LEFT($E1765,11),_xlfn.NUMBERVALUE(RIGHT($E1765:$E3763,2)))),TRUE)</f>
        <v>1</v>
      </c>
      <c r="G1765" s="336"/>
      <c r="H1765" s="336"/>
      <c r="I1765" s="336"/>
      <c r="J1765" s="336"/>
      <c r="K1765" s="336"/>
      <c r="L1765" s="336"/>
      <c r="M1765" s="336"/>
      <c r="N1765" s="336"/>
      <c r="O1765" s="336"/>
      <c r="P1765" s="336"/>
      <c r="Q1765" s="336"/>
      <c r="R1765" s="336"/>
      <c r="S1765" s="336"/>
      <c r="T1765" s="336"/>
    </row>
    <row r="1766" spans="1:20" x14ac:dyDescent="0.25">
      <c r="A1766" s="336"/>
      <c r="B1766" s="336"/>
      <c r="C1766" s="336"/>
      <c r="D1766" s="336"/>
      <c r="E1766" s="336"/>
      <c r="F1766" s="104" t="b">
        <f t="array" ref="F1766">IF(_xlfn.NUMBERVALUE(RIGHT($E1766,2))=MAX(IF(LEFT($E1766:$E3764,11)=LEFT($E1766,11),_xlfn.NUMBERVALUE(RIGHT($E1766:$E3764,2)))),TRUE)</f>
        <v>1</v>
      </c>
      <c r="G1766" s="336"/>
      <c r="H1766" s="336"/>
      <c r="I1766" s="336"/>
      <c r="J1766" s="336"/>
      <c r="K1766" s="336"/>
      <c r="L1766" s="336"/>
      <c r="M1766" s="336"/>
      <c r="N1766" s="336"/>
      <c r="O1766" s="336"/>
      <c r="P1766" s="336"/>
      <c r="Q1766" s="336"/>
      <c r="R1766" s="336"/>
      <c r="S1766" s="336"/>
      <c r="T1766" s="336"/>
    </row>
    <row r="1767" spans="1:20" x14ac:dyDescent="0.25">
      <c r="A1767" s="336"/>
      <c r="B1767" s="336"/>
      <c r="C1767" s="336"/>
      <c r="D1767" s="336"/>
      <c r="E1767" s="336"/>
      <c r="F1767" s="104" t="b">
        <f t="array" ref="F1767">IF(_xlfn.NUMBERVALUE(RIGHT($E1767,2))=MAX(IF(LEFT($E1767:$E3765,11)=LEFT($E1767,11),_xlfn.NUMBERVALUE(RIGHT($E1767:$E3765,2)))),TRUE)</f>
        <v>1</v>
      </c>
      <c r="G1767" s="336"/>
      <c r="H1767" s="336"/>
      <c r="I1767" s="336"/>
      <c r="J1767" s="336"/>
      <c r="K1767" s="336"/>
      <c r="L1767" s="336"/>
      <c r="M1767" s="336"/>
      <c r="N1767" s="336"/>
      <c r="O1767" s="336"/>
      <c r="P1767" s="336"/>
      <c r="Q1767" s="336"/>
      <c r="R1767" s="336"/>
      <c r="S1767" s="336"/>
      <c r="T1767" s="336"/>
    </row>
    <row r="1768" spans="1:20" x14ac:dyDescent="0.25">
      <c r="A1768" s="336"/>
      <c r="B1768" s="336"/>
      <c r="C1768" s="336"/>
      <c r="D1768" s="336"/>
      <c r="E1768" s="336"/>
      <c r="F1768" s="104" t="b">
        <f t="array" ref="F1768">IF(_xlfn.NUMBERVALUE(RIGHT($E1768,2))=MAX(IF(LEFT($E1768:$E3766,11)=LEFT($E1768,11),_xlfn.NUMBERVALUE(RIGHT($E1768:$E3766,2)))),TRUE)</f>
        <v>1</v>
      </c>
      <c r="G1768" s="336"/>
      <c r="H1768" s="336"/>
      <c r="I1768" s="336"/>
      <c r="J1768" s="336"/>
      <c r="K1768" s="336"/>
      <c r="L1768" s="336"/>
      <c r="M1768" s="336"/>
      <c r="N1768" s="336"/>
      <c r="O1768" s="336"/>
      <c r="P1768" s="336"/>
      <c r="Q1768" s="336"/>
      <c r="R1768" s="336"/>
      <c r="S1768" s="336"/>
      <c r="T1768" s="336"/>
    </row>
    <row r="1769" spans="1:20" x14ac:dyDescent="0.25">
      <c r="A1769" s="336"/>
      <c r="B1769" s="336"/>
      <c r="C1769" s="336"/>
      <c r="D1769" s="336"/>
      <c r="E1769" s="336"/>
      <c r="F1769" s="104" t="b">
        <f t="array" ref="F1769">IF(_xlfn.NUMBERVALUE(RIGHT($E1769,2))=MAX(IF(LEFT($E1769:$E3767,11)=LEFT($E1769,11),_xlfn.NUMBERVALUE(RIGHT($E1769:$E3767,2)))),TRUE)</f>
        <v>1</v>
      </c>
      <c r="G1769" s="336"/>
      <c r="H1769" s="336"/>
      <c r="I1769" s="336"/>
      <c r="J1769" s="336"/>
      <c r="K1769" s="336"/>
      <c r="L1769" s="336"/>
      <c r="M1769" s="336"/>
      <c r="N1769" s="336"/>
      <c r="O1769" s="336"/>
      <c r="P1769" s="336"/>
      <c r="Q1769" s="336"/>
      <c r="R1769" s="336"/>
      <c r="S1769" s="336"/>
      <c r="T1769" s="336"/>
    </row>
    <row r="1770" spans="1:20" x14ac:dyDescent="0.25">
      <c r="A1770" s="336"/>
      <c r="B1770" s="336"/>
      <c r="C1770" s="336"/>
      <c r="D1770" s="336"/>
      <c r="E1770" s="336"/>
      <c r="F1770" s="104" t="b">
        <f t="array" ref="F1770">IF(_xlfn.NUMBERVALUE(RIGHT($E1770,2))=MAX(IF(LEFT($E1770:$E3768,11)=LEFT($E1770,11),_xlfn.NUMBERVALUE(RIGHT($E1770:$E3768,2)))),TRUE)</f>
        <v>1</v>
      </c>
      <c r="G1770" s="336"/>
      <c r="H1770" s="336"/>
      <c r="I1770" s="336"/>
      <c r="J1770" s="336"/>
      <c r="K1770" s="336"/>
      <c r="L1770" s="336"/>
      <c r="M1770" s="336"/>
      <c r="N1770" s="336"/>
      <c r="O1770" s="336"/>
      <c r="P1770" s="336"/>
      <c r="Q1770" s="336"/>
      <c r="R1770" s="336"/>
      <c r="S1770" s="336"/>
      <c r="T1770" s="336"/>
    </row>
    <row r="1771" spans="1:20" x14ac:dyDescent="0.25">
      <c r="A1771" s="336"/>
      <c r="B1771" s="336"/>
      <c r="C1771" s="336"/>
      <c r="D1771" s="336"/>
      <c r="E1771" s="336"/>
      <c r="F1771" s="104" t="b">
        <f t="array" ref="F1771">IF(_xlfn.NUMBERVALUE(RIGHT($E1771,2))=MAX(IF(LEFT($E1771:$E3769,11)=LEFT($E1771,11),_xlfn.NUMBERVALUE(RIGHT($E1771:$E3769,2)))),TRUE)</f>
        <v>1</v>
      </c>
      <c r="G1771" s="336"/>
      <c r="H1771" s="336"/>
      <c r="I1771" s="336"/>
      <c r="J1771" s="336"/>
      <c r="K1771" s="336"/>
      <c r="L1771" s="336"/>
      <c r="M1771" s="336"/>
      <c r="N1771" s="336"/>
      <c r="O1771" s="336"/>
      <c r="P1771" s="336"/>
      <c r="Q1771" s="336"/>
      <c r="R1771" s="336"/>
      <c r="S1771" s="336"/>
      <c r="T1771" s="336"/>
    </row>
    <row r="1772" spans="1:20" x14ac:dyDescent="0.25">
      <c r="A1772" s="336"/>
      <c r="B1772" s="336"/>
      <c r="C1772" s="336"/>
      <c r="D1772" s="336"/>
      <c r="E1772" s="336"/>
      <c r="F1772" s="104" t="b">
        <f t="array" ref="F1772">IF(_xlfn.NUMBERVALUE(RIGHT($E1772,2))=MAX(IF(LEFT($E1772:$E3770,11)=LEFT($E1772,11),_xlfn.NUMBERVALUE(RIGHT($E1772:$E3770,2)))),TRUE)</f>
        <v>1</v>
      </c>
      <c r="G1772" s="336"/>
      <c r="H1772" s="336"/>
      <c r="I1772" s="336"/>
      <c r="J1772" s="336"/>
      <c r="K1772" s="336"/>
      <c r="L1772" s="336"/>
      <c r="M1772" s="336"/>
      <c r="N1772" s="336"/>
      <c r="O1772" s="336"/>
      <c r="P1772" s="336"/>
      <c r="Q1772" s="336"/>
      <c r="R1772" s="336"/>
      <c r="S1772" s="336"/>
      <c r="T1772" s="336"/>
    </row>
    <row r="1773" spans="1:20" x14ac:dyDescent="0.25">
      <c r="A1773" s="336"/>
      <c r="B1773" s="336"/>
      <c r="C1773" s="336"/>
      <c r="D1773" s="336"/>
      <c r="E1773" s="336"/>
      <c r="F1773" s="104" t="b">
        <f t="array" ref="F1773">IF(_xlfn.NUMBERVALUE(RIGHT($E1773,2))=MAX(IF(LEFT($E1773:$E3771,11)=LEFT($E1773,11),_xlfn.NUMBERVALUE(RIGHT($E1773:$E3771,2)))),TRUE)</f>
        <v>1</v>
      </c>
      <c r="G1773" s="336"/>
      <c r="H1773" s="336"/>
      <c r="I1773" s="336"/>
      <c r="J1773" s="336"/>
      <c r="K1773" s="336"/>
      <c r="L1773" s="336"/>
      <c r="M1773" s="336"/>
      <c r="N1773" s="336"/>
      <c r="O1773" s="336"/>
      <c r="P1773" s="336"/>
      <c r="Q1773" s="336"/>
      <c r="R1773" s="336"/>
      <c r="S1773" s="336"/>
      <c r="T1773" s="336"/>
    </row>
    <row r="1774" spans="1:20" x14ac:dyDescent="0.25">
      <c r="A1774" s="336"/>
      <c r="B1774" s="336"/>
      <c r="C1774" s="336"/>
      <c r="D1774" s="336"/>
      <c r="E1774" s="336"/>
      <c r="F1774" s="104" t="b">
        <f t="array" ref="F1774">IF(_xlfn.NUMBERVALUE(RIGHT($E1774,2))=MAX(IF(LEFT($E1774:$E3772,11)=LEFT($E1774,11),_xlfn.NUMBERVALUE(RIGHT($E1774:$E3772,2)))),TRUE)</f>
        <v>1</v>
      </c>
      <c r="G1774" s="336"/>
      <c r="H1774" s="336"/>
      <c r="I1774" s="336"/>
      <c r="J1774" s="336"/>
      <c r="K1774" s="336"/>
      <c r="L1774" s="336"/>
      <c r="M1774" s="336"/>
      <c r="N1774" s="336"/>
      <c r="O1774" s="336"/>
      <c r="P1774" s="336"/>
      <c r="Q1774" s="336"/>
      <c r="R1774" s="336"/>
      <c r="S1774" s="336"/>
      <c r="T1774" s="336"/>
    </row>
    <row r="1775" spans="1:20" x14ac:dyDescent="0.25">
      <c r="A1775" s="336"/>
      <c r="B1775" s="336"/>
      <c r="C1775" s="336"/>
      <c r="D1775" s="336"/>
      <c r="E1775" s="336"/>
      <c r="F1775" s="104" t="b">
        <f t="array" ref="F1775">IF(_xlfn.NUMBERVALUE(RIGHT($E1775,2))=MAX(IF(LEFT($E1775:$E3773,11)=LEFT($E1775,11),_xlfn.NUMBERVALUE(RIGHT($E1775:$E3773,2)))),TRUE)</f>
        <v>1</v>
      </c>
      <c r="G1775" s="336"/>
      <c r="H1775" s="336"/>
      <c r="I1775" s="336"/>
      <c r="J1775" s="336"/>
      <c r="K1775" s="336"/>
      <c r="L1775" s="336"/>
      <c r="M1775" s="336"/>
      <c r="N1775" s="336"/>
      <c r="O1775" s="336"/>
      <c r="P1775" s="336"/>
      <c r="Q1775" s="336"/>
      <c r="R1775" s="336"/>
      <c r="S1775" s="336"/>
      <c r="T1775" s="336"/>
    </row>
    <row r="1776" spans="1:20" x14ac:dyDescent="0.25">
      <c r="A1776" s="336"/>
      <c r="B1776" s="336"/>
      <c r="C1776" s="336"/>
      <c r="D1776" s="336"/>
      <c r="E1776" s="336"/>
      <c r="F1776" s="104" t="b">
        <f t="array" ref="F1776">IF(_xlfn.NUMBERVALUE(RIGHT($E1776,2))=MAX(IF(LEFT($E1776:$E3774,11)=LEFT($E1776,11),_xlfn.NUMBERVALUE(RIGHT($E1776:$E3774,2)))),TRUE)</f>
        <v>1</v>
      </c>
      <c r="G1776" s="336"/>
      <c r="H1776" s="336"/>
      <c r="I1776" s="336"/>
      <c r="J1776" s="336"/>
      <c r="K1776" s="336"/>
      <c r="L1776" s="336"/>
      <c r="M1776" s="336"/>
      <c r="N1776" s="336"/>
      <c r="O1776" s="336"/>
      <c r="P1776" s="336"/>
      <c r="Q1776" s="336"/>
      <c r="R1776" s="336"/>
      <c r="S1776" s="336"/>
      <c r="T1776" s="336"/>
    </row>
    <row r="1777" spans="1:20" x14ac:dyDescent="0.25">
      <c r="A1777" s="336"/>
      <c r="B1777" s="336"/>
      <c r="C1777" s="336"/>
      <c r="D1777" s="336"/>
      <c r="E1777" s="336"/>
      <c r="F1777" s="104" t="b">
        <f t="array" ref="F1777">IF(_xlfn.NUMBERVALUE(RIGHT($E1777,2))=MAX(IF(LEFT($E1777:$E3775,11)=LEFT($E1777,11),_xlfn.NUMBERVALUE(RIGHT($E1777:$E3775,2)))),TRUE)</f>
        <v>1</v>
      </c>
      <c r="G1777" s="336"/>
      <c r="H1777" s="336"/>
      <c r="I1777" s="336"/>
      <c r="J1777" s="336"/>
      <c r="K1777" s="336"/>
      <c r="L1777" s="336"/>
      <c r="M1777" s="336"/>
      <c r="N1777" s="336"/>
      <c r="O1777" s="336"/>
      <c r="P1777" s="336"/>
      <c r="Q1777" s="336"/>
      <c r="R1777" s="336"/>
      <c r="S1777" s="336"/>
      <c r="T1777" s="336"/>
    </row>
    <row r="1778" spans="1:20" x14ac:dyDescent="0.25">
      <c r="A1778" s="336"/>
      <c r="B1778" s="336"/>
      <c r="C1778" s="336"/>
      <c r="D1778" s="336"/>
      <c r="E1778" s="336"/>
      <c r="F1778" s="104" t="b">
        <f t="array" ref="F1778">IF(_xlfn.NUMBERVALUE(RIGHT($E1778,2))=MAX(IF(LEFT($E1778:$E3776,11)=LEFT($E1778,11),_xlfn.NUMBERVALUE(RIGHT($E1778:$E3776,2)))),TRUE)</f>
        <v>1</v>
      </c>
      <c r="G1778" s="336"/>
      <c r="H1778" s="336"/>
      <c r="I1778" s="336"/>
      <c r="J1778" s="336"/>
      <c r="K1778" s="336"/>
      <c r="L1778" s="336"/>
      <c r="M1778" s="336"/>
      <c r="N1778" s="336"/>
      <c r="O1778" s="336"/>
      <c r="P1778" s="336"/>
      <c r="Q1778" s="336"/>
      <c r="R1778" s="336"/>
      <c r="S1778" s="336"/>
      <c r="T1778" s="336"/>
    </row>
    <row r="1779" spans="1:20" x14ac:dyDescent="0.25">
      <c r="A1779" s="336"/>
      <c r="B1779" s="336"/>
      <c r="C1779" s="336"/>
      <c r="D1779" s="336"/>
      <c r="E1779" s="336"/>
      <c r="F1779" s="104" t="b">
        <f t="array" ref="F1779">IF(_xlfn.NUMBERVALUE(RIGHT($E1779,2))=MAX(IF(LEFT($E1779:$E3777,11)=LEFT($E1779,11),_xlfn.NUMBERVALUE(RIGHT($E1779:$E3777,2)))),TRUE)</f>
        <v>1</v>
      </c>
      <c r="G1779" s="336"/>
      <c r="H1779" s="336"/>
      <c r="I1779" s="336"/>
      <c r="J1779" s="336"/>
      <c r="K1779" s="336"/>
      <c r="L1779" s="336"/>
      <c r="M1779" s="336"/>
      <c r="N1779" s="336"/>
      <c r="O1779" s="336"/>
      <c r="P1779" s="336"/>
      <c r="Q1779" s="336"/>
      <c r="R1779" s="336"/>
      <c r="S1779" s="336"/>
      <c r="T1779" s="336"/>
    </row>
    <row r="1780" spans="1:20" x14ac:dyDescent="0.25">
      <c r="A1780" s="336"/>
      <c r="B1780" s="336"/>
      <c r="C1780" s="336"/>
      <c r="D1780" s="336"/>
      <c r="E1780" s="336"/>
      <c r="F1780" s="104" t="b">
        <f t="array" ref="F1780">IF(_xlfn.NUMBERVALUE(RIGHT($E1780,2))=MAX(IF(LEFT($E1780:$E3778,11)=LEFT($E1780,11),_xlfn.NUMBERVALUE(RIGHT($E1780:$E3778,2)))),TRUE)</f>
        <v>1</v>
      </c>
      <c r="G1780" s="336"/>
      <c r="H1780" s="336"/>
      <c r="I1780" s="336"/>
      <c r="J1780" s="336"/>
      <c r="K1780" s="336"/>
      <c r="L1780" s="336"/>
      <c r="M1780" s="336"/>
      <c r="N1780" s="336"/>
      <c r="O1780" s="336"/>
      <c r="P1780" s="336"/>
      <c r="Q1780" s="336"/>
      <c r="R1780" s="336"/>
      <c r="S1780" s="336"/>
      <c r="T1780" s="336"/>
    </row>
    <row r="1781" spans="1:20" x14ac:dyDescent="0.25">
      <c r="A1781" s="336"/>
      <c r="B1781" s="336"/>
      <c r="C1781" s="336"/>
      <c r="D1781" s="336"/>
      <c r="E1781" s="336"/>
      <c r="F1781" s="104" t="b">
        <f t="array" ref="F1781">IF(_xlfn.NUMBERVALUE(RIGHT($E1781,2))=MAX(IF(LEFT($E1781:$E3779,11)=LEFT($E1781,11),_xlfn.NUMBERVALUE(RIGHT($E1781:$E3779,2)))),TRUE)</f>
        <v>1</v>
      </c>
      <c r="G1781" s="336"/>
      <c r="H1781" s="336"/>
      <c r="I1781" s="336"/>
      <c r="J1781" s="336"/>
      <c r="K1781" s="336"/>
      <c r="L1781" s="336"/>
      <c r="M1781" s="336"/>
      <c r="N1781" s="336"/>
      <c r="O1781" s="336"/>
      <c r="P1781" s="336"/>
      <c r="Q1781" s="336"/>
      <c r="R1781" s="336"/>
      <c r="S1781" s="336"/>
      <c r="T1781" s="336"/>
    </row>
    <row r="1782" spans="1:20" x14ac:dyDescent="0.25">
      <c r="A1782" s="336"/>
      <c r="B1782" s="336"/>
      <c r="C1782" s="336"/>
      <c r="D1782" s="336"/>
      <c r="E1782" s="336"/>
      <c r="F1782" s="104" t="b">
        <f t="array" ref="F1782">IF(_xlfn.NUMBERVALUE(RIGHT($E1782,2))=MAX(IF(LEFT($E1782:$E3780,11)=LEFT($E1782,11),_xlfn.NUMBERVALUE(RIGHT($E1782:$E3780,2)))),TRUE)</f>
        <v>1</v>
      </c>
      <c r="G1782" s="336"/>
      <c r="H1782" s="336"/>
      <c r="I1782" s="336"/>
      <c r="J1782" s="336"/>
      <c r="K1782" s="336"/>
      <c r="L1782" s="336"/>
      <c r="M1782" s="336"/>
      <c r="N1782" s="336"/>
      <c r="O1782" s="336"/>
      <c r="P1782" s="336"/>
      <c r="Q1782" s="336"/>
      <c r="R1782" s="336"/>
      <c r="S1782" s="336"/>
      <c r="T1782" s="336"/>
    </row>
    <row r="1783" spans="1:20" x14ac:dyDescent="0.25">
      <c r="A1783" s="336"/>
      <c r="B1783" s="336"/>
      <c r="C1783" s="336"/>
      <c r="D1783" s="336"/>
      <c r="E1783" s="336"/>
      <c r="F1783" s="104" t="b">
        <f t="array" ref="F1783">IF(_xlfn.NUMBERVALUE(RIGHT($E1783,2))=MAX(IF(LEFT($E1783:$E3781,11)=LEFT($E1783,11),_xlfn.NUMBERVALUE(RIGHT($E1783:$E3781,2)))),TRUE)</f>
        <v>1</v>
      </c>
      <c r="G1783" s="336"/>
      <c r="H1783" s="336"/>
      <c r="I1783" s="336"/>
      <c r="J1783" s="336"/>
      <c r="K1783" s="336"/>
      <c r="L1783" s="336"/>
      <c r="M1783" s="336"/>
      <c r="N1783" s="336"/>
      <c r="O1783" s="336"/>
      <c r="P1783" s="336"/>
      <c r="Q1783" s="336"/>
      <c r="R1783" s="336"/>
      <c r="S1783" s="336"/>
      <c r="T1783" s="336"/>
    </row>
    <row r="1784" spans="1:20" x14ac:dyDescent="0.25">
      <c r="A1784" s="336"/>
      <c r="B1784" s="336"/>
      <c r="C1784" s="336"/>
      <c r="D1784" s="336"/>
      <c r="E1784" s="336"/>
      <c r="F1784" s="104" t="b">
        <f t="array" ref="F1784">IF(_xlfn.NUMBERVALUE(RIGHT($E1784,2))=MAX(IF(LEFT($E1784:$E3782,11)=LEFT($E1784,11),_xlfn.NUMBERVALUE(RIGHT($E1784:$E3782,2)))),TRUE)</f>
        <v>1</v>
      </c>
      <c r="G1784" s="336"/>
      <c r="H1784" s="336"/>
      <c r="I1784" s="336"/>
      <c r="J1784" s="336"/>
      <c r="K1784" s="336"/>
      <c r="L1784" s="336"/>
      <c r="M1784" s="336"/>
      <c r="N1784" s="336"/>
      <c r="O1784" s="336"/>
      <c r="P1784" s="336"/>
      <c r="Q1784" s="336"/>
      <c r="R1784" s="336"/>
      <c r="S1784" s="336"/>
      <c r="T1784" s="336"/>
    </row>
    <row r="1785" spans="1:20" x14ac:dyDescent="0.25">
      <c r="A1785" s="336"/>
      <c r="B1785" s="336"/>
      <c r="C1785" s="336"/>
      <c r="D1785" s="336"/>
      <c r="E1785" s="336"/>
      <c r="F1785" s="104" t="b">
        <f t="array" ref="F1785">IF(_xlfn.NUMBERVALUE(RIGHT($E1785,2))=MAX(IF(LEFT($E1785:$E3783,11)=LEFT($E1785,11),_xlfn.NUMBERVALUE(RIGHT($E1785:$E3783,2)))),TRUE)</f>
        <v>1</v>
      </c>
      <c r="G1785" s="336"/>
      <c r="H1785" s="336"/>
      <c r="I1785" s="336"/>
      <c r="J1785" s="336"/>
      <c r="K1785" s="336"/>
      <c r="L1785" s="336"/>
      <c r="M1785" s="336"/>
      <c r="N1785" s="336"/>
      <c r="O1785" s="336"/>
      <c r="P1785" s="336"/>
      <c r="Q1785" s="336"/>
      <c r="R1785" s="336"/>
      <c r="S1785" s="336"/>
      <c r="T1785" s="336"/>
    </row>
    <row r="1786" spans="1:20" x14ac:dyDescent="0.25">
      <c r="A1786" s="336"/>
      <c r="B1786" s="336"/>
      <c r="C1786" s="336"/>
      <c r="D1786" s="336"/>
      <c r="E1786" s="336"/>
      <c r="F1786" s="104" t="b">
        <f t="array" ref="F1786">IF(_xlfn.NUMBERVALUE(RIGHT($E1786,2))=MAX(IF(LEFT($E1786:$E3784,11)=LEFT($E1786,11),_xlfn.NUMBERVALUE(RIGHT($E1786:$E3784,2)))),TRUE)</f>
        <v>1</v>
      </c>
      <c r="G1786" s="336"/>
      <c r="H1786" s="336"/>
      <c r="I1786" s="336"/>
      <c r="J1786" s="336"/>
      <c r="K1786" s="336"/>
      <c r="L1786" s="336"/>
      <c r="M1786" s="336"/>
      <c r="N1786" s="336"/>
      <c r="O1786" s="336"/>
      <c r="P1786" s="336"/>
      <c r="Q1786" s="336"/>
      <c r="R1786" s="336"/>
      <c r="S1786" s="336"/>
      <c r="T1786" s="336"/>
    </row>
    <row r="1787" spans="1:20" x14ac:dyDescent="0.25">
      <c r="A1787" s="336"/>
      <c r="B1787" s="336"/>
      <c r="C1787" s="336"/>
      <c r="D1787" s="336"/>
      <c r="E1787" s="336"/>
      <c r="F1787" s="104" t="b">
        <f t="array" ref="F1787">IF(_xlfn.NUMBERVALUE(RIGHT($E1787,2))=MAX(IF(LEFT($E1787:$E3785,11)=LEFT($E1787,11),_xlfn.NUMBERVALUE(RIGHT($E1787:$E3785,2)))),TRUE)</f>
        <v>1</v>
      </c>
      <c r="G1787" s="336"/>
      <c r="H1787" s="336"/>
      <c r="I1787" s="336"/>
      <c r="J1787" s="336"/>
      <c r="K1787" s="336"/>
      <c r="L1787" s="336"/>
      <c r="M1787" s="336"/>
      <c r="N1787" s="336"/>
      <c r="O1787" s="336"/>
      <c r="P1787" s="336"/>
      <c r="Q1787" s="336"/>
      <c r="R1787" s="336"/>
      <c r="S1787" s="336"/>
      <c r="T1787" s="336"/>
    </row>
    <row r="1788" spans="1:20" x14ac:dyDescent="0.25">
      <c r="A1788" s="336"/>
      <c r="B1788" s="336"/>
      <c r="C1788" s="336"/>
      <c r="D1788" s="336"/>
      <c r="E1788" s="336"/>
      <c r="F1788" s="104" t="b">
        <f t="array" ref="F1788">IF(_xlfn.NUMBERVALUE(RIGHT($E1788,2))=MAX(IF(LEFT($E1788:$E3786,11)=LEFT($E1788,11),_xlfn.NUMBERVALUE(RIGHT($E1788:$E3786,2)))),TRUE)</f>
        <v>1</v>
      </c>
      <c r="G1788" s="336"/>
      <c r="H1788" s="336"/>
      <c r="I1788" s="336"/>
      <c r="J1788" s="336"/>
      <c r="K1788" s="336"/>
      <c r="L1788" s="336"/>
      <c r="M1788" s="336"/>
      <c r="N1788" s="336"/>
      <c r="O1788" s="336"/>
      <c r="P1788" s="336"/>
      <c r="Q1788" s="336"/>
      <c r="R1788" s="336"/>
      <c r="S1788" s="336"/>
      <c r="T1788" s="336"/>
    </row>
    <row r="1789" spans="1:20" x14ac:dyDescent="0.25">
      <c r="A1789" s="336"/>
      <c r="B1789" s="336"/>
      <c r="C1789" s="336"/>
      <c r="D1789" s="336"/>
      <c r="E1789" s="336"/>
      <c r="F1789" s="104" t="b">
        <f t="array" ref="F1789">IF(_xlfn.NUMBERVALUE(RIGHT($E1789,2))=MAX(IF(LEFT($E1789:$E3787,11)=LEFT($E1789,11),_xlfn.NUMBERVALUE(RIGHT($E1789:$E3787,2)))),TRUE)</f>
        <v>1</v>
      </c>
      <c r="G1789" s="336"/>
      <c r="H1789" s="336"/>
      <c r="I1789" s="336"/>
      <c r="J1789" s="336"/>
      <c r="K1789" s="336"/>
      <c r="L1789" s="336"/>
      <c r="M1789" s="336"/>
      <c r="N1789" s="336"/>
      <c r="O1789" s="336"/>
      <c r="P1789" s="336"/>
      <c r="Q1789" s="336"/>
      <c r="R1789" s="336"/>
      <c r="S1789" s="336"/>
      <c r="T1789" s="336"/>
    </row>
    <row r="1790" spans="1:20" x14ac:dyDescent="0.25">
      <c r="A1790" s="336"/>
      <c r="B1790" s="336"/>
      <c r="C1790" s="336"/>
      <c r="D1790" s="336"/>
      <c r="E1790" s="336"/>
      <c r="F1790" s="104" t="b">
        <f t="array" ref="F1790">IF(_xlfn.NUMBERVALUE(RIGHT($E1790,2))=MAX(IF(LEFT($E1790:$E3788,11)=LEFT($E1790,11),_xlfn.NUMBERVALUE(RIGHT($E1790:$E3788,2)))),TRUE)</f>
        <v>1</v>
      </c>
      <c r="G1790" s="336"/>
      <c r="H1790" s="336"/>
      <c r="I1790" s="336"/>
      <c r="J1790" s="336"/>
      <c r="K1790" s="336"/>
      <c r="L1790" s="336"/>
      <c r="M1790" s="336"/>
      <c r="N1790" s="336"/>
      <c r="O1790" s="336"/>
      <c r="P1790" s="336"/>
      <c r="Q1790" s="336"/>
      <c r="R1790" s="336"/>
      <c r="S1790" s="336"/>
      <c r="T1790" s="336"/>
    </row>
    <row r="1791" spans="1:20" x14ac:dyDescent="0.25">
      <c r="A1791" s="336"/>
      <c r="B1791" s="336"/>
      <c r="C1791" s="336"/>
      <c r="D1791" s="336"/>
      <c r="E1791" s="336"/>
      <c r="F1791" s="104" t="b">
        <f t="array" ref="F1791">IF(_xlfn.NUMBERVALUE(RIGHT($E1791,2))=MAX(IF(LEFT($E1791:$E3789,11)=LEFT($E1791,11),_xlfn.NUMBERVALUE(RIGHT($E1791:$E3789,2)))),TRUE)</f>
        <v>1</v>
      </c>
      <c r="G1791" s="336"/>
      <c r="H1791" s="336"/>
      <c r="I1791" s="336"/>
      <c r="J1791" s="336"/>
      <c r="K1791" s="336"/>
      <c r="L1791" s="336"/>
      <c r="M1791" s="336"/>
      <c r="N1791" s="336"/>
      <c r="O1791" s="336"/>
      <c r="P1791" s="336"/>
      <c r="Q1791" s="336"/>
      <c r="R1791" s="336"/>
      <c r="S1791" s="336"/>
      <c r="T1791" s="336"/>
    </row>
    <row r="1792" spans="1:20" x14ac:dyDescent="0.25">
      <c r="A1792" s="336"/>
      <c r="B1792" s="336"/>
      <c r="C1792" s="336"/>
      <c r="D1792" s="336"/>
      <c r="E1792" s="336"/>
      <c r="F1792" s="104" t="b">
        <f t="array" ref="F1792">IF(_xlfn.NUMBERVALUE(RIGHT($E1792,2))=MAX(IF(LEFT($E1792:$E3790,11)=LEFT($E1792,11),_xlfn.NUMBERVALUE(RIGHT($E1792:$E3790,2)))),TRUE)</f>
        <v>1</v>
      </c>
      <c r="G1792" s="336"/>
      <c r="H1792" s="336"/>
      <c r="I1792" s="336"/>
      <c r="J1792" s="336"/>
      <c r="K1792" s="336"/>
      <c r="L1792" s="336"/>
      <c r="M1792" s="336"/>
      <c r="N1792" s="336"/>
      <c r="O1792" s="336"/>
      <c r="P1792" s="336"/>
      <c r="Q1792" s="336"/>
      <c r="R1792" s="336"/>
      <c r="S1792" s="336"/>
      <c r="T1792" s="336"/>
    </row>
    <row r="1793" spans="1:20" x14ac:dyDescent="0.25">
      <c r="A1793" s="336"/>
      <c r="B1793" s="336"/>
      <c r="C1793" s="336"/>
      <c r="D1793" s="336"/>
      <c r="E1793" s="336"/>
      <c r="F1793" s="104" t="b">
        <f t="array" ref="F1793">IF(_xlfn.NUMBERVALUE(RIGHT($E1793,2))=MAX(IF(LEFT($E1793:$E3791,11)=LEFT($E1793,11),_xlfn.NUMBERVALUE(RIGHT($E1793:$E3791,2)))),TRUE)</f>
        <v>1</v>
      </c>
      <c r="G1793" s="336"/>
      <c r="H1793" s="336"/>
      <c r="I1793" s="336"/>
      <c r="J1793" s="336"/>
      <c r="K1793" s="336"/>
      <c r="L1793" s="336"/>
      <c r="M1793" s="336"/>
      <c r="N1793" s="336"/>
      <c r="O1793" s="336"/>
      <c r="P1793" s="336"/>
      <c r="Q1793" s="336"/>
      <c r="R1793" s="336"/>
      <c r="S1793" s="336"/>
      <c r="T1793" s="336"/>
    </row>
    <row r="1794" spans="1:20" x14ac:dyDescent="0.25">
      <c r="A1794" s="336"/>
      <c r="B1794" s="336"/>
      <c r="C1794" s="336"/>
      <c r="D1794" s="336"/>
      <c r="E1794" s="336"/>
      <c r="F1794" s="104" t="b">
        <f t="array" ref="F1794">IF(_xlfn.NUMBERVALUE(RIGHT($E1794,2))=MAX(IF(LEFT($E1794:$E3792,11)=LEFT($E1794,11),_xlfn.NUMBERVALUE(RIGHT($E1794:$E3792,2)))),TRUE)</f>
        <v>1</v>
      </c>
      <c r="G1794" s="336"/>
      <c r="H1794" s="336"/>
      <c r="I1794" s="336"/>
      <c r="J1794" s="336"/>
      <c r="K1794" s="336"/>
      <c r="L1794" s="336"/>
      <c r="M1794" s="336"/>
      <c r="N1794" s="336"/>
      <c r="O1794" s="336"/>
      <c r="P1794" s="336"/>
      <c r="Q1794" s="336"/>
      <c r="R1794" s="336"/>
      <c r="S1794" s="336"/>
      <c r="T1794" s="336"/>
    </row>
    <row r="1795" spans="1:20" x14ac:dyDescent="0.25">
      <c r="A1795" s="336"/>
      <c r="B1795" s="336"/>
      <c r="C1795" s="336"/>
      <c r="D1795" s="336"/>
      <c r="E1795" s="336"/>
      <c r="F1795" s="104" t="b">
        <f t="array" ref="F1795">IF(_xlfn.NUMBERVALUE(RIGHT($E1795,2))=MAX(IF(LEFT($E1795:$E3793,11)=LEFT($E1795,11),_xlfn.NUMBERVALUE(RIGHT($E1795:$E3793,2)))),TRUE)</f>
        <v>1</v>
      </c>
      <c r="G1795" s="336"/>
      <c r="H1795" s="336"/>
      <c r="I1795" s="336"/>
      <c r="J1795" s="336"/>
      <c r="K1795" s="336"/>
      <c r="L1795" s="336"/>
      <c r="M1795" s="336"/>
      <c r="N1795" s="336"/>
      <c r="O1795" s="336"/>
      <c r="P1795" s="336"/>
      <c r="Q1795" s="336"/>
      <c r="R1795" s="336"/>
      <c r="S1795" s="336"/>
      <c r="T1795" s="336"/>
    </row>
    <row r="1796" spans="1:20" x14ac:dyDescent="0.25">
      <c r="A1796" s="336"/>
      <c r="B1796" s="336"/>
      <c r="C1796" s="336"/>
      <c r="D1796" s="336"/>
      <c r="E1796" s="336"/>
      <c r="F1796" s="104" t="b">
        <f t="array" ref="F1796">IF(_xlfn.NUMBERVALUE(RIGHT($E1796,2))=MAX(IF(LEFT($E1796:$E3794,11)=LEFT($E1796,11),_xlfn.NUMBERVALUE(RIGHT($E1796:$E3794,2)))),TRUE)</f>
        <v>1</v>
      </c>
      <c r="G1796" s="336"/>
      <c r="H1796" s="336"/>
      <c r="I1796" s="336"/>
      <c r="J1796" s="336"/>
      <c r="K1796" s="336"/>
      <c r="L1796" s="336"/>
      <c r="M1796" s="336"/>
      <c r="N1796" s="336"/>
      <c r="O1796" s="336"/>
      <c r="P1796" s="336"/>
      <c r="Q1796" s="336"/>
      <c r="R1796" s="336"/>
      <c r="S1796" s="336"/>
      <c r="T1796" s="336"/>
    </row>
    <row r="1797" spans="1:20" x14ac:dyDescent="0.25">
      <c r="A1797" s="336"/>
      <c r="B1797" s="336"/>
      <c r="C1797" s="336"/>
      <c r="D1797" s="336"/>
      <c r="E1797" s="336"/>
      <c r="F1797" s="104" t="b">
        <f t="array" ref="F1797">IF(_xlfn.NUMBERVALUE(RIGHT($E1797,2))=MAX(IF(LEFT($E1797:$E3795,11)=LEFT($E1797,11),_xlfn.NUMBERVALUE(RIGHT($E1797:$E3795,2)))),TRUE)</f>
        <v>1</v>
      </c>
      <c r="G1797" s="336"/>
      <c r="H1797" s="336"/>
      <c r="I1797" s="336"/>
      <c r="J1797" s="336"/>
      <c r="K1797" s="336"/>
      <c r="L1797" s="336"/>
      <c r="M1797" s="336"/>
      <c r="N1797" s="336"/>
      <c r="O1797" s="336"/>
      <c r="P1797" s="336"/>
      <c r="Q1797" s="336"/>
      <c r="R1797" s="336"/>
      <c r="S1797" s="336"/>
      <c r="T1797" s="336"/>
    </row>
    <row r="1798" spans="1:20" x14ac:dyDescent="0.25">
      <c r="A1798" s="336"/>
      <c r="B1798" s="336"/>
      <c r="C1798" s="336"/>
      <c r="D1798" s="336"/>
      <c r="E1798" s="336"/>
      <c r="F1798" s="104" t="b">
        <f t="array" ref="F1798">IF(_xlfn.NUMBERVALUE(RIGHT($E1798,2))=MAX(IF(LEFT($E1798:$E3796,11)=LEFT($E1798,11),_xlfn.NUMBERVALUE(RIGHT($E1798:$E3796,2)))),TRUE)</f>
        <v>1</v>
      </c>
      <c r="G1798" s="336"/>
      <c r="H1798" s="336"/>
      <c r="I1798" s="336"/>
      <c r="J1798" s="336"/>
      <c r="K1798" s="336"/>
      <c r="L1798" s="336"/>
      <c r="M1798" s="336"/>
      <c r="N1798" s="336"/>
      <c r="O1798" s="336"/>
      <c r="P1798" s="336"/>
      <c r="Q1798" s="336"/>
      <c r="R1798" s="336"/>
      <c r="S1798" s="336"/>
      <c r="T1798" s="336"/>
    </row>
    <row r="1799" spans="1:20" x14ac:dyDescent="0.25">
      <c r="A1799" s="336"/>
      <c r="B1799" s="336"/>
      <c r="C1799" s="336"/>
      <c r="D1799" s="336"/>
      <c r="E1799" s="336"/>
      <c r="F1799" s="104" t="b">
        <f t="array" ref="F1799">IF(_xlfn.NUMBERVALUE(RIGHT($E1799,2))=MAX(IF(LEFT($E1799:$E3797,11)=LEFT($E1799,11),_xlfn.NUMBERVALUE(RIGHT($E1799:$E3797,2)))),TRUE)</f>
        <v>1</v>
      </c>
      <c r="G1799" s="336"/>
      <c r="H1799" s="336"/>
      <c r="I1799" s="336"/>
      <c r="J1799" s="336"/>
      <c r="K1799" s="336"/>
      <c r="L1799" s="336"/>
      <c r="M1799" s="336"/>
      <c r="N1799" s="336"/>
      <c r="O1799" s="336"/>
      <c r="P1799" s="336"/>
      <c r="Q1799" s="336"/>
      <c r="R1799" s="336"/>
      <c r="S1799" s="336"/>
      <c r="T1799" s="336"/>
    </row>
    <row r="1800" spans="1:20" x14ac:dyDescent="0.25">
      <c r="A1800" s="336"/>
      <c r="B1800" s="336"/>
      <c r="C1800" s="336"/>
      <c r="D1800" s="336"/>
      <c r="E1800" s="336"/>
      <c r="F1800" s="104" t="b">
        <f t="array" ref="F1800">IF(_xlfn.NUMBERVALUE(RIGHT($E1800,2))=MAX(IF(LEFT($E1800:$E3798,11)=LEFT($E1800,11),_xlfn.NUMBERVALUE(RIGHT($E1800:$E3798,2)))),TRUE)</f>
        <v>1</v>
      </c>
      <c r="G1800" s="336"/>
      <c r="H1800" s="336"/>
      <c r="I1800" s="336"/>
      <c r="J1800" s="336"/>
      <c r="K1800" s="336"/>
      <c r="L1800" s="336"/>
      <c r="M1800" s="336"/>
      <c r="N1800" s="336"/>
      <c r="O1800" s="336"/>
      <c r="P1800" s="336"/>
      <c r="Q1800" s="336"/>
      <c r="R1800" s="336"/>
      <c r="S1800" s="336"/>
      <c r="T1800" s="336"/>
    </row>
    <row r="1801" spans="1:20" x14ac:dyDescent="0.25">
      <c r="A1801" s="336"/>
      <c r="B1801" s="336"/>
      <c r="C1801" s="336"/>
      <c r="D1801" s="336"/>
      <c r="E1801" s="336"/>
      <c r="F1801" s="104" t="b">
        <f t="array" ref="F1801">IF(_xlfn.NUMBERVALUE(RIGHT($E1801,2))=MAX(IF(LEFT($E1801:$E3799,11)=LEFT($E1801,11),_xlfn.NUMBERVALUE(RIGHT($E1801:$E3799,2)))),TRUE)</f>
        <v>1</v>
      </c>
      <c r="G1801" s="336"/>
      <c r="H1801" s="336"/>
      <c r="I1801" s="336"/>
      <c r="J1801" s="336"/>
      <c r="K1801" s="336"/>
      <c r="L1801" s="336"/>
      <c r="M1801" s="336"/>
      <c r="N1801" s="336"/>
      <c r="O1801" s="336"/>
      <c r="P1801" s="336"/>
      <c r="Q1801" s="336"/>
      <c r="R1801" s="336"/>
      <c r="S1801" s="336"/>
      <c r="T1801" s="336"/>
    </row>
    <row r="1802" spans="1:20" x14ac:dyDescent="0.25">
      <c r="A1802" s="336"/>
      <c r="B1802" s="336"/>
      <c r="C1802" s="336"/>
      <c r="D1802" s="336"/>
      <c r="E1802" s="336"/>
      <c r="F1802" s="104" t="b">
        <f t="array" ref="F1802">IF(_xlfn.NUMBERVALUE(RIGHT($E1802,2))=MAX(IF(LEFT($E1802:$E3800,11)=LEFT($E1802,11),_xlfn.NUMBERVALUE(RIGHT($E1802:$E3800,2)))),TRUE)</f>
        <v>1</v>
      </c>
      <c r="G1802" s="336"/>
      <c r="H1802" s="336"/>
      <c r="I1802" s="336"/>
      <c r="J1802" s="336"/>
      <c r="K1802" s="336"/>
      <c r="L1802" s="336"/>
      <c r="M1802" s="336"/>
      <c r="N1802" s="336"/>
      <c r="O1802" s="336"/>
      <c r="P1802" s="336"/>
      <c r="Q1802" s="336"/>
      <c r="R1802" s="336"/>
      <c r="S1802" s="336"/>
      <c r="T1802" s="336"/>
    </row>
    <row r="1803" spans="1:20" x14ac:dyDescent="0.25">
      <c r="A1803" s="336"/>
      <c r="B1803" s="336"/>
      <c r="C1803" s="336"/>
      <c r="D1803" s="336"/>
      <c r="E1803" s="336"/>
      <c r="F1803" s="104" t="b">
        <f t="array" ref="F1803">IF(_xlfn.NUMBERVALUE(RIGHT($E1803,2))=MAX(IF(LEFT($E1803:$E3801,11)=LEFT($E1803,11),_xlfn.NUMBERVALUE(RIGHT($E1803:$E3801,2)))),TRUE)</f>
        <v>1</v>
      </c>
      <c r="G1803" s="336"/>
      <c r="H1803" s="336"/>
      <c r="I1803" s="336"/>
      <c r="J1803" s="336"/>
      <c r="K1803" s="336"/>
      <c r="L1803" s="336"/>
      <c r="M1803" s="336"/>
      <c r="N1803" s="336"/>
      <c r="O1803" s="336"/>
      <c r="P1803" s="336"/>
      <c r="Q1803" s="336"/>
      <c r="R1803" s="336"/>
      <c r="S1803" s="336"/>
      <c r="T1803" s="336"/>
    </row>
    <row r="1804" spans="1:20" x14ac:dyDescent="0.25">
      <c r="A1804" s="336"/>
      <c r="B1804" s="336"/>
      <c r="C1804" s="336"/>
      <c r="D1804" s="336"/>
      <c r="E1804" s="336"/>
      <c r="F1804" s="104" t="b">
        <f t="array" ref="F1804">IF(_xlfn.NUMBERVALUE(RIGHT($E1804,2))=MAX(IF(LEFT($E1804:$E3802,11)=LEFT($E1804,11),_xlfn.NUMBERVALUE(RIGHT($E1804:$E3802,2)))),TRUE)</f>
        <v>1</v>
      </c>
      <c r="G1804" s="336"/>
      <c r="H1804" s="336"/>
      <c r="I1804" s="336"/>
      <c r="J1804" s="336"/>
      <c r="K1804" s="336"/>
      <c r="L1804" s="336"/>
      <c r="M1804" s="336"/>
      <c r="N1804" s="336"/>
      <c r="O1804" s="336"/>
      <c r="P1804" s="336"/>
      <c r="Q1804" s="336"/>
      <c r="R1804" s="336"/>
      <c r="S1804" s="336"/>
      <c r="T1804" s="336"/>
    </row>
    <row r="1805" spans="1:20" x14ac:dyDescent="0.25">
      <c r="A1805" s="336"/>
      <c r="B1805" s="336"/>
      <c r="C1805" s="336"/>
      <c r="D1805" s="336"/>
      <c r="E1805" s="336"/>
      <c r="F1805" s="104" t="b">
        <f t="array" ref="F1805">IF(_xlfn.NUMBERVALUE(RIGHT($E1805,2))=MAX(IF(LEFT($E1805:$E3803,11)=LEFT($E1805,11),_xlfn.NUMBERVALUE(RIGHT($E1805:$E3803,2)))),TRUE)</f>
        <v>1</v>
      </c>
      <c r="G1805" s="336"/>
      <c r="H1805" s="336"/>
      <c r="I1805" s="336"/>
      <c r="J1805" s="336"/>
      <c r="K1805" s="336"/>
      <c r="L1805" s="336"/>
      <c r="M1805" s="336"/>
      <c r="N1805" s="336"/>
      <c r="O1805" s="336"/>
      <c r="P1805" s="336"/>
      <c r="Q1805" s="336"/>
      <c r="R1805" s="336"/>
      <c r="S1805" s="336"/>
      <c r="T1805" s="336"/>
    </row>
    <row r="1806" spans="1:20" x14ac:dyDescent="0.25">
      <c r="A1806" s="336"/>
      <c r="B1806" s="336"/>
      <c r="C1806" s="336"/>
      <c r="D1806" s="336"/>
      <c r="E1806" s="336"/>
      <c r="F1806" s="104" t="b">
        <f t="array" ref="F1806">IF(_xlfn.NUMBERVALUE(RIGHT($E1806,2))=MAX(IF(LEFT($E1806:$E3804,11)=LEFT($E1806,11),_xlfn.NUMBERVALUE(RIGHT($E1806:$E3804,2)))),TRUE)</f>
        <v>1</v>
      </c>
      <c r="G1806" s="336"/>
      <c r="H1806" s="336"/>
      <c r="I1806" s="336"/>
      <c r="J1806" s="336"/>
      <c r="K1806" s="336"/>
      <c r="L1806" s="336"/>
      <c r="M1806" s="336"/>
      <c r="N1806" s="336"/>
      <c r="O1806" s="336"/>
      <c r="P1806" s="336"/>
      <c r="Q1806" s="336"/>
      <c r="R1806" s="336"/>
      <c r="S1806" s="336"/>
      <c r="T1806" s="336"/>
    </row>
    <row r="1807" spans="1:20" x14ac:dyDescent="0.25">
      <c r="A1807" s="336"/>
      <c r="B1807" s="336"/>
      <c r="C1807" s="336"/>
      <c r="D1807" s="336"/>
      <c r="E1807" s="336"/>
      <c r="F1807" s="104" t="b">
        <f t="array" ref="F1807">IF(_xlfn.NUMBERVALUE(RIGHT($E1807,2))=MAX(IF(LEFT($E1807:$E3805,11)=LEFT($E1807,11),_xlfn.NUMBERVALUE(RIGHT($E1807:$E3805,2)))),TRUE)</f>
        <v>1</v>
      </c>
      <c r="G1807" s="336"/>
      <c r="H1807" s="336"/>
      <c r="I1807" s="336"/>
      <c r="J1807" s="336"/>
      <c r="K1807" s="336"/>
      <c r="L1807" s="336"/>
      <c r="M1807" s="336"/>
      <c r="N1807" s="336"/>
      <c r="O1807" s="336"/>
      <c r="P1807" s="336"/>
      <c r="Q1807" s="336"/>
      <c r="R1807" s="336"/>
      <c r="S1807" s="336"/>
      <c r="T1807" s="336"/>
    </row>
    <row r="1808" spans="1:20" x14ac:dyDescent="0.25">
      <c r="A1808" s="336"/>
      <c r="B1808" s="336"/>
      <c r="C1808" s="336"/>
      <c r="D1808" s="336"/>
      <c r="E1808" s="336"/>
      <c r="F1808" s="104" t="b">
        <f t="array" ref="F1808">IF(_xlfn.NUMBERVALUE(RIGHT($E1808,2))=MAX(IF(LEFT($E1808:$E3806,11)=LEFT($E1808,11),_xlfn.NUMBERVALUE(RIGHT($E1808:$E3806,2)))),TRUE)</f>
        <v>1</v>
      </c>
      <c r="G1808" s="336"/>
      <c r="H1808" s="336"/>
      <c r="I1808" s="336"/>
      <c r="J1808" s="336"/>
      <c r="K1808" s="336"/>
      <c r="L1808" s="336"/>
      <c r="M1808" s="336"/>
      <c r="N1808" s="336"/>
      <c r="O1808" s="336"/>
      <c r="P1808" s="336"/>
      <c r="Q1808" s="336"/>
      <c r="R1808" s="336"/>
      <c r="S1808" s="336"/>
      <c r="T1808" s="336"/>
    </row>
    <row r="1809" spans="1:20" x14ac:dyDescent="0.25">
      <c r="A1809" s="336"/>
      <c r="B1809" s="336"/>
      <c r="C1809" s="336"/>
      <c r="D1809" s="336"/>
      <c r="E1809" s="336"/>
      <c r="F1809" s="104" t="b">
        <f t="array" ref="F1809">IF(_xlfn.NUMBERVALUE(RIGHT($E1809,2))=MAX(IF(LEFT($E1809:$E3807,11)=LEFT($E1809,11),_xlfn.NUMBERVALUE(RIGHT($E1809:$E3807,2)))),TRUE)</f>
        <v>1</v>
      </c>
      <c r="G1809" s="336"/>
      <c r="H1809" s="336"/>
      <c r="I1809" s="336"/>
      <c r="J1809" s="336"/>
      <c r="K1809" s="336"/>
      <c r="L1809" s="336"/>
      <c r="M1809" s="336"/>
      <c r="N1809" s="336"/>
      <c r="O1809" s="336"/>
      <c r="P1809" s="336"/>
      <c r="Q1809" s="336"/>
      <c r="R1809" s="336"/>
      <c r="S1809" s="336"/>
      <c r="T1809" s="336"/>
    </row>
    <row r="1810" spans="1:20" x14ac:dyDescent="0.25">
      <c r="A1810" s="336"/>
      <c r="B1810" s="336"/>
      <c r="C1810" s="336"/>
      <c r="D1810" s="336"/>
      <c r="E1810" s="336"/>
      <c r="F1810" s="104" t="b">
        <f t="array" ref="F1810">IF(_xlfn.NUMBERVALUE(RIGHT($E1810,2))=MAX(IF(LEFT($E1810:$E3808,11)=LEFT($E1810,11),_xlfn.NUMBERVALUE(RIGHT($E1810:$E3808,2)))),TRUE)</f>
        <v>1</v>
      </c>
      <c r="G1810" s="336"/>
      <c r="H1810" s="336"/>
      <c r="I1810" s="336"/>
      <c r="J1810" s="336"/>
      <c r="K1810" s="336"/>
      <c r="L1810" s="336"/>
      <c r="M1810" s="336"/>
      <c r="N1810" s="336"/>
      <c r="O1810" s="336"/>
      <c r="P1810" s="336"/>
      <c r="Q1810" s="336"/>
      <c r="R1810" s="336"/>
      <c r="S1810" s="336"/>
      <c r="T1810" s="336"/>
    </row>
    <row r="1811" spans="1:20" x14ac:dyDescent="0.25">
      <c r="A1811" s="336"/>
      <c r="B1811" s="336"/>
      <c r="C1811" s="336"/>
      <c r="D1811" s="336"/>
      <c r="E1811" s="336"/>
      <c r="F1811" s="104" t="b">
        <f t="array" ref="F1811">IF(_xlfn.NUMBERVALUE(RIGHT($E1811,2))=MAX(IF(LEFT($E1811:$E3809,11)=LEFT($E1811,11),_xlfn.NUMBERVALUE(RIGHT($E1811:$E3809,2)))),TRUE)</f>
        <v>1</v>
      </c>
      <c r="G1811" s="336"/>
      <c r="H1811" s="336"/>
      <c r="I1811" s="336"/>
      <c r="J1811" s="336"/>
      <c r="K1811" s="336"/>
      <c r="L1811" s="336"/>
      <c r="M1811" s="336"/>
      <c r="N1811" s="336"/>
      <c r="O1811" s="336"/>
      <c r="P1811" s="336"/>
      <c r="Q1811" s="336"/>
      <c r="R1811" s="336"/>
      <c r="S1811" s="336"/>
      <c r="T1811" s="336"/>
    </row>
    <row r="1812" spans="1:20" x14ac:dyDescent="0.25">
      <c r="A1812" s="336"/>
      <c r="B1812" s="336"/>
      <c r="C1812" s="336"/>
      <c r="D1812" s="336"/>
      <c r="E1812" s="336"/>
      <c r="F1812" s="104" t="b">
        <f t="array" ref="F1812">IF(_xlfn.NUMBERVALUE(RIGHT($E1812,2))=MAX(IF(LEFT($E1812:$E3810,11)=LEFT($E1812,11),_xlfn.NUMBERVALUE(RIGHT($E1812:$E3810,2)))),TRUE)</f>
        <v>1</v>
      </c>
      <c r="G1812" s="336"/>
      <c r="H1812" s="336"/>
      <c r="I1812" s="336"/>
      <c r="J1812" s="336"/>
      <c r="K1812" s="336"/>
      <c r="L1812" s="336"/>
      <c r="M1812" s="336"/>
      <c r="N1812" s="336"/>
      <c r="O1812" s="336"/>
      <c r="P1812" s="336"/>
      <c r="Q1812" s="336"/>
      <c r="R1812" s="336"/>
      <c r="S1812" s="336"/>
      <c r="T1812" s="336"/>
    </row>
    <row r="1813" spans="1:20" x14ac:dyDescent="0.25">
      <c r="A1813" s="336"/>
      <c r="B1813" s="336"/>
      <c r="C1813" s="336"/>
      <c r="D1813" s="336"/>
      <c r="E1813" s="336"/>
      <c r="F1813" s="104" t="b">
        <f t="array" ref="F1813">IF(_xlfn.NUMBERVALUE(RIGHT($E1813,2))=MAX(IF(LEFT($E1813:$E3811,11)=LEFT($E1813,11),_xlfn.NUMBERVALUE(RIGHT($E1813:$E3811,2)))),TRUE)</f>
        <v>1</v>
      </c>
      <c r="G1813" s="336"/>
      <c r="H1813" s="336"/>
      <c r="I1813" s="336"/>
      <c r="J1813" s="336"/>
      <c r="K1813" s="336"/>
      <c r="L1813" s="336"/>
      <c r="M1813" s="336"/>
      <c r="N1813" s="336"/>
      <c r="O1813" s="336"/>
      <c r="P1813" s="336"/>
      <c r="Q1813" s="336"/>
      <c r="R1813" s="336"/>
      <c r="S1813" s="336"/>
      <c r="T1813" s="336"/>
    </row>
    <row r="1814" spans="1:20" x14ac:dyDescent="0.25">
      <c r="A1814" s="336"/>
      <c r="B1814" s="336"/>
      <c r="C1814" s="336"/>
      <c r="D1814" s="336"/>
      <c r="E1814" s="336"/>
      <c r="F1814" s="104" t="b">
        <f t="array" ref="F1814">IF(_xlfn.NUMBERVALUE(RIGHT($E1814,2))=MAX(IF(LEFT($E1814:$E3812,11)=LEFT($E1814,11),_xlfn.NUMBERVALUE(RIGHT($E1814:$E3812,2)))),TRUE)</f>
        <v>1</v>
      </c>
      <c r="G1814" s="336"/>
      <c r="H1814" s="336"/>
      <c r="I1814" s="336"/>
      <c r="J1814" s="336"/>
      <c r="K1814" s="336"/>
      <c r="L1814" s="336"/>
      <c r="M1814" s="336"/>
      <c r="N1814" s="336"/>
      <c r="O1814" s="336"/>
      <c r="P1814" s="336"/>
      <c r="Q1814" s="336"/>
      <c r="R1814" s="336"/>
      <c r="S1814" s="336"/>
      <c r="T1814" s="336"/>
    </row>
    <row r="1815" spans="1:20" x14ac:dyDescent="0.25">
      <c r="A1815" s="336"/>
      <c r="B1815" s="336"/>
      <c r="C1815" s="336"/>
      <c r="D1815" s="336"/>
      <c r="E1815" s="336"/>
      <c r="F1815" s="104" t="b">
        <f t="array" ref="F1815">IF(_xlfn.NUMBERVALUE(RIGHT($E1815,2))=MAX(IF(LEFT($E1815:$E3813,11)=LEFT($E1815,11),_xlfn.NUMBERVALUE(RIGHT($E1815:$E3813,2)))),TRUE)</f>
        <v>1</v>
      </c>
      <c r="G1815" s="336"/>
      <c r="H1815" s="336"/>
      <c r="I1815" s="336"/>
      <c r="J1815" s="336"/>
      <c r="K1815" s="336"/>
      <c r="L1815" s="336"/>
      <c r="M1815" s="336"/>
      <c r="N1815" s="336"/>
      <c r="O1815" s="336"/>
      <c r="P1815" s="336"/>
      <c r="Q1815" s="336"/>
      <c r="R1815" s="336"/>
      <c r="S1815" s="336"/>
      <c r="T1815" s="336"/>
    </row>
    <row r="1816" spans="1:20" x14ac:dyDescent="0.25">
      <c r="A1816" s="336"/>
      <c r="B1816" s="336"/>
      <c r="C1816" s="336"/>
      <c r="D1816" s="336"/>
      <c r="E1816" s="336"/>
      <c r="F1816" s="104" t="b">
        <f t="array" ref="F1816">IF(_xlfn.NUMBERVALUE(RIGHT($E1816,2))=MAX(IF(LEFT($E1816:$E3814,11)=LEFT($E1816,11),_xlfn.NUMBERVALUE(RIGHT($E1816:$E3814,2)))),TRUE)</f>
        <v>1</v>
      </c>
      <c r="G1816" s="336"/>
      <c r="H1816" s="336"/>
      <c r="I1816" s="336"/>
      <c r="J1816" s="336"/>
      <c r="K1816" s="336"/>
      <c r="L1816" s="336"/>
      <c r="M1816" s="336"/>
      <c r="N1816" s="336"/>
      <c r="O1816" s="336"/>
      <c r="P1816" s="336"/>
      <c r="Q1816" s="336"/>
      <c r="R1816" s="336"/>
      <c r="S1816" s="336"/>
      <c r="T1816" s="336"/>
    </row>
    <row r="1817" spans="1:20" x14ac:dyDescent="0.25">
      <c r="A1817" s="336"/>
      <c r="B1817" s="336"/>
      <c r="C1817" s="336"/>
      <c r="D1817" s="336"/>
      <c r="E1817" s="336"/>
      <c r="F1817" s="104" t="b">
        <f t="array" ref="F1817">IF(_xlfn.NUMBERVALUE(RIGHT($E1817,2))=MAX(IF(LEFT($E1817:$E3815,11)=LEFT($E1817,11),_xlfn.NUMBERVALUE(RIGHT($E1817:$E3815,2)))),TRUE)</f>
        <v>1</v>
      </c>
      <c r="G1817" s="336"/>
      <c r="H1817" s="336"/>
      <c r="I1817" s="336"/>
      <c r="J1817" s="336"/>
      <c r="K1817" s="336"/>
      <c r="L1817" s="336"/>
      <c r="M1817" s="336"/>
      <c r="N1817" s="336"/>
      <c r="O1817" s="336"/>
      <c r="P1817" s="336"/>
      <c r="Q1817" s="336"/>
      <c r="R1817" s="336"/>
      <c r="S1817" s="336"/>
      <c r="T1817" s="336"/>
    </row>
    <row r="1818" spans="1:20" x14ac:dyDescent="0.25">
      <c r="A1818" s="336"/>
      <c r="B1818" s="336"/>
      <c r="C1818" s="336"/>
      <c r="D1818" s="336"/>
      <c r="E1818" s="336"/>
      <c r="F1818" s="104" t="b">
        <f t="array" ref="F1818">IF(_xlfn.NUMBERVALUE(RIGHT($E1818,2))=MAX(IF(LEFT($E1818:$E3816,11)=LEFT($E1818,11),_xlfn.NUMBERVALUE(RIGHT($E1818:$E3816,2)))),TRUE)</f>
        <v>1</v>
      </c>
      <c r="G1818" s="336"/>
      <c r="H1818" s="336"/>
      <c r="I1818" s="336"/>
      <c r="J1818" s="336"/>
      <c r="K1818" s="336"/>
      <c r="L1818" s="336"/>
      <c r="M1818" s="336"/>
      <c r="N1818" s="336"/>
      <c r="O1818" s="336"/>
      <c r="P1818" s="336"/>
      <c r="Q1818" s="336"/>
      <c r="R1818" s="336"/>
      <c r="S1818" s="336"/>
      <c r="T1818" s="336"/>
    </row>
    <row r="1819" spans="1:20" x14ac:dyDescent="0.25">
      <c r="A1819" s="336"/>
      <c r="B1819" s="336"/>
      <c r="C1819" s="336"/>
      <c r="D1819" s="336"/>
      <c r="E1819" s="336"/>
      <c r="F1819" s="104" t="b">
        <f t="array" ref="F1819">IF(_xlfn.NUMBERVALUE(RIGHT($E1819,2))=MAX(IF(LEFT($E1819:$E3817,11)=LEFT($E1819,11),_xlfn.NUMBERVALUE(RIGHT($E1819:$E3817,2)))),TRUE)</f>
        <v>1</v>
      </c>
      <c r="G1819" s="336"/>
      <c r="H1819" s="336"/>
      <c r="I1819" s="336"/>
      <c r="J1819" s="336"/>
      <c r="K1819" s="336"/>
      <c r="L1819" s="336"/>
      <c r="M1819" s="336"/>
      <c r="N1819" s="336"/>
      <c r="O1819" s="336"/>
      <c r="P1819" s="336"/>
      <c r="Q1819" s="336"/>
      <c r="R1819" s="336"/>
      <c r="S1819" s="336"/>
      <c r="T1819" s="336"/>
    </row>
    <row r="1820" spans="1:20" x14ac:dyDescent="0.25">
      <c r="A1820" s="336"/>
      <c r="B1820" s="336"/>
      <c r="C1820" s="336"/>
      <c r="D1820" s="336"/>
      <c r="E1820" s="336"/>
      <c r="F1820" s="104" t="b">
        <f t="array" ref="F1820">IF(_xlfn.NUMBERVALUE(RIGHT($E1820,2))=MAX(IF(LEFT($E1820:$E3818,11)=LEFT($E1820,11),_xlfn.NUMBERVALUE(RIGHT($E1820:$E3818,2)))),TRUE)</f>
        <v>1</v>
      </c>
      <c r="G1820" s="336"/>
      <c r="H1820" s="336"/>
      <c r="I1820" s="336"/>
      <c r="J1820" s="336"/>
      <c r="K1820" s="336"/>
      <c r="L1820" s="336"/>
      <c r="M1820" s="336"/>
      <c r="N1820" s="336"/>
      <c r="O1820" s="336"/>
      <c r="P1820" s="336"/>
      <c r="Q1820" s="336"/>
      <c r="R1820" s="336"/>
      <c r="S1820" s="336"/>
      <c r="T1820" s="336"/>
    </row>
    <row r="1821" spans="1:20" x14ac:dyDescent="0.25">
      <c r="A1821" s="336"/>
      <c r="B1821" s="336"/>
      <c r="C1821" s="336"/>
      <c r="D1821" s="336"/>
      <c r="E1821" s="336"/>
      <c r="F1821" s="104" t="b">
        <f t="array" ref="F1821">IF(_xlfn.NUMBERVALUE(RIGHT($E1821,2))=MAX(IF(LEFT($E1821:$E3819,11)=LEFT($E1821,11),_xlfn.NUMBERVALUE(RIGHT($E1821:$E3819,2)))),TRUE)</f>
        <v>1</v>
      </c>
      <c r="G1821" s="336"/>
      <c r="H1821" s="336"/>
      <c r="I1821" s="336"/>
      <c r="J1821" s="336"/>
      <c r="K1821" s="336"/>
      <c r="L1821" s="336"/>
      <c r="M1821" s="336"/>
      <c r="N1821" s="336"/>
      <c r="O1821" s="336"/>
      <c r="P1821" s="336"/>
      <c r="Q1821" s="336"/>
      <c r="R1821" s="336"/>
      <c r="S1821" s="336"/>
      <c r="T1821" s="336"/>
    </row>
    <row r="1822" spans="1:20" x14ac:dyDescent="0.25">
      <c r="A1822" s="336"/>
      <c r="B1822" s="336"/>
      <c r="C1822" s="336"/>
      <c r="D1822" s="336"/>
      <c r="E1822" s="336"/>
      <c r="F1822" s="104" t="b">
        <f t="array" ref="F1822">IF(_xlfn.NUMBERVALUE(RIGHT($E1822,2))=MAX(IF(LEFT($E1822:$E3820,11)=LEFT($E1822,11),_xlfn.NUMBERVALUE(RIGHT($E1822:$E3820,2)))),TRUE)</f>
        <v>1</v>
      </c>
      <c r="G1822" s="336"/>
      <c r="H1822" s="336"/>
      <c r="I1822" s="336"/>
      <c r="J1822" s="336"/>
      <c r="K1822" s="336"/>
      <c r="L1822" s="336"/>
      <c r="M1822" s="336"/>
      <c r="N1822" s="336"/>
      <c r="O1822" s="336"/>
      <c r="P1822" s="336"/>
      <c r="Q1822" s="336"/>
      <c r="R1822" s="336"/>
      <c r="S1822" s="336"/>
      <c r="T1822" s="336"/>
    </row>
    <row r="1823" spans="1:20" x14ac:dyDescent="0.25">
      <c r="A1823" s="336"/>
      <c r="B1823" s="336"/>
      <c r="C1823" s="336"/>
      <c r="D1823" s="336"/>
      <c r="E1823" s="336"/>
      <c r="F1823" s="104" t="b">
        <f t="array" ref="F1823">IF(_xlfn.NUMBERVALUE(RIGHT($E1823,2))=MAX(IF(LEFT($E1823:$E3821,11)=LEFT($E1823,11),_xlfn.NUMBERVALUE(RIGHT($E1823:$E3821,2)))),TRUE)</f>
        <v>1</v>
      </c>
      <c r="G1823" s="336"/>
      <c r="H1823" s="336"/>
      <c r="I1823" s="336"/>
      <c r="J1823" s="336"/>
      <c r="K1823" s="336"/>
      <c r="L1823" s="336"/>
      <c r="M1823" s="336"/>
      <c r="N1823" s="336"/>
      <c r="O1823" s="336"/>
      <c r="P1823" s="336"/>
      <c r="Q1823" s="336"/>
      <c r="R1823" s="336"/>
      <c r="S1823" s="336"/>
      <c r="T1823" s="336"/>
    </row>
    <row r="1824" spans="1:20" x14ac:dyDescent="0.25">
      <c r="A1824" s="336"/>
      <c r="B1824" s="336"/>
      <c r="C1824" s="336"/>
      <c r="D1824" s="336"/>
      <c r="E1824" s="336"/>
      <c r="F1824" s="104" t="b">
        <f t="array" ref="F1824">IF(_xlfn.NUMBERVALUE(RIGHT($E1824,2))=MAX(IF(LEFT($E1824:$E3822,11)=LEFT($E1824,11),_xlfn.NUMBERVALUE(RIGHT($E1824:$E3822,2)))),TRUE)</f>
        <v>1</v>
      </c>
      <c r="G1824" s="336"/>
      <c r="H1824" s="336"/>
      <c r="I1824" s="336"/>
      <c r="J1824" s="336"/>
      <c r="K1824" s="336"/>
      <c r="L1824" s="336"/>
      <c r="M1824" s="336"/>
      <c r="N1824" s="336"/>
      <c r="O1824" s="336"/>
      <c r="P1824" s="336"/>
      <c r="Q1824" s="336"/>
      <c r="R1824" s="336"/>
      <c r="S1824" s="336"/>
      <c r="T1824" s="336"/>
    </row>
    <row r="1825" spans="1:20" x14ac:dyDescent="0.25">
      <c r="A1825" s="336"/>
      <c r="B1825" s="336"/>
      <c r="C1825" s="336"/>
      <c r="D1825" s="336"/>
      <c r="E1825" s="336"/>
      <c r="F1825" s="104" t="b">
        <f t="array" ref="F1825">IF(_xlfn.NUMBERVALUE(RIGHT($E1825,2))=MAX(IF(LEFT($E1825:$E3823,11)=LEFT($E1825,11),_xlfn.NUMBERVALUE(RIGHT($E1825:$E3823,2)))),TRUE)</f>
        <v>1</v>
      </c>
      <c r="G1825" s="336"/>
      <c r="H1825" s="336"/>
      <c r="I1825" s="336"/>
      <c r="J1825" s="336"/>
      <c r="K1825" s="336"/>
      <c r="L1825" s="336"/>
      <c r="M1825" s="336"/>
      <c r="N1825" s="336"/>
      <c r="O1825" s="336"/>
      <c r="P1825" s="336"/>
      <c r="Q1825" s="336"/>
      <c r="R1825" s="336"/>
      <c r="S1825" s="336"/>
      <c r="T1825" s="336"/>
    </row>
    <row r="1826" spans="1:20" x14ac:dyDescent="0.25">
      <c r="A1826" s="336"/>
      <c r="B1826" s="336"/>
      <c r="C1826" s="336"/>
      <c r="D1826" s="336"/>
      <c r="E1826" s="336"/>
      <c r="F1826" s="104" t="b">
        <f t="array" ref="F1826">IF(_xlfn.NUMBERVALUE(RIGHT($E1826,2))=MAX(IF(LEFT($E1826:$E3824,11)=LEFT($E1826,11),_xlfn.NUMBERVALUE(RIGHT($E1826:$E3824,2)))),TRUE)</f>
        <v>1</v>
      </c>
      <c r="G1826" s="336"/>
      <c r="H1826" s="336"/>
      <c r="I1826" s="336"/>
      <c r="J1826" s="336"/>
      <c r="K1826" s="336"/>
      <c r="L1826" s="336"/>
      <c r="M1826" s="336"/>
      <c r="N1826" s="336"/>
      <c r="O1826" s="336"/>
      <c r="P1826" s="336"/>
      <c r="Q1826" s="336"/>
      <c r="R1826" s="336"/>
      <c r="S1826" s="336"/>
      <c r="T1826" s="336"/>
    </row>
    <row r="1827" spans="1:20" x14ac:dyDescent="0.25">
      <c r="A1827" s="336"/>
      <c r="B1827" s="336"/>
      <c r="C1827" s="336"/>
      <c r="D1827" s="336"/>
      <c r="E1827" s="336"/>
      <c r="F1827" s="104" t="b">
        <f t="array" ref="F1827">IF(_xlfn.NUMBERVALUE(RIGHT($E1827,2))=MAX(IF(LEFT($E1827:$E3825,11)=LEFT($E1827,11),_xlfn.NUMBERVALUE(RIGHT($E1827:$E3825,2)))),TRUE)</f>
        <v>1</v>
      </c>
      <c r="G1827" s="336"/>
      <c r="H1827" s="336"/>
      <c r="I1827" s="336"/>
      <c r="J1827" s="336"/>
      <c r="K1827" s="336"/>
      <c r="L1827" s="336"/>
      <c r="M1827" s="336"/>
      <c r="N1827" s="336"/>
      <c r="O1827" s="336"/>
      <c r="P1827" s="336"/>
      <c r="Q1827" s="336"/>
      <c r="R1827" s="336"/>
      <c r="S1827" s="336"/>
      <c r="T1827" s="336"/>
    </row>
    <row r="1828" spans="1:20" x14ac:dyDescent="0.25">
      <c r="A1828" s="336"/>
      <c r="B1828" s="336"/>
      <c r="C1828" s="336"/>
      <c r="D1828" s="336"/>
      <c r="E1828" s="336"/>
      <c r="F1828" s="104" t="b">
        <f t="array" ref="F1828">IF(_xlfn.NUMBERVALUE(RIGHT($E1828,2))=MAX(IF(LEFT($E1828:$E3826,11)=LEFT($E1828,11),_xlfn.NUMBERVALUE(RIGHT($E1828:$E3826,2)))),TRUE)</f>
        <v>1</v>
      </c>
      <c r="G1828" s="336"/>
      <c r="H1828" s="336"/>
      <c r="I1828" s="336"/>
      <c r="J1828" s="336"/>
      <c r="K1828" s="336"/>
      <c r="L1828" s="336"/>
      <c r="M1828" s="336"/>
      <c r="N1828" s="336"/>
      <c r="O1828" s="336"/>
      <c r="P1828" s="336"/>
      <c r="Q1828" s="336"/>
      <c r="R1828" s="336"/>
      <c r="S1828" s="336"/>
      <c r="T1828" s="336"/>
    </row>
    <row r="1829" spans="1:20" x14ac:dyDescent="0.25">
      <c r="A1829" s="336"/>
      <c r="B1829" s="336"/>
      <c r="C1829" s="336"/>
      <c r="D1829" s="336"/>
      <c r="E1829" s="336"/>
      <c r="F1829" s="104" t="b">
        <f t="array" ref="F1829">IF(_xlfn.NUMBERVALUE(RIGHT($E1829,2))=MAX(IF(LEFT($E1829:$E3827,11)=LEFT($E1829,11),_xlfn.NUMBERVALUE(RIGHT($E1829:$E3827,2)))),TRUE)</f>
        <v>1</v>
      </c>
      <c r="G1829" s="336"/>
      <c r="H1829" s="336"/>
      <c r="I1829" s="336"/>
      <c r="J1829" s="336"/>
      <c r="K1829" s="336"/>
      <c r="L1829" s="336"/>
      <c r="M1829" s="336"/>
      <c r="N1829" s="336"/>
      <c r="O1829" s="336"/>
      <c r="P1829" s="336"/>
      <c r="Q1829" s="336"/>
      <c r="R1829" s="336"/>
      <c r="S1829" s="336"/>
      <c r="T1829" s="336"/>
    </row>
    <row r="1830" spans="1:20" x14ac:dyDescent="0.25">
      <c r="A1830" s="336"/>
      <c r="B1830" s="336"/>
      <c r="C1830" s="336"/>
      <c r="D1830" s="336"/>
      <c r="E1830" s="336"/>
      <c r="F1830" s="104" t="b">
        <f t="array" ref="F1830">IF(_xlfn.NUMBERVALUE(RIGHT($E1830,2))=MAX(IF(LEFT($E1830:$E3828,11)=LEFT($E1830,11),_xlfn.NUMBERVALUE(RIGHT($E1830:$E3828,2)))),TRUE)</f>
        <v>1</v>
      </c>
      <c r="G1830" s="336"/>
      <c r="H1830" s="336"/>
      <c r="I1830" s="336"/>
      <c r="J1830" s="336"/>
      <c r="K1830" s="336"/>
      <c r="L1830" s="336"/>
      <c r="M1830" s="336"/>
      <c r="N1830" s="336"/>
      <c r="O1830" s="336"/>
      <c r="P1830" s="336"/>
      <c r="Q1830" s="336"/>
      <c r="R1830" s="336"/>
      <c r="S1830" s="336"/>
      <c r="T1830" s="336"/>
    </row>
    <row r="1831" spans="1:20" x14ac:dyDescent="0.25">
      <c r="A1831" s="336"/>
      <c r="B1831" s="336"/>
      <c r="C1831" s="336"/>
      <c r="D1831" s="336"/>
      <c r="E1831" s="336"/>
      <c r="F1831" s="104" t="b">
        <f t="array" ref="F1831">IF(_xlfn.NUMBERVALUE(RIGHT($E1831,2))=MAX(IF(LEFT($E1831:$E3829,11)=LEFT($E1831,11),_xlfn.NUMBERVALUE(RIGHT($E1831:$E3829,2)))),TRUE)</f>
        <v>1</v>
      </c>
      <c r="G1831" s="336"/>
      <c r="H1831" s="336"/>
      <c r="I1831" s="336"/>
      <c r="J1831" s="336"/>
      <c r="K1831" s="336"/>
      <c r="L1831" s="336"/>
      <c r="M1831" s="336"/>
      <c r="N1831" s="336"/>
      <c r="O1831" s="336"/>
      <c r="P1831" s="336"/>
      <c r="Q1831" s="336"/>
      <c r="R1831" s="336"/>
      <c r="S1831" s="336"/>
      <c r="T1831" s="336"/>
    </row>
    <row r="1832" spans="1:20" x14ac:dyDescent="0.25">
      <c r="A1832" s="336"/>
      <c r="B1832" s="336"/>
      <c r="C1832" s="336"/>
      <c r="D1832" s="336"/>
      <c r="E1832" s="336"/>
      <c r="F1832" s="104" t="b">
        <f t="array" ref="F1832">IF(_xlfn.NUMBERVALUE(RIGHT($E1832,2))=MAX(IF(LEFT($E1832:$E3830,11)=LEFT($E1832,11),_xlfn.NUMBERVALUE(RIGHT($E1832:$E3830,2)))),TRUE)</f>
        <v>1</v>
      </c>
      <c r="G1832" s="336"/>
      <c r="H1832" s="336"/>
      <c r="I1832" s="336"/>
      <c r="J1832" s="336"/>
      <c r="K1832" s="336"/>
      <c r="L1832" s="336"/>
      <c r="M1832" s="336"/>
      <c r="N1832" s="336"/>
      <c r="O1832" s="336"/>
      <c r="P1832" s="336"/>
      <c r="Q1832" s="336"/>
      <c r="R1832" s="336"/>
      <c r="S1832" s="336"/>
      <c r="T1832" s="336"/>
    </row>
    <row r="1833" spans="1:20" x14ac:dyDescent="0.25">
      <c r="A1833" s="336"/>
      <c r="B1833" s="336"/>
      <c r="C1833" s="336"/>
      <c r="D1833" s="336"/>
      <c r="E1833" s="336"/>
      <c r="F1833" s="104" t="b">
        <f t="array" ref="F1833">IF(_xlfn.NUMBERVALUE(RIGHT($E1833,2))=MAX(IF(LEFT($E1833:$E3831,11)=LEFT($E1833,11),_xlfn.NUMBERVALUE(RIGHT($E1833:$E3831,2)))),TRUE)</f>
        <v>1</v>
      </c>
      <c r="G1833" s="336"/>
      <c r="H1833" s="336"/>
      <c r="I1833" s="336"/>
      <c r="J1833" s="336"/>
      <c r="K1833" s="336"/>
      <c r="L1833" s="336"/>
      <c r="M1833" s="336"/>
      <c r="N1833" s="336"/>
      <c r="O1833" s="336"/>
      <c r="P1833" s="336"/>
      <c r="Q1833" s="336"/>
      <c r="R1833" s="336"/>
      <c r="S1833" s="336"/>
      <c r="T1833" s="336"/>
    </row>
    <row r="1834" spans="1:20" x14ac:dyDescent="0.25">
      <c r="A1834" s="336"/>
      <c r="B1834" s="336"/>
      <c r="C1834" s="336"/>
      <c r="D1834" s="336"/>
      <c r="E1834" s="336"/>
      <c r="F1834" s="104" t="b">
        <f t="array" ref="F1834">IF(_xlfn.NUMBERVALUE(RIGHT($E1834,2))=MAX(IF(LEFT($E1834:$E3832,11)=LEFT($E1834,11),_xlfn.NUMBERVALUE(RIGHT($E1834:$E3832,2)))),TRUE)</f>
        <v>1</v>
      </c>
      <c r="G1834" s="336"/>
      <c r="H1834" s="336"/>
      <c r="I1834" s="336"/>
      <c r="J1834" s="336"/>
      <c r="K1834" s="336"/>
      <c r="L1834" s="336"/>
      <c r="M1834" s="336"/>
      <c r="N1834" s="336"/>
      <c r="O1834" s="336"/>
      <c r="P1834" s="336"/>
      <c r="Q1834" s="336"/>
      <c r="R1834" s="336"/>
      <c r="S1834" s="336"/>
      <c r="T1834" s="336"/>
    </row>
    <row r="1835" spans="1:20" x14ac:dyDescent="0.25">
      <c r="A1835" s="336"/>
      <c r="B1835" s="336"/>
      <c r="C1835" s="336"/>
      <c r="D1835" s="336"/>
      <c r="E1835" s="336"/>
      <c r="F1835" s="104" t="b">
        <f t="array" ref="F1835">IF(_xlfn.NUMBERVALUE(RIGHT($E1835,2))=MAX(IF(LEFT($E1835:$E3833,11)=LEFT($E1835,11),_xlfn.NUMBERVALUE(RIGHT($E1835:$E3833,2)))),TRUE)</f>
        <v>1</v>
      </c>
      <c r="G1835" s="336"/>
      <c r="H1835" s="336"/>
      <c r="I1835" s="336"/>
      <c r="J1835" s="336"/>
      <c r="K1835" s="336"/>
      <c r="L1835" s="336"/>
      <c r="M1835" s="336"/>
      <c r="N1835" s="336"/>
      <c r="O1835" s="336"/>
      <c r="P1835" s="336"/>
      <c r="Q1835" s="336"/>
      <c r="R1835" s="336"/>
      <c r="S1835" s="336"/>
      <c r="T1835" s="336"/>
    </row>
    <row r="1836" spans="1:20" x14ac:dyDescent="0.25">
      <c r="A1836" s="336"/>
      <c r="B1836" s="336"/>
      <c r="C1836" s="336"/>
      <c r="D1836" s="336"/>
      <c r="E1836" s="336"/>
      <c r="F1836" s="104" t="b">
        <f t="array" ref="F1836">IF(_xlfn.NUMBERVALUE(RIGHT($E1836,2))=MAX(IF(LEFT($E1836:$E3834,11)=LEFT($E1836,11),_xlfn.NUMBERVALUE(RIGHT($E1836:$E3834,2)))),TRUE)</f>
        <v>1</v>
      </c>
      <c r="G1836" s="336"/>
      <c r="H1836" s="336"/>
      <c r="I1836" s="336"/>
      <c r="J1836" s="336"/>
      <c r="K1836" s="336"/>
      <c r="L1836" s="336"/>
      <c r="M1836" s="336"/>
      <c r="N1836" s="336"/>
      <c r="O1836" s="336"/>
      <c r="P1836" s="336"/>
      <c r="Q1836" s="336"/>
      <c r="R1836" s="336"/>
      <c r="S1836" s="336"/>
      <c r="T1836" s="336"/>
    </row>
    <row r="1837" spans="1:20" x14ac:dyDescent="0.25">
      <c r="A1837" s="336"/>
      <c r="B1837" s="336"/>
      <c r="C1837" s="336"/>
      <c r="D1837" s="336"/>
      <c r="E1837" s="336"/>
      <c r="F1837" s="104" t="b">
        <f t="array" ref="F1837">IF(_xlfn.NUMBERVALUE(RIGHT($E1837,2))=MAX(IF(LEFT($E1837:$E3835,11)=LEFT($E1837,11),_xlfn.NUMBERVALUE(RIGHT($E1837:$E3835,2)))),TRUE)</f>
        <v>1</v>
      </c>
      <c r="G1837" s="336"/>
      <c r="H1837" s="336"/>
      <c r="I1837" s="336"/>
      <c r="J1837" s="336"/>
      <c r="K1837" s="336"/>
      <c r="L1837" s="336"/>
      <c r="M1837" s="336"/>
      <c r="N1837" s="336"/>
      <c r="O1837" s="336"/>
      <c r="P1837" s="336"/>
      <c r="Q1837" s="336"/>
      <c r="R1837" s="336"/>
      <c r="S1837" s="336"/>
      <c r="T1837" s="336"/>
    </row>
    <row r="1838" spans="1:20" x14ac:dyDescent="0.25">
      <c r="A1838" s="336"/>
      <c r="B1838" s="336"/>
      <c r="C1838" s="336"/>
      <c r="D1838" s="336"/>
      <c r="E1838" s="336"/>
      <c r="F1838" s="104" t="b">
        <f t="array" ref="F1838">IF(_xlfn.NUMBERVALUE(RIGHT($E1838,2))=MAX(IF(LEFT($E1838:$E3836,11)=LEFT($E1838,11),_xlfn.NUMBERVALUE(RIGHT($E1838:$E3836,2)))),TRUE)</f>
        <v>1</v>
      </c>
      <c r="G1838" s="336"/>
      <c r="H1838" s="336"/>
      <c r="I1838" s="336"/>
      <c r="J1838" s="336"/>
      <c r="K1838" s="336"/>
      <c r="L1838" s="336"/>
      <c r="M1838" s="336"/>
      <c r="N1838" s="336"/>
      <c r="O1838" s="336"/>
      <c r="P1838" s="336"/>
      <c r="Q1838" s="336"/>
      <c r="R1838" s="336"/>
      <c r="S1838" s="336"/>
      <c r="T1838" s="336"/>
    </row>
    <row r="1839" spans="1:20" x14ac:dyDescent="0.25">
      <c r="A1839" s="336"/>
      <c r="B1839" s="336"/>
      <c r="C1839" s="336"/>
      <c r="D1839" s="336"/>
      <c r="E1839" s="336"/>
      <c r="F1839" s="104" t="b">
        <f t="array" ref="F1839">IF(_xlfn.NUMBERVALUE(RIGHT($E1839,2))=MAX(IF(LEFT($E1839:$E3837,11)=LEFT($E1839,11),_xlfn.NUMBERVALUE(RIGHT($E1839:$E3837,2)))),TRUE)</f>
        <v>1</v>
      </c>
      <c r="G1839" s="336"/>
      <c r="H1839" s="336"/>
      <c r="I1839" s="336"/>
      <c r="J1839" s="336"/>
      <c r="K1839" s="336"/>
      <c r="L1839" s="336"/>
      <c r="M1839" s="336"/>
      <c r="N1839" s="336"/>
      <c r="O1839" s="336"/>
      <c r="P1839" s="336"/>
      <c r="Q1839" s="336"/>
      <c r="R1839" s="336"/>
      <c r="S1839" s="336"/>
      <c r="T1839" s="336"/>
    </row>
    <row r="1840" spans="1:20" x14ac:dyDescent="0.25">
      <c r="A1840" s="336"/>
      <c r="B1840" s="336"/>
      <c r="C1840" s="336"/>
      <c r="D1840" s="336"/>
      <c r="E1840" s="336"/>
      <c r="F1840" s="104" t="b">
        <f t="array" ref="F1840">IF(_xlfn.NUMBERVALUE(RIGHT($E1840,2))=MAX(IF(LEFT($E1840:$E3838,11)=LEFT($E1840,11),_xlfn.NUMBERVALUE(RIGHT($E1840:$E3838,2)))),TRUE)</f>
        <v>1</v>
      </c>
      <c r="G1840" s="336"/>
      <c r="H1840" s="336"/>
      <c r="I1840" s="336"/>
      <c r="J1840" s="336"/>
      <c r="K1840" s="336"/>
      <c r="L1840" s="336"/>
      <c r="M1840" s="336"/>
      <c r="N1840" s="336"/>
      <c r="O1840" s="336"/>
      <c r="P1840" s="336"/>
      <c r="Q1840" s="336"/>
      <c r="R1840" s="336"/>
      <c r="S1840" s="336"/>
      <c r="T1840" s="336"/>
    </row>
    <row r="1841" spans="1:20" x14ac:dyDescent="0.25">
      <c r="A1841" s="336"/>
      <c r="B1841" s="336"/>
      <c r="C1841" s="336"/>
      <c r="D1841" s="336"/>
      <c r="E1841" s="336"/>
      <c r="F1841" s="104" t="b">
        <f t="array" ref="F1841">IF(_xlfn.NUMBERVALUE(RIGHT($E1841,2))=MAX(IF(LEFT($E1841:$E3839,11)=LEFT($E1841,11),_xlfn.NUMBERVALUE(RIGHT($E1841:$E3839,2)))),TRUE)</f>
        <v>1</v>
      </c>
      <c r="G1841" s="336"/>
      <c r="H1841" s="336"/>
      <c r="I1841" s="336"/>
      <c r="J1841" s="336"/>
      <c r="K1841" s="336"/>
      <c r="L1841" s="336"/>
      <c r="M1841" s="336"/>
      <c r="N1841" s="336"/>
      <c r="O1841" s="336"/>
      <c r="P1841" s="336"/>
      <c r="Q1841" s="336"/>
      <c r="R1841" s="336"/>
      <c r="S1841" s="336"/>
      <c r="T1841" s="336"/>
    </row>
    <row r="1842" spans="1:20" x14ac:dyDescent="0.25">
      <c r="A1842" s="336"/>
      <c r="B1842" s="336"/>
      <c r="C1842" s="336"/>
      <c r="D1842" s="336"/>
      <c r="E1842" s="336"/>
      <c r="F1842" s="104" t="b">
        <f t="array" ref="F1842">IF(_xlfn.NUMBERVALUE(RIGHT($E1842,2))=MAX(IF(LEFT($E1842:$E3840,11)=LEFT($E1842,11),_xlfn.NUMBERVALUE(RIGHT($E1842:$E3840,2)))),TRUE)</f>
        <v>1</v>
      </c>
      <c r="G1842" s="336"/>
      <c r="H1842" s="336"/>
      <c r="I1842" s="336"/>
      <c r="J1842" s="336"/>
      <c r="K1842" s="336"/>
      <c r="L1842" s="336"/>
      <c r="M1842" s="336"/>
      <c r="N1842" s="336"/>
      <c r="O1842" s="336"/>
      <c r="P1842" s="336"/>
      <c r="Q1842" s="336"/>
      <c r="R1842" s="336"/>
      <c r="S1842" s="336"/>
      <c r="T1842" s="336"/>
    </row>
    <row r="1843" spans="1:20" x14ac:dyDescent="0.25">
      <c r="A1843" s="336"/>
      <c r="B1843" s="336"/>
      <c r="C1843" s="336"/>
      <c r="D1843" s="336"/>
      <c r="E1843" s="336"/>
      <c r="F1843" s="104" t="b">
        <f t="array" ref="F1843">IF(_xlfn.NUMBERVALUE(RIGHT($E1843,2))=MAX(IF(LEFT($E1843:$E3841,11)=LEFT($E1843,11),_xlfn.NUMBERVALUE(RIGHT($E1843:$E3841,2)))),TRUE)</f>
        <v>1</v>
      </c>
      <c r="G1843" s="336"/>
      <c r="H1843" s="336"/>
      <c r="I1843" s="336"/>
      <c r="J1843" s="336"/>
      <c r="K1843" s="336"/>
      <c r="L1843" s="336"/>
      <c r="M1843" s="336"/>
      <c r="N1843" s="336"/>
      <c r="O1843" s="336"/>
      <c r="P1843" s="336"/>
      <c r="Q1843" s="336"/>
      <c r="R1843" s="336"/>
      <c r="S1843" s="336"/>
      <c r="T1843" s="336"/>
    </row>
    <row r="1844" spans="1:20" x14ac:dyDescent="0.25">
      <c r="A1844" s="336"/>
      <c r="B1844" s="336"/>
      <c r="C1844" s="336"/>
      <c r="D1844" s="336"/>
      <c r="E1844" s="336"/>
      <c r="F1844" s="104" t="b">
        <f t="array" ref="F1844">IF(_xlfn.NUMBERVALUE(RIGHT($E1844,2))=MAX(IF(LEFT($E1844:$E3842,11)=LEFT($E1844,11),_xlfn.NUMBERVALUE(RIGHT($E1844:$E3842,2)))),TRUE)</f>
        <v>1</v>
      </c>
      <c r="G1844" s="336"/>
      <c r="H1844" s="336"/>
      <c r="I1844" s="336"/>
      <c r="J1844" s="336"/>
      <c r="K1844" s="336"/>
      <c r="L1844" s="336"/>
      <c r="M1844" s="336"/>
      <c r="N1844" s="336"/>
      <c r="O1844" s="336"/>
      <c r="P1844" s="336"/>
      <c r="Q1844" s="336"/>
      <c r="R1844" s="336"/>
      <c r="S1844" s="336"/>
      <c r="T1844" s="336"/>
    </row>
    <row r="1845" spans="1:20" x14ac:dyDescent="0.25">
      <c r="A1845" s="336"/>
      <c r="B1845" s="336"/>
      <c r="C1845" s="336"/>
      <c r="D1845" s="336"/>
      <c r="E1845" s="336"/>
      <c r="F1845" s="104" t="b">
        <f t="array" ref="F1845">IF(_xlfn.NUMBERVALUE(RIGHT($E1845,2))=MAX(IF(LEFT($E1845:$E3843,11)=LEFT($E1845,11),_xlfn.NUMBERVALUE(RIGHT($E1845:$E3843,2)))),TRUE)</f>
        <v>1</v>
      </c>
      <c r="G1845" s="336"/>
      <c r="H1845" s="336"/>
      <c r="I1845" s="336"/>
      <c r="J1845" s="336"/>
      <c r="K1845" s="336"/>
      <c r="L1845" s="336"/>
      <c r="M1845" s="336"/>
      <c r="N1845" s="336"/>
      <c r="O1845" s="336"/>
      <c r="P1845" s="336"/>
      <c r="Q1845" s="336"/>
      <c r="R1845" s="336"/>
      <c r="S1845" s="336"/>
      <c r="T1845" s="336"/>
    </row>
    <row r="1846" spans="1:20" x14ac:dyDescent="0.25">
      <c r="A1846" s="336"/>
      <c r="B1846" s="336"/>
      <c r="C1846" s="336"/>
      <c r="D1846" s="336"/>
      <c r="E1846" s="336"/>
      <c r="F1846" s="104" t="b">
        <f t="array" ref="F1846">IF(_xlfn.NUMBERVALUE(RIGHT($E1846,2))=MAX(IF(LEFT($E1846:$E3844,11)=LEFT($E1846,11),_xlfn.NUMBERVALUE(RIGHT($E1846:$E3844,2)))),TRUE)</f>
        <v>1</v>
      </c>
      <c r="G1846" s="336"/>
      <c r="H1846" s="336"/>
      <c r="I1846" s="336"/>
      <c r="J1846" s="336"/>
      <c r="K1846" s="336"/>
      <c r="L1846" s="336"/>
      <c r="M1846" s="336"/>
      <c r="N1846" s="336"/>
      <c r="O1846" s="336"/>
      <c r="P1846" s="336"/>
      <c r="Q1846" s="336"/>
      <c r="R1846" s="336"/>
      <c r="S1846" s="336"/>
      <c r="T1846" s="336"/>
    </row>
    <row r="1847" spans="1:20" x14ac:dyDescent="0.25">
      <c r="A1847" s="336"/>
      <c r="B1847" s="336"/>
      <c r="C1847" s="336"/>
      <c r="D1847" s="336"/>
      <c r="E1847" s="336"/>
      <c r="F1847" s="104" t="b">
        <f t="array" ref="F1847">IF(_xlfn.NUMBERVALUE(RIGHT($E1847,2))=MAX(IF(LEFT($E1847:$E3845,11)=LEFT($E1847,11),_xlfn.NUMBERVALUE(RIGHT($E1847:$E3845,2)))),TRUE)</f>
        <v>1</v>
      </c>
      <c r="G1847" s="336"/>
      <c r="H1847" s="336"/>
      <c r="I1847" s="336"/>
      <c r="J1847" s="336"/>
      <c r="K1847" s="336"/>
      <c r="L1847" s="336"/>
      <c r="M1847" s="336"/>
      <c r="N1847" s="336"/>
      <c r="O1847" s="336"/>
      <c r="P1847" s="336"/>
      <c r="Q1847" s="336"/>
      <c r="R1847" s="336"/>
      <c r="S1847" s="336"/>
      <c r="T1847" s="336"/>
    </row>
    <row r="1848" spans="1:20" x14ac:dyDescent="0.25">
      <c r="A1848" s="336"/>
      <c r="B1848" s="336"/>
      <c r="C1848" s="336"/>
      <c r="D1848" s="336"/>
      <c r="E1848" s="336"/>
      <c r="F1848" s="104" t="b">
        <f t="array" ref="F1848">IF(_xlfn.NUMBERVALUE(RIGHT($E1848,2))=MAX(IF(LEFT($E1848:$E3846,11)=LEFT($E1848,11),_xlfn.NUMBERVALUE(RIGHT($E1848:$E3846,2)))),TRUE)</f>
        <v>1</v>
      </c>
      <c r="G1848" s="336"/>
      <c r="H1848" s="336"/>
      <c r="I1848" s="336"/>
      <c r="J1848" s="336"/>
      <c r="K1848" s="336"/>
      <c r="L1848" s="336"/>
      <c r="M1848" s="336"/>
      <c r="N1848" s="336"/>
      <c r="O1848" s="336"/>
      <c r="P1848" s="336"/>
      <c r="Q1848" s="336"/>
      <c r="R1848" s="336"/>
      <c r="S1848" s="336"/>
      <c r="T1848" s="336"/>
    </row>
    <row r="1849" spans="1:20" x14ac:dyDescent="0.25">
      <c r="A1849" s="336"/>
      <c r="B1849" s="336"/>
      <c r="C1849" s="336"/>
      <c r="D1849" s="336"/>
      <c r="E1849" s="336"/>
      <c r="F1849" s="104" t="b">
        <f t="array" ref="F1849">IF(_xlfn.NUMBERVALUE(RIGHT($E1849,2))=MAX(IF(LEFT($E1849:$E3847,11)=LEFT($E1849,11),_xlfn.NUMBERVALUE(RIGHT($E1849:$E3847,2)))),TRUE)</f>
        <v>1</v>
      </c>
      <c r="G1849" s="336"/>
      <c r="H1849" s="336"/>
      <c r="I1849" s="336"/>
      <c r="J1849" s="336"/>
      <c r="K1849" s="336"/>
      <c r="L1849" s="336"/>
      <c r="M1849" s="336"/>
      <c r="N1849" s="336"/>
      <c r="O1849" s="336"/>
      <c r="P1849" s="336"/>
      <c r="Q1849" s="336"/>
      <c r="R1849" s="336"/>
      <c r="S1849" s="336"/>
      <c r="T1849" s="336"/>
    </row>
    <row r="1850" spans="1:20" x14ac:dyDescent="0.25">
      <c r="A1850" s="336"/>
      <c r="B1850" s="336"/>
      <c r="C1850" s="336"/>
      <c r="D1850" s="336"/>
      <c r="E1850" s="336"/>
      <c r="F1850" s="104" t="b">
        <f t="array" ref="F1850">IF(_xlfn.NUMBERVALUE(RIGHT($E1850,2))=MAX(IF(LEFT($E1850:$E3848,11)=LEFT($E1850,11),_xlfn.NUMBERVALUE(RIGHT($E1850:$E3848,2)))),TRUE)</f>
        <v>1</v>
      </c>
      <c r="G1850" s="336"/>
      <c r="H1850" s="336"/>
      <c r="I1850" s="336"/>
      <c r="J1850" s="336"/>
      <c r="K1850" s="336"/>
      <c r="L1850" s="336"/>
      <c r="M1850" s="336"/>
      <c r="N1850" s="336"/>
      <c r="O1850" s="336"/>
      <c r="P1850" s="336"/>
      <c r="Q1850" s="336"/>
      <c r="R1850" s="336"/>
      <c r="S1850" s="336"/>
      <c r="T1850" s="336"/>
    </row>
    <row r="1851" spans="1:20" x14ac:dyDescent="0.25">
      <c r="A1851" s="336"/>
      <c r="B1851" s="336"/>
      <c r="C1851" s="336"/>
      <c r="D1851" s="336"/>
      <c r="E1851" s="336"/>
      <c r="F1851" s="104" t="b">
        <f t="array" ref="F1851">IF(_xlfn.NUMBERVALUE(RIGHT($E1851,2))=MAX(IF(LEFT($E1851:$E3849,11)=LEFT($E1851,11),_xlfn.NUMBERVALUE(RIGHT($E1851:$E3849,2)))),TRUE)</f>
        <v>1</v>
      </c>
      <c r="G1851" s="336"/>
      <c r="H1851" s="336"/>
      <c r="I1851" s="336"/>
      <c r="J1851" s="336"/>
      <c r="K1851" s="336"/>
      <c r="L1851" s="336"/>
      <c r="M1851" s="336"/>
      <c r="N1851" s="336"/>
      <c r="O1851" s="336"/>
      <c r="P1851" s="336"/>
      <c r="Q1851" s="336"/>
      <c r="R1851" s="336"/>
      <c r="S1851" s="336"/>
      <c r="T1851" s="336"/>
    </row>
    <row r="1852" spans="1:20" x14ac:dyDescent="0.25">
      <c r="A1852" s="336"/>
      <c r="B1852" s="336"/>
      <c r="C1852" s="336"/>
      <c r="D1852" s="336"/>
      <c r="E1852" s="336"/>
      <c r="F1852" s="104" t="b">
        <f t="array" ref="F1852">IF(_xlfn.NUMBERVALUE(RIGHT($E1852,2))=MAX(IF(LEFT($E1852:$E3850,11)=LEFT($E1852,11),_xlfn.NUMBERVALUE(RIGHT($E1852:$E3850,2)))),TRUE)</f>
        <v>1</v>
      </c>
      <c r="G1852" s="336"/>
      <c r="H1852" s="336"/>
      <c r="I1852" s="336"/>
      <c r="J1852" s="336"/>
      <c r="K1852" s="336"/>
      <c r="L1852" s="336"/>
      <c r="M1852" s="336"/>
      <c r="N1852" s="336"/>
      <c r="O1852" s="336"/>
      <c r="P1852" s="336"/>
      <c r="Q1852" s="336"/>
      <c r="R1852" s="336"/>
      <c r="S1852" s="336"/>
      <c r="T1852" s="336"/>
    </row>
    <row r="1853" spans="1:20" x14ac:dyDescent="0.25">
      <c r="A1853" s="336"/>
      <c r="B1853" s="336"/>
      <c r="C1853" s="336"/>
      <c r="D1853" s="336"/>
      <c r="E1853" s="336"/>
      <c r="F1853" s="104" t="b">
        <f t="array" ref="F1853">IF(_xlfn.NUMBERVALUE(RIGHT($E1853,2))=MAX(IF(LEFT($E1853:$E3851,11)=LEFT($E1853,11),_xlfn.NUMBERVALUE(RIGHT($E1853:$E3851,2)))),TRUE)</f>
        <v>1</v>
      </c>
      <c r="G1853" s="336"/>
      <c r="H1853" s="336"/>
      <c r="I1853" s="336"/>
      <c r="J1853" s="336"/>
      <c r="K1853" s="336"/>
      <c r="L1853" s="336"/>
      <c r="M1853" s="336"/>
      <c r="N1853" s="336"/>
      <c r="O1853" s="336"/>
      <c r="P1853" s="336"/>
      <c r="Q1853" s="336"/>
      <c r="R1853" s="336"/>
      <c r="S1853" s="336"/>
      <c r="T1853" s="336"/>
    </row>
    <row r="1854" spans="1:20" x14ac:dyDescent="0.25">
      <c r="A1854" s="336"/>
      <c r="B1854" s="336"/>
      <c r="C1854" s="336"/>
      <c r="D1854" s="336"/>
      <c r="E1854" s="336"/>
      <c r="F1854" s="104" t="b">
        <f t="array" ref="F1854">IF(_xlfn.NUMBERVALUE(RIGHT($E1854,2))=MAX(IF(LEFT($E1854:$E3852,11)=LEFT($E1854,11),_xlfn.NUMBERVALUE(RIGHT($E1854:$E3852,2)))),TRUE)</f>
        <v>1</v>
      </c>
      <c r="G1854" s="336"/>
      <c r="H1854" s="336"/>
      <c r="I1854" s="336"/>
      <c r="J1854" s="336"/>
      <c r="K1854" s="336"/>
      <c r="L1854" s="336"/>
      <c r="M1854" s="336"/>
      <c r="N1854" s="336"/>
      <c r="O1854" s="336"/>
      <c r="P1854" s="336"/>
      <c r="Q1854" s="336"/>
      <c r="R1854" s="336"/>
      <c r="S1854" s="336"/>
      <c r="T1854" s="336"/>
    </row>
    <row r="1855" spans="1:20" x14ac:dyDescent="0.25">
      <c r="A1855" s="336"/>
      <c r="B1855" s="336"/>
      <c r="C1855" s="336"/>
      <c r="D1855" s="336"/>
      <c r="E1855" s="336"/>
      <c r="F1855" s="104" t="b">
        <f t="array" ref="F1855">IF(_xlfn.NUMBERVALUE(RIGHT($E1855,2))=MAX(IF(LEFT($E1855:$E3853,11)=LEFT($E1855,11),_xlfn.NUMBERVALUE(RIGHT($E1855:$E3853,2)))),TRUE)</f>
        <v>1</v>
      </c>
      <c r="G1855" s="336"/>
      <c r="H1855" s="336"/>
      <c r="I1855" s="336"/>
      <c r="J1855" s="336"/>
      <c r="K1855" s="336"/>
      <c r="L1855" s="336"/>
      <c r="M1855" s="336"/>
      <c r="N1855" s="336"/>
      <c r="O1855" s="336"/>
      <c r="P1855" s="336"/>
      <c r="Q1855" s="336"/>
      <c r="R1855" s="336"/>
      <c r="S1855" s="336"/>
      <c r="T1855" s="336"/>
    </row>
    <row r="1856" spans="1:20" x14ac:dyDescent="0.25">
      <c r="A1856" s="336"/>
      <c r="B1856" s="336"/>
      <c r="C1856" s="336"/>
      <c r="D1856" s="336"/>
      <c r="E1856" s="336"/>
      <c r="F1856" s="104" t="b">
        <f t="array" ref="F1856">IF(_xlfn.NUMBERVALUE(RIGHT($E1856,2))=MAX(IF(LEFT($E1856:$E3854,11)=LEFT($E1856,11),_xlfn.NUMBERVALUE(RIGHT($E1856:$E3854,2)))),TRUE)</f>
        <v>1</v>
      </c>
      <c r="G1856" s="336"/>
      <c r="H1856" s="336"/>
      <c r="I1856" s="336"/>
      <c r="J1856" s="336"/>
      <c r="K1856" s="336"/>
      <c r="L1856" s="336"/>
      <c r="M1856" s="336"/>
      <c r="N1856" s="336"/>
      <c r="O1856" s="336"/>
      <c r="P1856" s="336"/>
      <c r="Q1856" s="336"/>
      <c r="R1856" s="336"/>
      <c r="S1856" s="336"/>
      <c r="T1856" s="336"/>
    </row>
    <row r="1857" spans="1:20" x14ac:dyDescent="0.25">
      <c r="A1857" s="336"/>
      <c r="B1857" s="336"/>
      <c r="C1857" s="336"/>
      <c r="D1857" s="336"/>
      <c r="E1857" s="336"/>
      <c r="F1857" s="104" t="b">
        <f t="array" ref="F1857">IF(_xlfn.NUMBERVALUE(RIGHT($E1857,2))=MAX(IF(LEFT($E1857:$E3855,11)=LEFT($E1857,11),_xlfn.NUMBERVALUE(RIGHT($E1857:$E3855,2)))),TRUE)</f>
        <v>1</v>
      </c>
      <c r="G1857" s="336"/>
      <c r="H1857" s="336"/>
      <c r="I1857" s="336"/>
      <c r="J1857" s="336"/>
      <c r="K1857" s="336"/>
      <c r="L1857" s="336"/>
      <c r="M1857" s="336"/>
      <c r="N1857" s="336"/>
      <c r="O1857" s="336"/>
      <c r="P1857" s="336"/>
      <c r="Q1857" s="336"/>
      <c r="R1857" s="336"/>
      <c r="S1857" s="336"/>
      <c r="T1857" s="336"/>
    </row>
    <row r="1858" spans="1:20" x14ac:dyDescent="0.25">
      <c r="A1858" s="336"/>
      <c r="B1858" s="336"/>
      <c r="C1858" s="336"/>
      <c r="D1858" s="336"/>
      <c r="E1858" s="336"/>
      <c r="F1858" s="104" t="b">
        <f t="array" ref="F1858">IF(_xlfn.NUMBERVALUE(RIGHT($E1858,2))=MAX(IF(LEFT($E1858:$E3856,11)=LEFT($E1858,11),_xlfn.NUMBERVALUE(RIGHT($E1858:$E3856,2)))),TRUE)</f>
        <v>1</v>
      </c>
      <c r="G1858" s="336"/>
      <c r="H1858" s="336"/>
      <c r="I1858" s="336"/>
      <c r="J1858" s="336"/>
      <c r="K1858" s="336"/>
      <c r="L1858" s="336"/>
      <c r="M1858" s="336"/>
      <c r="N1858" s="336"/>
      <c r="O1858" s="336"/>
      <c r="P1858" s="336"/>
      <c r="Q1858" s="336"/>
      <c r="R1858" s="336"/>
      <c r="S1858" s="336"/>
      <c r="T1858" s="336"/>
    </row>
    <row r="1859" spans="1:20" x14ac:dyDescent="0.25">
      <c r="A1859" s="336"/>
      <c r="B1859" s="336"/>
      <c r="C1859" s="336"/>
      <c r="D1859" s="336"/>
      <c r="E1859" s="336"/>
      <c r="F1859" s="104" t="b">
        <f t="array" ref="F1859">IF(_xlfn.NUMBERVALUE(RIGHT($E1859,2))=MAX(IF(LEFT($E1859:$E3857,11)=LEFT($E1859,11),_xlfn.NUMBERVALUE(RIGHT($E1859:$E3857,2)))),TRUE)</f>
        <v>1</v>
      </c>
      <c r="G1859" s="336"/>
      <c r="H1859" s="336"/>
      <c r="I1859" s="336"/>
      <c r="J1859" s="336"/>
      <c r="K1859" s="336"/>
      <c r="L1859" s="336"/>
      <c r="M1859" s="336"/>
      <c r="N1859" s="336"/>
      <c r="O1859" s="336"/>
      <c r="P1859" s="336"/>
      <c r="Q1859" s="336"/>
      <c r="R1859" s="336"/>
      <c r="S1859" s="336"/>
      <c r="T1859" s="336"/>
    </row>
    <row r="1860" spans="1:20" x14ac:dyDescent="0.25">
      <c r="A1860" s="336"/>
      <c r="B1860" s="336"/>
      <c r="C1860" s="336"/>
      <c r="D1860" s="336"/>
      <c r="E1860" s="336"/>
      <c r="F1860" s="104" t="b">
        <f t="array" ref="F1860">IF(_xlfn.NUMBERVALUE(RIGHT($E1860,2))=MAX(IF(LEFT($E1860:$E3858,11)=LEFT($E1860,11),_xlfn.NUMBERVALUE(RIGHT($E1860:$E3858,2)))),TRUE)</f>
        <v>1</v>
      </c>
      <c r="G1860" s="336"/>
      <c r="H1860" s="336"/>
      <c r="I1860" s="336"/>
      <c r="J1860" s="336"/>
      <c r="K1860" s="336"/>
      <c r="L1860" s="336"/>
      <c r="M1860" s="336"/>
      <c r="N1860" s="336"/>
      <c r="O1860" s="336"/>
      <c r="P1860" s="336"/>
      <c r="Q1860" s="336"/>
      <c r="R1860" s="336"/>
      <c r="S1860" s="336"/>
      <c r="T1860" s="336"/>
    </row>
    <row r="1861" spans="1:20" x14ac:dyDescent="0.25">
      <c r="A1861" s="336"/>
      <c r="B1861" s="336"/>
      <c r="C1861" s="336"/>
      <c r="D1861" s="336"/>
      <c r="E1861" s="336"/>
      <c r="F1861" s="104" t="b">
        <f t="array" ref="F1861">IF(_xlfn.NUMBERVALUE(RIGHT($E1861,2))=MAX(IF(LEFT($E1861:$E3859,11)=LEFT($E1861,11),_xlfn.NUMBERVALUE(RIGHT($E1861:$E3859,2)))),TRUE)</f>
        <v>1</v>
      </c>
      <c r="G1861" s="336"/>
      <c r="H1861" s="336"/>
      <c r="I1861" s="336"/>
      <c r="J1861" s="336"/>
      <c r="K1861" s="336"/>
      <c r="L1861" s="336"/>
      <c r="M1861" s="336"/>
      <c r="N1861" s="336"/>
      <c r="O1861" s="336"/>
      <c r="P1861" s="336"/>
      <c r="Q1861" s="336"/>
      <c r="R1861" s="336"/>
      <c r="S1861" s="336"/>
      <c r="T1861" s="336"/>
    </row>
    <row r="1862" spans="1:20" x14ac:dyDescent="0.25">
      <c r="A1862" s="336"/>
      <c r="B1862" s="336"/>
      <c r="C1862" s="336"/>
      <c r="D1862" s="336"/>
      <c r="E1862" s="336"/>
      <c r="F1862" s="104" t="b">
        <f t="array" ref="F1862">IF(_xlfn.NUMBERVALUE(RIGHT($E1862,2))=MAX(IF(LEFT($E1862:$E3860,11)=LEFT($E1862,11),_xlfn.NUMBERVALUE(RIGHT($E1862:$E3860,2)))),TRUE)</f>
        <v>1</v>
      </c>
      <c r="G1862" s="336"/>
      <c r="H1862" s="336"/>
      <c r="I1862" s="336"/>
      <c r="J1862" s="336"/>
      <c r="K1862" s="336"/>
      <c r="L1862" s="336"/>
      <c r="M1862" s="336"/>
      <c r="N1862" s="336"/>
      <c r="O1862" s="336"/>
      <c r="P1862" s="336"/>
      <c r="Q1862" s="336"/>
      <c r="R1862" s="336"/>
      <c r="S1862" s="336"/>
      <c r="T1862" s="336"/>
    </row>
    <row r="1863" spans="1:20" x14ac:dyDescent="0.25">
      <c r="A1863" s="336"/>
      <c r="B1863" s="336"/>
      <c r="C1863" s="336"/>
      <c r="D1863" s="336"/>
      <c r="E1863" s="336"/>
      <c r="F1863" s="104" t="b">
        <f t="array" ref="F1863">IF(_xlfn.NUMBERVALUE(RIGHT($E1863,2))=MAX(IF(LEFT($E1863:$E3861,11)=LEFT($E1863,11),_xlfn.NUMBERVALUE(RIGHT($E1863:$E3861,2)))),TRUE)</f>
        <v>1</v>
      </c>
      <c r="G1863" s="336"/>
      <c r="H1863" s="336"/>
      <c r="I1863" s="336"/>
      <c r="J1863" s="336"/>
      <c r="K1863" s="336"/>
      <c r="L1863" s="336"/>
      <c r="M1863" s="336"/>
      <c r="N1863" s="336"/>
      <c r="O1863" s="336"/>
      <c r="P1863" s="336"/>
      <c r="Q1863" s="336"/>
      <c r="R1863" s="336"/>
      <c r="S1863" s="336"/>
      <c r="T1863" s="336"/>
    </row>
    <row r="1864" spans="1:20" x14ac:dyDescent="0.25">
      <c r="A1864" s="336"/>
      <c r="B1864" s="336"/>
      <c r="C1864" s="336"/>
      <c r="D1864" s="336"/>
      <c r="E1864" s="336"/>
      <c r="F1864" s="104" t="b">
        <f t="array" ref="F1864">IF(_xlfn.NUMBERVALUE(RIGHT($E1864,2))=MAX(IF(LEFT($E1864:$E3862,11)=LEFT($E1864,11),_xlfn.NUMBERVALUE(RIGHT($E1864:$E3862,2)))),TRUE)</f>
        <v>1</v>
      </c>
      <c r="G1864" s="336"/>
      <c r="H1864" s="336"/>
      <c r="I1864" s="336"/>
      <c r="J1864" s="336"/>
      <c r="K1864" s="336"/>
      <c r="L1864" s="336"/>
      <c r="M1864" s="336"/>
      <c r="N1864" s="336"/>
      <c r="O1864" s="336"/>
      <c r="P1864" s="336"/>
      <c r="Q1864" s="336"/>
      <c r="R1864" s="336"/>
      <c r="S1864" s="336"/>
      <c r="T1864" s="336"/>
    </row>
    <row r="1865" spans="1:20" x14ac:dyDescent="0.25">
      <c r="A1865" s="336"/>
      <c r="B1865" s="336"/>
      <c r="C1865" s="336"/>
      <c r="D1865" s="336"/>
      <c r="E1865" s="336"/>
      <c r="F1865" s="104" t="b">
        <f t="array" ref="F1865">IF(_xlfn.NUMBERVALUE(RIGHT($E1865,2))=MAX(IF(LEFT($E1865:$E3863,11)=LEFT($E1865,11),_xlfn.NUMBERVALUE(RIGHT($E1865:$E3863,2)))),TRUE)</f>
        <v>1</v>
      </c>
      <c r="G1865" s="336"/>
      <c r="H1865" s="336"/>
      <c r="I1865" s="336"/>
      <c r="J1865" s="336"/>
      <c r="K1865" s="336"/>
      <c r="L1865" s="336"/>
      <c r="M1865" s="336"/>
      <c r="N1865" s="336"/>
      <c r="O1865" s="336"/>
      <c r="P1865" s="336"/>
      <c r="Q1865" s="336"/>
      <c r="R1865" s="336"/>
      <c r="S1865" s="336"/>
      <c r="T1865" s="336"/>
    </row>
    <row r="1866" spans="1:20" x14ac:dyDescent="0.25">
      <c r="A1866" s="336"/>
      <c r="B1866" s="336"/>
      <c r="C1866" s="336"/>
      <c r="D1866" s="336"/>
      <c r="E1866" s="336"/>
      <c r="F1866" s="104" t="b">
        <f t="array" ref="F1866">IF(_xlfn.NUMBERVALUE(RIGHT($E1866,2))=MAX(IF(LEFT($E1866:$E3864,11)=LEFT($E1866,11),_xlfn.NUMBERVALUE(RIGHT($E1866:$E3864,2)))),TRUE)</f>
        <v>1</v>
      </c>
      <c r="G1866" s="336"/>
      <c r="H1866" s="336"/>
      <c r="I1866" s="336"/>
      <c r="J1866" s="336"/>
      <c r="K1866" s="336"/>
      <c r="L1866" s="336"/>
      <c r="M1866" s="336"/>
      <c r="N1866" s="336"/>
      <c r="O1866" s="336"/>
      <c r="P1866" s="336"/>
      <c r="Q1866" s="336"/>
      <c r="R1866" s="336"/>
      <c r="S1866" s="336"/>
      <c r="T1866" s="336"/>
    </row>
    <row r="1867" spans="1:20" x14ac:dyDescent="0.25">
      <c r="A1867" s="336"/>
      <c r="B1867" s="336"/>
      <c r="C1867" s="336"/>
      <c r="D1867" s="336"/>
      <c r="E1867" s="336"/>
      <c r="F1867" s="104" t="b">
        <f t="array" ref="F1867">IF(_xlfn.NUMBERVALUE(RIGHT($E1867,2))=MAX(IF(LEFT($E1867:$E3865,11)=LEFT($E1867,11),_xlfn.NUMBERVALUE(RIGHT($E1867:$E3865,2)))),TRUE)</f>
        <v>1</v>
      </c>
      <c r="G1867" s="336"/>
      <c r="H1867" s="336"/>
      <c r="I1867" s="336"/>
      <c r="J1867" s="336"/>
      <c r="K1867" s="336"/>
      <c r="L1867" s="336"/>
      <c r="M1867" s="336"/>
      <c r="N1867" s="336"/>
      <c r="O1867" s="336"/>
      <c r="P1867" s="336"/>
      <c r="Q1867" s="336"/>
      <c r="R1867" s="336"/>
      <c r="S1867" s="336"/>
      <c r="T1867" s="336"/>
    </row>
    <row r="1868" spans="1:20" x14ac:dyDescent="0.25">
      <c r="A1868" s="336"/>
      <c r="B1868" s="336"/>
      <c r="C1868" s="336"/>
      <c r="D1868" s="336"/>
      <c r="E1868" s="336"/>
      <c r="F1868" s="104" t="b">
        <f t="array" ref="F1868">IF(_xlfn.NUMBERVALUE(RIGHT($E1868,2))=MAX(IF(LEFT($E1868:$E3866,11)=LEFT($E1868,11),_xlfn.NUMBERVALUE(RIGHT($E1868:$E3866,2)))),TRUE)</f>
        <v>1</v>
      </c>
      <c r="G1868" s="336"/>
      <c r="H1868" s="336"/>
      <c r="I1868" s="336"/>
      <c r="J1868" s="336"/>
      <c r="K1868" s="336"/>
      <c r="L1868" s="336"/>
      <c r="M1868" s="336"/>
      <c r="N1868" s="336"/>
      <c r="O1868" s="336"/>
      <c r="P1868" s="336"/>
      <c r="Q1868" s="336"/>
      <c r="R1868" s="336"/>
      <c r="S1868" s="336"/>
      <c r="T1868" s="336"/>
    </row>
    <row r="1869" spans="1:20" x14ac:dyDescent="0.25">
      <c r="A1869" s="336"/>
      <c r="B1869" s="336"/>
      <c r="C1869" s="336"/>
      <c r="D1869" s="336"/>
      <c r="E1869" s="336"/>
      <c r="F1869" s="104" t="b">
        <f t="array" ref="F1869">IF(_xlfn.NUMBERVALUE(RIGHT($E1869,2))=MAX(IF(LEFT($E1869:$E3867,11)=LEFT($E1869,11),_xlfn.NUMBERVALUE(RIGHT($E1869:$E3867,2)))),TRUE)</f>
        <v>1</v>
      </c>
      <c r="G1869" s="336"/>
      <c r="H1869" s="336"/>
      <c r="I1869" s="336"/>
      <c r="J1869" s="336"/>
      <c r="K1869" s="336"/>
      <c r="L1869" s="336"/>
      <c r="M1869" s="336"/>
      <c r="N1869" s="336"/>
      <c r="O1869" s="336"/>
      <c r="P1869" s="336"/>
      <c r="Q1869" s="336"/>
      <c r="R1869" s="336"/>
      <c r="S1869" s="336"/>
      <c r="T1869" s="336"/>
    </row>
    <row r="1870" spans="1:20" x14ac:dyDescent="0.25">
      <c r="A1870" s="336"/>
      <c r="B1870" s="336"/>
      <c r="C1870" s="336"/>
      <c r="D1870" s="336"/>
      <c r="E1870" s="336"/>
      <c r="F1870" s="104" t="b">
        <f t="array" ref="F1870">IF(_xlfn.NUMBERVALUE(RIGHT($E1870,2))=MAX(IF(LEFT($E1870:$E3868,11)=LEFT($E1870,11),_xlfn.NUMBERVALUE(RIGHT($E1870:$E3868,2)))),TRUE)</f>
        <v>1</v>
      </c>
      <c r="G1870" s="336"/>
      <c r="H1870" s="336"/>
      <c r="I1870" s="336"/>
      <c r="J1870" s="336"/>
      <c r="K1870" s="336"/>
      <c r="L1870" s="336"/>
      <c r="M1870" s="336"/>
      <c r="N1870" s="336"/>
      <c r="O1870" s="336"/>
      <c r="P1870" s="336"/>
      <c r="Q1870" s="336"/>
      <c r="R1870" s="336"/>
      <c r="S1870" s="336"/>
      <c r="T1870" s="336"/>
    </row>
    <row r="1871" spans="1:20" x14ac:dyDescent="0.25">
      <c r="A1871" s="336"/>
      <c r="B1871" s="336"/>
      <c r="C1871" s="336"/>
      <c r="D1871" s="336"/>
      <c r="E1871" s="336"/>
      <c r="F1871" s="104" t="b">
        <f t="array" ref="F1871">IF(_xlfn.NUMBERVALUE(RIGHT($E1871,2))=MAX(IF(LEFT($E1871:$E3869,11)=LEFT($E1871,11),_xlfn.NUMBERVALUE(RIGHT($E1871:$E3869,2)))),TRUE)</f>
        <v>1</v>
      </c>
      <c r="G1871" s="336"/>
      <c r="H1871" s="336"/>
      <c r="I1871" s="336"/>
      <c r="J1871" s="336"/>
      <c r="K1871" s="336"/>
      <c r="L1871" s="336"/>
      <c r="M1871" s="336"/>
      <c r="N1871" s="336"/>
      <c r="O1871" s="336"/>
      <c r="P1871" s="336"/>
      <c r="Q1871" s="336"/>
      <c r="R1871" s="336"/>
      <c r="S1871" s="336"/>
      <c r="T1871" s="336"/>
    </row>
    <row r="1872" spans="1:20" x14ac:dyDescent="0.25">
      <c r="A1872" s="336"/>
      <c r="B1872" s="336"/>
      <c r="C1872" s="336"/>
      <c r="D1872" s="336"/>
      <c r="E1872" s="336"/>
      <c r="F1872" s="104" t="b">
        <f t="array" ref="F1872">IF(_xlfn.NUMBERVALUE(RIGHT($E1872,2))=MAX(IF(LEFT($E1872:$E3870,11)=LEFT($E1872,11),_xlfn.NUMBERVALUE(RIGHT($E1872:$E3870,2)))),TRUE)</f>
        <v>1</v>
      </c>
      <c r="G1872" s="336"/>
      <c r="H1872" s="336"/>
      <c r="I1872" s="336"/>
      <c r="J1872" s="336"/>
      <c r="K1872" s="336"/>
      <c r="L1872" s="336"/>
      <c r="M1872" s="336"/>
      <c r="N1872" s="336"/>
      <c r="O1872" s="336"/>
      <c r="P1872" s="336"/>
      <c r="Q1872" s="336"/>
      <c r="R1872" s="336"/>
      <c r="S1872" s="336"/>
      <c r="T1872" s="336"/>
    </row>
    <row r="1873" spans="1:20" x14ac:dyDescent="0.25">
      <c r="A1873" s="336"/>
      <c r="B1873" s="336"/>
      <c r="C1873" s="336"/>
      <c r="D1873" s="336"/>
      <c r="E1873" s="336"/>
      <c r="F1873" s="104" t="b">
        <f t="array" ref="F1873">IF(_xlfn.NUMBERVALUE(RIGHT($E1873,2))=MAX(IF(LEFT($E1873:$E3871,11)=LEFT($E1873,11),_xlfn.NUMBERVALUE(RIGHT($E1873:$E3871,2)))),TRUE)</f>
        <v>1</v>
      </c>
      <c r="G1873" s="336"/>
      <c r="H1873" s="336"/>
      <c r="I1873" s="336"/>
      <c r="J1873" s="336"/>
      <c r="K1873" s="336"/>
      <c r="L1873" s="336"/>
      <c r="M1873" s="336"/>
      <c r="N1873" s="336"/>
      <c r="O1873" s="336"/>
      <c r="P1873" s="336"/>
      <c r="Q1873" s="336"/>
      <c r="R1873" s="336"/>
      <c r="S1873" s="336"/>
      <c r="T1873" s="336"/>
    </row>
    <row r="1874" spans="1:20" x14ac:dyDescent="0.25">
      <c r="A1874" s="336"/>
      <c r="B1874" s="336"/>
      <c r="C1874" s="336"/>
      <c r="D1874" s="336"/>
      <c r="E1874" s="336"/>
      <c r="F1874" s="104" t="b">
        <f t="array" ref="F1874">IF(_xlfn.NUMBERVALUE(RIGHT($E1874,2))=MAX(IF(LEFT($E1874:$E3872,11)=LEFT($E1874,11),_xlfn.NUMBERVALUE(RIGHT($E1874:$E3872,2)))),TRUE)</f>
        <v>1</v>
      </c>
      <c r="G1874" s="336"/>
      <c r="H1874" s="336"/>
      <c r="I1874" s="336"/>
      <c r="J1874" s="336"/>
      <c r="K1874" s="336"/>
      <c r="L1874" s="336"/>
      <c r="M1874" s="336"/>
      <c r="N1874" s="336"/>
      <c r="O1874" s="336"/>
      <c r="P1874" s="336"/>
      <c r="Q1874" s="336"/>
      <c r="R1874" s="336"/>
      <c r="S1874" s="336"/>
      <c r="T1874" s="336"/>
    </row>
    <row r="1875" spans="1:20" x14ac:dyDescent="0.25">
      <c r="A1875" s="336"/>
      <c r="B1875" s="336"/>
      <c r="C1875" s="336"/>
      <c r="D1875" s="336"/>
      <c r="E1875" s="336"/>
      <c r="F1875" s="104" t="b">
        <f t="array" ref="F1875">IF(_xlfn.NUMBERVALUE(RIGHT($E1875,2))=MAX(IF(LEFT($E1875:$E3873,11)=LEFT($E1875,11),_xlfn.NUMBERVALUE(RIGHT($E1875:$E3873,2)))),TRUE)</f>
        <v>1</v>
      </c>
      <c r="G1875" s="336"/>
      <c r="H1875" s="336"/>
      <c r="I1875" s="336"/>
      <c r="J1875" s="336"/>
      <c r="K1875" s="336"/>
      <c r="L1875" s="336"/>
      <c r="M1875" s="336"/>
      <c r="N1875" s="336"/>
      <c r="O1875" s="336"/>
      <c r="P1875" s="336"/>
      <c r="Q1875" s="336"/>
      <c r="R1875" s="336"/>
      <c r="S1875" s="336"/>
      <c r="T1875" s="336"/>
    </row>
    <row r="1876" spans="1:20" x14ac:dyDescent="0.25">
      <c r="A1876" s="336"/>
      <c r="B1876" s="336"/>
      <c r="C1876" s="336"/>
      <c r="D1876" s="336"/>
      <c r="E1876" s="336"/>
      <c r="F1876" s="104" t="b">
        <f t="array" ref="F1876">IF(_xlfn.NUMBERVALUE(RIGHT($E1876,2))=MAX(IF(LEFT($E1876:$E3874,11)=LEFT($E1876,11),_xlfn.NUMBERVALUE(RIGHT($E1876:$E3874,2)))),TRUE)</f>
        <v>1</v>
      </c>
      <c r="G1876" s="336"/>
      <c r="H1876" s="336"/>
      <c r="I1876" s="336"/>
      <c r="J1876" s="336"/>
      <c r="K1876" s="336"/>
      <c r="L1876" s="336"/>
      <c r="M1876" s="336"/>
      <c r="N1876" s="336"/>
      <c r="O1876" s="336"/>
      <c r="P1876" s="336"/>
      <c r="Q1876" s="336"/>
      <c r="R1876" s="336"/>
      <c r="S1876" s="336"/>
      <c r="T1876" s="336"/>
    </row>
    <row r="1877" spans="1:20" x14ac:dyDescent="0.25">
      <c r="A1877" s="336"/>
      <c r="B1877" s="336"/>
      <c r="C1877" s="336"/>
      <c r="D1877" s="336"/>
      <c r="E1877" s="336"/>
      <c r="F1877" s="104" t="b">
        <f t="array" ref="F1877">IF(_xlfn.NUMBERVALUE(RIGHT($E1877,2))=MAX(IF(LEFT($E1877:$E3875,11)=LEFT($E1877,11),_xlfn.NUMBERVALUE(RIGHT($E1877:$E3875,2)))),TRUE)</f>
        <v>1</v>
      </c>
      <c r="G1877" s="336"/>
      <c r="H1877" s="336"/>
      <c r="I1877" s="336"/>
      <c r="J1877" s="336"/>
      <c r="K1877" s="336"/>
      <c r="L1877" s="336"/>
      <c r="M1877" s="336"/>
      <c r="N1877" s="336"/>
      <c r="O1877" s="336"/>
      <c r="P1877" s="336"/>
      <c r="Q1877" s="336"/>
      <c r="R1877" s="336"/>
      <c r="S1877" s="336"/>
      <c r="T1877" s="336"/>
    </row>
    <row r="1878" spans="1:20" x14ac:dyDescent="0.25">
      <c r="A1878" s="336"/>
      <c r="B1878" s="336"/>
      <c r="C1878" s="336"/>
      <c r="D1878" s="336"/>
      <c r="E1878" s="336"/>
      <c r="F1878" s="104" t="b">
        <f t="array" ref="F1878">IF(_xlfn.NUMBERVALUE(RIGHT($E1878,2))=MAX(IF(LEFT($E1878:$E3876,11)=LEFT($E1878,11),_xlfn.NUMBERVALUE(RIGHT($E1878:$E3876,2)))),TRUE)</f>
        <v>1</v>
      </c>
      <c r="G1878" s="336"/>
      <c r="H1878" s="336"/>
      <c r="I1878" s="336"/>
      <c r="J1878" s="336"/>
      <c r="K1878" s="336"/>
      <c r="L1878" s="336"/>
      <c r="M1878" s="336"/>
      <c r="N1878" s="336"/>
      <c r="O1878" s="336"/>
      <c r="P1878" s="336"/>
      <c r="Q1878" s="336"/>
      <c r="R1878" s="336"/>
      <c r="S1878" s="336"/>
      <c r="T1878" s="336"/>
    </row>
    <row r="1879" spans="1:20" x14ac:dyDescent="0.25">
      <c r="A1879" s="336"/>
      <c r="B1879" s="336"/>
      <c r="C1879" s="336"/>
      <c r="D1879" s="336"/>
      <c r="E1879" s="336"/>
      <c r="F1879" s="104" t="b">
        <f t="array" ref="F1879">IF(_xlfn.NUMBERVALUE(RIGHT($E1879,2))=MAX(IF(LEFT($E1879:$E3877,11)=LEFT($E1879,11),_xlfn.NUMBERVALUE(RIGHT($E1879:$E3877,2)))),TRUE)</f>
        <v>1</v>
      </c>
      <c r="G1879" s="336"/>
      <c r="H1879" s="336"/>
      <c r="I1879" s="336"/>
      <c r="J1879" s="336"/>
      <c r="K1879" s="336"/>
      <c r="L1879" s="336"/>
      <c r="M1879" s="336"/>
      <c r="N1879" s="336"/>
      <c r="O1879" s="336"/>
      <c r="P1879" s="336"/>
      <c r="Q1879" s="336"/>
      <c r="R1879" s="336"/>
      <c r="S1879" s="336"/>
      <c r="T1879" s="336"/>
    </row>
    <row r="1880" spans="1:20" x14ac:dyDescent="0.25">
      <c r="A1880" s="336"/>
      <c r="B1880" s="336"/>
      <c r="C1880" s="336"/>
      <c r="D1880" s="336"/>
      <c r="E1880" s="336"/>
      <c r="F1880" s="104" t="b">
        <f t="array" ref="F1880">IF(_xlfn.NUMBERVALUE(RIGHT($E1880,2))=MAX(IF(LEFT($E1880:$E3878,11)=LEFT($E1880,11),_xlfn.NUMBERVALUE(RIGHT($E1880:$E3878,2)))),TRUE)</f>
        <v>1</v>
      </c>
      <c r="G1880" s="336"/>
      <c r="H1880" s="336"/>
      <c r="I1880" s="336"/>
      <c r="J1880" s="336"/>
      <c r="K1880" s="336"/>
      <c r="L1880" s="336"/>
      <c r="M1880" s="336"/>
      <c r="N1880" s="336"/>
      <c r="O1880" s="336"/>
      <c r="P1880" s="336"/>
      <c r="Q1880" s="336"/>
      <c r="R1880" s="336"/>
      <c r="S1880" s="336"/>
      <c r="T1880" s="336"/>
    </row>
    <row r="1881" spans="1:20" x14ac:dyDescent="0.25">
      <c r="A1881" s="336"/>
      <c r="B1881" s="336"/>
      <c r="C1881" s="336"/>
      <c r="D1881" s="336"/>
      <c r="E1881" s="336"/>
      <c r="F1881" s="104" t="b">
        <f t="array" ref="F1881">IF(_xlfn.NUMBERVALUE(RIGHT($E1881,2))=MAX(IF(LEFT($E1881:$E3879,11)=LEFT($E1881,11),_xlfn.NUMBERVALUE(RIGHT($E1881:$E3879,2)))),TRUE)</f>
        <v>1</v>
      </c>
      <c r="G1881" s="336"/>
      <c r="H1881" s="336"/>
      <c r="I1881" s="336"/>
      <c r="J1881" s="336"/>
      <c r="K1881" s="336"/>
      <c r="L1881" s="336"/>
      <c r="M1881" s="336"/>
      <c r="N1881" s="336"/>
      <c r="O1881" s="336"/>
      <c r="P1881" s="336"/>
      <c r="Q1881" s="336"/>
      <c r="R1881" s="336"/>
      <c r="S1881" s="336"/>
      <c r="T1881" s="336"/>
    </row>
    <row r="1882" spans="1:20" x14ac:dyDescent="0.25">
      <c r="A1882" s="336"/>
      <c r="B1882" s="336"/>
      <c r="C1882" s="336"/>
      <c r="D1882" s="336"/>
      <c r="E1882" s="336"/>
      <c r="F1882" s="104" t="b">
        <f t="array" ref="F1882">IF(_xlfn.NUMBERVALUE(RIGHT($E1882,2))=MAX(IF(LEFT($E1882:$E3880,11)=LEFT($E1882,11),_xlfn.NUMBERVALUE(RIGHT($E1882:$E3880,2)))),TRUE)</f>
        <v>1</v>
      </c>
      <c r="G1882" s="336"/>
      <c r="H1882" s="336"/>
      <c r="I1882" s="336"/>
      <c r="J1882" s="336"/>
      <c r="K1882" s="336"/>
      <c r="L1882" s="336"/>
      <c r="M1882" s="336"/>
      <c r="N1882" s="336"/>
      <c r="O1882" s="336"/>
      <c r="P1882" s="336"/>
      <c r="Q1882" s="336"/>
      <c r="R1882" s="336"/>
      <c r="S1882" s="336"/>
      <c r="T1882" s="336"/>
    </row>
    <row r="1883" spans="1:20" x14ac:dyDescent="0.25">
      <c r="A1883" s="336"/>
      <c r="B1883" s="336"/>
      <c r="C1883" s="336"/>
      <c r="D1883" s="336"/>
      <c r="E1883" s="336"/>
      <c r="F1883" s="104" t="b">
        <f t="array" ref="F1883">IF(_xlfn.NUMBERVALUE(RIGHT($E1883,2))=MAX(IF(LEFT($E1883:$E3881,11)=LEFT($E1883,11),_xlfn.NUMBERVALUE(RIGHT($E1883:$E3881,2)))),TRUE)</f>
        <v>1</v>
      </c>
      <c r="G1883" s="336"/>
      <c r="H1883" s="336"/>
      <c r="I1883" s="336"/>
      <c r="J1883" s="336"/>
      <c r="K1883" s="336"/>
      <c r="L1883" s="336"/>
      <c r="M1883" s="336"/>
      <c r="N1883" s="336"/>
      <c r="O1883" s="336"/>
      <c r="P1883" s="336"/>
      <c r="Q1883" s="336"/>
      <c r="R1883" s="336"/>
      <c r="S1883" s="336"/>
      <c r="T1883" s="336"/>
    </row>
    <row r="1884" spans="1:20" x14ac:dyDescent="0.25">
      <c r="A1884" s="336"/>
      <c r="B1884" s="336"/>
      <c r="C1884" s="336"/>
      <c r="D1884" s="336"/>
      <c r="E1884" s="336"/>
      <c r="F1884" s="104" t="b">
        <f t="array" ref="F1884">IF(_xlfn.NUMBERVALUE(RIGHT($E1884,2))=MAX(IF(LEFT($E1884:$E3882,11)=LEFT($E1884,11),_xlfn.NUMBERVALUE(RIGHT($E1884:$E3882,2)))),TRUE)</f>
        <v>1</v>
      </c>
      <c r="G1884" s="336"/>
      <c r="H1884" s="336"/>
      <c r="I1884" s="336"/>
      <c r="J1884" s="336"/>
      <c r="K1884" s="336"/>
      <c r="L1884" s="336"/>
      <c r="M1884" s="336"/>
      <c r="N1884" s="336"/>
      <c r="O1884" s="336"/>
      <c r="P1884" s="336"/>
      <c r="Q1884" s="336"/>
      <c r="R1884" s="336"/>
      <c r="S1884" s="336"/>
      <c r="T1884" s="336"/>
    </row>
    <row r="1885" spans="1:20" x14ac:dyDescent="0.25">
      <c r="A1885" s="336"/>
      <c r="B1885" s="336"/>
      <c r="C1885" s="336"/>
      <c r="D1885" s="336"/>
      <c r="E1885" s="336"/>
      <c r="F1885" s="104" t="b">
        <f t="array" ref="F1885">IF(_xlfn.NUMBERVALUE(RIGHT($E1885,2))=MAX(IF(LEFT($E1885:$E3883,11)=LEFT($E1885,11),_xlfn.NUMBERVALUE(RIGHT($E1885:$E3883,2)))),TRUE)</f>
        <v>1</v>
      </c>
      <c r="G1885" s="336"/>
      <c r="H1885" s="336"/>
      <c r="I1885" s="336"/>
      <c r="J1885" s="336"/>
      <c r="K1885" s="336"/>
      <c r="L1885" s="336"/>
      <c r="M1885" s="336"/>
      <c r="N1885" s="336"/>
      <c r="O1885" s="336"/>
      <c r="P1885" s="336"/>
      <c r="Q1885" s="336"/>
      <c r="R1885" s="336"/>
      <c r="S1885" s="336"/>
      <c r="T1885" s="336"/>
    </row>
    <row r="1886" spans="1:20" x14ac:dyDescent="0.25">
      <c r="A1886" s="336"/>
      <c r="B1886" s="336"/>
      <c r="C1886" s="336"/>
      <c r="D1886" s="336"/>
      <c r="E1886" s="336"/>
      <c r="F1886" s="104" t="b">
        <f t="array" ref="F1886">IF(_xlfn.NUMBERVALUE(RIGHT($E1886,2))=MAX(IF(LEFT($E1886:$E3884,11)=LEFT($E1886,11),_xlfn.NUMBERVALUE(RIGHT($E1886:$E3884,2)))),TRUE)</f>
        <v>1</v>
      </c>
      <c r="G1886" s="336"/>
      <c r="H1886" s="336"/>
      <c r="I1886" s="336"/>
      <c r="J1886" s="336"/>
      <c r="K1886" s="336"/>
      <c r="L1886" s="336"/>
      <c r="M1886" s="336"/>
      <c r="N1886" s="336"/>
      <c r="O1886" s="336"/>
      <c r="P1886" s="336"/>
      <c r="Q1886" s="336"/>
      <c r="R1886" s="336"/>
      <c r="S1886" s="336"/>
      <c r="T1886" s="336"/>
    </row>
    <row r="1887" spans="1:20" x14ac:dyDescent="0.25">
      <c r="A1887" s="336"/>
      <c r="B1887" s="336"/>
      <c r="C1887" s="336"/>
      <c r="D1887" s="336"/>
      <c r="E1887" s="336"/>
      <c r="F1887" s="104" t="b">
        <f t="array" ref="F1887">IF(_xlfn.NUMBERVALUE(RIGHT($E1887,2))=MAX(IF(LEFT($E1887:$E3885,11)=LEFT($E1887,11),_xlfn.NUMBERVALUE(RIGHT($E1887:$E3885,2)))),TRUE)</f>
        <v>1</v>
      </c>
      <c r="G1887" s="336"/>
      <c r="H1887" s="336"/>
      <c r="I1887" s="336"/>
      <c r="J1887" s="336"/>
      <c r="K1887" s="336"/>
      <c r="L1887" s="336"/>
      <c r="M1887" s="336"/>
      <c r="N1887" s="336"/>
      <c r="O1887" s="336"/>
      <c r="P1887" s="336"/>
      <c r="Q1887" s="336"/>
      <c r="R1887" s="336"/>
      <c r="S1887" s="336"/>
      <c r="T1887" s="336"/>
    </row>
    <row r="1888" spans="1:20" x14ac:dyDescent="0.25">
      <c r="A1888" s="336"/>
      <c r="B1888" s="336"/>
      <c r="C1888" s="336"/>
      <c r="D1888" s="336"/>
      <c r="E1888" s="336"/>
      <c r="F1888" s="104" t="b">
        <f t="array" ref="F1888">IF(_xlfn.NUMBERVALUE(RIGHT($E1888,2))=MAX(IF(LEFT($E1888:$E3886,11)=LEFT($E1888,11),_xlfn.NUMBERVALUE(RIGHT($E1888:$E3886,2)))),TRUE)</f>
        <v>1</v>
      </c>
      <c r="G1888" s="336"/>
      <c r="H1888" s="336"/>
      <c r="I1888" s="336"/>
      <c r="J1888" s="336"/>
      <c r="K1888" s="336"/>
      <c r="L1888" s="336"/>
      <c r="M1888" s="336"/>
      <c r="N1888" s="336"/>
      <c r="O1888" s="336"/>
      <c r="P1888" s="336"/>
      <c r="Q1888" s="336"/>
      <c r="R1888" s="336"/>
      <c r="S1888" s="336"/>
      <c r="T1888" s="336"/>
    </row>
    <row r="1889" spans="1:20" x14ac:dyDescent="0.25">
      <c r="A1889" s="336"/>
      <c r="B1889" s="336"/>
      <c r="C1889" s="336"/>
      <c r="D1889" s="336"/>
      <c r="E1889" s="336"/>
      <c r="F1889" s="104" t="b">
        <f t="array" ref="F1889">IF(_xlfn.NUMBERVALUE(RIGHT($E1889,2))=MAX(IF(LEFT($E1889:$E3887,11)=LEFT($E1889,11),_xlfn.NUMBERVALUE(RIGHT($E1889:$E3887,2)))),TRUE)</f>
        <v>1</v>
      </c>
      <c r="G1889" s="336"/>
      <c r="H1889" s="336"/>
      <c r="I1889" s="336"/>
      <c r="J1889" s="336"/>
      <c r="K1889" s="336"/>
      <c r="L1889" s="336"/>
      <c r="M1889" s="336"/>
      <c r="N1889" s="336"/>
      <c r="O1889" s="336"/>
      <c r="P1889" s="336"/>
      <c r="Q1889" s="336"/>
      <c r="R1889" s="336"/>
      <c r="S1889" s="336"/>
      <c r="T1889" s="336"/>
    </row>
    <row r="1890" spans="1:20" x14ac:dyDescent="0.25">
      <c r="A1890" s="336"/>
      <c r="B1890" s="336"/>
      <c r="C1890" s="336"/>
      <c r="D1890" s="336"/>
      <c r="E1890" s="336"/>
      <c r="F1890" s="104" t="b">
        <f t="array" ref="F1890">IF(_xlfn.NUMBERVALUE(RIGHT($E1890,2))=MAX(IF(LEFT($E1890:$E3888,11)=LEFT($E1890,11),_xlfn.NUMBERVALUE(RIGHT($E1890:$E3888,2)))),TRUE)</f>
        <v>1</v>
      </c>
      <c r="G1890" s="336"/>
      <c r="H1890" s="336"/>
      <c r="I1890" s="336"/>
      <c r="J1890" s="336"/>
      <c r="K1890" s="336"/>
      <c r="L1890" s="336"/>
      <c r="M1890" s="336"/>
      <c r="N1890" s="336"/>
      <c r="O1890" s="336"/>
      <c r="P1890" s="336"/>
      <c r="Q1890" s="336"/>
      <c r="R1890" s="336"/>
      <c r="S1890" s="336"/>
      <c r="T1890" s="336"/>
    </row>
    <row r="1891" spans="1:20" x14ac:dyDescent="0.25">
      <c r="A1891" s="336"/>
      <c r="B1891" s="336"/>
      <c r="C1891" s="336"/>
      <c r="D1891" s="336"/>
      <c r="E1891" s="336"/>
      <c r="F1891" s="104" t="b">
        <f t="array" ref="F1891">IF(_xlfn.NUMBERVALUE(RIGHT($E1891,2))=MAX(IF(LEFT($E1891:$E3889,11)=LEFT($E1891,11),_xlfn.NUMBERVALUE(RIGHT($E1891:$E3889,2)))),TRUE)</f>
        <v>1</v>
      </c>
      <c r="G1891" s="336"/>
      <c r="H1891" s="336"/>
      <c r="I1891" s="336"/>
      <c r="J1891" s="336"/>
      <c r="K1891" s="336"/>
      <c r="L1891" s="336"/>
      <c r="M1891" s="336"/>
      <c r="N1891" s="336"/>
      <c r="O1891" s="336"/>
      <c r="P1891" s="336"/>
      <c r="Q1891" s="336"/>
      <c r="R1891" s="336"/>
      <c r="S1891" s="336"/>
      <c r="T1891" s="336"/>
    </row>
    <row r="1892" spans="1:20" x14ac:dyDescent="0.25">
      <c r="A1892" s="336"/>
      <c r="B1892" s="336"/>
      <c r="C1892" s="336"/>
      <c r="D1892" s="336"/>
      <c r="E1892" s="336"/>
      <c r="F1892" s="104" t="b">
        <f t="array" ref="F1892">IF(_xlfn.NUMBERVALUE(RIGHT($E1892,2))=MAX(IF(LEFT($E1892:$E3890,11)=LEFT($E1892,11),_xlfn.NUMBERVALUE(RIGHT($E1892:$E3890,2)))),TRUE)</f>
        <v>1</v>
      </c>
      <c r="G1892" s="336"/>
      <c r="H1892" s="336"/>
      <c r="I1892" s="336"/>
      <c r="J1892" s="336"/>
      <c r="K1892" s="336"/>
      <c r="L1892" s="336"/>
      <c r="M1892" s="336"/>
      <c r="N1892" s="336"/>
      <c r="O1892" s="336"/>
      <c r="P1892" s="336"/>
      <c r="Q1892" s="336"/>
      <c r="R1892" s="336"/>
      <c r="S1892" s="336"/>
      <c r="T1892" s="336"/>
    </row>
    <row r="1893" spans="1:20" x14ac:dyDescent="0.25">
      <c r="A1893" s="336"/>
      <c r="B1893" s="336"/>
      <c r="C1893" s="336"/>
      <c r="D1893" s="336"/>
      <c r="E1893" s="336"/>
      <c r="F1893" s="104" t="b">
        <f t="array" ref="F1893">IF(_xlfn.NUMBERVALUE(RIGHT($E1893,2))=MAX(IF(LEFT($E1893:$E3891,11)=LEFT($E1893,11),_xlfn.NUMBERVALUE(RIGHT($E1893:$E3891,2)))),TRUE)</f>
        <v>1</v>
      </c>
      <c r="G1893" s="336"/>
      <c r="H1893" s="336"/>
      <c r="I1893" s="336"/>
      <c r="J1893" s="336"/>
      <c r="K1893" s="336"/>
      <c r="L1893" s="336"/>
      <c r="M1893" s="336"/>
      <c r="N1893" s="336"/>
      <c r="O1893" s="336"/>
      <c r="P1893" s="336"/>
      <c r="Q1893" s="336"/>
      <c r="R1893" s="336"/>
      <c r="S1893" s="336"/>
      <c r="T1893" s="336"/>
    </row>
    <row r="1894" spans="1:20" x14ac:dyDescent="0.25">
      <c r="A1894" s="336"/>
      <c r="B1894" s="336"/>
      <c r="C1894" s="336"/>
      <c r="D1894" s="336"/>
      <c r="E1894" s="336"/>
      <c r="F1894" s="104" t="b">
        <f t="array" ref="F1894">IF(_xlfn.NUMBERVALUE(RIGHT($E1894,2))=MAX(IF(LEFT($E1894:$E3892,11)=LEFT($E1894,11),_xlfn.NUMBERVALUE(RIGHT($E1894:$E3892,2)))),TRUE)</f>
        <v>1</v>
      </c>
      <c r="G1894" s="336"/>
      <c r="H1894" s="336"/>
      <c r="I1894" s="336"/>
      <c r="J1894" s="336"/>
      <c r="K1894" s="336"/>
      <c r="L1894" s="336"/>
      <c r="M1894" s="336"/>
      <c r="N1894" s="336"/>
      <c r="O1894" s="336"/>
      <c r="P1894" s="336"/>
      <c r="Q1894" s="336"/>
      <c r="R1894" s="336"/>
      <c r="S1894" s="336"/>
      <c r="T1894" s="336"/>
    </row>
    <row r="1895" spans="1:20" x14ac:dyDescent="0.25">
      <c r="A1895" s="336"/>
      <c r="B1895" s="336"/>
      <c r="C1895" s="336"/>
      <c r="D1895" s="336"/>
      <c r="E1895" s="336"/>
      <c r="F1895" s="104" t="b">
        <f t="array" ref="F1895">IF(_xlfn.NUMBERVALUE(RIGHT($E1895,2))=MAX(IF(LEFT($E1895:$E3893,11)=LEFT($E1895,11),_xlfn.NUMBERVALUE(RIGHT($E1895:$E3893,2)))),TRUE)</f>
        <v>1</v>
      </c>
      <c r="G1895" s="336"/>
      <c r="H1895" s="336"/>
      <c r="I1895" s="336"/>
      <c r="J1895" s="336"/>
      <c r="K1895" s="336"/>
      <c r="L1895" s="336"/>
      <c r="M1895" s="336"/>
      <c r="N1895" s="336"/>
      <c r="O1895" s="336"/>
      <c r="P1895" s="336"/>
      <c r="Q1895" s="336"/>
      <c r="R1895" s="336"/>
      <c r="S1895" s="336"/>
      <c r="T1895" s="336"/>
    </row>
    <row r="1896" spans="1:20" x14ac:dyDescent="0.25">
      <c r="A1896" s="336"/>
      <c r="B1896" s="336"/>
      <c r="C1896" s="336"/>
      <c r="D1896" s="336"/>
      <c r="E1896" s="336"/>
      <c r="F1896" s="104" t="b">
        <f t="array" ref="F1896">IF(_xlfn.NUMBERVALUE(RIGHT($E1896,2))=MAX(IF(LEFT($E1896:$E3894,11)=LEFT($E1896,11),_xlfn.NUMBERVALUE(RIGHT($E1896:$E3894,2)))),TRUE)</f>
        <v>1</v>
      </c>
      <c r="G1896" s="336"/>
      <c r="H1896" s="336"/>
      <c r="I1896" s="336"/>
      <c r="J1896" s="336"/>
      <c r="K1896" s="336"/>
      <c r="L1896" s="336"/>
      <c r="M1896" s="336"/>
      <c r="N1896" s="336"/>
      <c r="O1896" s="336"/>
      <c r="P1896" s="336"/>
      <c r="Q1896" s="336"/>
      <c r="R1896" s="336"/>
      <c r="S1896" s="336"/>
      <c r="T1896" s="336"/>
    </row>
    <row r="1897" spans="1:20" x14ac:dyDescent="0.25">
      <c r="A1897" s="336"/>
      <c r="B1897" s="336"/>
      <c r="C1897" s="336"/>
      <c r="D1897" s="336"/>
      <c r="E1897" s="336"/>
      <c r="F1897" s="104" t="b">
        <f t="array" ref="F1897">IF(_xlfn.NUMBERVALUE(RIGHT($E1897,2))=MAX(IF(LEFT($E1897:$E3895,11)=LEFT($E1897,11),_xlfn.NUMBERVALUE(RIGHT($E1897:$E3895,2)))),TRUE)</f>
        <v>1</v>
      </c>
      <c r="G1897" s="336"/>
      <c r="H1897" s="336"/>
      <c r="I1897" s="336"/>
      <c r="J1897" s="336"/>
      <c r="K1897" s="336"/>
      <c r="L1897" s="336"/>
      <c r="M1897" s="336"/>
      <c r="N1897" s="336"/>
      <c r="O1897" s="336"/>
      <c r="P1897" s="336"/>
      <c r="Q1897" s="336"/>
      <c r="R1897" s="336"/>
      <c r="S1897" s="336"/>
      <c r="T1897" s="336"/>
    </row>
    <row r="1898" spans="1:20" x14ac:dyDescent="0.25">
      <c r="A1898" s="336"/>
      <c r="B1898" s="336"/>
      <c r="C1898" s="336"/>
      <c r="D1898" s="336"/>
      <c r="E1898" s="336"/>
      <c r="F1898" s="104" t="b">
        <f t="array" ref="F1898">IF(_xlfn.NUMBERVALUE(RIGHT($E1898,2))=MAX(IF(LEFT($E1898:$E3896,11)=LEFT($E1898,11),_xlfn.NUMBERVALUE(RIGHT($E1898:$E3896,2)))),TRUE)</f>
        <v>1</v>
      </c>
      <c r="G1898" s="336"/>
      <c r="H1898" s="336"/>
      <c r="I1898" s="336"/>
      <c r="J1898" s="336"/>
      <c r="K1898" s="336"/>
      <c r="L1898" s="336"/>
      <c r="M1898" s="336"/>
      <c r="N1898" s="336"/>
      <c r="O1898" s="336"/>
      <c r="P1898" s="336"/>
      <c r="Q1898" s="336"/>
      <c r="R1898" s="336"/>
      <c r="S1898" s="336"/>
      <c r="T1898" s="336"/>
    </row>
    <row r="1899" spans="1:20" x14ac:dyDescent="0.25">
      <c r="A1899" s="336"/>
      <c r="B1899" s="336"/>
      <c r="C1899" s="336"/>
      <c r="D1899" s="336"/>
      <c r="E1899" s="336"/>
      <c r="F1899" s="104" t="b">
        <f t="array" ref="F1899">IF(_xlfn.NUMBERVALUE(RIGHT($E1899,2))=MAX(IF(LEFT($E1899:$E3897,11)=LEFT($E1899,11),_xlfn.NUMBERVALUE(RIGHT($E1899:$E3897,2)))),TRUE)</f>
        <v>1</v>
      </c>
      <c r="G1899" s="336"/>
      <c r="H1899" s="336"/>
      <c r="I1899" s="336"/>
      <c r="J1899" s="336"/>
      <c r="K1899" s="336"/>
      <c r="L1899" s="336"/>
      <c r="M1899" s="336"/>
      <c r="N1899" s="336"/>
      <c r="O1899" s="336"/>
      <c r="P1899" s="336"/>
      <c r="Q1899" s="336"/>
      <c r="R1899" s="336"/>
      <c r="S1899" s="336"/>
      <c r="T1899" s="336"/>
    </row>
    <row r="1900" spans="1:20" x14ac:dyDescent="0.25">
      <c r="A1900" s="336"/>
      <c r="B1900" s="336"/>
      <c r="C1900" s="336"/>
      <c r="D1900" s="336"/>
      <c r="E1900" s="336"/>
      <c r="F1900" s="104" t="b">
        <f t="array" ref="F1900">IF(_xlfn.NUMBERVALUE(RIGHT($E1900,2))=MAX(IF(LEFT($E1900:$E3898,11)=LEFT($E1900,11),_xlfn.NUMBERVALUE(RIGHT($E1900:$E3898,2)))),TRUE)</f>
        <v>1</v>
      </c>
      <c r="G1900" s="336"/>
      <c r="H1900" s="336"/>
      <c r="I1900" s="336"/>
      <c r="J1900" s="336"/>
      <c r="K1900" s="336"/>
      <c r="L1900" s="336"/>
      <c r="M1900" s="336"/>
      <c r="N1900" s="336"/>
      <c r="O1900" s="336"/>
      <c r="P1900" s="336"/>
      <c r="Q1900" s="336"/>
      <c r="R1900" s="336"/>
      <c r="S1900" s="336"/>
      <c r="T1900" s="336"/>
    </row>
    <row r="1901" spans="1:20" x14ac:dyDescent="0.25">
      <c r="A1901" s="336"/>
      <c r="B1901" s="336"/>
      <c r="C1901" s="336"/>
      <c r="D1901" s="336"/>
      <c r="E1901" s="336"/>
      <c r="F1901" s="104" t="b">
        <f t="array" ref="F1901">IF(_xlfn.NUMBERVALUE(RIGHT($E1901,2))=MAX(IF(LEFT($E1901:$E3899,11)=LEFT($E1901,11),_xlfn.NUMBERVALUE(RIGHT($E1901:$E3899,2)))),TRUE)</f>
        <v>1</v>
      </c>
      <c r="G1901" s="336"/>
      <c r="H1901" s="336"/>
      <c r="I1901" s="336"/>
      <c r="J1901" s="336"/>
      <c r="K1901" s="336"/>
      <c r="L1901" s="336"/>
      <c r="M1901" s="336"/>
      <c r="N1901" s="336"/>
      <c r="O1901" s="336"/>
      <c r="P1901" s="336"/>
      <c r="Q1901" s="336"/>
      <c r="R1901" s="336"/>
      <c r="S1901" s="336"/>
      <c r="T1901" s="336"/>
    </row>
    <row r="1902" spans="1:20" x14ac:dyDescent="0.25">
      <c r="A1902" s="336"/>
      <c r="B1902" s="336"/>
      <c r="C1902" s="336"/>
      <c r="D1902" s="336"/>
      <c r="E1902" s="336"/>
      <c r="F1902" s="104" t="b">
        <f t="array" ref="F1902">IF(_xlfn.NUMBERVALUE(RIGHT($E1902,2))=MAX(IF(LEFT($E1902:$E3900,11)=LEFT($E1902,11),_xlfn.NUMBERVALUE(RIGHT($E1902:$E3900,2)))),TRUE)</f>
        <v>1</v>
      </c>
      <c r="G1902" s="336"/>
      <c r="H1902" s="336"/>
      <c r="I1902" s="336"/>
      <c r="J1902" s="336"/>
      <c r="K1902" s="336"/>
      <c r="L1902" s="336"/>
      <c r="M1902" s="336"/>
      <c r="N1902" s="336"/>
      <c r="O1902" s="336"/>
      <c r="P1902" s="336"/>
      <c r="Q1902" s="336"/>
      <c r="R1902" s="336"/>
      <c r="S1902" s="336"/>
      <c r="T1902" s="336"/>
    </row>
    <row r="1903" spans="1:20" x14ac:dyDescent="0.25">
      <c r="A1903" s="336"/>
      <c r="B1903" s="336"/>
      <c r="C1903" s="336"/>
      <c r="D1903" s="336"/>
      <c r="E1903" s="336"/>
      <c r="F1903" s="104" t="b">
        <f t="array" ref="F1903">IF(_xlfn.NUMBERVALUE(RIGHT($E1903,2))=MAX(IF(LEFT($E1903:$E3901,11)=LEFT($E1903,11),_xlfn.NUMBERVALUE(RIGHT($E1903:$E3901,2)))),TRUE)</f>
        <v>1</v>
      </c>
      <c r="G1903" s="336"/>
      <c r="H1903" s="336"/>
      <c r="I1903" s="336"/>
      <c r="J1903" s="336"/>
      <c r="K1903" s="336"/>
      <c r="L1903" s="336"/>
      <c r="M1903" s="336"/>
      <c r="N1903" s="336"/>
      <c r="O1903" s="336"/>
      <c r="P1903" s="336"/>
      <c r="Q1903" s="336"/>
      <c r="R1903" s="336"/>
      <c r="S1903" s="336"/>
      <c r="T1903" s="336"/>
    </row>
    <row r="1904" spans="1:20" x14ac:dyDescent="0.25">
      <c r="A1904" s="336"/>
      <c r="B1904" s="336"/>
      <c r="C1904" s="336"/>
      <c r="D1904" s="336"/>
      <c r="E1904" s="336"/>
      <c r="F1904" s="104" t="b">
        <f t="array" ref="F1904">IF(_xlfn.NUMBERVALUE(RIGHT($E1904,2))=MAX(IF(LEFT($E1904:$E3902,11)=LEFT($E1904,11),_xlfn.NUMBERVALUE(RIGHT($E1904:$E3902,2)))),TRUE)</f>
        <v>1</v>
      </c>
      <c r="G1904" s="336"/>
      <c r="H1904" s="336"/>
      <c r="I1904" s="336"/>
      <c r="J1904" s="336"/>
      <c r="K1904" s="336"/>
      <c r="L1904" s="336"/>
      <c r="M1904" s="336"/>
      <c r="N1904" s="336"/>
      <c r="O1904" s="336"/>
      <c r="P1904" s="336"/>
      <c r="Q1904" s="336"/>
      <c r="R1904" s="336"/>
      <c r="S1904" s="336"/>
      <c r="T1904" s="336"/>
    </row>
    <row r="1905" spans="1:20" x14ac:dyDescent="0.25">
      <c r="A1905" s="336"/>
      <c r="B1905" s="336"/>
      <c r="C1905" s="336"/>
      <c r="D1905" s="336"/>
      <c r="E1905" s="336"/>
      <c r="F1905" s="104" t="b">
        <f t="array" ref="F1905">IF(_xlfn.NUMBERVALUE(RIGHT($E1905,2))=MAX(IF(LEFT($E1905:$E3903,11)=LEFT($E1905,11),_xlfn.NUMBERVALUE(RIGHT($E1905:$E3903,2)))),TRUE)</f>
        <v>1</v>
      </c>
      <c r="G1905" s="336"/>
      <c r="H1905" s="336"/>
      <c r="I1905" s="336"/>
      <c r="J1905" s="336"/>
      <c r="K1905" s="336"/>
      <c r="L1905" s="336"/>
      <c r="M1905" s="336"/>
      <c r="N1905" s="336"/>
      <c r="O1905" s="336"/>
      <c r="P1905" s="336"/>
      <c r="Q1905" s="336"/>
      <c r="R1905" s="336"/>
      <c r="S1905" s="336"/>
      <c r="T1905" s="336"/>
    </row>
    <row r="1906" spans="1:20" x14ac:dyDescent="0.25">
      <c r="A1906" s="336"/>
      <c r="B1906" s="336"/>
      <c r="C1906" s="336"/>
      <c r="D1906" s="336"/>
      <c r="E1906" s="336"/>
      <c r="F1906" s="104" t="b">
        <f t="array" ref="F1906">IF(_xlfn.NUMBERVALUE(RIGHT($E1906,2))=MAX(IF(LEFT($E1906:$E3904,11)=LEFT($E1906,11),_xlfn.NUMBERVALUE(RIGHT($E1906:$E3904,2)))),TRUE)</f>
        <v>1</v>
      </c>
      <c r="G1906" s="336"/>
      <c r="H1906" s="336"/>
      <c r="I1906" s="336"/>
      <c r="J1906" s="336"/>
      <c r="K1906" s="336"/>
      <c r="L1906" s="336"/>
      <c r="M1906" s="336"/>
      <c r="N1906" s="336"/>
      <c r="O1906" s="336"/>
      <c r="P1906" s="336"/>
      <c r="Q1906" s="336"/>
      <c r="R1906" s="336"/>
      <c r="S1906" s="336"/>
      <c r="T1906" s="336"/>
    </row>
    <row r="1907" spans="1:20" x14ac:dyDescent="0.25">
      <c r="A1907" s="336"/>
      <c r="B1907" s="336"/>
      <c r="C1907" s="336"/>
      <c r="D1907" s="336"/>
      <c r="E1907" s="336"/>
      <c r="F1907" s="104" t="b">
        <f t="array" ref="F1907">IF(_xlfn.NUMBERVALUE(RIGHT($E1907,2))=MAX(IF(LEFT($E1907:$E3905,11)=LEFT($E1907,11),_xlfn.NUMBERVALUE(RIGHT($E1907:$E3905,2)))),TRUE)</f>
        <v>1</v>
      </c>
      <c r="G1907" s="336"/>
      <c r="H1907" s="336"/>
      <c r="I1907" s="336"/>
      <c r="J1907" s="336"/>
      <c r="K1907" s="336"/>
      <c r="L1907" s="336"/>
      <c r="M1907" s="336"/>
      <c r="N1907" s="336"/>
      <c r="O1907" s="336"/>
      <c r="P1907" s="336"/>
      <c r="Q1907" s="336"/>
      <c r="R1907" s="336"/>
      <c r="S1907" s="336"/>
      <c r="T1907" s="336"/>
    </row>
    <row r="1908" spans="1:20" x14ac:dyDescent="0.25">
      <c r="A1908" s="336"/>
      <c r="B1908" s="336"/>
      <c r="C1908" s="336"/>
      <c r="D1908" s="336"/>
      <c r="E1908" s="336"/>
      <c r="F1908" s="104" t="b">
        <f t="array" ref="F1908">IF(_xlfn.NUMBERVALUE(RIGHT($E1908,2))=MAX(IF(LEFT($E1908:$E3906,11)=LEFT($E1908,11),_xlfn.NUMBERVALUE(RIGHT($E1908:$E3906,2)))),TRUE)</f>
        <v>1</v>
      </c>
      <c r="G1908" s="336"/>
      <c r="H1908" s="336"/>
      <c r="I1908" s="336"/>
      <c r="J1908" s="336"/>
      <c r="K1908" s="336"/>
      <c r="L1908" s="336"/>
      <c r="M1908" s="336"/>
      <c r="N1908" s="336"/>
      <c r="O1908" s="336"/>
      <c r="P1908" s="336"/>
      <c r="Q1908" s="336"/>
      <c r="R1908" s="336"/>
      <c r="S1908" s="336"/>
      <c r="T1908" s="336"/>
    </row>
    <row r="1909" spans="1:20" x14ac:dyDescent="0.25">
      <c r="A1909" s="336"/>
      <c r="B1909" s="336"/>
      <c r="C1909" s="336"/>
      <c r="D1909" s="336"/>
      <c r="E1909" s="336"/>
      <c r="F1909" s="104" t="b">
        <f t="array" ref="F1909">IF(_xlfn.NUMBERVALUE(RIGHT($E1909,2))=MAX(IF(LEFT($E1909:$E3907,11)=LEFT($E1909,11),_xlfn.NUMBERVALUE(RIGHT($E1909:$E3907,2)))),TRUE)</f>
        <v>1</v>
      </c>
      <c r="G1909" s="336"/>
      <c r="H1909" s="336"/>
      <c r="I1909" s="336"/>
      <c r="J1909" s="336"/>
      <c r="K1909" s="336"/>
      <c r="L1909" s="336"/>
      <c r="M1909" s="336"/>
      <c r="N1909" s="336"/>
      <c r="O1909" s="336"/>
      <c r="P1909" s="336"/>
      <c r="Q1909" s="336"/>
      <c r="R1909" s="336"/>
      <c r="S1909" s="336"/>
      <c r="T1909" s="336"/>
    </row>
    <row r="1910" spans="1:20" x14ac:dyDescent="0.25">
      <c r="A1910" s="336"/>
      <c r="B1910" s="336"/>
      <c r="C1910" s="336"/>
      <c r="D1910" s="336"/>
      <c r="E1910" s="336"/>
      <c r="F1910" s="104" t="b">
        <f t="array" ref="F1910">IF(_xlfn.NUMBERVALUE(RIGHT($E1910,2))=MAX(IF(LEFT($E1910:$E3908,11)=LEFT($E1910,11),_xlfn.NUMBERVALUE(RIGHT($E1910:$E3908,2)))),TRUE)</f>
        <v>1</v>
      </c>
      <c r="G1910" s="336"/>
      <c r="H1910" s="336"/>
      <c r="I1910" s="336"/>
      <c r="J1910" s="336"/>
      <c r="K1910" s="336"/>
      <c r="L1910" s="336"/>
      <c r="M1910" s="336"/>
      <c r="N1910" s="336"/>
      <c r="O1910" s="336"/>
      <c r="P1910" s="336"/>
      <c r="Q1910" s="336"/>
      <c r="R1910" s="336"/>
      <c r="S1910" s="336"/>
      <c r="T1910" s="336"/>
    </row>
    <row r="1911" spans="1:20" x14ac:dyDescent="0.25">
      <c r="A1911" s="336"/>
      <c r="B1911" s="336"/>
      <c r="C1911" s="336"/>
      <c r="D1911" s="336"/>
      <c r="E1911" s="336"/>
      <c r="F1911" s="104" t="b">
        <f t="array" ref="F1911">IF(_xlfn.NUMBERVALUE(RIGHT($E1911,2))=MAX(IF(LEFT($E1911:$E3909,11)=LEFT($E1911,11),_xlfn.NUMBERVALUE(RIGHT($E1911:$E3909,2)))),TRUE)</f>
        <v>1</v>
      </c>
      <c r="G1911" s="336"/>
      <c r="H1911" s="336"/>
      <c r="I1911" s="336"/>
      <c r="J1911" s="336"/>
      <c r="K1911" s="336"/>
      <c r="L1911" s="336"/>
      <c r="M1911" s="336"/>
      <c r="N1911" s="336"/>
      <c r="O1911" s="336"/>
      <c r="P1911" s="336"/>
      <c r="Q1911" s="336"/>
      <c r="R1911" s="336"/>
      <c r="S1911" s="336"/>
      <c r="T1911" s="336"/>
    </row>
    <row r="1912" spans="1:20" x14ac:dyDescent="0.25">
      <c r="A1912" s="336"/>
      <c r="B1912" s="336"/>
      <c r="C1912" s="336"/>
      <c r="D1912" s="336"/>
      <c r="E1912" s="336"/>
      <c r="F1912" s="104" t="b">
        <f t="array" ref="F1912">IF(_xlfn.NUMBERVALUE(RIGHT($E1912,2))=MAX(IF(LEFT($E1912:$E3910,11)=LEFT($E1912,11),_xlfn.NUMBERVALUE(RIGHT($E1912:$E3910,2)))),TRUE)</f>
        <v>1</v>
      </c>
      <c r="G1912" s="336"/>
      <c r="H1912" s="336"/>
      <c r="I1912" s="336"/>
      <c r="J1912" s="336"/>
      <c r="K1912" s="336"/>
      <c r="L1912" s="336"/>
      <c r="M1912" s="336"/>
      <c r="N1912" s="336"/>
      <c r="O1912" s="336"/>
      <c r="P1912" s="336"/>
      <c r="Q1912" s="336"/>
      <c r="R1912" s="336"/>
      <c r="S1912" s="336"/>
      <c r="T1912" s="336"/>
    </row>
    <row r="1913" spans="1:20" x14ac:dyDescent="0.25">
      <c r="A1913" s="336"/>
      <c r="B1913" s="336"/>
      <c r="C1913" s="336"/>
      <c r="D1913" s="336"/>
      <c r="E1913" s="336"/>
      <c r="F1913" s="104" t="b">
        <f t="array" ref="F1913">IF(_xlfn.NUMBERVALUE(RIGHT($E1913,2))=MAX(IF(LEFT($E1913:$E3911,11)=LEFT($E1913,11),_xlfn.NUMBERVALUE(RIGHT($E1913:$E3911,2)))),TRUE)</f>
        <v>1</v>
      </c>
      <c r="G1913" s="336"/>
      <c r="H1913" s="336"/>
      <c r="I1913" s="336"/>
      <c r="J1913" s="336"/>
      <c r="K1913" s="336"/>
      <c r="L1913" s="336"/>
      <c r="M1913" s="336"/>
      <c r="N1913" s="336"/>
      <c r="O1913" s="336"/>
      <c r="P1913" s="336"/>
      <c r="Q1913" s="336"/>
      <c r="R1913" s="336"/>
      <c r="S1913" s="336"/>
      <c r="T1913" s="336"/>
    </row>
    <row r="1914" spans="1:20" x14ac:dyDescent="0.25">
      <c r="A1914" s="336"/>
      <c r="B1914" s="336"/>
      <c r="C1914" s="336"/>
      <c r="D1914" s="336"/>
      <c r="E1914" s="336"/>
      <c r="F1914" s="104" t="b">
        <f t="array" ref="F1914">IF(_xlfn.NUMBERVALUE(RIGHT($E1914,2))=MAX(IF(LEFT($E1914:$E3912,11)=LEFT($E1914,11),_xlfn.NUMBERVALUE(RIGHT($E1914:$E3912,2)))),TRUE)</f>
        <v>1</v>
      </c>
      <c r="G1914" s="336"/>
      <c r="H1914" s="336"/>
      <c r="I1914" s="336"/>
      <c r="J1914" s="336"/>
      <c r="K1914" s="336"/>
      <c r="L1914" s="336"/>
      <c r="M1914" s="336"/>
      <c r="N1914" s="336"/>
      <c r="O1914" s="336"/>
      <c r="P1914" s="336"/>
      <c r="Q1914" s="336"/>
      <c r="R1914" s="336"/>
      <c r="S1914" s="336"/>
      <c r="T1914" s="336"/>
    </row>
    <row r="1915" spans="1:20" x14ac:dyDescent="0.25">
      <c r="A1915" s="336"/>
      <c r="B1915" s="336"/>
      <c r="C1915" s="336"/>
      <c r="D1915" s="336"/>
      <c r="E1915" s="336"/>
      <c r="F1915" s="104" t="b">
        <f t="array" ref="F1915">IF(_xlfn.NUMBERVALUE(RIGHT($E1915,2))=MAX(IF(LEFT($E1915:$E3913,11)=LEFT($E1915,11),_xlfn.NUMBERVALUE(RIGHT($E1915:$E3913,2)))),TRUE)</f>
        <v>1</v>
      </c>
      <c r="G1915" s="336"/>
      <c r="H1915" s="336"/>
      <c r="I1915" s="336"/>
      <c r="J1915" s="336"/>
      <c r="K1915" s="336"/>
      <c r="L1915" s="336"/>
      <c r="M1915" s="336"/>
      <c r="N1915" s="336"/>
      <c r="O1915" s="336"/>
      <c r="P1915" s="336"/>
      <c r="Q1915" s="336"/>
      <c r="R1915" s="336"/>
      <c r="S1915" s="336"/>
      <c r="T1915" s="336"/>
    </row>
    <row r="1916" spans="1:20" x14ac:dyDescent="0.25">
      <c r="A1916" s="336"/>
      <c r="B1916" s="336"/>
      <c r="C1916" s="336"/>
      <c r="D1916" s="336"/>
      <c r="E1916" s="336"/>
      <c r="F1916" s="104" t="b">
        <f t="array" ref="F1916">IF(_xlfn.NUMBERVALUE(RIGHT($E1916,2))=MAX(IF(LEFT($E1916:$E3914,11)=LEFT($E1916,11),_xlfn.NUMBERVALUE(RIGHT($E1916:$E3914,2)))),TRUE)</f>
        <v>1</v>
      </c>
      <c r="G1916" s="336"/>
      <c r="H1916" s="336"/>
      <c r="I1916" s="336"/>
      <c r="J1916" s="336"/>
      <c r="K1916" s="336"/>
      <c r="L1916" s="336"/>
      <c r="M1916" s="336"/>
      <c r="N1916" s="336"/>
      <c r="O1916" s="336"/>
      <c r="P1916" s="336"/>
      <c r="Q1916" s="336"/>
      <c r="R1916" s="336"/>
      <c r="S1916" s="336"/>
      <c r="T1916" s="336"/>
    </row>
    <row r="1917" spans="1:20" x14ac:dyDescent="0.25">
      <c r="A1917" s="336"/>
      <c r="B1917" s="336"/>
      <c r="C1917" s="336"/>
      <c r="D1917" s="336"/>
      <c r="E1917" s="336"/>
      <c r="F1917" s="104" t="b">
        <f t="array" ref="F1917">IF(_xlfn.NUMBERVALUE(RIGHT($E1917,2))=MAX(IF(LEFT($E1917:$E3915,11)=LEFT($E1917,11),_xlfn.NUMBERVALUE(RIGHT($E1917:$E3915,2)))),TRUE)</f>
        <v>1</v>
      </c>
      <c r="G1917" s="336"/>
      <c r="H1917" s="336"/>
      <c r="I1917" s="336"/>
      <c r="J1917" s="336"/>
      <c r="K1917" s="336"/>
      <c r="L1917" s="336"/>
      <c r="M1917" s="336"/>
      <c r="N1917" s="336"/>
      <c r="O1917" s="336"/>
      <c r="P1917" s="336"/>
      <c r="Q1917" s="336"/>
      <c r="R1917" s="336"/>
      <c r="S1917" s="336"/>
      <c r="T1917" s="336"/>
    </row>
    <row r="1918" spans="1:20" x14ac:dyDescent="0.25">
      <c r="A1918" s="336"/>
      <c r="B1918" s="336"/>
      <c r="C1918" s="336"/>
      <c r="D1918" s="336"/>
      <c r="E1918" s="336"/>
      <c r="F1918" s="104" t="b">
        <f t="array" ref="F1918">IF(_xlfn.NUMBERVALUE(RIGHT($E1918,2))=MAX(IF(LEFT($E1918:$E3916,11)=LEFT($E1918,11),_xlfn.NUMBERVALUE(RIGHT($E1918:$E3916,2)))),TRUE)</f>
        <v>1</v>
      </c>
      <c r="G1918" s="336"/>
      <c r="H1918" s="336"/>
      <c r="I1918" s="336"/>
      <c r="J1918" s="336"/>
      <c r="K1918" s="336"/>
      <c r="L1918" s="336"/>
      <c r="M1918" s="336"/>
      <c r="N1918" s="336"/>
      <c r="O1918" s="336"/>
      <c r="P1918" s="336"/>
      <c r="Q1918" s="336"/>
      <c r="R1918" s="336"/>
      <c r="S1918" s="336"/>
      <c r="T1918" s="336"/>
    </row>
    <row r="1919" spans="1:20" x14ac:dyDescent="0.25">
      <c r="A1919" s="336"/>
      <c r="B1919" s="336"/>
      <c r="C1919" s="336"/>
      <c r="D1919" s="336"/>
      <c r="E1919" s="336"/>
      <c r="F1919" s="104" t="b">
        <f t="array" ref="F1919">IF(_xlfn.NUMBERVALUE(RIGHT($E1919,2))=MAX(IF(LEFT($E1919:$E3917,11)=LEFT($E1919,11),_xlfn.NUMBERVALUE(RIGHT($E1919:$E3917,2)))),TRUE)</f>
        <v>1</v>
      </c>
      <c r="G1919" s="336"/>
      <c r="H1919" s="336"/>
      <c r="I1919" s="336"/>
      <c r="J1919" s="336"/>
      <c r="K1919" s="336"/>
      <c r="L1919" s="336"/>
      <c r="M1919" s="336"/>
      <c r="N1919" s="336"/>
      <c r="O1919" s="336"/>
      <c r="P1919" s="336"/>
      <c r="Q1919" s="336"/>
      <c r="R1919" s="336"/>
      <c r="S1919" s="336"/>
      <c r="T1919" s="336"/>
    </row>
    <row r="1920" spans="1:20" x14ac:dyDescent="0.25">
      <c r="A1920" s="336"/>
      <c r="B1920" s="336"/>
      <c r="C1920" s="336"/>
      <c r="D1920" s="336"/>
      <c r="E1920" s="336"/>
      <c r="F1920" s="104" t="b">
        <f t="array" ref="F1920">IF(_xlfn.NUMBERVALUE(RIGHT($E1920,2))=MAX(IF(LEFT($E1920:$E3918,11)=LEFT($E1920,11),_xlfn.NUMBERVALUE(RIGHT($E1920:$E3918,2)))),TRUE)</f>
        <v>1</v>
      </c>
      <c r="G1920" s="336"/>
      <c r="H1920" s="336"/>
      <c r="I1920" s="336"/>
      <c r="J1920" s="336"/>
      <c r="K1920" s="336"/>
      <c r="L1920" s="336"/>
      <c r="M1920" s="336"/>
      <c r="N1920" s="336"/>
      <c r="O1920" s="336"/>
      <c r="P1920" s="336"/>
      <c r="Q1920" s="336"/>
      <c r="R1920" s="336"/>
      <c r="S1920" s="336"/>
      <c r="T1920" s="336"/>
    </row>
    <row r="1921" spans="1:20" x14ac:dyDescent="0.25">
      <c r="A1921" s="336"/>
      <c r="B1921" s="336"/>
      <c r="C1921" s="336"/>
      <c r="D1921" s="336"/>
      <c r="E1921" s="336"/>
      <c r="F1921" s="104" t="b">
        <f t="array" ref="F1921">IF(_xlfn.NUMBERVALUE(RIGHT($E1921,2))=MAX(IF(LEFT($E1921:$E3919,11)=LEFT($E1921,11),_xlfn.NUMBERVALUE(RIGHT($E1921:$E3919,2)))),TRUE)</f>
        <v>1</v>
      </c>
      <c r="G1921" s="336"/>
      <c r="H1921" s="336"/>
      <c r="I1921" s="336"/>
      <c r="J1921" s="336"/>
      <c r="K1921" s="336"/>
      <c r="L1921" s="336"/>
      <c r="M1921" s="336"/>
      <c r="N1921" s="336"/>
      <c r="O1921" s="336"/>
      <c r="P1921" s="336"/>
      <c r="Q1921" s="336"/>
      <c r="R1921" s="336"/>
      <c r="S1921" s="336"/>
      <c r="T1921" s="336"/>
    </row>
    <row r="1922" spans="1:20" x14ac:dyDescent="0.25">
      <c r="A1922" s="327"/>
      <c r="B1922" s="327"/>
      <c r="C1922" s="327"/>
      <c r="D1922" s="327"/>
      <c r="E1922" s="327"/>
      <c r="F1922" s="104" t="b">
        <f t="array" ref="F1922">IF(_xlfn.NUMBERVALUE(RIGHT($E1922,2))=MAX(IF(LEFT($E1922:$E3920,11)=LEFT($E1922,11),_xlfn.NUMBERVALUE(RIGHT($E1922:$E3920,2)))),TRUE)</f>
        <v>1</v>
      </c>
      <c r="G1922" s="327"/>
      <c r="H1922" s="327"/>
      <c r="I1922" s="327"/>
      <c r="J1922" s="327"/>
      <c r="K1922" s="327"/>
      <c r="L1922" s="327"/>
      <c r="M1922" s="327"/>
      <c r="N1922" s="327"/>
      <c r="O1922" s="327"/>
      <c r="P1922" s="327"/>
      <c r="Q1922" s="327"/>
      <c r="R1922" s="327"/>
      <c r="S1922" s="327"/>
      <c r="T1922" s="327"/>
    </row>
    <row r="1923" spans="1:20" x14ac:dyDescent="0.25">
      <c r="A1923" s="327"/>
      <c r="B1923" s="327"/>
      <c r="C1923" s="327"/>
      <c r="D1923" s="327"/>
      <c r="E1923" s="327"/>
      <c r="F1923" s="104" t="b">
        <f t="array" ref="F1923">IF(_xlfn.NUMBERVALUE(RIGHT($E1923,2))=MAX(IF(LEFT($E1923:$E3921,11)=LEFT($E1923,11),_xlfn.NUMBERVALUE(RIGHT($E1923:$E3921,2)))),TRUE)</f>
        <v>1</v>
      </c>
      <c r="G1923" s="327"/>
      <c r="H1923" s="327"/>
      <c r="I1923" s="327"/>
      <c r="J1923" s="327"/>
      <c r="K1923" s="327"/>
      <c r="L1923" s="327"/>
      <c r="M1923" s="327"/>
      <c r="N1923" s="327"/>
      <c r="O1923" s="327"/>
      <c r="P1923" s="327"/>
      <c r="Q1923" s="327"/>
      <c r="R1923" s="327"/>
      <c r="S1923" s="327"/>
      <c r="T1923" s="327"/>
    </row>
    <row r="1924" spans="1:20" x14ac:dyDescent="0.25">
      <c r="A1924" s="327"/>
      <c r="B1924" s="327"/>
      <c r="C1924" s="327"/>
      <c r="D1924" s="327"/>
      <c r="E1924" s="327"/>
      <c r="F1924" s="104" t="b">
        <f t="array" ref="F1924">IF(_xlfn.NUMBERVALUE(RIGHT($E1924,2))=MAX(IF(LEFT($E1924:$E3922,11)=LEFT($E1924,11),_xlfn.NUMBERVALUE(RIGHT($E1924:$E3922,2)))),TRUE)</f>
        <v>1</v>
      </c>
      <c r="G1924" s="327"/>
      <c r="H1924" s="327"/>
      <c r="I1924" s="327"/>
      <c r="J1924" s="327"/>
      <c r="K1924" s="327"/>
      <c r="L1924" s="327"/>
      <c r="M1924" s="327"/>
      <c r="N1924" s="327"/>
      <c r="O1924" s="327"/>
      <c r="P1924" s="327"/>
      <c r="Q1924" s="327"/>
      <c r="R1924" s="327"/>
      <c r="S1924" s="327"/>
      <c r="T1924" s="327"/>
    </row>
    <row r="1925" spans="1:20" x14ac:dyDescent="0.25">
      <c r="A1925" s="327"/>
      <c r="B1925" s="327"/>
      <c r="C1925" s="327"/>
      <c r="D1925" s="327"/>
      <c r="E1925" s="327"/>
      <c r="F1925" s="104" t="b">
        <f t="array" ref="F1925">IF(_xlfn.NUMBERVALUE(RIGHT($E1925,2))=MAX(IF(LEFT($E1925:$E3923,11)=LEFT($E1925,11),_xlfn.NUMBERVALUE(RIGHT($E1925:$E3923,2)))),TRUE)</f>
        <v>1</v>
      </c>
      <c r="G1925" s="327"/>
      <c r="H1925" s="327"/>
      <c r="I1925" s="327"/>
      <c r="J1925" s="327"/>
      <c r="K1925" s="327"/>
      <c r="L1925" s="327"/>
      <c r="M1925" s="327"/>
      <c r="N1925" s="327"/>
      <c r="O1925" s="327"/>
      <c r="P1925" s="327"/>
      <c r="Q1925" s="327"/>
      <c r="R1925" s="327"/>
      <c r="S1925" s="327"/>
      <c r="T1925" s="327"/>
    </row>
    <row r="1926" spans="1:20" x14ac:dyDescent="0.25">
      <c r="A1926" s="327"/>
      <c r="B1926" s="327"/>
      <c r="C1926" s="327"/>
      <c r="D1926" s="327"/>
      <c r="E1926" s="327"/>
      <c r="F1926" s="104" t="b">
        <f t="array" ref="F1926">IF(_xlfn.NUMBERVALUE(RIGHT($E1926,2))=MAX(IF(LEFT($E1926:$E3924,11)=LEFT($E1926,11),_xlfn.NUMBERVALUE(RIGHT($E1926:$E3924,2)))),TRUE)</f>
        <v>1</v>
      </c>
      <c r="G1926" s="327"/>
      <c r="H1926" s="327"/>
      <c r="I1926" s="327"/>
      <c r="J1926" s="327"/>
      <c r="K1926" s="327"/>
      <c r="L1926" s="327"/>
      <c r="M1926" s="327"/>
      <c r="N1926" s="327"/>
      <c r="O1926" s="327"/>
      <c r="P1926" s="327"/>
      <c r="Q1926" s="327"/>
      <c r="R1926" s="327"/>
      <c r="S1926" s="327"/>
      <c r="T1926" s="327"/>
    </row>
    <row r="1927" spans="1:20" x14ac:dyDescent="0.25">
      <c r="A1927" s="327"/>
      <c r="B1927" s="327"/>
      <c r="C1927" s="327"/>
      <c r="D1927" s="327"/>
      <c r="E1927" s="327"/>
      <c r="F1927" s="104" t="b">
        <f t="array" ref="F1927">IF(_xlfn.NUMBERVALUE(RIGHT($E1927,2))=MAX(IF(LEFT($E1927:$E3925,11)=LEFT($E1927,11),_xlfn.NUMBERVALUE(RIGHT($E1927:$E3925,2)))),TRUE)</f>
        <v>1</v>
      </c>
      <c r="G1927" s="327"/>
      <c r="H1927" s="327"/>
      <c r="I1927" s="327"/>
      <c r="J1927" s="327"/>
      <c r="K1927" s="327"/>
      <c r="L1927" s="327"/>
      <c r="M1927" s="327"/>
      <c r="N1927" s="327"/>
      <c r="O1927" s="327"/>
      <c r="P1927" s="327"/>
      <c r="Q1927" s="327"/>
      <c r="R1927" s="327"/>
      <c r="S1927" s="327"/>
      <c r="T1927" s="327"/>
    </row>
    <row r="1928" spans="1:20" x14ac:dyDescent="0.25">
      <c r="A1928" s="327"/>
      <c r="B1928" s="327"/>
      <c r="C1928" s="327"/>
      <c r="D1928" s="327"/>
      <c r="E1928" s="327"/>
      <c r="F1928" s="104" t="b">
        <f t="array" ref="F1928">IF(_xlfn.NUMBERVALUE(RIGHT($E1928,2))=MAX(IF(LEFT($E1928:$E3926,11)=LEFT($E1928,11),_xlfn.NUMBERVALUE(RIGHT($E1928:$E3926,2)))),TRUE)</f>
        <v>1</v>
      </c>
      <c r="G1928" s="327"/>
      <c r="H1928" s="327"/>
      <c r="I1928" s="327"/>
      <c r="J1928" s="327"/>
      <c r="K1928" s="327"/>
      <c r="L1928" s="327"/>
      <c r="M1928" s="327"/>
      <c r="N1928" s="327"/>
      <c r="O1928" s="327"/>
      <c r="P1928" s="327"/>
      <c r="Q1928" s="327"/>
      <c r="R1928" s="327"/>
      <c r="S1928" s="327"/>
      <c r="T1928" s="327"/>
    </row>
    <row r="1929" spans="1:20" x14ac:dyDescent="0.25">
      <c r="A1929" s="327"/>
      <c r="B1929" s="327"/>
      <c r="C1929" s="327"/>
      <c r="D1929" s="327"/>
      <c r="E1929" s="327"/>
      <c r="F1929" s="104" t="b">
        <f t="array" ref="F1929">IF(_xlfn.NUMBERVALUE(RIGHT($E1929,2))=MAX(IF(LEFT($E1929:$E3927,11)=LEFT($E1929,11),_xlfn.NUMBERVALUE(RIGHT($E1929:$E3927,2)))),TRUE)</f>
        <v>1</v>
      </c>
      <c r="G1929" s="327"/>
      <c r="H1929" s="327"/>
      <c r="I1929" s="327"/>
      <c r="J1929" s="327"/>
      <c r="K1929" s="327"/>
      <c r="L1929" s="327"/>
      <c r="M1929" s="327"/>
      <c r="N1929" s="327"/>
      <c r="O1929" s="327"/>
      <c r="P1929" s="327"/>
      <c r="Q1929" s="327"/>
      <c r="R1929" s="327"/>
      <c r="S1929" s="327"/>
      <c r="T1929" s="327"/>
    </row>
    <row r="1930" spans="1:20" x14ac:dyDescent="0.25">
      <c r="A1930" s="327"/>
      <c r="B1930" s="327"/>
      <c r="C1930" s="327"/>
      <c r="D1930" s="327"/>
      <c r="E1930" s="327"/>
      <c r="F1930" s="104" t="b">
        <f t="array" ref="F1930">IF(_xlfn.NUMBERVALUE(RIGHT($E1930,2))=MAX(IF(LEFT($E1930:$E3928,11)=LEFT($E1930,11),_xlfn.NUMBERVALUE(RIGHT($E1930:$E3928,2)))),TRUE)</f>
        <v>1</v>
      </c>
      <c r="G1930" s="327"/>
      <c r="H1930" s="327"/>
      <c r="I1930" s="327"/>
      <c r="J1930" s="327"/>
      <c r="K1930" s="327"/>
      <c r="L1930" s="327"/>
      <c r="M1930" s="327"/>
      <c r="N1930" s="327"/>
      <c r="O1930" s="327"/>
      <c r="P1930" s="327"/>
      <c r="Q1930" s="327"/>
      <c r="R1930" s="327"/>
      <c r="S1930" s="327"/>
      <c r="T1930" s="327"/>
    </row>
    <row r="1931" spans="1:20" x14ac:dyDescent="0.25">
      <c r="A1931" s="327"/>
      <c r="B1931" s="327"/>
      <c r="C1931" s="327"/>
      <c r="D1931" s="327"/>
      <c r="E1931" s="327"/>
      <c r="F1931" s="104" t="b">
        <f t="array" ref="F1931">IF(_xlfn.NUMBERVALUE(RIGHT($E1931,2))=MAX(IF(LEFT($E1931:$E3929,11)=LEFT($E1931,11),_xlfn.NUMBERVALUE(RIGHT($E1931:$E3929,2)))),TRUE)</f>
        <v>1</v>
      </c>
      <c r="G1931" s="327"/>
      <c r="H1931" s="327"/>
      <c r="I1931" s="327"/>
      <c r="J1931" s="327"/>
      <c r="K1931" s="327"/>
      <c r="L1931" s="327"/>
      <c r="M1931" s="327"/>
      <c r="N1931" s="327"/>
      <c r="O1931" s="327"/>
      <c r="P1931" s="327"/>
      <c r="Q1931" s="327"/>
      <c r="R1931" s="327"/>
      <c r="S1931" s="327"/>
      <c r="T1931" s="327"/>
    </row>
    <row r="1932" spans="1:20" x14ac:dyDescent="0.25">
      <c r="A1932" s="315"/>
      <c r="B1932" s="315"/>
      <c r="C1932" s="315"/>
      <c r="D1932" s="315"/>
      <c r="E1932" s="315"/>
      <c r="F1932" s="104" t="b">
        <f t="array" ref="F1932">IF(_xlfn.NUMBERVALUE(RIGHT($E1932,2))=MAX(IF(LEFT($E1932:$E3930,11)=LEFT($E1932,11),_xlfn.NUMBERVALUE(RIGHT($E1932:$E3930,2)))),TRUE)</f>
        <v>1</v>
      </c>
      <c r="G1932" s="315"/>
      <c r="H1932" s="315"/>
      <c r="I1932" s="315"/>
      <c r="J1932" s="315"/>
      <c r="K1932" s="315"/>
      <c r="L1932" s="315"/>
      <c r="M1932" s="315"/>
      <c r="N1932" s="315"/>
      <c r="O1932" s="315"/>
      <c r="P1932" s="315"/>
      <c r="Q1932" s="315"/>
      <c r="R1932" s="315"/>
      <c r="S1932" s="315"/>
      <c r="T1932" s="315"/>
    </row>
    <row r="1933" spans="1:20" x14ac:dyDescent="0.25">
      <c r="A1933" s="315"/>
      <c r="B1933" s="315"/>
      <c r="C1933" s="315"/>
      <c r="D1933" s="315"/>
      <c r="E1933" s="315"/>
      <c r="F1933" s="104" t="b">
        <f t="array" ref="F1933">IF(_xlfn.NUMBERVALUE(RIGHT($E1933,2))=MAX(IF(LEFT($E1933:$E3931,11)=LEFT($E1933,11),_xlfn.NUMBERVALUE(RIGHT($E1933:$E3931,2)))),TRUE)</f>
        <v>1</v>
      </c>
      <c r="G1933" s="315"/>
      <c r="H1933" s="315"/>
      <c r="I1933" s="315"/>
      <c r="J1933" s="315"/>
      <c r="K1933" s="315"/>
      <c r="L1933" s="315"/>
      <c r="M1933" s="315"/>
      <c r="N1933" s="315"/>
      <c r="O1933" s="315"/>
      <c r="P1933" s="315"/>
      <c r="Q1933" s="315"/>
      <c r="R1933" s="315"/>
      <c r="S1933" s="315"/>
      <c r="T1933" s="315"/>
    </row>
    <row r="1934" spans="1:20" x14ac:dyDescent="0.25">
      <c r="A1934" s="315"/>
      <c r="B1934" s="315"/>
      <c r="C1934" s="315"/>
      <c r="D1934" s="315"/>
      <c r="E1934" s="315"/>
      <c r="F1934" s="104" t="b">
        <f t="array" ref="F1934">IF(_xlfn.NUMBERVALUE(RIGHT($E1934,2))=MAX(IF(LEFT($E1934:$E3932,11)=LEFT($E1934,11),_xlfn.NUMBERVALUE(RIGHT($E1934:$E3932,2)))),TRUE)</f>
        <v>1</v>
      </c>
      <c r="G1934" s="315"/>
      <c r="H1934" s="315"/>
      <c r="I1934" s="315"/>
      <c r="J1934" s="315"/>
      <c r="K1934" s="315"/>
      <c r="L1934" s="315"/>
      <c r="M1934" s="315"/>
      <c r="N1934" s="315"/>
      <c r="O1934" s="315"/>
      <c r="P1934" s="315"/>
      <c r="Q1934" s="315"/>
      <c r="R1934" s="315"/>
      <c r="S1934" s="315"/>
      <c r="T1934" s="315"/>
    </row>
    <row r="1935" spans="1:20" x14ac:dyDescent="0.25">
      <c r="A1935" s="315"/>
      <c r="B1935" s="315"/>
      <c r="C1935" s="315"/>
      <c r="D1935" s="315"/>
      <c r="E1935" s="315"/>
      <c r="F1935" s="104" t="b">
        <f t="array" ref="F1935">IF(_xlfn.NUMBERVALUE(RIGHT($E1935,2))=MAX(IF(LEFT($E1935:$E3933,11)=LEFT($E1935,11),_xlfn.NUMBERVALUE(RIGHT($E1935:$E3933,2)))),TRUE)</f>
        <v>1</v>
      </c>
      <c r="G1935" s="315"/>
      <c r="H1935" s="315"/>
      <c r="I1935" s="315"/>
      <c r="J1935" s="315"/>
      <c r="K1935" s="315"/>
      <c r="L1935" s="315"/>
      <c r="M1935" s="315"/>
      <c r="N1935" s="315"/>
      <c r="O1935" s="315"/>
      <c r="P1935" s="315"/>
      <c r="Q1935" s="315"/>
      <c r="R1935" s="315"/>
      <c r="S1935" s="315"/>
      <c r="T1935" s="315"/>
    </row>
    <row r="1936" spans="1:20" x14ac:dyDescent="0.25">
      <c r="A1936" s="315"/>
      <c r="B1936" s="315"/>
      <c r="C1936" s="315"/>
      <c r="D1936" s="315"/>
      <c r="E1936" s="315"/>
      <c r="F1936" s="104" t="b">
        <f t="array" ref="F1936">IF(_xlfn.NUMBERVALUE(RIGHT($E1936,2))=MAX(IF(LEFT($E1936:$E3934,11)=LEFT($E1936,11),_xlfn.NUMBERVALUE(RIGHT($E1936:$E3934,2)))),TRUE)</f>
        <v>1</v>
      </c>
      <c r="G1936" s="315"/>
      <c r="H1936" s="315"/>
      <c r="I1936" s="315"/>
      <c r="J1936" s="315"/>
      <c r="K1936" s="315"/>
      <c r="L1936" s="315"/>
      <c r="M1936" s="315"/>
      <c r="N1936" s="315"/>
      <c r="O1936" s="315"/>
      <c r="P1936" s="315"/>
      <c r="Q1936" s="315"/>
      <c r="R1936" s="315"/>
      <c r="S1936" s="315"/>
      <c r="T1936" s="315"/>
    </row>
    <row r="1937" spans="1:20" x14ac:dyDescent="0.25">
      <c r="A1937" s="311"/>
      <c r="B1937" s="311"/>
      <c r="C1937" s="311"/>
      <c r="D1937" s="311"/>
      <c r="E1937" s="311"/>
      <c r="F1937" s="104" t="b">
        <f t="array" ref="F1937">IF(_xlfn.NUMBERVALUE(RIGHT($E1937,2))=MAX(IF(LEFT($E1937:$E3935,11)=LEFT($E1937,11),_xlfn.NUMBERVALUE(RIGHT($E1937:$E3935,2)))),TRUE)</f>
        <v>1</v>
      </c>
      <c r="G1937" s="311"/>
      <c r="H1937" s="311"/>
      <c r="I1937" s="311"/>
      <c r="J1937" s="311"/>
      <c r="K1937" s="311"/>
      <c r="L1937" s="311"/>
      <c r="M1937" s="311"/>
      <c r="N1937" s="311"/>
      <c r="O1937" s="311"/>
      <c r="P1937" s="311"/>
      <c r="Q1937" s="311"/>
      <c r="R1937" s="311"/>
      <c r="S1937" s="311"/>
      <c r="T1937" s="311"/>
    </row>
    <row r="1938" spans="1:20" x14ac:dyDescent="0.25">
      <c r="A1938" s="311"/>
      <c r="B1938" s="311"/>
      <c r="C1938" s="311"/>
      <c r="D1938" s="311"/>
      <c r="E1938" s="311"/>
      <c r="F1938" s="104" t="b">
        <f t="array" ref="F1938">IF(_xlfn.NUMBERVALUE(RIGHT($E1938,2))=MAX(IF(LEFT($E1938:$E3936,11)=LEFT($E1938,11),_xlfn.NUMBERVALUE(RIGHT($E1938:$E3936,2)))),TRUE)</f>
        <v>1</v>
      </c>
      <c r="G1938" s="311"/>
      <c r="H1938" s="311"/>
      <c r="I1938" s="311"/>
      <c r="J1938" s="311"/>
      <c r="K1938" s="311"/>
      <c r="L1938" s="311"/>
      <c r="M1938" s="311"/>
      <c r="N1938" s="311"/>
      <c r="O1938" s="311"/>
      <c r="P1938" s="311"/>
      <c r="Q1938" s="311"/>
      <c r="R1938" s="311"/>
      <c r="S1938" s="311"/>
      <c r="T1938" s="311"/>
    </row>
    <row r="1939" spans="1:20" x14ac:dyDescent="0.25">
      <c r="A1939" s="311"/>
      <c r="B1939" s="311"/>
      <c r="C1939" s="311"/>
      <c r="D1939" s="311"/>
      <c r="E1939" s="311"/>
      <c r="F1939" s="104" t="b">
        <f t="array" ref="F1939">IF(_xlfn.NUMBERVALUE(RIGHT($E1939,2))=MAX(IF(LEFT($E1939:$E3937,11)=LEFT($E1939,11),_xlfn.NUMBERVALUE(RIGHT($E1939:$E3937,2)))),TRUE)</f>
        <v>1</v>
      </c>
      <c r="G1939" s="311"/>
      <c r="H1939" s="311"/>
      <c r="I1939" s="311"/>
      <c r="J1939" s="311"/>
      <c r="K1939" s="311"/>
      <c r="L1939" s="311"/>
      <c r="M1939" s="311"/>
      <c r="N1939" s="311"/>
      <c r="O1939" s="311"/>
      <c r="P1939" s="311"/>
      <c r="Q1939" s="311"/>
      <c r="R1939" s="311"/>
      <c r="S1939" s="311"/>
      <c r="T1939" s="311"/>
    </row>
    <row r="1940" spans="1:20" x14ac:dyDescent="0.25">
      <c r="A1940" s="311"/>
      <c r="B1940" s="311"/>
      <c r="C1940" s="311"/>
      <c r="D1940" s="311"/>
      <c r="E1940" s="311"/>
      <c r="F1940" s="104" t="b">
        <f t="array" ref="F1940">IF(_xlfn.NUMBERVALUE(RIGHT($E1940,2))=MAX(IF(LEFT($E1940:$E3938,11)=LEFT($E1940,11),_xlfn.NUMBERVALUE(RIGHT($E1940:$E3938,2)))),TRUE)</f>
        <v>1</v>
      </c>
      <c r="G1940" s="311"/>
      <c r="H1940" s="311"/>
      <c r="I1940" s="311"/>
      <c r="J1940" s="311"/>
      <c r="K1940" s="311"/>
      <c r="L1940" s="311"/>
      <c r="M1940" s="311"/>
      <c r="N1940" s="311"/>
      <c r="O1940" s="311"/>
      <c r="P1940" s="311"/>
      <c r="Q1940" s="311"/>
      <c r="R1940" s="311"/>
      <c r="S1940" s="311"/>
      <c r="T1940" s="311"/>
    </row>
    <row r="1941" spans="1:20" x14ac:dyDescent="0.25">
      <c r="A1941" s="311"/>
      <c r="B1941" s="311"/>
      <c r="C1941" s="311"/>
      <c r="D1941" s="311"/>
      <c r="E1941" s="311"/>
      <c r="F1941" s="104" t="b">
        <f t="array" ref="F1941">IF(_xlfn.NUMBERVALUE(RIGHT($E1941,2))=MAX(IF(LEFT($E1941:$E3939,11)=LEFT($E1941,11),_xlfn.NUMBERVALUE(RIGHT($E1941:$E3939,2)))),TRUE)</f>
        <v>1</v>
      </c>
      <c r="G1941" s="311"/>
      <c r="H1941" s="311"/>
      <c r="I1941" s="311"/>
      <c r="J1941" s="311"/>
      <c r="K1941" s="311"/>
      <c r="L1941" s="311"/>
      <c r="M1941" s="311"/>
      <c r="N1941" s="311"/>
      <c r="O1941" s="311"/>
      <c r="P1941" s="311"/>
      <c r="Q1941" s="311"/>
      <c r="R1941" s="311"/>
      <c r="S1941" s="311"/>
      <c r="T1941" s="311"/>
    </row>
    <row r="1942" spans="1:20" x14ac:dyDescent="0.25">
      <c r="A1942" s="311"/>
      <c r="B1942" s="311"/>
      <c r="C1942" s="311"/>
      <c r="D1942" s="311"/>
      <c r="E1942" s="311"/>
      <c r="F1942" s="104" t="b">
        <f t="array" ref="F1942">IF(_xlfn.NUMBERVALUE(RIGHT($E1942,2))=MAX(IF(LEFT($E1942:$E3940,11)=LEFT($E1942,11),_xlfn.NUMBERVALUE(RIGHT($E1942:$E3940,2)))),TRUE)</f>
        <v>1</v>
      </c>
      <c r="G1942" s="311"/>
      <c r="H1942" s="311"/>
      <c r="I1942" s="311"/>
      <c r="J1942" s="311"/>
      <c r="K1942" s="311"/>
      <c r="L1942" s="311"/>
      <c r="M1942" s="311"/>
      <c r="N1942" s="311"/>
      <c r="O1942" s="311"/>
      <c r="P1942" s="311"/>
      <c r="Q1942" s="311"/>
      <c r="R1942" s="311"/>
      <c r="S1942" s="311"/>
      <c r="T1942" s="311"/>
    </row>
    <row r="1943" spans="1:20" x14ac:dyDescent="0.25">
      <c r="A1943" s="308"/>
      <c r="B1943" s="308"/>
      <c r="C1943" s="308"/>
      <c r="D1943" s="308"/>
      <c r="E1943" s="308"/>
      <c r="F1943" s="104" t="b">
        <f t="array" ref="F1943">IF(_xlfn.NUMBERVALUE(RIGHT($E1943,2))=MAX(IF(LEFT($E1943:$E3941,11)=LEFT($E1943,11),_xlfn.NUMBERVALUE(RIGHT($E1943:$E3941,2)))),TRUE)</f>
        <v>1</v>
      </c>
      <c r="G1943" s="308"/>
      <c r="H1943" s="308"/>
      <c r="I1943" s="308"/>
      <c r="J1943" s="308"/>
      <c r="K1943" s="308"/>
      <c r="L1943" s="308"/>
      <c r="M1943" s="308"/>
      <c r="N1943" s="308"/>
      <c r="O1943" s="308"/>
      <c r="P1943" s="308"/>
      <c r="Q1943" s="308"/>
      <c r="R1943" s="308"/>
      <c r="S1943" s="308"/>
      <c r="T1943" s="308"/>
    </row>
    <row r="1944" spans="1:20" x14ac:dyDescent="0.25">
      <c r="A1944" s="308"/>
      <c r="B1944" s="308"/>
      <c r="C1944" s="308"/>
      <c r="D1944" s="308"/>
      <c r="E1944" s="308"/>
      <c r="F1944" s="104" t="b">
        <f t="array" ref="F1944">IF(_xlfn.NUMBERVALUE(RIGHT($E1944,2))=MAX(IF(LEFT($E1944:$E3942,11)=LEFT($E1944,11),_xlfn.NUMBERVALUE(RIGHT($E1944:$E3942,2)))),TRUE)</f>
        <v>1</v>
      </c>
      <c r="G1944" s="308"/>
      <c r="H1944" s="308"/>
      <c r="I1944" s="308"/>
      <c r="J1944" s="308"/>
      <c r="K1944" s="308"/>
      <c r="L1944" s="308"/>
      <c r="M1944" s="308"/>
      <c r="N1944" s="308"/>
      <c r="O1944" s="308"/>
      <c r="P1944" s="308"/>
      <c r="Q1944" s="308"/>
      <c r="R1944" s="308"/>
      <c r="S1944" s="308"/>
      <c r="T1944" s="308"/>
    </row>
    <row r="1945" spans="1:20" x14ac:dyDescent="0.25">
      <c r="A1945" s="308"/>
      <c r="B1945" s="308"/>
      <c r="C1945" s="308"/>
      <c r="D1945" s="308"/>
      <c r="E1945" s="308"/>
      <c r="F1945" s="104" t="b">
        <f t="array" ref="F1945">IF(_xlfn.NUMBERVALUE(RIGHT($E1945,2))=MAX(IF(LEFT($E1945:$E3943,11)=LEFT($E1945,11),_xlfn.NUMBERVALUE(RIGHT($E1945:$E3943,2)))),TRUE)</f>
        <v>1</v>
      </c>
      <c r="G1945" s="308"/>
      <c r="H1945" s="308"/>
      <c r="I1945" s="308"/>
      <c r="J1945" s="308"/>
      <c r="K1945" s="308"/>
      <c r="L1945" s="308"/>
      <c r="M1945" s="308"/>
      <c r="N1945" s="308"/>
      <c r="O1945" s="308"/>
      <c r="P1945" s="308"/>
      <c r="Q1945" s="308"/>
      <c r="R1945" s="308"/>
      <c r="S1945" s="308"/>
      <c r="T1945" s="308"/>
    </row>
    <row r="1946" spans="1:20" x14ac:dyDescent="0.25">
      <c r="A1946" s="308"/>
      <c r="B1946" s="308"/>
      <c r="C1946" s="308"/>
      <c r="D1946" s="308"/>
      <c r="E1946" s="308"/>
      <c r="F1946" s="104" t="b">
        <f t="array" ref="F1946">IF(_xlfn.NUMBERVALUE(RIGHT($E1946,2))=MAX(IF(LEFT($E1946:$E3944,11)=LEFT($E1946,11),_xlfn.NUMBERVALUE(RIGHT($E1946:$E3944,2)))),TRUE)</f>
        <v>1</v>
      </c>
      <c r="G1946" s="308"/>
      <c r="H1946" s="308"/>
      <c r="I1946" s="308"/>
      <c r="J1946" s="308"/>
      <c r="K1946" s="308"/>
      <c r="L1946" s="308"/>
      <c r="M1946" s="308"/>
      <c r="N1946" s="308"/>
      <c r="O1946" s="308"/>
      <c r="P1946" s="308"/>
      <c r="Q1946" s="308"/>
      <c r="R1946" s="308"/>
      <c r="S1946" s="308"/>
      <c r="T1946" s="308"/>
    </row>
    <row r="1947" spans="1:20" x14ac:dyDescent="0.25">
      <c r="A1947" s="308"/>
      <c r="B1947" s="308"/>
      <c r="C1947" s="308"/>
      <c r="D1947" s="308"/>
      <c r="E1947" s="308"/>
      <c r="F1947" s="104" t="b">
        <f t="array" ref="F1947">IF(_xlfn.NUMBERVALUE(RIGHT($E1947,2))=MAX(IF(LEFT($E1947:$E3945,11)=LEFT($E1947,11),_xlfn.NUMBERVALUE(RIGHT($E1947:$E3945,2)))),TRUE)</f>
        <v>1</v>
      </c>
      <c r="G1947" s="308"/>
      <c r="H1947" s="308"/>
      <c r="I1947" s="308"/>
      <c r="J1947" s="308"/>
      <c r="K1947" s="308"/>
      <c r="L1947" s="308"/>
      <c r="M1947" s="308"/>
      <c r="N1947" s="308"/>
      <c r="O1947" s="308"/>
      <c r="P1947" s="308"/>
      <c r="Q1947" s="308"/>
      <c r="R1947" s="308"/>
      <c r="S1947" s="308"/>
      <c r="T1947" s="308"/>
    </row>
    <row r="1948" spans="1:20" x14ac:dyDescent="0.25">
      <c r="A1948" s="308"/>
      <c r="B1948" s="308"/>
      <c r="C1948" s="308"/>
      <c r="D1948" s="308"/>
      <c r="E1948" s="308"/>
      <c r="F1948" s="104" t="b">
        <f t="array" ref="F1948">IF(_xlfn.NUMBERVALUE(RIGHT($E1948,2))=MAX(IF(LEFT($E1948:$E3946,11)=LEFT($E1948,11),_xlfn.NUMBERVALUE(RIGHT($E1948:$E3946,2)))),TRUE)</f>
        <v>1</v>
      </c>
      <c r="G1948" s="308"/>
      <c r="H1948" s="308"/>
      <c r="I1948" s="308"/>
      <c r="J1948" s="308"/>
      <c r="K1948" s="308"/>
      <c r="L1948" s="308"/>
      <c r="M1948" s="308"/>
      <c r="N1948" s="308"/>
      <c r="O1948" s="308"/>
      <c r="P1948" s="308"/>
      <c r="Q1948" s="308"/>
      <c r="R1948" s="308"/>
      <c r="S1948" s="308"/>
      <c r="T1948" s="308"/>
    </row>
    <row r="1949" spans="1:20" x14ac:dyDescent="0.25">
      <c r="A1949" s="308"/>
      <c r="B1949" s="308"/>
      <c r="C1949" s="308"/>
      <c r="D1949" s="308"/>
      <c r="E1949" s="308"/>
      <c r="F1949" s="104" t="b">
        <f t="array" ref="F1949">IF(_xlfn.NUMBERVALUE(RIGHT($E1949,2))=MAX(IF(LEFT($E1949:$E3947,11)=LEFT($E1949,11),_xlfn.NUMBERVALUE(RIGHT($E1949:$E3947,2)))),TRUE)</f>
        <v>1</v>
      </c>
      <c r="G1949" s="308"/>
      <c r="H1949" s="308"/>
      <c r="I1949" s="308"/>
      <c r="J1949" s="308"/>
      <c r="K1949" s="308"/>
      <c r="L1949" s="308"/>
      <c r="M1949" s="308"/>
      <c r="N1949" s="308"/>
      <c r="O1949" s="308"/>
      <c r="P1949" s="308"/>
      <c r="Q1949" s="308"/>
      <c r="R1949" s="308"/>
      <c r="S1949" s="308"/>
      <c r="T1949" s="308"/>
    </row>
    <row r="1950" spans="1:20" x14ac:dyDescent="0.25">
      <c r="A1950" s="308"/>
      <c r="B1950" s="308"/>
      <c r="C1950" s="308"/>
      <c r="D1950" s="308"/>
      <c r="E1950" s="308"/>
      <c r="F1950" s="104" t="b">
        <f t="array" ref="F1950">IF(_xlfn.NUMBERVALUE(RIGHT($E1950,2))=MAX(IF(LEFT($E1950:$E3948,11)=LEFT($E1950,11),_xlfn.NUMBERVALUE(RIGHT($E1950:$E3948,2)))),TRUE)</f>
        <v>1</v>
      </c>
      <c r="G1950" s="308"/>
      <c r="H1950" s="308"/>
      <c r="I1950" s="308"/>
      <c r="J1950" s="308"/>
      <c r="K1950" s="308"/>
      <c r="L1950" s="308"/>
      <c r="M1950" s="308"/>
      <c r="N1950" s="308"/>
      <c r="O1950" s="308"/>
      <c r="P1950" s="308"/>
      <c r="Q1950" s="308"/>
      <c r="R1950" s="308"/>
      <c r="S1950" s="308"/>
      <c r="T1950" s="308"/>
    </row>
    <row r="1951" spans="1:20" x14ac:dyDescent="0.25">
      <c r="A1951" s="308"/>
      <c r="B1951" s="308"/>
      <c r="C1951" s="308"/>
      <c r="D1951" s="308"/>
      <c r="E1951" s="308"/>
      <c r="F1951" s="104" t="b">
        <f t="array" ref="F1951">IF(_xlfn.NUMBERVALUE(RIGHT($E1951,2))=MAX(IF(LEFT($E1951:$E3949,11)=LEFT($E1951,11),_xlfn.NUMBERVALUE(RIGHT($E1951:$E3949,2)))),TRUE)</f>
        <v>1</v>
      </c>
      <c r="G1951" s="308"/>
      <c r="H1951" s="308"/>
      <c r="I1951" s="308"/>
      <c r="J1951" s="308"/>
      <c r="K1951" s="308"/>
      <c r="L1951" s="308"/>
      <c r="M1951" s="308"/>
      <c r="N1951" s="308"/>
      <c r="O1951" s="308"/>
      <c r="P1951" s="308"/>
      <c r="Q1951" s="308"/>
      <c r="R1951" s="308"/>
      <c r="S1951" s="308"/>
      <c r="T1951" s="308"/>
    </row>
    <row r="1952" spans="1:20" x14ac:dyDescent="0.25">
      <c r="A1952" s="308"/>
      <c r="B1952" s="308"/>
      <c r="C1952" s="308"/>
      <c r="D1952" s="308"/>
      <c r="E1952" s="308"/>
      <c r="F1952" s="104" t="b">
        <f t="array" ref="F1952">IF(_xlfn.NUMBERVALUE(RIGHT($E1952,2))=MAX(IF(LEFT($E1952:$E3950,11)=LEFT($E1952,11),_xlfn.NUMBERVALUE(RIGHT($E1952:$E3950,2)))),TRUE)</f>
        <v>1</v>
      </c>
      <c r="G1952" s="308"/>
      <c r="H1952" s="308"/>
      <c r="I1952" s="308"/>
      <c r="J1952" s="308"/>
      <c r="K1952" s="308"/>
      <c r="L1952" s="308"/>
      <c r="M1952" s="308"/>
      <c r="N1952" s="308"/>
      <c r="O1952" s="308"/>
      <c r="P1952" s="308"/>
      <c r="Q1952" s="308"/>
      <c r="R1952" s="308"/>
      <c r="S1952" s="308"/>
      <c r="T1952" s="308"/>
    </row>
    <row r="1953" spans="1:20" x14ac:dyDescent="0.25">
      <c r="A1953" s="308"/>
      <c r="B1953" s="308"/>
      <c r="C1953" s="308"/>
      <c r="D1953" s="308"/>
      <c r="E1953" s="308"/>
      <c r="F1953" s="104" t="b">
        <f t="array" ref="F1953">IF(_xlfn.NUMBERVALUE(RIGHT($E1953,2))=MAX(IF(LEFT($E1953:$E3951,11)=LEFT($E1953,11),_xlfn.NUMBERVALUE(RIGHT($E1953:$E3951,2)))),TRUE)</f>
        <v>1</v>
      </c>
      <c r="G1953" s="308"/>
      <c r="H1953" s="308"/>
      <c r="I1953" s="308"/>
      <c r="J1953" s="308"/>
      <c r="K1953" s="308"/>
      <c r="L1953" s="308"/>
      <c r="M1953" s="308"/>
      <c r="N1953" s="308"/>
      <c r="O1953" s="308"/>
      <c r="P1953" s="308"/>
      <c r="Q1953" s="308"/>
      <c r="R1953" s="308"/>
      <c r="S1953" s="308"/>
      <c r="T1953" s="308"/>
    </row>
    <row r="1954" spans="1:20" x14ac:dyDescent="0.25">
      <c r="A1954" s="308"/>
      <c r="B1954" s="308"/>
      <c r="C1954" s="308"/>
      <c r="D1954" s="308"/>
      <c r="E1954" s="308"/>
      <c r="F1954" s="104" t="b">
        <f t="array" ref="F1954">IF(_xlfn.NUMBERVALUE(RIGHT($E1954,2))=MAX(IF(LEFT($E1954:$E3952,11)=LEFT($E1954,11),_xlfn.NUMBERVALUE(RIGHT($E1954:$E3952,2)))),TRUE)</f>
        <v>1</v>
      </c>
      <c r="G1954" s="308"/>
      <c r="H1954" s="308"/>
      <c r="I1954" s="308"/>
      <c r="J1954" s="308"/>
      <c r="K1954" s="308"/>
      <c r="L1954" s="308"/>
      <c r="M1954" s="308"/>
      <c r="N1954" s="308"/>
      <c r="O1954" s="308"/>
      <c r="P1954" s="308"/>
      <c r="Q1954" s="308"/>
      <c r="R1954" s="308"/>
      <c r="S1954" s="308"/>
      <c r="T1954" s="308"/>
    </row>
    <row r="1955" spans="1:20" x14ac:dyDescent="0.25">
      <c r="A1955" s="308"/>
      <c r="B1955" s="308"/>
      <c r="C1955" s="308"/>
      <c r="D1955" s="308"/>
      <c r="E1955" s="308"/>
      <c r="F1955" s="104" t="b">
        <f t="array" ref="F1955">IF(_xlfn.NUMBERVALUE(RIGHT($E1955,2))=MAX(IF(LEFT($E1955:$E3953,11)=LEFT($E1955,11),_xlfn.NUMBERVALUE(RIGHT($E1955:$E3953,2)))),TRUE)</f>
        <v>1</v>
      </c>
      <c r="G1955" s="308"/>
      <c r="H1955" s="308"/>
      <c r="I1955" s="308"/>
      <c r="J1955" s="308"/>
      <c r="K1955" s="308"/>
      <c r="L1955" s="308"/>
      <c r="M1955" s="308"/>
      <c r="N1955" s="308"/>
      <c r="O1955" s="308"/>
      <c r="P1955" s="308"/>
      <c r="Q1955" s="308"/>
      <c r="R1955" s="308"/>
      <c r="S1955" s="308"/>
      <c r="T1955" s="308"/>
    </row>
    <row r="1956" spans="1:20" x14ac:dyDescent="0.25">
      <c r="A1956" s="289"/>
      <c r="B1956" s="289"/>
      <c r="C1956" s="289"/>
      <c r="D1956" s="289"/>
      <c r="E1956" s="289"/>
      <c r="F1956" s="104" t="b">
        <f t="array" ref="F1956">IF(_xlfn.NUMBERVALUE(RIGHT($E1956,2))=MAX(IF(LEFT($E1956:$E3954,11)=LEFT($E1956,11),_xlfn.NUMBERVALUE(RIGHT($E1956:$E3954,2)))),TRUE)</f>
        <v>1</v>
      </c>
      <c r="G1956" s="289"/>
      <c r="H1956" s="289"/>
      <c r="I1956" s="289"/>
      <c r="J1956" s="289"/>
      <c r="K1956" s="289"/>
      <c r="L1956" s="289"/>
      <c r="M1956" s="289"/>
      <c r="N1956" s="289"/>
      <c r="O1956" s="289"/>
      <c r="P1956" s="289"/>
      <c r="Q1956" s="289"/>
      <c r="R1956" s="289"/>
      <c r="S1956" s="289"/>
      <c r="T1956" s="289"/>
    </row>
    <row r="1957" spans="1:20" x14ac:dyDescent="0.25">
      <c r="A1957" s="289"/>
      <c r="B1957" s="289"/>
      <c r="C1957" s="289"/>
      <c r="D1957" s="289"/>
      <c r="E1957" s="289"/>
      <c r="F1957" s="104" t="b">
        <f t="array" ref="F1957">IF(_xlfn.NUMBERVALUE(RIGHT($E1957,2))=MAX(IF(LEFT($E1957:$E3955,11)=LEFT($E1957,11),_xlfn.NUMBERVALUE(RIGHT($E1957:$E3955,2)))),TRUE)</f>
        <v>1</v>
      </c>
      <c r="G1957" s="289"/>
      <c r="H1957" s="289"/>
      <c r="I1957" s="289"/>
      <c r="J1957" s="289"/>
      <c r="K1957" s="289"/>
      <c r="L1957" s="289"/>
      <c r="M1957" s="289"/>
      <c r="N1957" s="289"/>
      <c r="O1957" s="289"/>
      <c r="P1957" s="289"/>
      <c r="Q1957" s="289"/>
      <c r="R1957" s="289"/>
      <c r="S1957" s="289"/>
      <c r="T1957" s="289"/>
    </row>
    <row r="1958" spans="1:20" x14ac:dyDescent="0.25">
      <c r="A1958" s="289"/>
      <c r="B1958" s="289"/>
      <c r="C1958" s="289"/>
      <c r="D1958" s="289"/>
      <c r="E1958" s="289"/>
      <c r="F1958" s="104" t="b">
        <f t="array" ref="F1958">IF(_xlfn.NUMBERVALUE(RIGHT($E1958,2))=MAX(IF(LEFT($E1958:$E3956,11)=LEFT($E1958,11),_xlfn.NUMBERVALUE(RIGHT($E1958:$E3956,2)))),TRUE)</f>
        <v>1</v>
      </c>
      <c r="G1958" s="289"/>
      <c r="H1958" s="289"/>
      <c r="I1958" s="289"/>
      <c r="J1958" s="289"/>
      <c r="K1958" s="289"/>
      <c r="L1958" s="289"/>
      <c r="M1958" s="289"/>
      <c r="N1958" s="289"/>
      <c r="O1958" s="289"/>
      <c r="P1958" s="289"/>
      <c r="Q1958" s="289"/>
      <c r="R1958" s="289"/>
      <c r="S1958" s="289"/>
      <c r="T1958" s="289"/>
    </row>
    <row r="1959" spans="1:20" x14ac:dyDescent="0.25">
      <c r="A1959" s="289"/>
      <c r="B1959" s="289"/>
      <c r="C1959" s="289"/>
      <c r="D1959" s="289"/>
      <c r="E1959" s="289"/>
      <c r="F1959" s="104" t="b">
        <f t="array" ref="F1959">IF(_xlfn.NUMBERVALUE(RIGHT($E1959,2))=MAX(IF(LEFT($E1959:$E3957,11)=LEFT($E1959,11),_xlfn.NUMBERVALUE(RIGHT($E1959:$E3957,2)))),TRUE)</f>
        <v>1</v>
      </c>
      <c r="G1959" s="289"/>
      <c r="H1959" s="289"/>
      <c r="I1959" s="289"/>
      <c r="J1959" s="289"/>
      <c r="K1959" s="289"/>
      <c r="L1959" s="289"/>
      <c r="M1959" s="289"/>
      <c r="N1959" s="289"/>
      <c r="O1959" s="289"/>
      <c r="P1959" s="289"/>
      <c r="Q1959" s="289"/>
      <c r="R1959" s="289"/>
      <c r="S1959" s="289"/>
      <c r="T1959" s="289"/>
    </row>
    <row r="1960" spans="1:20" x14ac:dyDescent="0.25">
      <c r="A1960" s="289"/>
      <c r="B1960" s="289"/>
      <c r="C1960" s="289"/>
      <c r="D1960" s="289"/>
      <c r="E1960" s="289"/>
      <c r="F1960" s="104" t="b">
        <f t="array" ref="F1960">IF(_xlfn.NUMBERVALUE(RIGHT($E1960,2))=MAX(IF(LEFT($E1960:$E3958,11)=LEFT($E1960,11),_xlfn.NUMBERVALUE(RIGHT($E1960:$E3958,2)))),TRUE)</f>
        <v>1</v>
      </c>
      <c r="G1960" s="289"/>
      <c r="H1960" s="289"/>
      <c r="I1960" s="289"/>
      <c r="J1960" s="289"/>
      <c r="K1960" s="289"/>
      <c r="L1960" s="289"/>
      <c r="M1960" s="289"/>
      <c r="N1960" s="289"/>
      <c r="O1960" s="289"/>
      <c r="P1960" s="289"/>
      <c r="Q1960" s="289"/>
      <c r="R1960" s="289"/>
      <c r="S1960" s="289"/>
      <c r="T1960" s="289"/>
    </row>
    <row r="1961" spans="1:20" x14ac:dyDescent="0.25">
      <c r="A1961" s="289"/>
      <c r="B1961" s="289"/>
      <c r="C1961" s="289"/>
      <c r="D1961" s="289"/>
      <c r="E1961" s="289"/>
      <c r="F1961" s="104" t="b">
        <f t="array" ref="F1961">IF(_xlfn.NUMBERVALUE(RIGHT($E1961,2))=MAX(IF(LEFT($E1961:$E3959,11)=LEFT($E1961,11),_xlfn.NUMBERVALUE(RIGHT($E1961:$E3959,2)))),TRUE)</f>
        <v>1</v>
      </c>
      <c r="G1961" s="289"/>
      <c r="H1961" s="289"/>
      <c r="I1961" s="289"/>
      <c r="J1961" s="289"/>
      <c r="K1961" s="289"/>
      <c r="L1961" s="289"/>
      <c r="M1961" s="289"/>
      <c r="N1961" s="289"/>
      <c r="O1961" s="289"/>
      <c r="P1961" s="289"/>
      <c r="Q1961" s="289"/>
      <c r="R1961" s="289"/>
      <c r="S1961" s="289"/>
      <c r="T1961" s="289"/>
    </row>
    <row r="1962" spans="1:20" x14ac:dyDescent="0.25">
      <c r="A1962" s="289"/>
      <c r="B1962" s="289"/>
      <c r="C1962" s="289"/>
      <c r="D1962" s="289"/>
      <c r="E1962" s="289"/>
      <c r="F1962" s="104" t="b">
        <f t="array" ref="F1962">IF(_xlfn.NUMBERVALUE(RIGHT($E1962,2))=MAX(IF(LEFT($E1962:$E3960,11)=LEFT($E1962,11),_xlfn.NUMBERVALUE(RIGHT($E1962:$E3960,2)))),TRUE)</f>
        <v>1</v>
      </c>
      <c r="G1962" s="289"/>
      <c r="H1962" s="289"/>
      <c r="I1962" s="289"/>
      <c r="J1962" s="289"/>
      <c r="K1962" s="289"/>
      <c r="L1962" s="289"/>
      <c r="M1962" s="289"/>
      <c r="N1962" s="289"/>
      <c r="O1962" s="289"/>
      <c r="P1962" s="289"/>
      <c r="Q1962" s="289"/>
      <c r="R1962" s="289"/>
      <c r="S1962" s="289"/>
      <c r="T1962" s="289"/>
    </row>
    <row r="1963" spans="1:20" x14ac:dyDescent="0.25">
      <c r="A1963" s="289"/>
      <c r="B1963" s="289"/>
      <c r="C1963" s="289"/>
      <c r="D1963" s="289"/>
      <c r="E1963" s="289"/>
      <c r="F1963" s="104" t="b">
        <f t="array" ref="F1963">IF(_xlfn.NUMBERVALUE(RIGHT($E1963,2))=MAX(IF(LEFT($E1963:$E3961,11)=LEFT($E1963,11),_xlfn.NUMBERVALUE(RIGHT($E1963:$E3961,2)))),TRUE)</f>
        <v>1</v>
      </c>
      <c r="G1963" s="289"/>
      <c r="H1963" s="289"/>
      <c r="I1963" s="289"/>
      <c r="J1963" s="289"/>
      <c r="K1963" s="289"/>
      <c r="L1963" s="289"/>
      <c r="M1963" s="289"/>
      <c r="N1963" s="289"/>
      <c r="O1963" s="289"/>
      <c r="P1963" s="289"/>
      <c r="Q1963" s="289"/>
      <c r="R1963" s="289"/>
      <c r="S1963" s="289"/>
      <c r="T1963" s="289"/>
    </row>
    <row r="1964" spans="1:20" x14ac:dyDescent="0.25">
      <c r="A1964" s="281"/>
      <c r="B1964" s="281"/>
      <c r="C1964" s="281"/>
      <c r="D1964" s="281"/>
      <c r="E1964" s="281"/>
      <c r="F1964" s="281" t="b">
        <f t="array" ref="F1964">IF(_xlfn.NUMBERVALUE(RIGHT($E1964,2))=MAX(IF(LEFT($E1964:$E3962,11)=LEFT($E1964,11),_xlfn.NUMBERVALUE(RIGHT($E1964:$E3962,2)))),TRUE)</f>
        <v>1</v>
      </c>
      <c r="G1964" s="281"/>
      <c r="H1964" s="281"/>
      <c r="I1964" s="281"/>
      <c r="J1964" s="281"/>
      <c r="K1964" s="281"/>
      <c r="L1964" s="281"/>
      <c r="M1964" s="281"/>
      <c r="N1964" s="281"/>
      <c r="O1964" s="281"/>
      <c r="P1964" s="281"/>
      <c r="Q1964" s="281"/>
      <c r="R1964" s="281"/>
      <c r="S1964" s="281"/>
      <c r="T1964" s="281"/>
    </row>
    <row r="1965" spans="1:20" x14ac:dyDescent="0.25">
      <c r="A1965" s="281"/>
      <c r="B1965" s="281"/>
      <c r="C1965" s="281"/>
      <c r="D1965" s="281"/>
      <c r="E1965" s="281"/>
      <c r="F1965" s="281" t="b">
        <f t="array" ref="F1965">IF(_xlfn.NUMBERVALUE(RIGHT($E1965,2))=MAX(IF(LEFT($E1965:$E3963,11)=LEFT($E1965,11),_xlfn.NUMBERVALUE(RIGHT($E1965:$E3963,2)))),TRUE)</f>
        <v>1</v>
      </c>
      <c r="G1965" s="281"/>
      <c r="H1965" s="281"/>
      <c r="I1965" s="281"/>
      <c r="J1965" s="281"/>
      <c r="K1965" s="281"/>
      <c r="L1965" s="281"/>
      <c r="M1965" s="281"/>
      <c r="N1965" s="281"/>
      <c r="O1965" s="281"/>
      <c r="P1965" s="281"/>
      <c r="Q1965" s="281"/>
      <c r="R1965" s="281"/>
      <c r="S1965" s="281"/>
      <c r="T1965" s="281"/>
    </row>
    <row r="1966" spans="1:20" x14ac:dyDescent="0.25">
      <c r="A1966" s="281"/>
      <c r="B1966" s="281"/>
      <c r="C1966" s="281"/>
      <c r="D1966" s="281"/>
      <c r="E1966" s="281"/>
      <c r="F1966" s="281" t="b">
        <f t="array" ref="F1966">IF(_xlfn.NUMBERVALUE(RIGHT($E1966,2))=MAX(IF(LEFT($E1966:$E3964,11)=LEFT($E1966,11),_xlfn.NUMBERVALUE(RIGHT($E1966:$E3964,2)))),TRUE)</f>
        <v>1</v>
      </c>
      <c r="G1966" s="281"/>
      <c r="H1966" s="281"/>
      <c r="I1966" s="281"/>
      <c r="J1966" s="281"/>
      <c r="K1966" s="281"/>
      <c r="L1966" s="281"/>
      <c r="M1966" s="281"/>
      <c r="N1966" s="281"/>
      <c r="O1966" s="281"/>
      <c r="P1966" s="281"/>
      <c r="Q1966" s="281"/>
      <c r="R1966" s="281"/>
      <c r="S1966" s="281"/>
      <c r="T1966" s="281"/>
    </row>
    <row r="1967" spans="1:20" x14ac:dyDescent="0.25">
      <c r="A1967" s="281"/>
      <c r="B1967" s="281"/>
      <c r="C1967" s="281"/>
      <c r="D1967" s="281"/>
      <c r="E1967" s="281"/>
      <c r="F1967" s="281" t="b">
        <f t="array" ref="F1967">IF(_xlfn.NUMBERVALUE(RIGHT($E1967,2))=MAX(IF(LEFT($E1967:$E3965,11)=LEFT($E1967,11),_xlfn.NUMBERVALUE(RIGHT($E1967:$E3965,2)))),TRUE)</f>
        <v>1</v>
      </c>
      <c r="G1967" s="281"/>
      <c r="H1967" s="281"/>
      <c r="I1967" s="281"/>
      <c r="J1967" s="281"/>
      <c r="K1967" s="281"/>
      <c r="L1967" s="281"/>
      <c r="M1967" s="281"/>
      <c r="N1967" s="281"/>
      <c r="O1967" s="281"/>
      <c r="P1967" s="281"/>
      <c r="Q1967" s="281"/>
      <c r="R1967" s="281"/>
      <c r="S1967" s="281"/>
      <c r="T1967" s="281"/>
    </row>
    <row r="1968" spans="1:20" x14ac:dyDescent="0.25">
      <c r="A1968" s="281"/>
      <c r="B1968" s="281"/>
      <c r="C1968" s="281"/>
      <c r="D1968" s="281"/>
      <c r="E1968" s="281"/>
      <c r="F1968" s="281" t="b">
        <f t="array" ref="F1968">IF(_xlfn.NUMBERVALUE(RIGHT($E1968,2))=MAX(IF(LEFT($E1968:$E3966,11)=LEFT($E1968,11),_xlfn.NUMBERVALUE(RIGHT($E1968:$E3966,2)))),TRUE)</f>
        <v>1</v>
      </c>
      <c r="G1968" s="281"/>
      <c r="H1968" s="281"/>
      <c r="I1968" s="281"/>
      <c r="J1968" s="281"/>
      <c r="K1968" s="281"/>
      <c r="L1968" s="281"/>
      <c r="M1968" s="281"/>
      <c r="N1968" s="281"/>
      <c r="O1968" s="281"/>
      <c r="P1968" s="281"/>
      <c r="Q1968" s="281"/>
      <c r="R1968" s="281"/>
      <c r="S1968" s="281"/>
      <c r="T1968" s="281"/>
    </row>
    <row r="1969" spans="1:20" x14ac:dyDescent="0.25">
      <c r="A1969" s="281"/>
      <c r="B1969" s="281"/>
      <c r="C1969" s="281"/>
      <c r="D1969" s="281"/>
      <c r="E1969" s="281"/>
      <c r="F1969" s="281" t="b">
        <f t="array" ref="F1969">IF(_xlfn.NUMBERVALUE(RIGHT($E1969,2))=MAX(IF(LEFT($E1969:$E3967,11)=LEFT($E1969,11),_xlfn.NUMBERVALUE(RIGHT($E1969:$E3967,2)))),TRUE)</f>
        <v>1</v>
      </c>
      <c r="G1969" s="281"/>
      <c r="H1969" s="281"/>
      <c r="I1969" s="281"/>
      <c r="J1969" s="281"/>
      <c r="K1969" s="281"/>
      <c r="L1969" s="281"/>
      <c r="M1969" s="281"/>
      <c r="N1969" s="281"/>
      <c r="O1969" s="281"/>
      <c r="P1969" s="281"/>
      <c r="Q1969" s="281"/>
      <c r="R1969" s="281"/>
      <c r="S1969" s="281"/>
      <c r="T1969" s="281"/>
    </row>
    <row r="1970" spans="1:20" x14ac:dyDescent="0.25">
      <c r="A1970" s="281"/>
      <c r="B1970" s="281"/>
      <c r="C1970" s="281"/>
      <c r="D1970" s="281"/>
      <c r="E1970" s="281"/>
      <c r="F1970" s="281" t="b">
        <f t="array" ref="F1970">IF(_xlfn.NUMBERVALUE(RIGHT($E1970,2))=MAX(IF(LEFT($E1970:$E3968,11)=LEFT($E1970,11),_xlfn.NUMBERVALUE(RIGHT($E1970:$E3968,2)))),TRUE)</f>
        <v>1</v>
      </c>
      <c r="G1970" s="281"/>
      <c r="H1970" s="281"/>
      <c r="I1970" s="281"/>
      <c r="J1970" s="281"/>
      <c r="K1970" s="281"/>
      <c r="L1970" s="281"/>
      <c r="M1970" s="281"/>
      <c r="N1970" s="281"/>
      <c r="O1970" s="281"/>
      <c r="P1970" s="281"/>
      <c r="Q1970" s="281"/>
      <c r="R1970" s="281"/>
      <c r="S1970" s="281"/>
      <c r="T1970" s="281"/>
    </row>
    <row r="1971" spans="1:20" x14ac:dyDescent="0.25">
      <c r="A1971" s="281"/>
      <c r="B1971" s="281"/>
      <c r="C1971" s="281"/>
      <c r="D1971" s="281"/>
      <c r="E1971" s="281"/>
      <c r="F1971" s="281" t="b">
        <f t="array" ref="F1971">IF(_xlfn.NUMBERVALUE(RIGHT($E1971,2))=MAX(IF(LEFT($E1971:$E3969,11)=LEFT($E1971,11),_xlfn.NUMBERVALUE(RIGHT($E1971:$E3969,2)))),TRUE)</f>
        <v>1</v>
      </c>
      <c r="G1971" s="281"/>
      <c r="H1971" s="281"/>
      <c r="I1971" s="281"/>
      <c r="J1971" s="281"/>
      <c r="K1971" s="281"/>
      <c r="L1971" s="281"/>
      <c r="M1971" s="281"/>
      <c r="N1971" s="281"/>
      <c r="O1971" s="281"/>
      <c r="P1971" s="281"/>
      <c r="Q1971" s="281"/>
      <c r="R1971" s="281"/>
      <c r="S1971" s="281"/>
      <c r="T1971" s="281"/>
    </row>
    <row r="1972" spans="1:20" x14ac:dyDescent="0.25">
      <c r="A1972" s="281"/>
      <c r="B1972" s="281"/>
      <c r="C1972" s="281"/>
      <c r="D1972" s="281"/>
      <c r="E1972" s="281"/>
      <c r="F1972" s="281" t="b">
        <f t="array" ref="F1972">IF(_xlfn.NUMBERVALUE(RIGHT($E1972,2))=MAX(IF(LEFT($E1972:$E3970,11)=LEFT($E1972,11),_xlfn.NUMBERVALUE(RIGHT($E1972:$E3970,2)))),TRUE)</f>
        <v>1</v>
      </c>
      <c r="G1972" s="281"/>
      <c r="H1972" s="281"/>
      <c r="I1972" s="281"/>
      <c r="J1972" s="281"/>
      <c r="K1972" s="281"/>
      <c r="L1972" s="281"/>
      <c r="M1972" s="281"/>
      <c r="N1972" s="281"/>
      <c r="O1972" s="281"/>
      <c r="P1972" s="281"/>
      <c r="Q1972" s="281"/>
      <c r="R1972" s="281"/>
      <c r="S1972" s="281"/>
      <c r="T1972" s="281"/>
    </row>
    <row r="1973" spans="1:20" x14ac:dyDescent="0.25">
      <c r="A1973" s="281"/>
      <c r="B1973" s="281"/>
      <c r="C1973" s="281"/>
      <c r="D1973" s="281"/>
      <c r="E1973" s="281"/>
      <c r="F1973" s="281" t="b">
        <f t="array" ref="F1973">IF(_xlfn.NUMBERVALUE(RIGHT($E1973,2))=MAX(IF(LEFT($E1973:$E3971,11)=LEFT($E1973,11),_xlfn.NUMBERVALUE(RIGHT($E1973:$E3971,2)))),TRUE)</f>
        <v>1</v>
      </c>
      <c r="G1973" s="281"/>
      <c r="H1973" s="281"/>
      <c r="I1973" s="281"/>
      <c r="J1973" s="281"/>
      <c r="K1973" s="281"/>
      <c r="L1973" s="281"/>
      <c r="M1973" s="281"/>
      <c r="N1973" s="281"/>
      <c r="O1973" s="281"/>
      <c r="P1973" s="281"/>
      <c r="Q1973" s="281"/>
      <c r="R1973" s="281"/>
      <c r="S1973" s="281"/>
      <c r="T1973" s="281"/>
    </row>
    <row r="1974" spans="1:20" x14ac:dyDescent="0.25">
      <c r="A1974" s="281"/>
      <c r="B1974" s="281"/>
      <c r="C1974" s="281"/>
      <c r="D1974" s="281"/>
      <c r="E1974" s="281"/>
      <c r="F1974" s="281" t="b">
        <f t="array" ref="F1974">IF(_xlfn.NUMBERVALUE(RIGHT($E1974,2))=MAX(IF(LEFT($E1974:$E3972,11)=LEFT($E1974,11),_xlfn.NUMBERVALUE(RIGHT($E1974:$E3972,2)))),TRUE)</f>
        <v>1</v>
      </c>
      <c r="G1974" s="281"/>
      <c r="H1974" s="281"/>
      <c r="I1974" s="281"/>
      <c r="J1974" s="281"/>
      <c r="K1974" s="281"/>
      <c r="L1974" s="281"/>
      <c r="M1974" s="281"/>
      <c r="N1974" s="281"/>
      <c r="O1974" s="281"/>
      <c r="P1974" s="281"/>
      <c r="Q1974" s="281"/>
      <c r="R1974" s="281"/>
      <c r="S1974" s="281"/>
      <c r="T1974" s="281"/>
    </row>
    <row r="1975" spans="1:20" x14ac:dyDescent="0.25">
      <c r="A1975" s="281"/>
      <c r="B1975" s="281"/>
      <c r="C1975" s="281"/>
      <c r="D1975" s="281"/>
      <c r="E1975" s="281"/>
      <c r="F1975" s="281" t="b">
        <f t="array" ref="F1975">IF(_xlfn.NUMBERVALUE(RIGHT($E1975,2))=MAX(IF(LEFT($E1975:$E3973,11)=LEFT($E1975,11),_xlfn.NUMBERVALUE(RIGHT($E1975:$E3973,2)))),TRUE)</f>
        <v>1</v>
      </c>
      <c r="G1975" s="281"/>
      <c r="H1975" s="281"/>
      <c r="I1975" s="281"/>
      <c r="J1975" s="281"/>
      <c r="K1975" s="281"/>
      <c r="L1975" s="281"/>
      <c r="M1975" s="281"/>
      <c r="N1975" s="281"/>
      <c r="O1975" s="281"/>
      <c r="P1975" s="281"/>
      <c r="Q1975" s="281"/>
      <c r="R1975" s="281"/>
      <c r="S1975" s="281"/>
      <c r="T1975" s="281"/>
    </row>
    <row r="1976" spans="1:20" x14ac:dyDescent="0.25">
      <c r="A1976" s="281"/>
      <c r="B1976" s="281"/>
      <c r="C1976" s="281"/>
      <c r="D1976" s="281"/>
      <c r="E1976" s="281"/>
      <c r="F1976" s="281" t="b">
        <f t="array" ref="F1976">IF(_xlfn.NUMBERVALUE(RIGHT($E1976,2))=MAX(IF(LEFT($E1976:$E3974,11)=LEFT($E1976,11),_xlfn.NUMBERVALUE(RIGHT($E1976:$E3974,2)))),TRUE)</f>
        <v>1</v>
      </c>
      <c r="G1976" s="281"/>
      <c r="H1976" s="281"/>
      <c r="I1976" s="281"/>
      <c r="J1976" s="281"/>
      <c r="K1976" s="281"/>
      <c r="L1976" s="281"/>
      <c r="M1976" s="281"/>
      <c r="N1976" s="281"/>
      <c r="O1976" s="281"/>
      <c r="P1976" s="281"/>
      <c r="Q1976" s="281"/>
      <c r="R1976" s="281"/>
      <c r="S1976" s="281"/>
      <c r="T1976" s="281"/>
    </row>
  </sheetData>
  <autoFilter ref="A1:T1828" xr:uid="{2C7B4058-6F62-4970-9154-CA981F63F35F}">
    <sortState xmlns:xlrd2="http://schemas.microsoft.com/office/spreadsheetml/2017/richdata2" ref="A2:T1828">
      <sortCondition ref="C1:C1828"/>
    </sortState>
  </autoFilter>
  <sortState xmlns:xlrd2="http://schemas.microsoft.com/office/spreadsheetml/2017/richdata2" ref="A2:T1728">
    <sortCondition descending="1" ref="C2:C172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D6530-074B-456E-9855-894B77227BC2}">
  <sheetPr codeName="Sheet6">
    <pageSetUpPr fitToPage="1"/>
  </sheetPr>
  <dimension ref="A1:P62"/>
  <sheetViews>
    <sheetView showGridLines="0" zoomScaleNormal="100" workbookViewId="0">
      <selection sqref="A1:O62"/>
    </sheetView>
  </sheetViews>
  <sheetFormatPr defaultColWidth="0" defaultRowHeight="15" customHeight="1" zeroHeight="1" x14ac:dyDescent="0.25"/>
  <cols>
    <col min="1" max="1" width="1.5703125" style="336" customWidth="1"/>
    <col min="2" max="3" width="3.5703125" style="336" customWidth="1"/>
    <col min="4" max="5" width="10" style="336" customWidth="1"/>
    <col min="6" max="6" width="6.42578125" style="336" customWidth="1"/>
    <col min="7" max="8" width="8.42578125" style="336" customWidth="1"/>
    <col min="9" max="9" width="9.5703125" style="336" customWidth="1"/>
    <col min="10" max="10" width="9" style="336" customWidth="1"/>
    <col min="11" max="13" width="7.5703125" style="336" customWidth="1"/>
    <col min="14" max="14" width="6" style="336" customWidth="1"/>
    <col min="15" max="15" width="1.5703125" style="336" customWidth="1"/>
    <col min="16" max="16" width="3.5703125" style="336" hidden="1" customWidth="1"/>
    <col min="17" max="16384" width="9" style="336" hidden="1"/>
  </cols>
  <sheetData>
    <row r="1" spans="1:14" ht="12.75" customHeight="1" x14ac:dyDescent="0.25">
      <c r="A1" s="4"/>
      <c r="B1" s="5"/>
      <c r="C1" s="4"/>
      <c r="D1" s="4"/>
      <c r="E1" s="341" t="s">
        <v>39</v>
      </c>
      <c r="F1" s="341"/>
      <c r="G1" s="341"/>
      <c r="H1" s="341"/>
      <c r="I1" s="341"/>
      <c r="J1" s="341"/>
      <c r="K1" s="6"/>
      <c r="L1" s="6"/>
      <c r="M1" s="6"/>
      <c r="N1" s="7" t="s">
        <v>40</v>
      </c>
    </row>
    <row r="2" spans="1:14" ht="12.75" customHeight="1" x14ac:dyDescent="0.25">
      <c r="A2" s="4"/>
      <c r="B2" s="5"/>
      <c r="C2" s="4"/>
      <c r="D2" s="4"/>
      <c r="E2" s="341"/>
      <c r="F2" s="341"/>
      <c r="G2" s="341"/>
      <c r="H2" s="341"/>
      <c r="I2" s="341"/>
      <c r="J2" s="341"/>
      <c r="K2" s="6"/>
      <c r="L2" s="6"/>
      <c r="M2" s="6"/>
      <c r="N2" s="7" t="s">
        <v>41</v>
      </c>
    </row>
    <row r="3" spans="1:14" ht="12.75" customHeight="1" x14ac:dyDescent="0.25">
      <c r="A3" s="4"/>
      <c r="B3" s="5"/>
      <c r="C3" s="4"/>
      <c r="D3" s="4"/>
      <c r="E3" s="341"/>
      <c r="F3" s="341"/>
      <c r="G3" s="341"/>
      <c r="H3" s="341"/>
      <c r="I3" s="341"/>
      <c r="J3" s="341"/>
      <c r="K3" s="6"/>
      <c r="L3" s="6"/>
      <c r="M3" s="6"/>
      <c r="N3" s="8" t="s">
        <v>42</v>
      </c>
    </row>
    <row r="4" spans="1:14" ht="12.75" customHeight="1" x14ac:dyDescent="0.25">
      <c r="A4" s="4"/>
      <c r="B4" s="5"/>
      <c r="C4" s="4"/>
      <c r="D4" s="4"/>
      <c r="E4" s="9"/>
      <c r="F4" s="9"/>
      <c r="G4" s="9"/>
      <c r="H4" s="9"/>
      <c r="I4" s="9"/>
      <c r="J4" s="9"/>
      <c r="K4" s="6"/>
      <c r="L4" s="6"/>
      <c r="M4" s="6"/>
      <c r="N4" s="8" t="s">
        <v>43</v>
      </c>
    </row>
    <row r="5" spans="1:14" ht="12.75" customHeight="1" x14ac:dyDescent="0.25">
      <c r="A5" s="4"/>
      <c r="B5" s="5"/>
      <c r="C5" s="4"/>
      <c r="D5" s="4"/>
      <c r="E5" s="9"/>
      <c r="F5" s="4"/>
      <c r="G5" s="4"/>
      <c r="H5" s="9"/>
      <c r="I5" s="9"/>
      <c r="J5" s="9"/>
      <c r="K5" s="6"/>
      <c r="L5" s="6"/>
      <c r="M5" s="6"/>
      <c r="N5" s="8" t="s">
        <v>44</v>
      </c>
    </row>
    <row r="6" spans="1:14" ht="19.5" customHeight="1" x14ac:dyDescent="0.25">
      <c r="A6" s="4"/>
      <c r="B6" s="5"/>
      <c r="C6" s="4"/>
      <c r="D6" s="4"/>
      <c r="E6" s="28">
        <v>198105</v>
      </c>
      <c r="F6" s="28" t="s">
        <v>3972</v>
      </c>
      <c r="G6" s="28"/>
      <c r="H6" s="28" t="s">
        <v>3973</v>
      </c>
      <c r="I6" s="28"/>
      <c r="J6" s="147"/>
      <c r="K6" s="6"/>
      <c r="L6" s="6"/>
      <c r="M6" s="6"/>
      <c r="N6" s="8"/>
    </row>
    <row r="7" spans="1:14" x14ac:dyDescent="0.25">
      <c r="A7" s="4"/>
      <c r="B7" s="4"/>
      <c r="C7" s="4" t="s">
        <v>45</v>
      </c>
      <c r="D7" s="4"/>
      <c r="E7" s="342" t="s">
        <v>6583</v>
      </c>
      <c r="F7" s="343"/>
      <c r="G7" s="4"/>
      <c r="H7" s="4"/>
      <c r="I7" s="4"/>
      <c r="J7" s="4" t="s">
        <v>46</v>
      </c>
      <c r="K7" s="10" t="s">
        <v>593</v>
      </c>
      <c r="L7" s="6"/>
      <c r="M7" s="6"/>
      <c r="N7" s="8"/>
    </row>
    <row r="8" spans="1:14" x14ac:dyDescent="0.25">
      <c r="A8" s="4"/>
      <c r="B8" s="4"/>
      <c r="C8" s="4" t="s">
        <v>47</v>
      </c>
      <c r="D8" s="4"/>
      <c r="E8" s="10" t="s">
        <v>798</v>
      </c>
      <c r="F8" s="11"/>
      <c r="G8" s="4"/>
      <c r="H8" s="4"/>
      <c r="I8" s="4"/>
      <c r="J8" s="4" t="s">
        <v>48</v>
      </c>
      <c r="K8" s="347">
        <v>8883022894</v>
      </c>
      <c r="L8" s="347"/>
      <c r="M8" s="6"/>
      <c r="N8" s="8"/>
    </row>
    <row r="9" spans="1:14" x14ac:dyDescent="0.25">
      <c r="A9" s="4"/>
      <c r="B9" s="4"/>
      <c r="C9" s="4" t="s">
        <v>49</v>
      </c>
      <c r="D9" s="4"/>
      <c r="E9" s="344">
        <v>43805</v>
      </c>
      <c r="F9" s="344"/>
      <c r="G9" s="4"/>
      <c r="H9" s="4"/>
      <c r="I9" s="4"/>
      <c r="J9" s="4" t="s">
        <v>50</v>
      </c>
      <c r="K9" s="10" t="s">
        <v>594</v>
      </c>
      <c r="L9" s="6"/>
      <c r="M9" s="6"/>
      <c r="N9" s="4"/>
    </row>
    <row r="10" spans="1:14" ht="9.75" customHeight="1" x14ac:dyDescent="0.25">
      <c r="A10" s="4"/>
      <c r="B10" s="4"/>
      <c r="C10" s="4"/>
      <c r="D10" s="4"/>
      <c r="E10" s="39" t="s">
        <v>6584</v>
      </c>
      <c r="F10" s="4"/>
      <c r="G10" s="4"/>
      <c r="H10" s="4"/>
      <c r="I10" s="4"/>
      <c r="J10" s="12"/>
      <c r="K10" s="13"/>
      <c r="L10" s="6"/>
      <c r="M10" s="6"/>
      <c r="N10" s="4"/>
    </row>
    <row r="11" spans="1:14" ht="9.75" customHeight="1" thickBot="1" x14ac:dyDescent="0.3">
      <c r="A11" s="4"/>
      <c r="B11" s="5"/>
      <c r="C11" s="4"/>
      <c r="D11" s="4"/>
      <c r="E11" s="4"/>
      <c r="F11" s="4"/>
      <c r="G11" s="4"/>
      <c r="H11" s="4"/>
      <c r="I11" s="4"/>
      <c r="J11" s="6"/>
      <c r="K11" s="6"/>
      <c r="L11" s="6"/>
      <c r="M11" s="6"/>
      <c r="N11" s="28">
        <v>39515</v>
      </c>
    </row>
    <row r="12" spans="1:14" ht="18.75" customHeight="1" x14ac:dyDescent="0.25">
      <c r="A12" s="4"/>
      <c r="B12" s="14" t="s">
        <v>51</v>
      </c>
      <c r="C12" s="15"/>
      <c r="D12" s="15"/>
      <c r="E12" s="15"/>
      <c r="F12" s="15"/>
      <c r="G12" s="345">
        <v>44109</v>
      </c>
      <c r="H12" s="345"/>
      <c r="I12" s="16" t="s">
        <v>52</v>
      </c>
      <c r="J12" s="346">
        <v>44356</v>
      </c>
      <c r="K12" s="346"/>
      <c r="L12" s="15"/>
      <c r="M12" s="348">
        <v>39515</v>
      </c>
      <c r="N12" s="349"/>
    </row>
    <row r="13" spans="1:14" ht="15" customHeight="1" x14ac:dyDescent="0.25">
      <c r="A13" s="4"/>
      <c r="B13" s="17"/>
      <c r="C13" s="5" t="s">
        <v>91</v>
      </c>
      <c r="D13" s="4"/>
      <c r="E13" s="4"/>
      <c r="F13" s="4"/>
      <c r="G13" s="4"/>
      <c r="H13" s="4"/>
      <c r="I13" s="4"/>
      <c r="J13" s="18" t="s">
        <v>53</v>
      </c>
      <c r="K13" s="18" t="s">
        <v>54</v>
      </c>
      <c r="L13" s="18" t="s">
        <v>55</v>
      </c>
      <c r="M13" s="19" t="s">
        <v>56</v>
      </c>
      <c r="N13" s="20"/>
    </row>
    <row r="14" spans="1:14" ht="15" customHeight="1" x14ac:dyDescent="0.25">
      <c r="A14" s="4"/>
      <c r="B14" s="17"/>
      <c r="C14" s="4"/>
      <c r="D14" s="4" t="s">
        <v>36</v>
      </c>
      <c r="E14" s="4"/>
      <c r="F14" s="4"/>
      <c r="G14" s="4"/>
      <c r="H14" s="4"/>
      <c r="I14" s="21"/>
      <c r="J14" s="6">
        <v>8505</v>
      </c>
      <c r="K14" s="6">
        <v>8505</v>
      </c>
      <c r="L14" s="6">
        <v>8505</v>
      </c>
      <c r="M14" s="19">
        <v>25515</v>
      </c>
      <c r="N14" s="79">
        <v>25515</v>
      </c>
    </row>
    <row r="15" spans="1:14" ht="6.75" customHeight="1" x14ac:dyDescent="0.25">
      <c r="A15" s="4"/>
      <c r="B15" s="17"/>
      <c r="C15" s="4"/>
      <c r="D15" s="4"/>
      <c r="E15" s="4"/>
      <c r="F15" s="4"/>
      <c r="G15" s="4"/>
      <c r="H15" s="4"/>
      <c r="I15" s="21"/>
      <c r="J15" s="6"/>
      <c r="K15" s="6"/>
      <c r="L15" s="6"/>
      <c r="M15" s="19"/>
      <c r="N15" s="20"/>
    </row>
    <row r="16" spans="1:14" ht="15" customHeight="1" x14ac:dyDescent="0.25">
      <c r="A16" s="4"/>
      <c r="B16" s="17"/>
      <c r="C16" s="5" t="s">
        <v>92</v>
      </c>
      <c r="D16" s="4"/>
      <c r="E16" s="4"/>
      <c r="F16" s="4"/>
      <c r="G16" s="4"/>
      <c r="H16" s="4"/>
      <c r="I16" s="21"/>
      <c r="J16" s="6"/>
      <c r="K16" s="6"/>
      <c r="L16" s="6"/>
      <c r="M16" s="19"/>
      <c r="N16" s="20"/>
    </row>
    <row r="17" spans="1:16" ht="15" customHeight="1" x14ac:dyDescent="0.25">
      <c r="A17" s="4"/>
      <c r="B17" s="17"/>
      <c r="C17" s="4"/>
      <c r="D17" s="4" t="s">
        <v>37</v>
      </c>
      <c r="E17" s="4"/>
      <c r="F17" s="4"/>
      <c r="G17" s="4"/>
      <c r="H17" s="4"/>
      <c r="I17" s="21"/>
      <c r="J17" s="6">
        <v>3300</v>
      </c>
      <c r="K17" s="6">
        <v>400</v>
      </c>
      <c r="L17" s="6">
        <v>400</v>
      </c>
      <c r="M17" s="19">
        <v>4100</v>
      </c>
      <c r="N17" s="79">
        <v>4100</v>
      </c>
      <c r="O17" s="22"/>
    </row>
    <row r="18" spans="1:16" ht="15" customHeight="1" x14ac:dyDescent="0.25">
      <c r="A18" s="4"/>
      <c r="B18" s="17"/>
      <c r="C18" s="4"/>
      <c r="D18" s="4" t="s">
        <v>38</v>
      </c>
      <c r="E18" s="4"/>
      <c r="F18" s="4"/>
      <c r="G18" s="4"/>
      <c r="H18" s="4"/>
      <c r="I18" s="21"/>
      <c r="J18" s="6">
        <v>2100</v>
      </c>
      <c r="K18" s="6">
        <v>2100</v>
      </c>
      <c r="L18" s="6">
        <v>2100</v>
      </c>
      <c r="M18" s="19">
        <v>6300</v>
      </c>
      <c r="N18" s="79">
        <v>6300</v>
      </c>
      <c r="O18" s="22"/>
    </row>
    <row r="19" spans="1:16" ht="15" customHeight="1" x14ac:dyDescent="0.25">
      <c r="A19" s="4"/>
      <c r="B19" s="17"/>
      <c r="C19" s="4"/>
      <c r="D19" s="4" t="s">
        <v>57</v>
      </c>
      <c r="E19" s="4"/>
      <c r="F19" s="4"/>
      <c r="G19" s="4"/>
      <c r="H19" s="4"/>
      <c r="I19" s="21"/>
      <c r="J19" s="6">
        <v>1200</v>
      </c>
      <c r="K19" s="6">
        <v>1200</v>
      </c>
      <c r="L19" s="6">
        <v>1200</v>
      </c>
      <c r="M19" s="19">
        <v>3600</v>
      </c>
      <c r="N19" s="79">
        <v>3600</v>
      </c>
    </row>
    <row r="20" spans="1:16" hidden="1" x14ac:dyDescent="0.25">
      <c r="A20" s="4"/>
      <c r="B20" s="17"/>
      <c r="C20" s="4"/>
      <c r="D20" s="4" t="s">
        <v>58</v>
      </c>
      <c r="E20" s="4"/>
      <c r="F20" s="4"/>
      <c r="G20" s="4"/>
      <c r="H20" s="4"/>
      <c r="I20" s="21"/>
      <c r="J20" s="6">
        <v>0</v>
      </c>
      <c r="K20" s="6">
        <v>0</v>
      </c>
      <c r="L20" s="6">
        <v>0</v>
      </c>
      <c r="M20" s="19">
        <v>0</v>
      </c>
      <c r="N20" s="79">
        <v>0</v>
      </c>
    </row>
    <row r="21" spans="1:16" ht="6.75" customHeight="1" thickBot="1" x14ac:dyDescent="0.3">
      <c r="A21" s="4"/>
      <c r="B21" s="23"/>
      <c r="C21" s="24"/>
      <c r="D21" s="24"/>
      <c r="E21" s="24"/>
      <c r="F21" s="24"/>
      <c r="G21" s="24"/>
      <c r="H21" s="24"/>
      <c r="I21" s="24"/>
      <c r="J21" s="25"/>
      <c r="K21" s="25"/>
      <c r="L21" s="25"/>
      <c r="M21" s="25"/>
      <c r="N21" s="26"/>
    </row>
    <row r="22" spans="1:16" ht="15" customHeight="1" thickBot="1" x14ac:dyDescent="0.3">
      <c r="A22" s="4"/>
      <c r="B22" s="5"/>
      <c r="C22" s="4"/>
      <c r="D22" s="4"/>
      <c r="E22" s="4"/>
      <c r="F22" s="4"/>
      <c r="G22" s="4"/>
      <c r="H22" s="4"/>
      <c r="I22" s="4"/>
      <c r="J22" s="6"/>
      <c r="K22" s="6"/>
      <c r="L22" s="6"/>
      <c r="M22" s="6"/>
      <c r="N22" s="28">
        <v>10695</v>
      </c>
    </row>
    <row r="23" spans="1:16" ht="18.75" customHeight="1" x14ac:dyDescent="0.25">
      <c r="A23" s="4"/>
      <c r="B23" s="14" t="s">
        <v>59</v>
      </c>
      <c r="C23" s="27"/>
      <c r="D23" s="27"/>
      <c r="E23" s="27"/>
      <c r="F23" s="27"/>
      <c r="G23" s="27"/>
      <c r="H23" s="27"/>
      <c r="I23" s="27"/>
      <c r="J23" s="27"/>
      <c r="K23" s="27"/>
      <c r="L23" s="27"/>
      <c r="M23" s="348">
        <v>10695</v>
      </c>
      <c r="N23" s="349"/>
    </row>
    <row r="24" spans="1:16" ht="15" customHeight="1" x14ac:dyDescent="0.25">
      <c r="A24" s="4"/>
      <c r="B24" s="17"/>
      <c r="C24" s="5" t="s">
        <v>60</v>
      </c>
      <c r="D24" s="4"/>
      <c r="E24" s="4"/>
      <c r="F24" s="4"/>
      <c r="G24" s="4"/>
      <c r="H24" s="4"/>
      <c r="I24" s="4"/>
      <c r="J24" s="18" t="s">
        <v>53</v>
      </c>
      <c r="K24" s="18" t="s">
        <v>54</v>
      </c>
      <c r="L24" s="18" t="s">
        <v>55</v>
      </c>
      <c r="M24" s="19" t="s">
        <v>56</v>
      </c>
      <c r="N24" s="20"/>
    </row>
    <row r="25" spans="1:16" x14ac:dyDescent="0.25">
      <c r="A25" s="4"/>
      <c r="B25" s="17"/>
      <c r="C25" s="28"/>
      <c r="D25" s="4" t="s">
        <v>61</v>
      </c>
      <c r="E25" s="4"/>
      <c r="F25" s="4"/>
      <c r="G25" s="4"/>
      <c r="H25" s="4"/>
      <c r="I25" s="4"/>
      <c r="J25" s="6">
        <v>2065</v>
      </c>
      <c r="K25" s="6">
        <v>2065</v>
      </c>
      <c r="L25" s="6">
        <v>2065</v>
      </c>
      <c r="M25" s="19">
        <v>6195</v>
      </c>
      <c r="N25" s="79">
        <v>6195</v>
      </c>
      <c r="P25" s="22"/>
    </row>
    <row r="26" spans="1:16" hidden="1" collapsed="1" x14ac:dyDescent="0.25">
      <c r="A26" s="4"/>
      <c r="B26" s="17"/>
      <c r="C26" s="28"/>
      <c r="D26" s="4" t="s">
        <v>93</v>
      </c>
      <c r="E26" s="4"/>
      <c r="F26" s="4"/>
      <c r="G26" s="4"/>
      <c r="H26" s="4"/>
      <c r="I26" s="4"/>
      <c r="J26" s="6">
        <v>0</v>
      </c>
      <c r="K26" s="6">
        <v>0</v>
      </c>
      <c r="L26" s="6">
        <v>0</v>
      </c>
      <c r="M26" s="19">
        <v>0</v>
      </c>
      <c r="N26" s="79">
        <v>0</v>
      </c>
      <c r="P26" s="22"/>
    </row>
    <row r="27" spans="1:16" x14ac:dyDescent="0.25">
      <c r="A27" s="4"/>
      <c r="B27" s="17"/>
      <c r="C27" s="28"/>
      <c r="D27" s="4" t="s">
        <v>62</v>
      </c>
      <c r="E27" s="4"/>
      <c r="F27" s="4"/>
      <c r="G27" s="29" t="s">
        <v>95</v>
      </c>
      <c r="H27" s="4"/>
      <c r="I27" s="4"/>
      <c r="J27" s="6">
        <v>500</v>
      </c>
      <c r="K27" s="6">
        <v>500</v>
      </c>
      <c r="L27" s="6">
        <v>500</v>
      </c>
      <c r="M27" s="19">
        <v>1500</v>
      </c>
      <c r="N27" s="79">
        <v>1500</v>
      </c>
    </row>
    <row r="28" spans="1:16" ht="15" customHeight="1" x14ac:dyDescent="0.25">
      <c r="A28" s="4"/>
      <c r="B28" s="17"/>
      <c r="C28" s="28"/>
      <c r="D28" s="4" t="s">
        <v>6585</v>
      </c>
      <c r="E28" s="4"/>
      <c r="F28" s="4"/>
      <c r="G28" s="29" t="s">
        <v>94</v>
      </c>
      <c r="H28" s="29"/>
      <c r="I28" s="4"/>
      <c r="J28" s="6">
        <v>1000</v>
      </c>
      <c r="K28" s="6">
        <v>1000</v>
      </c>
      <c r="L28" s="6">
        <v>1000</v>
      </c>
      <c r="M28" s="19">
        <v>3000</v>
      </c>
      <c r="N28" s="79">
        <v>3000</v>
      </c>
    </row>
    <row r="29" spans="1:16" ht="15" hidden="1" customHeight="1" x14ac:dyDescent="0.25">
      <c r="A29" s="4"/>
      <c r="B29" s="17"/>
      <c r="C29" s="28"/>
      <c r="D29" s="4" t="s">
        <v>63</v>
      </c>
      <c r="E29" s="4"/>
      <c r="F29" s="4"/>
      <c r="G29" s="4"/>
      <c r="H29" s="4"/>
      <c r="I29" s="4"/>
      <c r="J29" s="6">
        <v>0</v>
      </c>
      <c r="K29" s="6">
        <v>0</v>
      </c>
      <c r="L29" s="6">
        <v>0</v>
      </c>
      <c r="M29" s="19">
        <v>0</v>
      </c>
      <c r="N29" s="79">
        <v>0</v>
      </c>
    </row>
    <row r="30" spans="1:16" hidden="1" x14ac:dyDescent="0.25">
      <c r="A30" s="4"/>
      <c r="B30" s="17"/>
      <c r="C30" s="28"/>
      <c r="D30" s="4" t="s">
        <v>67</v>
      </c>
      <c r="E30" s="4"/>
      <c r="F30" s="4"/>
      <c r="G30" s="4"/>
      <c r="H30" s="4"/>
      <c r="I30" s="4"/>
      <c r="J30" s="6">
        <v>0</v>
      </c>
      <c r="K30" s="6">
        <v>0</v>
      </c>
      <c r="L30" s="6">
        <v>0</v>
      </c>
      <c r="M30" s="19">
        <v>0</v>
      </c>
      <c r="N30" s="79">
        <v>0</v>
      </c>
    </row>
    <row r="31" spans="1:16" hidden="1" x14ac:dyDescent="0.25">
      <c r="A31" s="4"/>
      <c r="B31" s="17"/>
      <c r="C31" s="28"/>
      <c r="D31" s="4" t="s">
        <v>68</v>
      </c>
      <c r="E31" s="4"/>
      <c r="F31" s="4"/>
      <c r="G31" s="4"/>
      <c r="H31" s="4"/>
      <c r="I31" s="4"/>
      <c r="J31" s="6">
        <v>0</v>
      </c>
      <c r="K31" s="6">
        <v>0</v>
      </c>
      <c r="L31" s="6">
        <v>0</v>
      </c>
      <c r="M31" s="19">
        <v>0</v>
      </c>
      <c r="N31" s="79">
        <v>0</v>
      </c>
    </row>
    <row r="32" spans="1:16" hidden="1" x14ac:dyDescent="0.25">
      <c r="A32" s="4"/>
      <c r="B32" s="17"/>
      <c r="C32" s="28"/>
      <c r="D32" s="4" t="s">
        <v>69</v>
      </c>
      <c r="E32" s="4"/>
      <c r="F32" s="4"/>
      <c r="G32" s="4"/>
      <c r="H32" s="4"/>
      <c r="I32" s="4"/>
      <c r="J32" s="6">
        <v>0</v>
      </c>
      <c r="K32" s="6">
        <v>0</v>
      </c>
      <c r="L32" s="6">
        <v>0</v>
      </c>
      <c r="M32" s="19">
        <v>0</v>
      </c>
      <c r="N32" s="79">
        <v>0</v>
      </c>
    </row>
    <row r="33" spans="1:14" hidden="1" x14ac:dyDescent="0.25">
      <c r="A33" s="4"/>
      <c r="B33" s="17"/>
      <c r="C33" s="28"/>
      <c r="D33" s="4" t="s">
        <v>70</v>
      </c>
      <c r="E33" s="4"/>
      <c r="F33" s="4"/>
      <c r="G33" s="29" t="s">
        <v>96</v>
      </c>
      <c r="H33" s="4"/>
      <c r="I33" s="4"/>
      <c r="J33" s="6">
        <v>0</v>
      </c>
      <c r="K33" s="6">
        <v>0</v>
      </c>
      <c r="L33" s="6">
        <v>0</v>
      </c>
      <c r="M33" s="19">
        <v>0</v>
      </c>
      <c r="N33" s="79">
        <v>0</v>
      </c>
    </row>
    <row r="34" spans="1:14" hidden="1" x14ac:dyDescent="0.25">
      <c r="A34" s="4"/>
      <c r="B34" s="17"/>
      <c r="C34" s="28"/>
      <c r="D34" s="4" t="s">
        <v>71</v>
      </c>
      <c r="E34" s="4"/>
      <c r="F34" s="4"/>
      <c r="G34" s="4"/>
      <c r="H34" s="4"/>
      <c r="I34" s="4"/>
      <c r="J34" s="6">
        <v>0</v>
      </c>
      <c r="K34" s="6">
        <v>0</v>
      </c>
      <c r="L34" s="6">
        <v>0</v>
      </c>
      <c r="M34" s="19">
        <v>0</v>
      </c>
      <c r="N34" s="79">
        <v>0</v>
      </c>
    </row>
    <row r="35" spans="1:14" hidden="1" x14ac:dyDescent="0.25">
      <c r="A35" s="4"/>
      <c r="B35" s="17"/>
      <c r="C35" s="28"/>
      <c r="D35" s="4" t="s">
        <v>72</v>
      </c>
      <c r="E35" s="4"/>
      <c r="F35" s="4"/>
      <c r="G35" s="4"/>
      <c r="H35" s="4"/>
      <c r="I35" s="4"/>
      <c r="J35" s="6">
        <v>0</v>
      </c>
      <c r="K35" s="6">
        <v>0</v>
      </c>
      <c r="L35" s="6">
        <v>0</v>
      </c>
      <c r="M35" s="19">
        <v>0</v>
      </c>
      <c r="N35" s="79">
        <v>0</v>
      </c>
    </row>
    <row r="36" spans="1:14" hidden="1" x14ac:dyDescent="0.25">
      <c r="A36" s="4"/>
      <c r="B36" s="17"/>
      <c r="C36" s="28"/>
      <c r="D36" s="4" t="s">
        <v>73</v>
      </c>
      <c r="E36" s="4"/>
      <c r="F36" s="4"/>
      <c r="G36" s="4"/>
      <c r="H36" s="4"/>
      <c r="I36" s="4"/>
      <c r="J36" s="6">
        <v>0</v>
      </c>
      <c r="K36" s="6">
        <v>0</v>
      </c>
      <c r="L36" s="6">
        <v>0</v>
      </c>
      <c r="M36" s="19">
        <v>0</v>
      </c>
      <c r="N36" s="79">
        <v>0</v>
      </c>
    </row>
    <row r="37" spans="1:14" ht="6.75" customHeight="1" thickBot="1" x14ac:dyDescent="0.3">
      <c r="A37" s="4"/>
      <c r="B37" s="23"/>
      <c r="C37" s="24"/>
      <c r="D37" s="24"/>
      <c r="E37" s="24"/>
      <c r="F37" s="24"/>
      <c r="G37" s="24"/>
      <c r="H37" s="24"/>
      <c r="I37" s="24"/>
      <c r="J37" s="25"/>
      <c r="K37" s="25"/>
      <c r="L37" s="25"/>
      <c r="M37" s="25"/>
      <c r="N37" s="26"/>
    </row>
    <row r="38" spans="1:14" ht="15" customHeight="1" thickBot="1" x14ac:dyDescent="0.3">
      <c r="A38" s="4"/>
      <c r="B38" s="5"/>
      <c r="C38" s="4"/>
      <c r="D38" s="4"/>
      <c r="E38" s="4"/>
      <c r="F38" s="4"/>
      <c r="G38" s="4"/>
      <c r="H38" s="4"/>
      <c r="I38" s="4"/>
      <c r="J38" s="6"/>
      <c r="K38" s="6"/>
      <c r="L38" s="6"/>
      <c r="M38" s="6"/>
      <c r="N38" s="4"/>
    </row>
    <row r="39" spans="1:14" ht="18.75" customHeight="1" x14ac:dyDescent="0.25">
      <c r="A39" s="4"/>
      <c r="B39" s="14" t="s">
        <v>64</v>
      </c>
      <c r="C39" s="27"/>
      <c r="D39" s="27"/>
      <c r="E39" s="27"/>
      <c r="F39" s="27"/>
      <c r="G39" s="27"/>
      <c r="H39" s="27"/>
      <c r="I39" s="27"/>
      <c r="J39" s="27"/>
      <c r="K39" s="27"/>
      <c r="L39" s="27"/>
      <c r="M39" s="348">
        <v>28820</v>
      </c>
      <c r="N39" s="349"/>
    </row>
    <row r="40" spans="1:14" ht="15" customHeight="1" x14ac:dyDescent="0.25">
      <c r="A40" s="4"/>
      <c r="B40" s="17"/>
      <c r="C40" s="5" t="s">
        <v>65</v>
      </c>
      <c r="D40" s="4"/>
      <c r="E40" s="4"/>
      <c r="F40" s="4"/>
      <c r="G40" s="4"/>
      <c r="H40" s="4"/>
      <c r="I40" s="4"/>
      <c r="J40" s="18" t="s">
        <v>53</v>
      </c>
      <c r="K40" s="18" t="s">
        <v>54</v>
      </c>
      <c r="L40" s="18" t="s">
        <v>55</v>
      </c>
      <c r="M40" s="19" t="s">
        <v>56</v>
      </c>
      <c r="N40" s="20"/>
    </row>
    <row r="41" spans="1:14" ht="15" customHeight="1" x14ac:dyDescent="0.25">
      <c r="A41" s="4"/>
      <c r="B41" s="17"/>
      <c r="C41" s="4"/>
      <c r="D41" s="4" t="s">
        <v>66</v>
      </c>
      <c r="E41" s="4"/>
      <c r="F41" s="4"/>
      <c r="G41" s="4"/>
      <c r="H41" s="4"/>
      <c r="I41" s="4"/>
      <c r="J41" s="6">
        <v>11540</v>
      </c>
      <c r="K41" s="6">
        <v>8640</v>
      </c>
      <c r="L41" s="6">
        <v>8640</v>
      </c>
      <c r="M41" s="19">
        <v>28820</v>
      </c>
      <c r="N41" s="20"/>
    </row>
    <row r="42" spans="1:14" ht="6.75" customHeight="1" thickBot="1" x14ac:dyDescent="0.3">
      <c r="A42" s="4"/>
      <c r="B42" s="23"/>
      <c r="C42" s="24"/>
      <c r="D42" s="24"/>
      <c r="E42" s="24"/>
      <c r="F42" s="24"/>
      <c r="G42" s="24"/>
      <c r="H42" s="24"/>
      <c r="I42" s="24"/>
      <c r="J42" s="25"/>
      <c r="K42" s="25"/>
      <c r="L42" s="25"/>
      <c r="M42" s="25"/>
      <c r="N42" s="26"/>
    </row>
    <row r="43" spans="1:14" ht="15" customHeight="1" thickBot="1" x14ac:dyDescent="0.3"/>
    <row r="44" spans="1:14" ht="18.75" customHeight="1" x14ac:dyDescent="0.25">
      <c r="B44" s="14" t="s">
        <v>74</v>
      </c>
      <c r="C44" s="27"/>
      <c r="D44" s="27"/>
      <c r="E44" s="27"/>
      <c r="F44" s="27"/>
      <c r="G44" s="27"/>
      <c r="H44" s="30"/>
      <c r="I44" s="2" t="s">
        <v>87</v>
      </c>
      <c r="J44" s="3">
        <v>3.4116885286976899</v>
      </c>
      <c r="K44" s="2" t="s">
        <v>88</v>
      </c>
      <c r="L44" s="3">
        <v>3.2667599999986123</v>
      </c>
      <c r="M44" s="348">
        <v>29912</v>
      </c>
      <c r="N44" s="349"/>
    </row>
    <row r="45" spans="1:14" ht="15" customHeight="1" x14ac:dyDescent="0.25">
      <c r="B45" s="17"/>
      <c r="C45" s="5"/>
      <c r="D45" s="4"/>
      <c r="E45" s="4"/>
      <c r="F45" s="4"/>
      <c r="G45" s="4"/>
      <c r="H45" s="4"/>
      <c r="I45" s="4"/>
      <c r="J45" s="351" t="s">
        <v>897</v>
      </c>
      <c r="K45" s="351"/>
      <c r="L45" s="351"/>
      <c r="M45" s="328" t="s">
        <v>89</v>
      </c>
      <c r="N45" s="350" t="s">
        <v>178</v>
      </c>
    </row>
    <row r="46" spans="1:14" ht="15" customHeight="1" x14ac:dyDescent="0.25">
      <c r="B46" s="17"/>
      <c r="C46" s="5" t="s">
        <v>75</v>
      </c>
      <c r="D46" s="4"/>
      <c r="E46" s="4"/>
      <c r="F46" s="4"/>
      <c r="G46" s="4"/>
      <c r="H46" s="4"/>
      <c r="I46" s="4"/>
      <c r="J46" s="18" t="s">
        <v>53</v>
      </c>
      <c r="K46" s="18" t="s">
        <v>54</v>
      </c>
      <c r="L46" s="18" t="s">
        <v>55</v>
      </c>
      <c r="M46" s="19" t="s">
        <v>56</v>
      </c>
      <c r="N46" s="350"/>
    </row>
    <row r="47" spans="1:14" ht="15" customHeight="1" x14ac:dyDescent="0.25">
      <c r="B47" s="17"/>
      <c r="C47" s="4" t="s">
        <v>78</v>
      </c>
      <c r="D47" s="4"/>
      <c r="E47" s="4"/>
      <c r="G47" s="29" t="s">
        <v>81</v>
      </c>
      <c r="H47" s="4"/>
      <c r="I47" s="4"/>
      <c r="J47" s="6">
        <v>0</v>
      </c>
      <c r="K47" s="6">
        <v>0</v>
      </c>
      <c r="L47" s="6">
        <v>0</v>
      </c>
      <c r="M47" s="19">
        <v>0</v>
      </c>
      <c r="N47" s="20"/>
    </row>
    <row r="48" spans="1:14" ht="15" customHeight="1" x14ac:dyDescent="0.25">
      <c r="B48" s="17"/>
      <c r="C48" s="4" t="s">
        <v>79</v>
      </c>
      <c r="D48" s="4"/>
      <c r="E48" s="4"/>
      <c r="G48" s="29" t="s">
        <v>815</v>
      </c>
      <c r="H48" s="4"/>
      <c r="I48" s="4"/>
      <c r="J48" s="6">
        <v>1154</v>
      </c>
      <c r="K48" s="6">
        <v>1154</v>
      </c>
      <c r="L48" s="6">
        <v>1155</v>
      </c>
      <c r="M48" s="19">
        <v>3500</v>
      </c>
      <c r="N48" s="32">
        <v>-37.065000000000005</v>
      </c>
    </row>
    <row r="49" spans="2:14" ht="15" customHeight="1" x14ac:dyDescent="0.25">
      <c r="B49" s="17"/>
      <c r="C49" s="4" t="s">
        <v>80</v>
      </c>
      <c r="D49" s="4"/>
      <c r="E49" s="4"/>
      <c r="G49" s="29" t="s">
        <v>893</v>
      </c>
      <c r="H49" s="4"/>
      <c r="I49" s="4"/>
      <c r="J49" s="6">
        <v>660</v>
      </c>
      <c r="K49" s="6">
        <v>660</v>
      </c>
      <c r="L49" s="6">
        <v>659</v>
      </c>
      <c r="M49" s="19">
        <v>2000</v>
      </c>
      <c r="N49" s="32">
        <v>-21.18</v>
      </c>
    </row>
    <row r="50" spans="2:14" ht="15" customHeight="1" x14ac:dyDescent="0.25">
      <c r="B50" s="17"/>
      <c r="C50" s="4" t="s">
        <v>82</v>
      </c>
      <c r="D50" s="4"/>
      <c r="E50" s="4"/>
      <c r="G50" s="29" t="s">
        <v>894</v>
      </c>
      <c r="H50" s="4"/>
      <c r="I50" s="4"/>
      <c r="J50" s="6">
        <v>7807</v>
      </c>
      <c r="K50" s="6">
        <v>7807</v>
      </c>
      <c r="L50" s="6">
        <v>7807</v>
      </c>
      <c r="M50" s="19">
        <v>24412</v>
      </c>
      <c r="N50" s="32">
        <v>-1037.0217599999999</v>
      </c>
    </row>
    <row r="51" spans="2:14" hidden="1" x14ac:dyDescent="0.25">
      <c r="B51" s="17"/>
      <c r="C51" s="4" t="s">
        <v>83</v>
      </c>
      <c r="D51" s="4"/>
      <c r="E51" s="4"/>
      <c r="G51" s="33" t="s">
        <v>84</v>
      </c>
      <c r="H51" s="4"/>
      <c r="I51" s="4"/>
      <c r="J51" s="6">
        <v>0</v>
      </c>
      <c r="K51" s="6">
        <v>0</v>
      </c>
      <c r="L51" s="6">
        <v>0</v>
      </c>
      <c r="M51" s="19">
        <v>0</v>
      </c>
      <c r="N51" s="20"/>
    </row>
    <row r="52" spans="2:14" hidden="1" x14ac:dyDescent="0.25">
      <c r="B52" s="17"/>
      <c r="C52" s="4" t="s">
        <v>85</v>
      </c>
      <c r="D52" s="4"/>
      <c r="E52" s="4"/>
      <c r="G52" s="33" t="s">
        <v>895</v>
      </c>
      <c r="H52" s="4"/>
      <c r="I52" s="4"/>
      <c r="J52" s="6">
        <v>0</v>
      </c>
      <c r="K52" s="6">
        <v>0</v>
      </c>
      <c r="L52" s="6">
        <v>0</v>
      </c>
      <c r="M52" s="19">
        <v>0</v>
      </c>
      <c r="N52" s="20"/>
    </row>
    <row r="53" spans="2:14" hidden="1" x14ac:dyDescent="0.25">
      <c r="B53" s="17"/>
      <c r="C53" s="4" t="s">
        <v>86</v>
      </c>
      <c r="D53" s="4"/>
      <c r="E53" s="4"/>
      <c r="F53" s="4"/>
      <c r="G53" s="4"/>
      <c r="H53" s="4"/>
      <c r="I53" s="4"/>
      <c r="J53" s="6">
        <v>0</v>
      </c>
      <c r="K53" s="6">
        <v>0</v>
      </c>
      <c r="L53" s="6">
        <v>0</v>
      </c>
      <c r="M53" s="19">
        <v>0</v>
      </c>
      <c r="N53" s="20"/>
    </row>
    <row r="54" spans="2:14" ht="6.75" customHeight="1" thickBot="1" x14ac:dyDescent="0.3">
      <c r="B54" s="23"/>
      <c r="C54" s="24"/>
      <c r="D54" s="24"/>
      <c r="E54" s="24"/>
      <c r="F54" s="24"/>
      <c r="G54" s="24"/>
      <c r="H54" s="24"/>
      <c r="I54" s="24"/>
      <c r="J54" s="25"/>
      <c r="K54" s="25"/>
      <c r="L54" s="25"/>
      <c r="M54" s="25"/>
      <c r="N54" s="26"/>
    </row>
    <row r="55" spans="2:14" ht="15" customHeight="1" thickBot="1" x14ac:dyDescent="0.3"/>
    <row r="56" spans="2:14" ht="18.75" customHeight="1" x14ac:dyDescent="0.25">
      <c r="B56" s="14" t="s">
        <v>76</v>
      </c>
      <c r="C56" s="15"/>
      <c r="D56" s="15"/>
      <c r="E56" s="30"/>
      <c r="F56" s="34"/>
      <c r="G56" s="35"/>
      <c r="H56" s="34"/>
      <c r="I56" s="35"/>
      <c r="J56" s="36"/>
      <c r="K56" s="36"/>
      <c r="L56" s="36"/>
      <c r="M56" s="358"/>
      <c r="N56" s="359"/>
    </row>
    <row r="57" spans="2:14" ht="15" customHeight="1" x14ac:dyDescent="0.25">
      <c r="B57" s="352" t="s">
        <v>77</v>
      </c>
      <c r="C57" s="353"/>
      <c r="D57" s="353"/>
      <c r="E57" s="353"/>
      <c r="F57" s="353"/>
      <c r="G57" s="353"/>
      <c r="H57" s="353"/>
      <c r="I57" s="353"/>
      <c r="J57" s="353"/>
      <c r="K57" s="353"/>
      <c r="L57" s="353"/>
      <c r="M57" s="353"/>
      <c r="N57" s="354"/>
    </row>
    <row r="58" spans="2:14" ht="15" customHeight="1" x14ac:dyDescent="0.25">
      <c r="B58" s="352"/>
      <c r="C58" s="353"/>
      <c r="D58" s="353"/>
      <c r="E58" s="353"/>
      <c r="F58" s="353"/>
      <c r="G58" s="353"/>
      <c r="H58" s="353"/>
      <c r="I58" s="353"/>
      <c r="J58" s="353"/>
      <c r="K58" s="353"/>
      <c r="L58" s="353"/>
      <c r="M58" s="353"/>
      <c r="N58" s="354"/>
    </row>
    <row r="59" spans="2:14" ht="15" customHeight="1" x14ac:dyDescent="0.25">
      <c r="B59" s="352"/>
      <c r="C59" s="353"/>
      <c r="D59" s="353"/>
      <c r="E59" s="353"/>
      <c r="F59" s="353"/>
      <c r="G59" s="353"/>
      <c r="H59" s="353"/>
      <c r="I59" s="353"/>
      <c r="J59" s="353"/>
      <c r="K59" s="353"/>
      <c r="L59" s="353"/>
      <c r="M59" s="353"/>
      <c r="N59" s="354"/>
    </row>
    <row r="60" spans="2:14" ht="15" customHeight="1" x14ac:dyDescent="0.25">
      <c r="B60" s="352"/>
      <c r="C60" s="353"/>
      <c r="D60" s="353"/>
      <c r="E60" s="353"/>
      <c r="F60" s="353"/>
      <c r="G60" s="353"/>
      <c r="H60" s="353"/>
      <c r="I60" s="353"/>
      <c r="J60" s="353"/>
      <c r="K60" s="353"/>
      <c r="L60" s="353"/>
      <c r="M60" s="353"/>
      <c r="N60" s="354"/>
    </row>
    <row r="61" spans="2:14" ht="15" customHeight="1" thickBot="1" x14ac:dyDescent="0.3">
      <c r="B61" s="355"/>
      <c r="C61" s="356"/>
      <c r="D61" s="356"/>
      <c r="E61" s="356"/>
      <c r="F61" s="356"/>
      <c r="G61" s="356"/>
      <c r="H61" s="356"/>
      <c r="I61" s="356"/>
      <c r="J61" s="356"/>
      <c r="K61" s="356"/>
      <c r="L61" s="356"/>
      <c r="M61" s="356"/>
      <c r="N61" s="357"/>
    </row>
    <row r="62" spans="2:14" ht="12.75" customHeight="1" x14ac:dyDescent="0.25">
      <c r="B62" s="37" t="s">
        <v>692</v>
      </c>
      <c r="N62" s="38" t="s">
        <v>90</v>
      </c>
    </row>
  </sheetData>
  <sheetProtection selectLockedCells="1"/>
  <mergeCells count="14">
    <mergeCell ref="M56:N56"/>
    <mergeCell ref="B57:N61"/>
    <mergeCell ref="M12:N12"/>
    <mergeCell ref="M23:N23"/>
    <mergeCell ref="M39:N39"/>
    <mergeCell ref="M44:N44"/>
    <mergeCell ref="J45:L45"/>
    <mergeCell ref="N45:N46"/>
    <mergeCell ref="E1:J3"/>
    <mergeCell ref="E7:F7"/>
    <mergeCell ref="K8:L8"/>
    <mergeCell ref="E9:F9"/>
    <mergeCell ref="G12:H12"/>
    <mergeCell ref="J12:K12"/>
  </mergeCells>
  <conditionalFormatting sqref="M14">
    <cfRule type="cellIs" dxfId="4" priority="5" operator="notEqual">
      <formula>$N$14</formula>
    </cfRule>
  </conditionalFormatting>
  <conditionalFormatting sqref="M17">
    <cfRule type="cellIs" dxfId="3" priority="4" operator="notEqual">
      <formula>$N$17</formula>
    </cfRule>
  </conditionalFormatting>
  <conditionalFormatting sqref="M18">
    <cfRule type="cellIs" dxfId="2" priority="3" operator="notEqual">
      <formula>$N$18</formula>
    </cfRule>
  </conditionalFormatting>
  <conditionalFormatting sqref="M19">
    <cfRule type="cellIs" dxfId="1" priority="2" operator="notEqual">
      <formula>$N$19</formula>
    </cfRule>
  </conditionalFormatting>
  <conditionalFormatting sqref="M20">
    <cfRule type="cellIs" dxfId="0" priority="1" operator="notEqual">
      <formula>$N$20</formula>
    </cfRule>
  </conditionalFormatting>
  <printOptions horizontalCentered="1"/>
  <pageMargins left="0.7" right="0.7" top="0.75" bottom="0.75" header="0.3" footer="0.3"/>
  <pageSetup scale="8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locked="0" defaultSize="0" print="0" autoFill="0" autoPict="0" macro="[0]!Create_PDFs">
                <anchor moveWithCells="1" sizeWithCells="1">
                  <from>
                    <xdr:col>7</xdr:col>
                    <xdr:colOff>28575</xdr:colOff>
                    <xdr:row>6</xdr:row>
                    <xdr:rowOff>142875</xdr:rowOff>
                  </from>
                  <to>
                    <xdr:col>8</xdr:col>
                    <xdr:colOff>409575</xdr:colOff>
                    <xdr:row>7</xdr:row>
                    <xdr:rowOff>114300</xdr:rowOff>
                  </to>
                </anchor>
              </controlPr>
            </control>
          </mc:Choice>
        </mc:AlternateContent>
        <mc:AlternateContent xmlns:mc="http://schemas.openxmlformats.org/markup-compatibility/2006">
          <mc:Choice Requires="x14">
            <control shapeId="4098" r:id="rId5" name="Button 2">
              <controlPr locked="0" defaultSize="0" print="0" autoFill="0" autoPict="0" macro="[0]!Email_PDFs">
                <anchor moveWithCells="1" sizeWithCells="1">
                  <from>
                    <xdr:col>7</xdr:col>
                    <xdr:colOff>28575</xdr:colOff>
                    <xdr:row>7</xdr:row>
                    <xdr:rowOff>161925</xdr:rowOff>
                  </from>
                  <to>
                    <xdr:col>8</xdr:col>
                    <xdr:colOff>409575</xdr:colOff>
                    <xdr:row>8</xdr:row>
                    <xdr:rowOff>142875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D46A620-8253-4C47-B5ED-7B6163FFA8B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ALE</vt:lpstr>
      <vt:lpstr>RawData</vt:lpstr>
      <vt:lpstr>Cancel</vt:lpstr>
      <vt:lpstr>PellTable</vt:lpstr>
      <vt:lpstr>Alpha</vt:lpstr>
      <vt:lpstr>SSR</vt:lpstr>
      <vt:lpstr>ISIR</vt:lpstr>
      <vt:lpstr>Watson, Austin</vt:lpstr>
      <vt:lpstr>ALE!Print_Area</vt:lpstr>
      <vt:lpstr>'Watson, Austin'!Print_Area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Blanchard</dc:creator>
  <cp:lastModifiedBy>Maureen Ranks</cp:lastModifiedBy>
  <cp:lastPrinted>2019-12-06T23:14:19Z</cp:lastPrinted>
  <dcterms:created xsi:type="dcterms:W3CDTF">2017-09-28T17:03:08Z</dcterms:created>
  <dcterms:modified xsi:type="dcterms:W3CDTF">2019-12-07T00:11:42Z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Jet Reports Function Literals">
    <vt:lpwstr>,	;	,	{	}	[@[{0}]]	1033</vt:lpwstr>
  </property>
</Properties>
</file>